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Charts\"/>
    </mc:Choice>
  </mc:AlternateContent>
  <xr:revisionPtr revIDLastSave="0" documentId="13_ncr:9_{0AB0FB6F-E0F6-4951-B343-98148FE60A2E}" xr6:coauthVersionLast="47" xr6:coauthVersionMax="47" xr10:uidLastSave="{00000000-0000-0000-0000-000000000000}"/>
  <bookViews>
    <workbookView xWindow="-120" yWindow="-120" windowWidth="38640" windowHeight="21120" xr2:uid="{72D61141-0EB9-4359-ACA3-0CE8F38D8DDF}"/>
  </bookViews>
  <sheets>
    <sheet name="Card Progress" sheetId="2" r:id="rId1"/>
    <sheet name="Generic Info" sheetId="1" r:id="rId2"/>
    <sheet name="Card Progress data" sheetId="3" r:id="rId3"/>
    <sheet name="Tempory" sheetId="4" state="hidden" r:id="rId4"/>
    <sheet name="Challenge Rewards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105" i="1" s="1"/>
  <c r="G105" i="1" s="1"/>
  <c r="L105" i="1"/>
  <c r="N2" i="1"/>
  <c r="AF74" i="3"/>
  <c r="U66" i="3"/>
  <c r="T66" i="3"/>
  <c r="U65" i="3"/>
  <c r="T65" i="3"/>
  <c r="X64" i="3"/>
  <c r="W64" i="3"/>
  <c r="U64" i="3"/>
  <c r="T64" i="3"/>
  <c r="R64" i="3"/>
  <c r="Q64" i="3"/>
  <c r="X63" i="3"/>
  <c r="W63" i="3"/>
  <c r="U63" i="3"/>
  <c r="T63" i="3"/>
  <c r="Q63" i="3"/>
  <c r="X62" i="3"/>
  <c r="W62" i="3"/>
  <c r="U62" i="3"/>
  <c r="T62" i="3"/>
  <c r="R62" i="3"/>
  <c r="Q62" i="3"/>
  <c r="X61" i="3"/>
  <c r="W61" i="3"/>
  <c r="U61" i="3"/>
  <c r="T61" i="3"/>
  <c r="R61" i="3"/>
  <c r="Q61" i="3"/>
  <c r="X60" i="3"/>
  <c r="W60" i="3"/>
  <c r="U60" i="3"/>
  <c r="T60" i="3"/>
  <c r="R60" i="3"/>
  <c r="Q60" i="3"/>
  <c r="X59" i="3"/>
  <c r="W59" i="3"/>
  <c r="U59" i="3"/>
  <c r="T59" i="3"/>
  <c r="R59" i="3"/>
  <c r="Q59" i="3"/>
  <c r="X58" i="3"/>
  <c r="W58" i="3"/>
  <c r="U58" i="3"/>
  <c r="T58" i="3"/>
  <c r="R58" i="3"/>
  <c r="Q58" i="3"/>
  <c r="X57" i="3"/>
  <c r="W57" i="3"/>
  <c r="U57" i="3"/>
  <c r="T57" i="3"/>
  <c r="R57" i="3"/>
  <c r="Q57" i="3"/>
  <c r="X56" i="3"/>
  <c r="W56" i="3"/>
  <c r="U56" i="3"/>
  <c r="T56" i="3"/>
  <c r="R56" i="3"/>
  <c r="Q56" i="3"/>
  <c r="X55" i="3"/>
  <c r="W55" i="3"/>
  <c r="U55" i="3"/>
  <c r="T55" i="3"/>
  <c r="R55" i="3"/>
  <c r="Q55" i="3"/>
  <c r="AE54" i="3"/>
  <c r="X54" i="3"/>
  <c r="W54" i="3"/>
  <c r="U54" i="3"/>
  <c r="T54" i="3"/>
  <c r="R54" i="3"/>
  <c r="Q54" i="3"/>
  <c r="X53" i="3"/>
  <c r="W53" i="3"/>
  <c r="U53" i="3"/>
  <c r="T53" i="3"/>
  <c r="R53" i="3"/>
  <c r="Q53" i="3"/>
  <c r="AF52" i="3"/>
  <c r="AE52" i="3"/>
  <c r="X52" i="3"/>
  <c r="W52" i="3"/>
  <c r="U52" i="3"/>
  <c r="T52" i="3"/>
  <c r="R52" i="3"/>
  <c r="Q52" i="3"/>
  <c r="X51" i="3"/>
  <c r="W51" i="3"/>
  <c r="U51" i="3"/>
  <c r="T51" i="3"/>
  <c r="R51" i="3"/>
  <c r="Q51" i="3"/>
  <c r="X50" i="3"/>
  <c r="W50" i="3"/>
  <c r="U50" i="3"/>
  <c r="T50" i="3"/>
  <c r="R50" i="3"/>
  <c r="Q50" i="3"/>
  <c r="X49" i="3"/>
  <c r="W49" i="3"/>
  <c r="U49" i="3"/>
  <c r="T49" i="3"/>
  <c r="R49" i="3"/>
  <c r="Q49" i="3"/>
  <c r="X48" i="3"/>
  <c r="W48" i="3"/>
  <c r="U48" i="3"/>
  <c r="T48" i="3"/>
  <c r="R48" i="3"/>
  <c r="Q48" i="3"/>
  <c r="AM22" i="3" s="1"/>
  <c r="AJ55" i="3" s="1"/>
  <c r="X47" i="3"/>
  <c r="W47" i="3"/>
  <c r="U47" i="3"/>
  <c r="T47" i="3"/>
  <c r="R47" i="3"/>
  <c r="Q47" i="3"/>
  <c r="X46" i="3"/>
  <c r="W46" i="3"/>
  <c r="U46" i="3"/>
  <c r="T46" i="3"/>
  <c r="R46" i="3"/>
  <c r="Q46" i="3"/>
  <c r="X45" i="3"/>
  <c r="W45" i="3"/>
  <c r="U45" i="3"/>
  <c r="T45" i="3"/>
  <c r="R45" i="3"/>
  <c r="Q45" i="3"/>
  <c r="X44" i="3"/>
  <c r="W44" i="3"/>
  <c r="U44" i="3"/>
  <c r="T44" i="3"/>
  <c r="R44" i="3"/>
  <c r="Q44" i="3"/>
  <c r="X43" i="3"/>
  <c r="W43" i="3"/>
  <c r="U43" i="3"/>
  <c r="T43" i="3"/>
  <c r="R43" i="3"/>
  <c r="Q43" i="3"/>
  <c r="X42" i="3"/>
  <c r="W42" i="3"/>
  <c r="U42" i="3"/>
  <c r="T42" i="3"/>
  <c r="R42" i="3"/>
  <c r="Q42" i="3"/>
  <c r="AN33" i="3"/>
  <c r="AN25" i="3"/>
  <c r="AX17" i="3"/>
  <c r="AX16" i="3"/>
  <c r="BA15" i="3"/>
  <c r="AX15" i="3"/>
  <c r="BA14" i="3"/>
  <c r="AX14" i="3"/>
  <c r="BA13" i="3"/>
  <c r="AX13" i="3"/>
  <c r="BD12" i="3"/>
  <c r="BA12" i="3"/>
  <c r="AX12" i="3"/>
  <c r="BD11" i="3"/>
  <c r="BA11" i="3"/>
  <c r="AX11" i="3"/>
  <c r="BD10" i="3"/>
  <c r="BA10" i="3"/>
  <c r="AX10" i="3"/>
  <c r="BG9" i="3"/>
  <c r="BD9" i="3"/>
  <c r="BA9" i="3"/>
  <c r="AX9" i="3"/>
  <c r="BG8" i="3"/>
  <c r="BD8" i="3"/>
  <c r="BA8" i="3"/>
  <c r="AX8" i="3"/>
  <c r="BG7" i="3"/>
  <c r="BD7" i="3"/>
  <c r="BA7" i="3"/>
  <c r="AX7" i="3"/>
  <c r="BG6" i="3"/>
  <c r="BD6" i="3"/>
  <c r="BA6" i="3"/>
  <c r="AX6" i="3"/>
  <c r="BG5" i="3"/>
  <c r="BA5" i="3"/>
  <c r="BG4" i="3"/>
  <c r="BA4" i="3"/>
  <c r="M155" i="2"/>
  <c r="I118" i="2"/>
  <c r="E118" i="2"/>
  <c r="I117" i="2"/>
  <c r="E117" i="2"/>
  <c r="I116" i="2"/>
  <c r="E116" i="2"/>
  <c r="U111" i="2"/>
  <c r="I111" i="2"/>
  <c r="G111" i="2"/>
  <c r="F111" i="2"/>
  <c r="E111" i="2"/>
  <c r="U110" i="2"/>
  <c r="I110" i="2"/>
  <c r="F110" i="2"/>
  <c r="E110" i="2"/>
  <c r="G110" i="2" s="1"/>
  <c r="U109" i="2"/>
  <c r="I109" i="2"/>
  <c r="G109" i="2"/>
  <c r="E109" i="2"/>
  <c r="F109" i="2" s="1"/>
  <c r="U108" i="2"/>
  <c r="I108" i="2"/>
  <c r="E108" i="2"/>
  <c r="G108" i="2" s="1"/>
  <c r="U107" i="2"/>
  <c r="I107" i="2"/>
  <c r="E107" i="2"/>
  <c r="U106" i="2"/>
  <c r="I106" i="2"/>
  <c r="F106" i="2"/>
  <c r="E106" i="2"/>
  <c r="U105" i="2"/>
  <c r="I105" i="2"/>
  <c r="F105" i="2"/>
  <c r="E105" i="2"/>
  <c r="U104" i="2"/>
  <c r="I104" i="2"/>
  <c r="F104" i="2"/>
  <c r="E104" i="2"/>
  <c r="U103" i="2"/>
  <c r="I103" i="2"/>
  <c r="F103" i="2"/>
  <c r="E103" i="2"/>
  <c r="G103" i="2" s="1"/>
  <c r="U102" i="2"/>
  <c r="I102" i="2"/>
  <c r="E102" i="2"/>
  <c r="U101" i="2"/>
  <c r="I101" i="2"/>
  <c r="F101" i="2"/>
  <c r="E101" i="2"/>
  <c r="G101" i="2" s="1"/>
  <c r="U100" i="2"/>
  <c r="I100" i="2"/>
  <c r="E100" i="2"/>
  <c r="U99" i="2"/>
  <c r="I99" i="2"/>
  <c r="E99" i="2"/>
  <c r="U98" i="2"/>
  <c r="I98" i="2"/>
  <c r="E98" i="2"/>
  <c r="I97" i="2"/>
  <c r="E97" i="2"/>
  <c r="G97" i="2" s="1"/>
  <c r="I92" i="2"/>
  <c r="G92" i="2"/>
  <c r="F92" i="2"/>
  <c r="E92" i="2"/>
  <c r="I91" i="2"/>
  <c r="G91" i="2"/>
  <c r="F91" i="2"/>
  <c r="E91" i="2"/>
  <c r="I90" i="2"/>
  <c r="E90" i="2"/>
  <c r="G90" i="2" s="1"/>
  <c r="I89" i="2"/>
  <c r="G89" i="2"/>
  <c r="F89" i="2"/>
  <c r="E89" i="2"/>
  <c r="I88" i="2"/>
  <c r="G88" i="2"/>
  <c r="F88" i="2"/>
  <c r="E88" i="2"/>
  <c r="I87" i="2"/>
  <c r="E87" i="2"/>
  <c r="F87" i="2" s="1"/>
  <c r="I86" i="2"/>
  <c r="E86" i="2"/>
  <c r="I85" i="2"/>
  <c r="G85" i="2"/>
  <c r="F85" i="2"/>
  <c r="E85" i="2"/>
  <c r="I84" i="2"/>
  <c r="E84" i="2"/>
  <c r="G84" i="2" s="1"/>
  <c r="I83" i="2"/>
  <c r="F83" i="2"/>
  <c r="E83" i="2"/>
  <c r="G83" i="2" s="1"/>
  <c r="I82" i="2"/>
  <c r="E82" i="2"/>
  <c r="F82" i="2" s="1"/>
  <c r="I81" i="2"/>
  <c r="E81" i="2"/>
  <c r="G81" i="2" s="1"/>
  <c r="I80" i="2"/>
  <c r="F80" i="2"/>
  <c r="E80" i="2"/>
  <c r="G80" i="2" s="1"/>
  <c r="I79" i="2"/>
  <c r="F79" i="2"/>
  <c r="E79" i="2"/>
  <c r="G79" i="2" s="1"/>
  <c r="I78" i="2"/>
  <c r="F78" i="2"/>
  <c r="E78" i="2"/>
  <c r="G78" i="2" s="1"/>
  <c r="I77" i="2"/>
  <c r="G77" i="2"/>
  <c r="E77" i="2"/>
  <c r="F77" i="2" s="1"/>
  <c r="I76" i="2"/>
  <c r="E76" i="2"/>
  <c r="G76" i="2" s="1"/>
  <c r="I75" i="2"/>
  <c r="F75" i="2"/>
  <c r="E75" i="2"/>
  <c r="G75" i="2" s="1"/>
  <c r="I74" i="2"/>
  <c r="E74" i="2"/>
  <c r="G74" i="2" s="1"/>
  <c r="I73" i="2"/>
  <c r="E73" i="2"/>
  <c r="F73" i="2" s="1"/>
  <c r="I72" i="2"/>
  <c r="E72" i="2"/>
  <c r="I71" i="2"/>
  <c r="E71" i="2"/>
  <c r="I70" i="2"/>
  <c r="E70" i="2"/>
  <c r="G70" i="2" s="1"/>
  <c r="I69" i="2"/>
  <c r="E69" i="2"/>
  <c r="G69" i="2" s="1"/>
  <c r="I64" i="2"/>
  <c r="G64" i="2"/>
  <c r="E64" i="2"/>
  <c r="F64" i="2" s="1"/>
  <c r="I63" i="2"/>
  <c r="E63" i="2"/>
  <c r="I62" i="2"/>
  <c r="E62" i="2"/>
  <c r="G62" i="2" s="1"/>
  <c r="I61" i="2"/>
  <c r="E61" i="2"/>
  <c r="F61" i="2" s="1"/>
  <c r="I60" i="2"/>
  <c r="E60" i="2"/>
  <c r="F60" i="2" s="1"/>
  <c r="I59" i="2"/>
  <c r="G59" i="2"/>
  <c r="F59" i="2"/>
  <c r="E59" i="2"/>
  <c r="I58" i="2"/>
  <c r="E58" i="2"/>
  <c r="G58" i="2" s="1"/>
  <c r="I57" i="2"/>
  <c r="G57" i="2"/>
  <c r="F57" i="2"/>
  <c r="E57" i="2"/>
  <c r="I56" i="2"/>
  <c r="G56" i="2"/>
  <c r="E56" i="2"/>
  <c r="F56" i="2" s="1"/>
  <c r="H56" i="2" s="1"/>
  <c r="Z55" i="2"/>
  <c r="I55" i="2"/>
  <c r="E55" i="2"/>
  <c r="G55" i="2" s="1"/>
  <c r="I54" i="2"/>
  <c r="F54" i="2"/>
  <c r="E54" i="2"/>
  <c r="G54" i="2" s="1"/>
  <c r="I53" i="2"/>
  <c r="E53" i="2"/>
  <c r="G53" i="2" s="1"/>
  <c r="I52" i="2"/>
  <c r="E52" i="2"/>
  <c r="I51" i="2"/>
  <c r="G51" i="2"/>
  <c r="E51" i="2"/>
  <c r="F51" i="2" s="1"/>
  <c r="H51" i="2" s="1"/>
  <c r="I50" i="2"/>
  <c r="E50" i="2"/>
  <c r="G50" i="2" s="1"/>
  <c r="I49" i="2"/>
  <c r="F49" i="2"/>
  <c r="E49" i="2"/>
  <c r="G49" i="2" s="1"/>
  <c r="I48" i="2"/>
  <c r="G48" i="2"/>
  <c r="F48" i="2"/>
  <c r="E48" i="2"/>
  <c r="I47" i="2"/>
  <c r="E47" i="2"/>
  <c r="I46" i="2"/>
  <c r="G46" i="2"/>
  <c r="E46" i="2"/>
  <c r="F46" i="2" s="1"/>
  <c r="I45" i="2"/>
  <c r="F45" i="2"/>
  <c r="E45" i="2"/>
  <c r="G45" i="2" s="1"/>
  <c r="I44" i="2"/>
  <c r="E44" i="2"/>
  <c r="I43" i="2"/>
  <c r="E43" i="2"/>
  <c r="I42" i="2"/>
  <c r="E42" i="2"/>
  <c r="G42" i="2" s="1"/>
  <c r="I41" i="2"/>
  <c r="E41" i="2"/>
  <c r="F41" i="2" s="1"/>
  <c r="I36" i="2"/>
  <c r="G36" i="2"/>
  <c r="E36" i="2"/>
  <c r="F36" i="2" s="1"/>
  <c r="H36" i="2" s="1"/>
  <c r="I35" i="2"/>
  <c r="G35" i="2"/>
  <c r="E35" i="2"/>
  <c r="F35" i="2" s="1"/>
  <c r="H35" i="2" s="1"/>
  <c r="I34" i="2"/>
  <c r="I33" i="2"/>
  <c r="F33" i="2"/>
  <c r="H33" i="2" s="1"/>
  <c r="E33" i="2"/>
  <c r="G33" i="2" s="1"/>
  <c r="I32" i="2"/>
  <c r="H32" i="2"/>
  <c r="G32" i="2"/>
  <c r="F32" i="2"/>
  <c r="E32" i="2"/>
  <c r="I31" i="2"/>
  <c r="F31" i="2"/>
  <c r="H31" i="2" s="1"/>
  <c r="E31" i="2"/>
  <c r="G31" i="2" s="1"/>
  <c r="I30" i="2"/>
  <c r="F30" i="2"/>
  <c r="H30" i="2" s="1"/>
  <c r="E30" i="2"/>
  <c r="G30" i="2" s="1"/>
  <c r="I29" i="2"/>
  <c r="E29" i="2"/>
  <c r="U28" i="2"/>
  <c r="I28" i="2"/>
  <c r="E28" i="2"/>
  <c r="I27" i="2"/>
  <c r="E27" i="2"/>
  <c r="F27" i="2" s="1"/>
  <c r="H27" i="2" s="1"/>
  <c r="I26" i="2"/>
  <c r="H26" i="2"/>
  <c r="F26" i="2"/>
  <c r="E26" i="2"/>
  <c r="G26" i="2" s="1"/>
  <c r="I25" i="2"/>
  <c r="G25" i="2"/>
  <c r="E25" i="2"/>
  <c r="F25" i="2" s="1"/>
  <c r="H25" i="2" s="1"/>
  <c r="I24" i="2"/>
  <c r="G24" i="2"/>
  <c r="F24" i="2"/>
  <c r="H24" i="2" s="1"/>
  <c r="E24" i="2"/>
  <c r="U23" i="2"/>
  <c r="I23" i="2"/>
  <c r="G23" i="2"/>
  <c r="E23" i="2"/>
  <c r="F23" i="2" s="1"/>
  <c r="H23" i="2" s="1"/>
  <c r="I22" i="2"/>
  <c r="E22" i="2"/>
  <c r="I21" i="2"/>
  <c r="H21" i="2"/>
  <c r="G21" i="2"/>
  <c r="F21" i="2"/>
  <c r="E21" i="2"/>
  <c r="I20" i="2"/>
  <c r="F20" i="2"/>
  <c r="H20" i="2" s="1"/>
  <c r="E20" i="2"/>
  <c r="G20" i="2" s="1"/>
  <c r="L19" i="2"/>
  <c r="I19" i="2"/>
  <c r="G19" i="2"/>
  <c r="E19" i="2"/>
  <c r="F19" i="2" s="1"/>
  <c r="H19" i="2" s="1"/>
  <c r="I18" i="2"/>
  <c r="H18" i="2"/>
  <c r="G18" i="2"/>
  <c r="E18" i="2"/>
  <c r="F18" i="2" s="1"/>
  <c r="AN17" i="2"/>
  <c r="I17" i="2"/>
  <c r="E17" i="2"/>
  <c r="G17" i="2" s="1"/>
  <c r="I16" i="2"/>
  <c r="I37" i="2" s="1"/>
  <c r="E16" i="2"/>
  <c r="G16" i="2" s="1"/>
  <c r="I15" i="2"/>
  <c r="E15" i="2"/>
  <c r="I14" i="2"/>
  <c r="G14" i="2"/>
  <c r="F14" i="2"/>
  <c r="H14" i="2" s="1"/>
  <c r="E14" i="2"/>
  <c r="I13" i="2"/>
  <c r="H13" i="2"/>
  <c r="F13" i="2"/>
  <c r="E13" i="2"/>
  <c r="G13" i="2" s="1"/>
  <c r="I12" i="2"/>
  <c r="G12" i="2"/>
  <c r="F12" i="2"/>
  <c r="H12" i="2" s="1"/>
  <c r="E12" i="2"/>
  <c r="I11" i="2"/>
  <c r="E11" i="2"/>
  <c r="I10" i="2"/>
  <c r="G10" i="2"/>
  <c r="E10" i="2"/>
  <c r="F10" i="2" s="1"/>
  <c r="H10" i="2" s="1"/>
  <c r="B97" i="1"/>
  <c r="C97" i="1" s="1"/>
  <c r="S97" i="1" s="1"/>
  <c r="B96" i="1"/>
  <c r="W96" i="1" s="1"/>
  <c r="AM96" i="1" s="1"/>
  <c r="F95" i="1"/>
  <c r="B95" i="1"/>
  <c r="C95" i="1" s="1"/>
  <c r="F94" i="1"/>
  <c r="F112" i="1" s="1"/>
  <c r="B94" i="1"/>
  <c r="R94" i="1" s="1"/>
  <c r="F93" i="1"/>
  <c r="B93" i="1"/>
  <c r="C93" i="1" s="1"/>
  <c r="J92" i="1"/>
  <c r="F92" i="1"/>
  <c r="B92" i="1"/>
  <c r="W92" i="1" s="1"/>
  <c r="J91" i="1"/>
  <c r="F91" i="1"/>
  <c r="B91" i="1"/>
  <c r="B112" i="1" s="1"/>
  <c r="W112" i="1" s="1"/>
  <c r="X112" i="1" s="1"/>
  <c r="AN112" i="1" s="1"/>
  <c r="J90" i="1"/>
  <c r="F90" i="1"/>
  <c r="B90" i="1"/>
  <c r="C90" i="1" s="1"/>
  <c r="S90" i="1" s="1"/>
  <c r="N89" i="1"/>
  <c r="J89" i="1"/>
  <c r="F89" i="1"/>
  <c r="B89" i="1"/>
  <c r="W89" i="1" s="1"/>
  <c r="X89" i="1" s="1"/>
  <c r="N88" i="1"/>
  <c r="J88" i="1"/>
  <c r="F88" i="1"/>
  <c r="AA88" i="1" s="1"/>
  <c r="AB88" i="1" s="1"/>
  <c r="B88" i="1"/>
  <c r="R88" i="1" s="1"/>
  <c r="N87" i="1"/>
  <c r="J87" i="1"/>
  <c r="F87" i="1"/>
  <c r="B87" i="1"/>
  <c r="R87" i="1" s="1"/>
  <c r="N86" i="1"/>
  <c r="J86" i="1"/>
  <c r="F86" i="1"/>
  <c r="B86" i="1"/>
  <c r="B107" i="1" s="1"/>
  <c r="N85" i="1"/>
  <c r="J85" i="1"/>
  <c r="F85" i="1"/>
  <c r="B85" i="1"/>
  <c r="N84" i="1"/>
  <c r="M56" i="5"/>
  <c r="I56" i="5"/>
  <c r="F56" i="5"/>
  <c r="D56" i="5"/>
  <c r="Q53" i="5"/>
  <c r="R56" i="5" s="1"/>
  <c r="P53" i="5"/>
  <c r="O53" i="5"/>
  <c r="N53" i="5"/>
  <c r="H53" i="5"/>
  <c r="G53" i="5"/>
  <c r="F53" i="5"/>
  <c r="J53" i="5" s="1"/>
  <c r="Q52" i="5"/>
  <c r="P52" i="5"/>
  <c r="O52" i="5"/>
  <c r="T52" i="5" s="1"/>
  <c r="N52" i="5"/>
  <c r="I52" i="5"/>
  <c r="Q51" i="5"/>
  <c r="P51" i="5"/>
  <c r="O51" i="5"/>
  <c r="S51" i="5" s="1"/>
  <c r="N51" i="5"/>
  <c r="J51" i="5"/>
  <c r="I51" i="5"/>
  <c r="H51" i="5"/>
  <c r="G51" i="5"/>
  <c r="F51" i="5"/>
  <c r="E51" i="5"/>
  <c r="Q50" i="5"/>
  <c r="P50" i="5"/>
  <c r="O50" i="5"/>
  <c r="S50" i="5" s="1"/>
  <c r="N50" i="5"/>
  <c r="T50" i="5" s="1"/>
  <c r="H50" i="5"/>
  <c r="G50" i="5"/>
  <c r="K50" i="5" s="1"/>
  <c r="F50" i="5"/>
  <c r="J50" i="5" s="1"/>
  <c r="E50" i="5"/>
  <c r="U50" i="5" s="1"/>
  <c r="Q49" i="5"/>
  <c r="P49" i="5"/>
  <c r="O49" i="5"/>
  <c r="N49" i="5"/>
  <c r="H49" i="5"/>
  <c r="G49" i="5"/>
  <c r="F49" i="5"/>
  <c r="J49" i="5" s="1"/>
  <c r="T48" i="5"/>
  <c r="R48" i="5"/>
  <c r="Q48" i="5"/>
  <c r="P48" i="5"/>
  <c r="O48" i="5"/>
  <c r="S48" i="5" s="1"/>
  <c r="N48" i="5"/>
  <c r="I48" i="5"/>
  <c r="R47" i="5"/>
  <c r="Q47" i="5"/>
  <c r="P47" i="5"/>
  <c r="O47" i="5"/>
  <c r="S47" i="5" s="1"/>
  <c r="N47" i="5"/>
  <c r="T47" i="5" s="1"/>
  <c r="I47" i="5"/>
  <c r="H47" i="5"/>
  <c r="J47" i="5" s="1"/>
  <c r="G47" i="5"/>
  <c r="F47" i="5"/>
  <c r="E47" i="5"/>
  <c r="Q46" i="5"/>
  <c r="P46" i="5"/>
  <c r="O46" i="5"/>
  <c r="S46" i="5" s="1"/>
  <c r="N46" i="5"/>
  <c r="T46" i="5" s="1"/>
  <c r="H46" i="5"/>
  <c r="G46" i="5"/>
  <c r="F46" i="5"/>
  <c r="E46" i="5"/>
  <c r="K46" i="5" s="1"/>
  <c r="Q45" i="5"/>
  <c r="P45" i="5"/>
  <c r="S45" i="5" s="1"/>
  <c r="O45" i="5"/>
  <c r="N45" i="5"/>
  <c r="H45" i="5"/>
  <c r="G45" i="5"/>
  <c r="F45" i="5"/>
  <c r="J45" i="5" s="1"/>
  <c r="T44" i="5"/>
  <c r="S44" i="5"/>
  <c r="Q44" i="5"/>
  <c r="P44" i="5"/>
  <c r="O44" i="5"/>
  <c r="N44" i="5"/>
  <c r="I44" i="5"/>
  <c r="Q43" i="5"/>
  <c r="P43" i="5"/>
  <c r="O43" i="5"/>
  <c r="S43" i="5" s="1"/>
  <c r="N43" i="5"/>
  <c r="T43" i="5" s="1"/>
  <c r="I43" i="5"/>
  <c r="H43" i="5"/>
  <c r="J43" i="5" s="1"/>
  <c r="G43" i="5"/>
  <c r="F43" i="5"/>
  <c r="E43" i="5"/>
  <c r="Q42" i="5"/>
  <c r="P42" i="5"/>
  <c r="O42" i="5"/>
  <c r="S42" i="5" s="1"/>
  <c r="N42" i="5"/>
  <c r="T42" i="5" s="1"/>
  <c r="H42" i="5"/>
  <c r="G42" i="5"/>
  <c r="F42" i="5"/>
  <c r="E42" i="5"/>
  <c r="K42" i="5" s="1"/>
  <c r="Q41" i="5"/>
  <c r="P41" i="5"/>
  <c r="S41" i="5" s="1"/>
  <c r="O41" i="5"/>
  <c r="N41" i="5"/>
  <c r="H41" i="5"/>
  <c r="G41" i="5"/>
  <c r="F41" i="5"/>
  <c r="J41" i="5" s="1"/>
  <c r="J36" i="5"/>
  <c r="H52" i="5" s="1"/>
  <c r="T34" i="5"/>
  <c r="S34" i="5"/>
  <c r="R34" i="5" s="1"/>
  <c r="R53" i="5" s="1"/>
  <c r="K34" i="5"/>
  <c r="J34" i="5"/>
  <c r="I34" i="5"/>
  <c r="I53" i="5" s="1"/>
  <c r="T33" i="5"/>
  <c r="S33" i="5"/>
  <c r="R33" i="5"/>
  <c r="R52" i="5" s="1"/>
  <c r="K33" i="5"/>
  <c r="J33" i="5"/>
  <c r="I33" i="5"/>
  <c r="T32" i="5"/>
  <c r="S32" i="5"/>
  <c r="R32" i="5" s="1"/>
  <c r="R51" i="5" s="1"/>
  <c r="K32" i="5"/>
  <c r="J32" i="5"/>
  <c r="I32" i="5"/>
  <c r="T31" i="5"/>
  <c r="S31" i="5"/>
  <c r="R31" i="5"/>
  <c r="R50" i="5" s="1"/>
  <c r="K31" i="5"/>
  <c r="J31" i="5"/>
  <c r="I31" i="5" s="1"/>
  <c r="I50" i="5" s="1"/>
  <c r="T30" i="5"/>
  <c r="S30" i="5"/>
  <c r="R30" i="5"/>
  <c r="R49" i="5" s="1"/>
  <c r="K30" i="5"/>
  <c r="J30" i="5"/>
  <c r="I30" i="5" s="1"/>
  <c r="I49" i="5" s="1"/>
  <c r="T29" i="5"/>
  <c r="S29" i="5"/>
  <c r="R29" i="5"/>
  <c r="K29" i="5"/>
  <c r="J29" i="5"/>
  <c r="I29" i="5"/>
  <c r="T28" i="5"/>
  <c r="S28" i="5"/>
  <c r="R28" i="5" s="1"/>
  <c r="K28" i="5"/>
  <c r="J28" i="5"/>
  <c r="I28" i="5"/>
  <c r="T27" i="5"/>
  <c r="S27" i="5"/>
  <c r="R27" i="5" s="1"/>
  <c r="R46" i="5" s="1"/>
  <c r="K27" i="5"/>
  <c r="J27" i="5"/>
  <c r="I27" i="5"/>
  <c r="I46" i="5" s="1"/>
  <c r="T26" i="5"/>
  <c r="S26" i="5"/>
  <c r="R26" i="5" s="1"/>
  <c r="R45" i="5" s="1"/>
  <c r="K26" i="5"/>
  <c r="J26" i="5"/>
  <c r="I26" i="5"/>
  <c r="I45" i="5" s="1"/>
  <c r="T25" i="5"/>
  <c r="S25" i="5"/>
  <c r="R25" i="5"/>
  <c r="R44" i="5" s="1"/>
  <c r="K25" i="5"/>
  <c r="J25" i="5"/>
  <c r="I25" i="5"/>
  <c r="T24" i="5"/>
  <c r="S24" i="5"/>
  <c r="R24" i="5"/>
  <c r="R43" i="5" s="1"/>
  <c r="K24" i="5"/>
  <c r="J24" i="5"/>
  <c r="I24" i="5" s="1"/>
  <c r="T23" i="5"/>
  <c r="S23" i="5"/>
  <c r="R23" i="5"/>
  <c r="R42" i="5" s="1"/>
  <c r="K23" i="5"/>
  <c r="J23" i="5"/>
  <c r="I23" i="5"/>
  <c r="T22" i="5"/>
  <c r="S22" i="5"/>
  <c r="R22" i="5" s="1"/>
  <c r="R41" i="5" s="1"/>
  <c r="K22" i="5"/>
  <c r="J22" i="5"/>
  <c r="I22" i="5"/>
  <c r="I41" i="5" s="1"/>
  <c r="T17" i="5"/>
  <c r="S17" i="5"/>
  <c r="R17" i="5"/>
  <c r="K17" i="5"/>
  <c r="J17" i="5"/>
  <c r="I17" i="5"/>
  <c r="T16" i="5"/>
  <c r="S16" i="5"/>
  <c r="R16" i="5" s="1"/>
  <c r="K16" i="5"/>
  <c r="J16" i="5"/>
  <c r="I16" i="5"/>
  <c r="T15" i="5"/>
  <c r="S15" i="5"/>
  <c r="R15" i="5"/>
  <c r="K15" i="5"/>
  <c r="J15" i="5"/>
  <c r="I15" i="5"/>
  <c r="T14" i="5"/>
  <c r="S14" i="5"/>
  <c r="R14" i="5" s="1"/>
  <c r="K14" i="5"/>
  <c r="J14" i="5"/>
  <c r="I14" i="5"/>
  <c r="T13" i="5"/>
  <c r="S13" i="5"/>
  <c r="R13" i="5"/>
  <c r="K13" i="5"/>
  <c r="J13" i="5"/>
  <c r="I13" i="5" s="1"/>
  <c r="T12" i="5"/>
  <c r="S12" i="5"/>
  <c r="R12" i="5" s="1"/>
  <c r="K12" i="5"/>
  <c r="J12" i="5"/>
  <c r="I12" i="5"/>
  <c r="T11" i="5"/>
  <c r="S11" i="5"/>
  <c r="R11" i="5"/>
  <c r="K11" i="5"/>
  <c r="J11" i="5"/>
  <c r="I11" i="5"/>
  <c r="T10" i="5"/>
  <c r="S10" i="5"/>
  <c r="R10" i="5" s="1"/>
  <c r="K10" i="5"/>
  <c r="J10" i="5"/>
  <c r="I10" i="5"/>
  <c r="T9" i="5"/>
  <c r="S9" i="5"/>
  <c r="R9" i="5" s="1"/>
  <c r="K9" i="5"/>
  <c r="J9" i="5"/>
  <c r="I9" i="5"/>
  <c r="T8" i="5"/>
  <c r="S8" i="5"/>
  <c r="R8" i="5" s="1"/>
  <c r="K8" i="5"/>
  <c r="J8" i="5"/>
  <c r="I8" i="5" s="1"/>
  <c r="T7" i="5"/>
  <c r="S7" i="5"/>
  <c r="R7" i="5"/>
  <c r="K7" i="5"/>
  <c r="J7" i="5"/>
  <c r="I7" i="5"/>
  <c r="T6" i="5"/>
  <c r="S6" i="5"/>
  <c r="R6" i="5"/>
  <c r="K6" i="5"/>
  <c r="J6" i="5"/>
  <c r="I6" i="5" s="1"/>
  <c r="T5" i="5"/>
  <c r="S5" i="5"/>
  <c r="R5" i="5"/>
  <c r="K5" i="5"/>
  <c r="J5" i="5"/>
  <c r="I5" i="5"/>
  <c r="O47" i="4"/>
  <c r="I47" i="4"/>
  <c r="G46" i="4"/>
  <c r="S46" i="4" s="1"/>
  <c r="G45" i="4"/>
  <c r="J44" i="4"/>
  <c r="G44" i="4"/>
  <c r="S43" i="4"/>
  <c r="J43" i="4"/>
  <c r="G43" i="4"/>
  <c r="S42" i="4"/>
  <c r="J42" i="4"/>
  <c r="G42" i="4"/>
  <c r="M41" i="4"/>
  <c r="J41" i="4"/>
  <c r="G41" i="4"/>
  <c r="S41" i="4" s="1"/>
  <c r="M40" i="4"/>
  <c r="J40" i="4"/>
  <c r="G40" i="4"/>
  <c r="S40" i="4" s="1"/>
  <c r="M39" i="4"/>
  <c r="J39" i="4"/>
  <c r="S39" i="4" s="1"/>
  <c r="G39" i="4"/>
  <c r="P38" i="4"/>
  <c r="M38" i="4"/>
  <c r="J38" i="4"/>
  <c r="G38" i="4"/>
  <c r="P37" i="4"/>
  <c r="M37" i="4"/>
  <c r="L47" i="4" s="1"/>
  <c r="J37" i="4"/>
  <c r="S37" i="4" s="1"/>
  <c r="G37" i="4"/>
  <c r="P36" i="4"/>
  <c r="M36" i="4"/>
  <c r="J36" i="4"/>
  <c r="G36" i="4"/>
  <c r="S36" i="4" s="1"/>
  <c r="P35" i="4"/>
  <c r="M35" i="4"/>
  <c r="J35" i="4"/>
  <c r="G35" i="4"/>
  <c r="S35" i="4" s="1"/>
  <c r="S34" i="4"/>
  <c r="I28" i="4"/>
  <c r="O27" i="4"/>
  <c r="J26" i="4"/>
  <c r="I26" i="4"/>
  <c r="Y16" i="4"/>
  <c r="V16" i="4"/>
  <c r="S16" i="4"/>
  <c r="Q16" i="4"/>
  <c r="J16" i="4"/>
  <c r="G16" i="4"/>
  <c r="I5" i="4" s="1"/>
  <c r="D16" i="4"/>
  <c r="B16" i="4"/>
  <c r="AC15" i="4"/>
  <c r="N15" i="4"/>
  <c r="AC14" i="4"/>
  <c r="R14" i="4"/>
  <c r="N14" i="4"/>
  <c r="AC13" i="4"/>
  <c r="U13" i="4"/>
  <c r="R13" i="4"/>
  <c r="N13" i="4"/>
  <c r="F13" i="4"/>
  <c r="AC12" i="4"/>
  <c r="U12" i="4"/>
  <c r="R12" i="4"/>
  <c r="N12" i="4"/>
  <c r="AC11" i="4"/>
  <c r="N11" i="4"/>
  <c r="AC10" i="4"/>
  <c r="N10" i="4"/>
  <c r="I10" i="4"/>
  <c r="F10" i="4"/>
  <c r="AC9" i="4"/>
  <c r="N9" i="4"/>
  <c r="I9" i="4"/>
  <c r="F9" i="4"/>
  <c r="AC8" i="4"/>
  <c r="N8" i="4"/>
  <c r="I8" i="4"/>
  <c r="F8" i="4"/>
  <c r="AC7" i="4"/>
  <c r="N7" i="4"/>
  <c r="I7" i="4"/>
  <c r="F7" i="4"/>
  <c r="AC6" i="4"/>
  <c r="U6" i="4"/>
  <c r="R6" i="4"/>
  <c r="N6" i="4"/>
  <c r="I6" i="4"/>
  <c r="F6" i="4"/>
  <c r="AC5" i="4"/>
  <c r="N5" i="4"/>
  <c r="AC4" i="4"/>
  <c r="U4" i="4"/>
  <c r="R4" i="4"/>
  <c r="N4" i="4"/>
  <c r="I4" i="4"/>
  <c r="AC3" i="4"/>
  <c r="N3" i="4"/>
  <c r="I3" i="4"/>
  <c r="F3" i="4"/>
  <c r="G79" i="3"/>
  <c r="N78" i="3"/>
  <c r="B77" i="3"/>
  <c r="B76" i="3"/>
  <c r="U12" i="2" s="1"/>
  <c r="W12" i="2" s="1"/>
  <c r="X12" i="2" s="1"/>
  <c r="E75" i="3"/>
  <c r="B75" i="3"/>
  <c r="N75" i="3" s="1"/>
  <c r="E74" i="3"/>
  <c r="B74" i="3"/>
  <c r="N73" i="3"/>
  <c r="E73" i="3"/>
  <c r="B73" i="3"/>
  <c r="H72" i="3"/>
  <c r="E72" i="3"/>
  <c r="B72" i="3"/>
  <c r="N72" i="3" s="1"/>
  <c r="H71" i="3"/>
  <c r="E71" i="3"/>
  <c r="B71" i="3"/>
  <c r="N71" i="3" s="1"/>
  <c r="H70" i="3"/>
  <c r="E70" i="3"/>
  <c r="B70" i="3"/>
  <c r="N70" i="3" s="1"/>
  <c r="K69" i="3"/>
  <c r="N69" i="3" s="1"/>
  <c r="H69" i="3"/>
  <c r="E69" i="3"/>
  <c r="B69" i="3"/>
  <c r="K68" i="3"/>
  <c r="T97" i="2" s="1"/>
  <c r="U97" i="2" s="1"/>
  <c r="H68" i="3"/>
  <c r="E68" i="3"/>
  <c r="B68" i="3"/>
  <c r="K67" i="3"/>
  <c r="H67" i="3"/>
  <c r="E67" i="3"/>
  <c r="B67" i="3"/>
  <c r="K66" i="3"/>
  <c r="H66" i="3"/>
  <c r="E66" i="3"/>
  <c r="B66" i="3"/>
  <c r="H65" i="3"/>
  <c r="B65" i="3"/>
  <c r="N65" i="3" s="1"/>
  <c r="J58" i="3"/>
  <c r="L48" i="3" s="1"/>
  <c r="G58" i="3"/>
  <c r="I51" i="3" s="1"/>
  <c r="D58" i="3"/>
  <c r="B58" i="3"/>
  <c r="N57" i="3"/>
  <c r="C57" i="3"/>
  <c r="N56" i="3"/>
  <c r="N55" i="3"/>
  <c r="C55" i="3"/>
  <c r="N54" i="3"/>
  <c r="F54" i="3"/>
  <c r="C54" i="3"/>
  <c r="N53" i="3"/>
  <c r="C53" i="3"/>
  <c r="N52" i="3"/>
  <c r="I52" i="3"/>
  <c r="N51" i="3"/>
  <c r="C51" i="3"/>
  <c r="N50" i="3"/>
  <c r="F50" i="3"/>
  <c r="C50" i="3"/>
  <c r="N49" i="3"/>
  <c r="I49" i="3"/>
  <c r="N48" i="3"/>
  <c r="I48" i="3"/>
  <c r="C48" i="3"/>
  <c r="N47" i="3"/>
  <c r="C47" i="3"/>
  <c r="N46" i="3"/>
  <c r="L46" i="3"/>
  <c r="I46" i="3"/>
  <c r="N45" i="3"/>
  <c r="I45" i="3"/>
  <c r="C45" i="3"/>
  <c r="N44" i="3"/>
  <c r="O44" i="3" s="1"/>
  <c r="F44" i="3"/>
  <c r="C44" i="3"/>
  <c r="AS40" i="3"/>
  <c r="J38" i="3"/>
  <c r="G38" i="3"/>
  <c r="D38" i="3"/>
  <c r="B38" i="3"/>
  <c r="C28" i="3" s="1"/>
  <c r="R37" i="3"/>
  <c r="AD37" i="3" s="1"/>
  <c r="K37" i="3"/>
  <c r="N37" i="3" s="1"/>
  <c r="M38" i="3" s="1"/>
  <c r="C37" i="3"/>
  <c r="AD36" i="3"/>
  <c r="R36" i="3"/>
  <c r="K36" i="3"/>
  <c r="N36" i="3" s="1"/>
  <c r="BA35" i="3"/>
  <c r="R35" i="3"/>
  <c r="N35" i="3"/>
  <c r="K35" i="3"/>
  <c r="BA34" i="3"/>
  <c r="U34" i="3"/>
  <c r="R34" i="3"/>
  <c r="N34" i="3"/>
  <c r="F34" i="3"/>
  <c r="C34" i="3"/>
  <c r="BA33" i="3"/>
  <c r="U33" i="3"/>
  <c r="R33" i="3"/>
  <c r="N33" i="3"/>
  <c r="F33" i="3"/>
  <c r="C33" i="3"/>
  <c r="BA32" i="3"/>
  <c r="AS32" i="3"/>
  <c r="AT35" i="3" s="1"/>
  <c r="AT36" i="3" s="1"/>
  <c r="AT37" i="3" s="1"/>
  <c r="AT38" i="3" s="1"/>
  <c r="AT39" i="3" s="1"/>
  <c r="AD32" i="3"/>
  <c r="U32" i="3"/>
  <c r="R32" i="3"/>
  <c r="N32" i="3"/>
  <c r="C32" i="3"/>
  <c r="BA31" i="3"/>
  <c r="AD31" i="3"/>
  <c r="X31" i="3"/>
  <c r="U31" i="3"/>
  <c r="R31" i="3"/>
  <c r="N31" i="3"/>
  <c r="F31" i="3"/>
  <c r="BA30" i="3"/>
  <c r="X30" i="3"/>
  <c r="U30" i="3"/>
  <c r="R30" i="3"/>
  <c r="N30" i="3"/>
  <c r="C30" i="3"/>
  <c r="BG29" i="3"/>
  <c r="BA29" i="3"/>
  <c r="X29" i="3"/>
  <c r="U29" i="3"/>
  <c r="R29" i="3"/>
  <c r="N29" i="3"/>
  <c r="C29" i="3"/>
  <c r="BG28" i="3"/>
  <c r="BA28" i="3"/>
  <c r="AA28" i="3"/>
  <c r="L106" i="2" s="1"/>
  <c r="X28" i="3"/>
  <c r="U28" i="3"/>
  <c r="R28" i="3"/>
  <c r="N28" i="3"/>
  <c r="F28" i="3"/>
  <c r="BG27" i="3"/>
  <c r="BA27" i="3"/>
  <c r="AA27" i="3"/>
  <c r="X27" i="3"/>
  <c r="U27" i="3"/>
  <c r="R27" i="3"/>
  <c r="N27" i="3"/>
  <c r="F27" i="3"/>
  <c r="C27" i="3"/>
  <c r="BG26" i="3"/>
  <c r="BA26" i="3"/>
  <c r="AA26" i="3"/>
  <c r="X26" i="3"/>
  <c r="U26" i="3"/>
  <c r="R26" i="3"/>
  <c r="N26" i="3"/>
  <c r="O26" i="3" s="1"/>
  <c r="F26" i="3"/>
  <c r="C26" i="3"/>
  <c r="BG25" i="3"/>
  <c r="BA25" i="3"/>
  <c r="AA25" i="3"/>
  <c r="X25" i="3"/>
  <c r="U25" i="3"/>
  <c r="R25" i="3"/>
  <c r="N25" i="3"/>
  <c r="F25" i="3"/>
  <c r="BG24" i="3"/>
  <c r="BA24" i="3"/>
  <c r="AA24" i="3"/>
  <c r="R24" i="3"/>
  <c r="N24" i="3"/>
  <c r="L24" i="3"/>
  <c r="F24" i="3"/>
  <c r="BF18" i="3"/>
  <c r="BH7" i="3" s="1"/>
  <c r="AZ18" i="3"/>
  <c r="BB14" i="3" s="1"/>
  <c r="Z18" i="3"/>
  <c r="W18" i="3"/>
  <c r="Y9" i="3" s="1"/>
  <c r="J18" i="3"/>
  <c r="G18" i="3"/>
  <c r="D18" i="3"/>
  <c r="F15" i="3" s="1"/>
  <c r="B18" i="3"/>
  <c r="C56" i="3" s="1"/>
  <c r="BJ17" i="3"/>
  <c r="R17" i="3"/>
  <c r="N17" i="3"/>
  <c r="C17" i="3"/>
  <c r="BJ16" i="3"/>
  <c r="R16" i="3"/>
  <c r="N16" i="3"/>
  <c r="C16" i="3"/>
  <c r="BJ15" i="3"/>
  <c r="BB15" i="3"/>
  <c r="U15" i="3"/>
  <c r="R15" i="3"/>
  <c r="N15" i="3"/>
  <c r="BJ14" i="3"/>
  <c r="U14" i="3"/>
  <c r="R14" i="3"/>
  <c r="AD14" i="3" s="1"/>
  <c r="N14" i="3"/>
  <c r="F14" i="3"/>
  <c r="C14" i="3"/>
  <c r="BJ13" i="3"/>
  <c r="BB13" i="3"/>
  <c r="AS13" i="3"/>
  <c r="AT16" i="3" s="1"/>
  <c r="AT17" i="3" s="1"/>
  <c r="AT18" i="3" s="1"/>
  <c r="AT19" i="3" s="1"/>
  <c r="AT20" i="3" s="1"/>
  <c r="U13" i="3"/>
  <c r="R13" i="3"/>
  <c r="N13" i="3"/>
  <c r="F13" i="3"/>
  <c r="C13" i="3"/>
  <c r="BJ12" i="3"/>
  <c r="BB12" i="3"/>
  <c r="X12" i="3"/>
  <c r="P89" i="2" s="1"/>
  <c r="U12" i="3"/>
  <c r="R12" i="3"/>
  <c r="AD12" i="3" s="1"/>
  <c r="N12" i="3"/>
  <c r="I12" i="3"/>
  <c r="F12" i="3"/>
  <c r="C12" i="3"/>
  <c r="BJ11" i="3"/>
  <c r="X11" i="3"/>
  <c r="U11" i="3"/>
  <c r="R11" i="3"/>
  <c r="N11" i="3"/>
  <c r="I11" i="3"/>
  <c r="F11" i="3"/>
  <c r="C11" i="3"/>
  <c r="BJ10" i="3"/>
  <c r="AK10" i="3"/>
  <c r="AD10" i="3"/>
  <c r="X10" i="3"/>
  <c r="Y10" i="3" s="1"/>
  <c r="U10" i="3"/>
  <c r="R10" i="3"/>
  <c r="N10" i="3"/>
  <c r="I10" i="3"/>
  <c r="F10" i="3"/>
  <c r="C10" i="3"/>
  <c r="BJ9" i="3"/>
  <c r="BH9" i="3"/>
  <c r="AK9" i="3"/>
  <c r="AA9" i="3"/>
  <c r="Q106" i="2" s="1"/>
  <c r="X9" i="3"/>
  <c r="U9" i="3"/>
  <c r="R9" i="3"/>
  <c r="N9" i="3"/>
  <c r="L9" i="3"/>
  <c r="I9" i="3"/>
  <c r="F9" i="3"/>
  <c r="C9" i="3"/>
  <c r="BJ8" i="3"/>
  <c r="AK8" i="3"/>
  <c r="AB8" i="3"/>
  <c r="AA8" i="3"/>
  <c r="Y8" i="3"/>
  <c r="X8" i="3"/>
  <c r="U8" i="3"/>
  <c r="R8" i="3"/>
  <c r="N8" i="3"/>
  <c r="L8" i="3"/>
  <c r="I8" i="3"/>
  <c r="F8" i="3"/>
  <c r="C8" i="3"/>
  <c r="BJ7" i="3"/>
  <c r="AA7" i="3"/>
  <c r="AB7" i="3" s="1"/>
  <c r="X7" i="3"/>
  <c r="Y7" i="3" s="1"/>
  <c r="U7" i="3"/>
  <c r="R7" i="3"/>
  <c r="N7" i="3"/>
  <c r="L7" i="3"/>
  <c r="I7" i="3"/>
  <c r="BJ6" i="3"/>
  <c r="AB6" i="3"/>
  <c r="AA6" i="3"/>
  <c r="X6" i="3"/>
  <c r="Y6" i="3" s="1"/>
  <c r="U6" i="3"/>
  <c r="R6" i="3"/>
  <c r="N6" i="3"/>
  <c r="I6" i="3"/>
  <c r="F6" i="3"/>
  <c r="C6" i="3"/>
  <c r="BB5" i="3"/>
  <c r="AH5" i="3"/>
  <c r="AH6" i="3" s="1"/>
  <c r="AA5" i="3"/>
  <c r="AB5" i="3" s="1"/>
  <c r="X5" i="3"/>
  <c r="U5" i="3"/>
  <c r="R5" i="3"/>
  <c r="N5" i="3"/>
  <c r="L5" i="3"/>
  <c r="I5" i="3"/>
  <c r="F5" i="3"/>
  <c r="C5" i="3"/>
  <c r="AD4" i="3"/>
  <c r="AB4" i="3"/>
  <c r="O4" i="3"/>
  <c r="N4" i="3"/>
  <c r="F4" i="3"/>
  <c r="C4" i="3"/>
  <c r="H179" i="2"/>
  <c r="L176" i="2"/>
  <c r="H168" i="2"/>
  <c r="L167" i="2"/>
  <c r="L166" i="2"/>
  <c r="G118" i="2"/>
  <c r="F118" i="2"/>
  <c r="H117" i="2"/>
  <c r="G117" i="2"/>
  <c r="F117" i="2"/>
  <c r="G116" i="2"/>
  <c r="F116" i="2"/>
  <c r="H116" i="2" s="1"/>
  <c r="R112" i="2"/>
  <c r="I112" i="2"/>
  <c r="E112" i="2"/>
  <c r="D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I93" i="2"/>
  <c r="D93" i="2"/>
  <c r="S92" i="2"/>
  <c r="H92" i="2"/>
  <c r="S91" i="2"/>
  <c r="H91" i="2"/>
  <c r="S90" i="2"/>
  <c r="S89" i="2"/>
  <c r="H89" i="2"/>
  <c r="S88" i="2"/>
  <c r="H88" i="2"/>
  <c r="S87" i="2"/>
  <c r="H87" i="2"/>
  <c r="S86" i="2"/>
  <c r="S85" i="2"/>
  <c r="H85" i="2"/>
  <c r="S84" i="2"/>
  <c r="S83" i="2"/>
  <c r="H83" i="2"/>
  <c r="S82" i="2"/>
  <c r="H82" i="2"/>
  <c r="S81" i="2"/>
  <c r="S80" i="2"/>
  <c r="H80" i="2"/>
  <c r="S79" i="2"/>
  <c r="H79" i="2"/>
  <c r="S78" i="2"/>
  <c r="H78" i="2"/>
  <c r="S77" i="2"/>
  <c r="H77" i="2"/>
  <c r="S76" i="2"/>
  <c r="S75" i="2"/>
  <c r="H75" i="2"/>
  <c r="S74" i="2"/>
  <c r="S73" i="2"/>
  <c r="H73" i="2"/>
  <c r="S72" i="2"/>
  <c r="S71" i="2"/>
  <c r="S70" i="2"/>
  <c r="S69" i="2"/>
  <c r="H69" i="2"/>
  <c r="AG67" i="2"/>
  <c r="AJ67" i="2" s="1"/>
  <c r="AJ66" i="2"/>
  <c r="I65" i="2"/>
  <c r="D65" i="2"/>
  <c r="AF64" i="2"/>
  <c r="S64" i="2"/>
  <c r="H64" i="2"/>
  <c r="S63" i="2"/>
  <c r="S62" i="2"/>
  <c r="S61" i="2"/>
  <c r="H61" i="2"/>
  <c r="S60" i="2"/>
  <c r="H60" i="2"/>
  <c r="S59" i="2"/>
  <c r="H59" i="2"/>
  <c r="S58" i="2"/>
  <c r="S57" i="2"/>
  <c r="H57" i="2"/>
  <c r="S56" i="2"/>
  <c r="S55" i="2"/>
  <c r="S54" i="2"/>
  <c r="H54" i="2"/>
  <c r="S53" i="2"/>
  <c r="S52" i="2"/>
  <c r="S51" i="2"/>
  <c r="S50" i="2"/>
  <c r="S49" i="2"/>
  <c r="H49" i="2"/>
  <c r="S48" i="2"/>
  <c r="H48" i="2"/>
  <c r="S47" i="2"/>
  <c r="S46" i="2"/>
  <c r="H46" i="2"/>
  <c r="S45" i="2"/>
  <c r="H45" i="2"/>
  <c r="S44" i="2"/>
  <c r="S43" i="2"/>
  <c r="S42" i="2"/>
  <c r="S41" i="2"/>
  <c r="H41" i="2"/>
  <c r="AH40" i="2"/>
  <c r="B38" i="2"/>
  <c r="AQ37" i="2"/>
  <c r="AN37" i="2"/>
  <c r="D37" i="2"/>
  <c r="AN36" i="2"/>
  <c r="S36" i="2"/>
  <c r="S35" i="2"/>
  <c r="S34" i="2"/>
  <c r="S33" i="2"/>
  <c r="S32" i="2"/>
  <c r="S31" i="2"/>
  <c r="S30" i="2"/>
  <c r="S29" i="2"/>
  <c r="AF28" i="2"/>
  <c r="AF30" i="2" s="1"/>
  <c r="S28" i="2"/>
  <c r="AQ27" i="2"/>
  <c r="AN27" i="2"/>
  <c r="S27" i="2"/>
  <c r="AN26" i="2"/>
  <c r="S26" i="2"/>
  <c r="S25" i="2"/>
  <c r="S24" i="2"/>
  <c r="S23" i="2"/>
  <c r="S22" i="2"/>
  <c r="S21" i="2"/>
  <c r="S20" i="2"/>
  <c r="S19" i="2"/>
  <c r="S18" i="2"/>
  <c r="AQ17" i="2"/>
  <c r="AQ36" i="2" s="1"/>
  <c r="S17" i="2"/>
  <c r="S16" i="2"/>
  <c r="S15" i="2"/>
  <c r="BF14" i="2"/>
  <c r="BG17" i="2" s="1"/>
  <c r="BG18" i="2" s="1"/>
  <c r="BG19" i="2" s="1"/>
  <c r="BG21" i="2" s="1"/>
  <c r="BG22" i="2" s="1"/>
  <c r="S14" i="2"/>
  <c r="S13" i="2"/>
  <c r="S12" i="2"/>
  <c r="S11" i="2"/>
  <c r="S10" i="2"/>
  <c r="F423" i="1"/>
  <c r="F383" i="1"/>
  <c r="F351" i="1"/>
  <c r="F324" i="1"/>
  <c r="F277" i="1"/>
  <c r="F245" i="1"/>
  <c r="F205" i="1"/>
  <c r="AS186" i="1"/>
  <c r="AR186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V136" i="1"/>
  <c r="AU136" i="1"/>
  <c r="AS136" i="1"/>
  <c r="M136" i="1"/>
  <c r="I136" i="1"/>
  <c r="E136" i="1"/>
  <c r="B136" i="1"/>
  <c r="AS135" i="1"/>
  <c r="S135" i="1"/>
  <c r="R135" i="1"/>
  <c r="C135" i="1"/>
  <c r="AS134" i="1"/>
  <c r="R134" i="1"/>
  <c r="C134" i="1"/>
  <c r="S134" i="1" s="1"/>
  <c r="AV133" i="1"/>
  <c r="AS133" i="1"/>
  <c r="S133" i="1"/>
  <c r="R133" i="1"/>
  <c r="G133" i="1"/>
  <c r="C133" i="1"/>
  <c r="AV132" i="1"/>
  <c r="AS132" i="1"/>
  <c r="R132" i="1"/>
  <c r="G132" i="1"/>
  <c r="S132" i="1" s="1"/>
  <c r="C132" i="1"/>
  <c r="AV131" i="1"/>
  <c r="AS131" i="1"/>
  <c r="R131" i="1"/>
  <c r="G131" i="1"/>
  <c r="C131" i="1"/>
  <c r="AV130" i="1"/>
  <c r="AS130" i="1"/>
  <c r="R130" i="1"/>
  <c r="K130" i="1"/>
  <c r="G130" i="1"/>
  <c r="C130" i="1"/>
  <c r="S130" i="1" s="1"/>
  <c r="AV129" i="1"/>
  <c r="AS129" i="1"/>
  <c r="S129" i="1"/>
  <c r="R129" i="1"/>
  <c r="K129" i="1"/>
  <c r="G129" i="1"/>
  <c r="C129" i="1"/>
  <c r="AV128" i="1"/>
  <c r="AS128" i="1"/>
  <c r="R128" i="1"/>
  <c r="K128" i="1"/>
  <c r="S128" i="1" s="1"/>
  <c r="G128" i="1"/>
  <c r="C128" i="1"/>
  <c r="AV127" i="1"/>
  <c r="AS127" i="1"/>
  <c r="R127" i="1"/>
  <c r="O127" i="1"/>
  <c r="K127" i="1"/>
  <c r="G127" i="1"/>
  <c r="C127" i="1"/>
  <c r="BG126" i="1"/>
  <c r="BE126" i="1"/>
  <c r="BH126" i="1" s="1"/>
  <c r="AZ126" i="1"/>
  <c r="AV126" i="1"/>
  <c r="AS126" i="1"/>
  <c r="R126" i="1"/>
  <c r="O126" i="1"/>
  <c r="K126" i="1"/>
  <c r="G126" i="1"/>
  <c r="S126" i="1" s="1"/>
  <c r="C126" i="1"/>
  <c r="BG125" i="1"/>
  <c r="BF125" i="1"/>
  <c r="BE125" i="1"/>
  <c r="BH125" i="1" s="1"/>
  <c r="AZ125" i="1"/>
  <c r="AV125" i="1"/>
  <c r="AS125" i="1"/>
  <c r="R125" i="1"/>
  <c r="O125" i="1"/>
  <c r="K125" i="1"/>
  <c r="G125" i="1"/>
  <c r="C125" i="1"/>
  <c r="BH124" i="1"/>
  <c r="BE124" i="1"/>
  <c r="AZ124" i="1"/>
  <c r="AV124" i="1"/>
  <c r="AS124" i="1"/>
  <c r="R124" i="1"/>
  <c r="O124" i="1"/>
  <c r="K124" i="1"/>
  <c r="G124" i="1"/>
  <c r="C124" i="1"/>
  <c r="BH123" i="1"/>
  <c r="BE123" i="1"/>
  <c r="AZ123" i="1"/>
  <c r="AV123" i="1"/>
  <c r="AS123" i="1"/>
  <c r="R123" i="1"/>
  <c r="O123" i="1"/>
  <c r="K123" i="1"/>
  <c r="G123" i="1"/>
  <c r="C123" i="1"/>
  <c r="BH122" i="1"/>
  <c r="BE122" i="1"/>
  <c r="AZ122" i="1"/>
  <c r="AV122" i="1"/>
  <c r="AS122" i="1"/>
  <c r="S122" i="1"/>
  <c r="R122" i="1"/>
  <c r="Q136" i="1" s="1"/>
  <c r="AV121" i="1"/>
  <c r="AS121" i="1"/>
  <c r="AV120" i="1"/>
  <c r="AS120" i="1"/>
  <c r="BE119" i="1"/>
  <c r="AZ119" i="1"/>
  <c r="AV119" i="1"/>
  <c r="AS119" i="1"/>
  <c r="BG118" i="1"/>
  <c r="BF118" i="1"/>
  <c r="BG119" i="1" s="1"/>
  <c r="BE118" i="1"/>
  <c r="AZ118" i="1"/>
  <c r="AV118" i="1"/>
  <c r="AS118" i="1"/>
  <c r="BE117" i="1"/>
  <c r="AZ117" i="1"/>
  <c r="AV117" i="1"/>
  <c r="AS117" i="1"/>
  <c r="BE116" i="1"/>
  <c r="AZ116" i="1"/>
  <c r="AV116" i="1"/>
  <c r="AS116" i="1"/>
  <c r="BE115" i="1"/>
  <c r="AZ115" i="1"/>
  <c r="AV115" i="1"/>
  <c r="AS115" i="1"/>
  <c r="M115" i="1"/>
  <c r="AV114" i="1"/>
  <c r="AS114" i="1"/>
  <c r="AV113" i="1"/>
  <c r="AS113" i="1"/>
  <c r="BE112" i="1"/>
  <c r="AZ112" i="1"/>
  <c r="AV112" i="1"/>
  <c r="AS112" i="1"/>
  <c r="AA112" i="1"/>
  <c r="AB112" i="1" s="1"/>
  <c r="G112" i="1"/>
  <c r="BG111" i="1"/>
  <c r="BF111" i="1"/>
  <c r="BG112" i="1" s="1"/>
  <c r="BE111" i="1"/>
  <c r="AZ111" i="1"/>
  <c r="AV111" i="1"/>
  <c r="AS111" i="1"/>
  <c r="N111" i="1"/>
  <c r="F111" i="1"/>
  <c r="BE110" i="1"/>
  <c r="AZ110" i="1"/>
  <c r="AV110" i="1"/>
  <c r="AS110" i="1"/>
  <c r="AI110" i="1"/>
  <c r="AJ110" i="1" s="1"/>
  <c r="N110" i="1"/>
  <c r="O110" i="1" s="1"/>
  <c r="P110" i="1" s="1"/>
  <c r="F110" i="1"/>
  <c r="BE109" i="1"/>
  <c r="AZ109" i="1"/>
  <c r="AV109" i="1"/>
  <c r="AS109" i="1"/>
  <c r="AJ109" i="1"/>
  <c r="AI109" i="1"/>
  <c r="P109" i="1"/>
  <c r="O109" i="1"/>
  <c r="N109" i="1"/>
  <c r="J109" i="1"/>
  <c r="F109" i="1"/>
  <c r="BE108" i="1"/>
  <c r="AZ108" i="1"/>
  <c r="AV108" i="1"/>
  <c r="AS108" i="1"/>
  <c r="AF108" i="1"/>
  <c r="AE108" i="1"/>
  <c r="AA108" i="1"/>
  <c r="AB108" i="1" s="1"/>
  <c r="K108" i="1"/>
  <c r="J108" i="1"/>
  <c r="G108" i="1"/>
  <c r="F108" i="1"/>
  <c r="AV107" i="1"/>
  <c r="AS107" i="1"/>
  <c r="AE107" i="1"/>
  <c r="AF107" i="1" s="1"/>
  <c r="AA107" i="1"/>
  <c r="AB107" i="1" s="1"/>
  <c r="J107" i="1"/>
  <c r="K107" i="1" s="1"/>
  <c r="G107" i="1"/>
  <c r="F107" i="1"/>
  <c r="AV106" i="1"/>
  <c r="AS106" i="1"/>
  <c r="AE106" i="1"/>
  <c r="AF106" i="1" s="1"/>
  <c r="N106" i="1"/>
  <c r="K106" i="1"/>
  <c r="J106" i="1"/>
  <c r="F106" i="1"/>
  <c r="BH105" i="1"/>
  <c r="BE105" i="1"/>
  <c r="AZ105" i="1"/>
  <c r="AV105" i="1"/>
  <c r="AS105" i="1"/>
  <c r="AI105" i="1"/>
  <c r="AF105" i="1"/>
  <c r="AB105" i="1"/>
  <c r="X105" i="1"/>
  <c r="N105" i="1"/>
  <c r="O105" i="1" s="1"/>
  <c r="BG104" i="1"/>
  <c r="BF104" i="1"/>
  <c r="BG105" i="1" s="1"/>
  <c r="BH102" i="1" s="1"/>
  <c r="BE104" i="1"/>
  <c r="BH104" i="1" s="1"/>
  <c r="AZ104" i="1"/>
  <c r="AV104" i="1"/>
  <c r="AS104" i="1"/>
  <c r="BH103" i="1"/>
  <c r="BE103" i="1"/>
  <c r="AZ103" i="1"/>
  <c r="AV103" i="1"/>
  <c r="AS103" i="1"/>
  <c r="BE102" i="1"/>
  <c r="AZ102" i="1"/>
  <c r="AV102" i="1"/>
  <c r="AS102" i="1"/>
  <c r="BE101" i="1"/>
  <c r="AZ101" i="1"/>
  <c r="AV101" i="1"/>
  <c r="AS101" i="1"/>
  <c r="AV100" i="1"/>
  <c r="AS100" i="1"/>
  <c r="AV99" i="1"/>
  <c r="AS99" i="1"/>
  <c r="AV98" i="1"/>
  <c r="AS98" i="1"/>
  <c r="AH98" i="1"/>
  <c r="M98" i="1"/>
  <c r="I98" i="1"/>
  <c r="E98" i="1"/>
  <c r="AV97" i="1"/>
  <c r="AS97" i="1"/>
  <c r="AY96" i="1"/>
  <c r="AX96" i="1"/>
  <c r="AV96" i="1"/>
  <c r="AS96" i="1"/>
  <c r="C96" i="1"/>
  <c r="AV95" i="1"/>
  <c r="AS95" i="1"/>
  <c r="AB95" i="1"/>
  <c r="AA95" i="1"/>
  <c r="W95" i="1"/>
  <c r="X95" i="1" s="1"/>
  <c r="R95" i="1"/>
  <c r="G95" i="1"/>
  <c r="AV94" i="1"/>
  <c r="AS94" i="1"/>
  <c r="AA94" i="1"/>
  <c r="AB94" i="1" s="1"/>
  <c r="W94" i="1"/>
  <c r="X94" i="1" s="1"/>
  <c r="AN94" i="1" s="1"/>
  <c r="G94" i="1"/>
  <c r="AY93" i="1"/>
  <c r="AV93" i="1"/>
  <c r="AS93" i="1"/>
  <c r="AB93" i="1"/>
  <c r="AA93" i="1"/>
  <c r="R93" i="1"/>
  <c r="G93" i="1"/>
  <c r="BP92" i="1"/>
  <c r="BO92" i="1"/>
  <c r="BN92" i="1"/>
  <c r="BQ92" i="1" s="1"/>
  <c r="BM92" i="1"/>
  <c r="BL92" i="1"/>
  <c r="BJ92" i="1"/>
  <c r="BI92" i="1"/>
  <c r="AY92" i="1"/>
  <c r="AV92" i="1"/>
  <c r="AS92" i="1"/>
  <c r="AE92" i="1"/>
  <c r="AF92" i="1" s="1"/>
  <c r="AB92" i="1"/>
  <c r="AA92" i="1"/>
  <c r="K92" i="1"/>
  <c r="G92" i="1"/>
  <c r="BP91" i="1"/>
  <c r="BO91" i="1"/>
  <c r="BR91" i="1" s="1"/>
  <c r="BN91" i="1"/>
  <c r="BM91" i="1"/>
  <c r="BL91" i="1"/>
  <c r="BJ91" i="1"/>
  <c r="BI91" i="1"/>
  <c r="AY91" i="1"/>
  <c r="AV91" i="1"/>
  <c r="AS91" i="1"/>
  <c r="AE91" i="1"/>
  <c r="AA91" i="1"/>
  <c r="AB91" i="1" s="1"/>
  <c r="K91" i="1"/>
  <c r="G91" i="1"/>
  <c r="BP90" i="1"/>
  <c r="BO90" i="1"/>
  <c r="BN90" i="1"/>
  <c r="BQ90" i="1" s="1"/>
  <c r="BM90" i="1"/>
  <c r="BR90" i="1" s="1"/>
  <c r="BL90" i="1"/>
  <c r="BJ90" i="1"/>
  <c r="BI90" i="1"/>
  <c r="AY90" i="1"/>
  <c r="AV90" i="1"/>
  <c r="AS90" i="1"/>
  <c r="AE90" i="1"/>
  <c r="AF90" i="1" s="1"/>
  <c r="AA90" i="1"/>
  <c r="AB90" i="1" s="1"/>
  <c r="K90" i="1"/>
  <c r="G90" i="1"/>
  <c r="BP89" i="1"/>
  <c r="BO89" i="1"/>
  <c r="BN89" i="1"/>
  <c r="BQ89" i="1" s="1"/>
  <c r="BM89" i="1"/>
  <c r="BL89" i="1"/>
  <c r="BJ89" i="1"/>
  <c r="BI89" i="1"/>
  <c r="BB89" i="1"/>
  <c r="BA89" i="1"/>
  <c r="AY89" i="1"/>
  <c r="AV89" i="1"/>
  <c r="AS89" i="1"/>
  <c r="AI89" i="1"/>
  <c r="AJ89" i="1" s="1"/>
  <c r="AE89" i="1"/>
  <c r="AF89" i="1" s="1"/>
  <c r="AA89" i="1"/>
  <c r="AB89" i="1" s="1"/>
  <c r="O89" i="1"/>
  <c r="K89" i="1"/>
  <c r="G89" i="1"/>
  <c r="BP88" i="1"/>
  <c r="BO88" i="1"/>
  <c r="BN88" i="1"/>
  <c r="BQ88" i="1" s="1"/>
  <c r="BM88" i="1"/>
  <c r="BR88" i="1" s="1"/>
  <c r="BL88" i="1"/>
  <c r="BJ88" i="1"/>
  <c r="BI88" i="1"/>
  <c r="AY88" i="1"/>
  <c r="AV88" i="1"/>
  <c r="AS88" i="1"/>
  <c r="AI88" i="1"/>
  <c r="AJ88" i="1" s="1"/>
  <c r="AF88" i="1"/>
  <c r="AE88" i="1"/>
  <c r="O88" i="1"/>
  <c r="K88" i="1"/>
  <c r="G88" i="1"/>
  <c r="C88" i="1"/>
  <c r="S88" i="1" s="1"/>
  <c r="DZ87" i="1"/>
  <c r="BR87" i="1"/>
  <c r="BP87" i="1"/>
  <c r="BO87" i="1"/>
  <c r="BN87" i="1"/>
  <c r="BQ87" i="1" s="1"/>
  <c r="BM87" i="1"/>
  <c r="BL87" i="1"/>
  <c r="BJ87" i="1"/>
  <c r="BI87" i="1"/>
  <c r="AY87" i="1"/>
  <c r="AV87" i="1"/>
  <c r="AS87" i="1"/>
  <c r="AJ87" i="1"/>
  <c r="AI87" i="1"/>
  <c r="AE87" i="1"/>
  <c r="AA87" i="1"/>
  <c r="AB87" i="1" s="1"/>
  <c r="O87" i="1"/>
  <c r="K87" i="1"/>
  <c r="G87" i="1"/>
  <c r="BR86" i="1"/>
  <c r="BQ86" i="1"/>
  <c r="BP86" i="1"/>
  <c r="BO86" i="1"/>
  <c r="BN86" i="1"/>
  <c r="BM86" i="1"/>
  <c r="BL86" i="1"/>
  <c r="BJ86" i="1"/>
  <c r="BI86" i="1"/>
  <c r="BB86" i="1"/>
  <c r="AY86" i="1"/>
  <c r="AV86" i="1"/>
  <c r="AS86" i="1"/>
  <c r="AJ86" i="1"/>
  <c r="AI86" i="1"/>
  <c r="AE86" i="1"/>
  <c r="AF86" i="1" s="1"/>
  <c r="AA86" i="1"/>
  <c r="AB86" i="1" s="1"/>
  <c r="O86" i="1"/>
  <c r="K86" i="1"/>
  <c r="G86" i="1"/>
  <c r="EJ85" i="1"/>
  <c r="EI85" i="1"/>
  <c r="EH85" i="1"/>
  <c r="ED85" i="1"/>
  <c r="EC85" i="1"/>
  <c r="BP85" i="1"/>
  <c r="BO85" i="1"/>
  <c r="BN85" i="1"/>
  <c r="BQ85" i="1" s="1"/>
  <c r="BM85" i="1"/>
  <c r="BR85" i="1" s="1"/>
  <c r="BL85" i="1"/>
  <c r="BJ85" i="1"/>
  <c r="BI85" i="1"/>
  <c r="BB85" i="1"/>
  <c r="AY85" i="1"/>
  <c r="AV85" i="1"/>
  <c r="AS85" i="1"/>
  <c r="AJ85" i="1"/>
  <c r="AI85" i="1"/>
  <c r="AE85" i="1"/>
  <c r="AF85" i="1" s="1"/>
  <c r="AA85" i="1"/>
  <c r="O85" i="1"/>
  <c r="K85" i="1"/>
  <c r="G85" i="1"/>
  <c r="EM84" i="1"/>
  <c r="EJ84" i="1"/>
  <c r="EI84" i="1"/>
  <c r="EH84" i="1"/>
  <c r="ED84" i="1"/>
  <c r="EC84" i="1"/>
  <c r="BP84" i="1"/>
  <c r="BO84" i="1"/>
  <c r="BN84" i="1"/>
  <c r="BQ84" i="1" s="1"/>
  <c r="BM84" i="1"/>
  <c r="BL84" i="1"/>
  <c r="BJ84" i="1"/>
  <c r="BI84" i="1"/>
  <c r="BB84" i="1"/>
  <c r="AY84" i="1"/>
  <c r="AV84" i="1"/>
  <c r="AS84" i="1"/>
  <c r="AJ84" i="1"/>
  <c r="AI84" i="1"/>
  <c r="AE84" i="1"/>
  <c r="AB84" i="1"/>
  <c r="X84" i="1"/>
  <c r="O84" i="1"/>
  <c r="K84" i="1"/>
  <c r="I99" i="1" s="1"/>
  <c r="L89" i="1" s="1"/>
  <c r="J84" i="1"/>
  <c r="J105" i="1" s="1"/>
  <c r="G84" i="1"/>
  <c r="EJ83" i="1"/>
  <c r="EI83" i="1"/>
  <c r="ED83" i="1"/>
  <c r="EH83" i="1" s="1"/>
  <c r="EC83" i="1"/>
  <c r="BQ83" i="1"/>
  <c r="BP83" i="1"/>
  <c r="BR83" i="1" s="1"/>
  <c r="BO83" i="1"/>
  <c r="BN83" i="1"/>
  <c r="BM83" i="1"/>
  <c r="BL83" i="1"/>
  <c r="BJ83" i="1"/>
  <c r="BI83" i="1"/>
  <c r="EJ82" i="1"/>
  <c r="EI82" i="1"/>
  <c r="ED82" i="1"/>
  <c r="EH82" i="1" s="1"/>
  <c r="EC82" i="1"/>
  <c r="EJ81" i="1"/>
  <c r="EI81" i="1"/>
  <c r="EH81" i="1"/>
  <c r="ED81" i="1"/>
  <c r="EC81" i="1"/>
  <c r="EJ80" i="1"/>
  <c r="EI80" i="1"/>
  <c r="ED80" i="1"/>
  <c r="EH80" i="1" s="1"/>
  <c r="EC80" i="1"/>
  <c r="EJ79" i="1"/>
  <c r="EI79" i="1"/>
  <c r="ED79" i="1"/>
  <c r="EH79" i="1" s="1"/>
  <c r="EC79" i="1"/>
  <c r="B77" i="1"/>
  <c r="N77" i="1" s="1"/>
  <c r="N76" i="1"/>
  <c r="B76" i="1"/>
  <c r="E75" i="1"/>
  <c r="B75" i="1"/>
  <c r="E74" i="1"/>
  <c r="B74" i="1"/>
  <c r="AX73" i="1"/>
  <c r="E73" i="1"/>
  <c r="N73" i="1" s="1"/>
  <c r="B73" i="1"/>
  <c r="EP72" i="1"/>
  <c r="EM72" i="1"/>
  <c r="EL72" i="1"/>
  <c r="EK72" i="1"/>
  <c r="EG72" i="1"/>
  <c r="EF72" i="1"/>
  <c r="BH72" i="1"/>
  <c r="AX72" i="1"/>
  <c r="H72" i="1"/>
  <c r="E72" i="1"/>
  <c r="B72" i="1"/>
  <c r="EP71" i="1"/>
  <c r="EM71" i="1"/>
  <c r="EL71" i="1"/>
  <c r="EK71" i="1"/>
  <c r="EG71" i="1"/>
  <c r="EF71" i="1"/>
  <c r="EB71" i="1"/>
  <c r="BH71" i="1"/>
  <c r="BB71" i="1"/>
  <c r="AX71" i="1"/>
  <c r="H71" i="1"/>
  <c r="E71" i="1"/>
  <c r="B71" i="1"/>
  <c r="EP70" i="1"/>
  <c r="EM70" i="1"/>
  <c r="EL70" i="1"/>
  <c r="EG70" i="1"/>
  <c r="EK70" i="1" s="1"/>
  <c r="EF70" i="1"/>
  <c r="EB70" i="1"/>
  <c r="BH70" i="1"/>
  <c r="BB70" i="1"/>
  <c r="AX70" i="1"/>
  <c r="AI70" i="1"/>
  <c r="H70" i="1"/>
  <c r="E70" i="1"/>
  <c r="B70" i="1"/>
  <c r="EP69" i="1"/>
  <c r="EM69" i="1"/>
  <c r="EL69" i="1"/>
  <c r="EG69" i="1"/>
  <c r="EK69" i="1" s="1"/>
  <c r="EF69" i="1"/>
  <c r="EB69" i="1"/>
  <c r="BH69" i="1"/>
  <c r="BB69" i="1"/>
  <c r="AX69" i="1"/>
  <c r="AI69" i="1"/>
  <c r="K69" i="1"/>
  <c r="H69" i="1"/>
  <c r="E69" i="1"/>
  <c r="B69" i="1"/>
  <c r="EP68" i="1"/>
  <c r="EM68" i="1"/>
  <c r="EL68" i="1"/>
  <c r="EG68" i="1"/>
  <c r="EK68" i="1" s="1"/>
  <c r="EF68" i="1"/>
  <c r="EB68" i="1"/>
  <c r="BH68" i="1"/>
  <c r="AZ68" i="1"/>
  <c r="BA68" i="1" s="1"/>
  <c r="BB68" i="1" s="1"/>
  <c r="AX68" i="1"/>
  <c r="AU68" i="1"/>
  <c r="AO68" i="1"/>
  <c r="AP68" i="1" s="1"/>
  <c r="AS68" i="1" s="1"/>
  <c r="AK68" i="1"/>
  <c r="AL68" i="1" s="1"/>
  <c r="AM68" i="1" s="1"/>
  <c r="AI68" i="1"/>
  <c r="K68" i="1"/>
  <c r="H68" i="1"/>
  <c r="E68" i="1"/>
  <c r="B68" i="1"/>
  <c r="N68" i="1" s="1"/>
  <c r="EP67" i="1"/>
  <c r="EM67" i="1"/>
  <c r="EL67" i="1"/>
  <c r="EG67" i="1"/>
  <c r="EK67" i="1" s="1"/>
  <c r="EF67" i="1"/>
  <c r="EB67" i="1"/>
  <c r="BH67" i="1"/>
  <c r="AZ67" i="1"/>
  <c r="BA67" i="1" s="1"/>
  <c r="BB67" i="1" s="1"/>
  <c r="AX67" i="1"/>
  <c r="AU67" i="1"/>
  <c r="AS69" i="1" s="1"/>
  <c r="AO67" i="1"/>
  <c r="AP67" i="1" s="1"/>
  <c r="AM67" i="1"/>
  <c r="AL67" i="1"/>
  <c r="AK67" i="1"/>
  <c r="AI67" i="1"/>
  <c r="K67" i="1"/>
  <c r="H67" i="1"/>
  <c r="E67" i="1"/>
  <c r="B67" i="1"/>
  <c r="EP66" i="1"/>
  <c r="EM66" i="1"/>
  <c r="EL66" i="1"/>
  <c r="EK66" i="1"/>
  <c r="EG66" i="1"/>
  <c r="EF66" i="1"/>
  <c r="EB66" i="1"/>
  <c r="BH66" i="1"/>
  <c r="AZ66" i="1"/>
  <c r="BA66" i="1" s="1"/>
  <c r="BB66" i="1" s="1"/>
  <c r="AX66" i="1"/>
  <c r="AU66" i="1"/>
  <c r="AO66" i="1"/>
  <c r="AP66" i="1" s="1"/>
  <c r="AL66" i="1"/>
  <c r="AM66" i="1" s="1"/>
  <c r="AK66" i="1"/>
  <c r="AI66" i="1"/>
  <c r="K66" i="1"/>
  <c r="H66" i="1"/>
  <c r="G78" i="1" s="1"/>
  <c r="E66" i="1"/>
  <c r="B66" i="1"/>
  <c r="EP65" i="1"/>
  <c r="EM65" i="1"/>
  <c r="EL65" i="1"/>
  <c r="EK65" i="1"/>
  <c r="EG65" i="1"/>
  <c r="EF65" i="1"/>
  <c r="EB65" i="1"/>
  <c r="BH65" i="1"/>
  <c r="BA65" i="1"/>
  <c r="BB65" i="1" s="1"/>
  <c r="AZ65" i="1"/>
  <c r="AX65" i="1"/>
  <c r="AU65" i="1"/>
  <c r="AP65" i="1"/>
  <c r="AS65" i="1" s="1"/>
  <c r="AO65" i="1"/>
  <c r="AK65" i="1"/>
  <c r="AL65" i="1" s="1"/>
  <c r="AM65" i="1" s="1"/>
  <c r="AI65" i="1"/>
  <c r="K65" i="1"/>
  <c r="H65" i="1"/>
  <c r="E65" i="1"/>
  <c r="B65" i="1"/>
  <c r="EP64" i="1"/>
  <c r="EM64" i="1"/>
  <c r="EL64" i="1"/>
  <c r="EG64" i="1"/>
  <c r="EK64" i="1" s="1"/>
  <c r="EF64" i="1"/>
  <c r="EB64" i="1"/>
  <c r="BH64" i="1"/>
  <c r="AX64" i="1"/>
  <c r="AW74" i="1" s="1"/>
  <c r="BH63" i="1"/>
  <c r="BG73" i="1" s="1"/>
  <c r="EJ60" i="1"/>
  <c r="EI60" i="1"/>
  <c r="ED60" i="1"/>
  <c r="EH60" i="1" s="1"/>
  <c r="EC60" i="1"/>
  <c r="DU60" i="1"/>
  <c r="DT60" i="1"/>
  <c r="DS60" i="1"/>
  <c r="DO60" i="1"/>
  <c r="DN60" i="1"/>
  <c r="EM59" i="1"/>
  <c r="EJ59" i="1"/>
  <c r="EI59" i="1"/>
  <c r="EH59" i="1"/>
  <c r="ED59" i="1"/>
  <c r="EC59" i="1"/>
  <c r="DX59" i="1"/>
  <c r="DU59" i="1"/>
  <c r="DT59" i="1"/>
  <c r="DS59" i="1"/>
  <c r="DO59" i="1"/>
  <c r="DN59" i="1"/>
  <c r="R59" i="1"/>
  <c r="M59" i="1"/>
  <c r="D60" i="1" s="1"/>
  <c r="J59" i="1"/>
  <c r="G59" i="1"/>
  <c r="D59" i="1"/>
  <c r="B59" i="1"/>
  <c r="C51" i="1" s="1"/>
  <c r="EJ58" i="1"/>
  <c r="EI58" i="1"/>
  <c r="EH58" i="1"/>
  <c r="ED58" i="1"/>
  <c r="EC58" i="1"/>
  <c r="DU58" i="1"/>
  <c r="DT58" i="1"/>
  <c r="DS58" i="1"/>
  <c r="DO58" i="1"/>
  <c r="DN58" i="1"/>
  <c r="R58" i="1"/>
  <c r="L20" i="2" s="1"/>
  <c r="N58" i="1"/>
  <c r="C58" i="1"/>
  <c r="EJ57" i="1"/>
  <c r="EI57" i="1"/>
  <c r="ED57" i="1"/>
  <c r="EH57" i="1" s="1"/>
  <c r="EC57" i="1"/>
  <c r="DU57" i="1"/>
  <c r="DT57" i="1"/>
  <c r="DO57" i="1"/>
  <c r="DS57" i="1" s="1"/>
  <c r="DN57" i="1"/>
  <c r="AD57" i="1"/>
  <c r="R57" i="1"/>
  <c r="N57" i="1"/>
  <c r="EJ56" i="1"/>
  <c r="EI56" i="1"/>
  <c r="ED56" i="1"/>
  <c r="EH56" i="1" s="1"/>
  <c r="EC56" i="1"/>
  <c r="DU56" i="1"/>
  <c r="DT56" i="1"/>
  <c r="DS56" i="1"/>
  <c r="DO56" i="1"/>
  <c r="DN56" i="1"/>
  <c r="U56" i="1"/>
  <c r="R56" i="1"/>
  <c r="AD56" i="1" s="1"/>
  <c r="N56" i="1"/>
  <c r="EJ55" i="1"/>
  <c r="EI55" i="1"/>
  <c r="EH55" i="1"/>
  <c r="ED55" i="1"/>
  <c r="EC55" i="1"/>
  <c r="DU55" i="1"/>
  <c r="DT55" i="1"/>
  <c r="DO55" i="1"/>
  <c r="DS55" i="1" s="1"/>
  <c r="DN55" i="1"/>
  <c r="AD55" i="1"/>
  <c r="U55" i="1"/>
  <c r="R55" i="1"/>
  <c r="N55" i="1"/>
  <c r="EJ54" i="1"/>
  <c r="EI54" i="1"/>
  <c r="ED54" i="1"/>
  <c r="EH54" i="1" s="1"/>
  <c r="EC54" i="1"/>
  <c r="DU54" i="1"/>
  <c r="DT54" i="1"/>
  <c r="DS54" i="1"/>
  <c r="DO54" i="1"/>
  <c r="DN54" i="1"/>
  <c r="U54" i="1"/>
  <c r="AD54" i="1" s="1"/>
  <c r="R54" i="1"/>
  <c r="N54" i="1"/>
  <c r="AD53" i="1"/>
  <c r="X53" i="1"/>
  <c r="U53" i="1"/>
  <c r="R53" i="1"/>
  <c r="S53" i="1" s="1"/>
  <c r="N53" i="1"/>
  <c r="I53" i="1"/>
  <c r="F53" i="1"/>
  <c r="C53" i="1"/>
  <c r="AD52" i="1"/>
  <c r="X52" i="1"/>
  <c r="U52" i="1"/>
  <c r="R52" i="1"/>
  <c r="N52" i="1"/>
  <c r="I52" i="1"/>
  <c r="F52" i="1"/>
  <c r="C52" i="1"/>
  <c r="X51" i="1"/>
  <c r="U51" i="1"/>
  <c r="R51" i="1"/>
  <c r="AD51" i="1" s="1"/>
  <c r="N51" i="1"/>
  <c r="O51" i="1" s="1"/>
  <c r="EJ50" i="1"/>
  <c r="EI50" i="1"/>
  <c r="ED50" i="1"/>
  <c r="EH50" i="1" s="1"/>
  <c r="EC50" i="1"/>
  <c r="DU50" i="1"/>
  <c r="DT50" i="1"/>
  <c r="DS50" i="1"/>
  <c r="DO50" i="1"/>
  <c r="DN50" i="1"/>
  <c r="AA50" i="1"/>
  <c r="Z59" i="1" s="1"/>
  <c r="X50" i="1"/>
  <c r="U50" i="1"/>
  <c r="R50" i="1"/>
  <c r="N50" i="1"/>
  <c r="L50" i="1"/>
  <c r="I50" i="1"/>
  <c r="F50" i="1"/>
  <c r="C50" i="1"/>
  <c r="EM49" i="1"/>
  <c r="EJ49" i="1"/>
  <c r="EI49" i="1"/>
  <c r="EH49" i="1"/>
  <c r="ED49" i="1"/>
  <c r="EC49" i="1"/>
  <c r="DX49" i="1"/>
  <c r="DU49" i="1"/>
  <c r="DT49" i="1"/>
  <c r="DS49" i="1"/>
  <c r="DO49" i="1"/>
  <c r="DN49" i="1"/>
  <c r="AA49" i="1"/>
  <c r="AB49" i="1" s="1"/>
  <c r="X49" i="1"/>
  <c r="U49" i="1"/>
  <c r="R49" i="1"/>
  <c r="N49" i="1"/>
  <c r="I49" i="1"/>
  <c r="F49" i="1"/>
  <c r="C49" i="1"/>
  <c r="EJ48" i="1"/>
  <c r="EI48" i="1"/>
  <c r="EH48" i="1"/>
  <c r="ED48" i="1"/>
  <c r="EC48" i="1"/>
  <c r="DU48" i="1"/>
  <c r="DT48" i="1"/>
  <c r="DO48" i="1"/>
  <c r="DS48" i="1" s="1"/>
  <c r="DN48" i="1"/>
  <c r="AB48" i="1"/>
  <c r="AA48" i="1"/>
  <c r="X48" i="1"/>
  <c r="U48" i="1"/>
  <c r="R48" i="1"/>
  <c r="AD48" i="1" s="1"/>
  <c r="N48" i="1"/>
  <c r="L48" i="1"/>
  <c r="EJ47" i="1"/>
  <c r="EI47" i="1"/>
  <c r="EH47" i="1"/>
  <c r="ED47" i="1"/>
  <c r="EC47" i="1"/>
  <c r="DU47" i="1"/>
  <c r="DT47" i="1"/>
  <c r="DO47" i="1"/>
  <c r="DS47" i="1" s="1"/>
  <c r="DN47" i="1"/>
  <c r="AD47" i="1"/>
  <c r="AA47" i="1"/>
  <c r="AB47" i="1" s="1"/>
  <c r="X47" i="1"/>
  <c r="U47" i="1"/>
  <c r="R47" i="1"/>
  <c r="N47" i="1"/>
  <c r="L47" i="1"/>
  <c r="I47" i="1"/>
  <c r="C47" i="1"/>
  <c r="EJ46" i="1"/>
  <c r="EI46" i="1"/>
  <c r="EH46" i="1"/>
  <c r="ED46" i="1"/>
  <c r="EC46" i="1"/>
  <c r="DU46" i="1"/>
  <c r="DT46" i="1"/>
  <c r="DO46" i="1"/>
  <c r="DS46" i="1" s="1"/>
  <c r="DN46" i="1"/>
  <c r="AA46" i="1"/>
  <c r="AB46" i="1" s="1"/>
  <c r="X46" i="1"/>
  <c r="U46" i="1"/>
  <c r="R46" i="1"/>
  <c r="N46" i="1"/>
  <c r="L46" i="1"/>
  <c r="I46" i="1"/>
  <c r="F46" i="1"/>
  <c r="C46" i="1"/>
  <c r="EJ45" i="1"/>
  <c r="EI45" i="1"/>
  <c r="EH45" i="1"/>
  <c r="ED45" i="1"/>
  <c r="EC45" i="1"/>
  <c r="DU45" i="1"/>
  <c r="DT45" i="1"/>
  <c r="DO45" i="1"/>
  <c r="DS45" i="1" s="1"/>
  <c r="DN45" i="1"/>
  <c r="EJ44" i="1"/>
  <c r="EI44" i="1"/>
  <c r="EH44" i="1"/>
  <c r="ED44" i="1"/>
  <c r="EC44" i="1"/>
  <c r="DU44" i="1"/>
  <c r="DT44" i="1"/>
  <c r="DO44" i="1"/>
  <c r="DS44" i="1" s="1"/>
  <c r="DN44" i="1"/>
  <c r="CY41" i="1"/>
  <c r="BW41" i="1"/>
  <c r="EJ40" i="1"/>
  <c r="EI40" i="1"/>
  <c r="ED40" i="1"/>
  <c r="EH40" i="1" s="1"/>
  <c r="EC40" i="1"/>
  <c r="DU40" i="1"/>
  <c r="DT40" i="1"/>
  <c r="DS40" i="1"/>
  <c r="DO40" i="1"/>
  <c r="DN40" i="1"/>
  <c r="EM39" i="1"/>
  <c r="EJ39" i="1"/>
  <c r="EI39" i="1"/>
  <c r="ED39" i="1"/>
  <c r="EH39" i="1" s="1"/>
  <c r="EC39" i="1"/>
  <c r="DX39" i="1"/>
  <c r="DU39" i="1"/>
  <c r="DT39" i="1"/>
  <c r="DO39" i="1"/>
  <c r="DS39" i="1" s="1"/>
  <c r="DN39" i="1"/>
  <c r="B39" i="1"/>
  <c r="N39" i="1" s="1"/>
  <c r="EJ38" i="1"/>
  <c r="EI38" i="1"/>
  <c r="EH38" i="1"/>
  <c r="ED38" i="1"/>
  <c r="EC38" i="1"/>
  <c r="DU38" i="1"/>
  <c r="DT38" i="1"/>
  <c r="DO38" i="1"/>
  <c r="DS38" i="1" s="1"/>
  <c r="DN38" i="1"/>
  <c r="B38" i="1"/>
  <c r="N38" i="1" s="1"/>
  <c r="EJ37" i="1"/>
  <c r="EI37" i="1"/>
  <c r="EH37" i="1"/>
  <c r="ED37" i="1"/>
  <c r="EC37" i="1"/>
  <c r="DU37" i="1"/>
  <c r="DT37" i="1"/>
  <c r="DO37" i="1"/>
  <c r="DS37" i="1" s="1"/>
  <c r="DN37" i="1"/>
  <c r="CY37" i="1"/>
  <c r="BW37" i="1"/>
  <c r="AK37" i="1"/>
  <c r="E37" i="1"/>
  <c r="B37" i="1"/>
  <c r="EJ36" i="1"/>
  <c r="EI36" i="1"/>
  <c r="ED36" i="1"/>
  <c r="EH36" i="1" s="1"/>
  <c r="EC36" i="1"/>
  <c r="DU36" i="1"/>
  <c r="DT36" i="1"/>
  <c r="DO36" i="1"/>
  <c r="DS36" i="1" s="1"/>
  <c r="DN36" i="1"/>
  <c r="AK36" i="1"/>
  <c r="E36" i="1"/>
  <c r="N36" i="1" s="1"/>
  <c r="B36" i="1"/>
  <c r="EJ35" i="1"/>
  <c r="EI35" i="1"/>
  <c r="ED35" i="1"/>
  <c r="EH35" i="1" s="1"/>
  <c r="EC35" i="1"/>
  <c r="DU35" i="1"/>
  <c r="DT35" i="1"/>
  <c r="DO35" i="1"/>
  <c r="DS35" i="1" s="1"/>
  <c r="DN35" i="1"/>
  <c r="AK35" i="1"/>
  <c r="E35" i="1"/>
  <c r="B35" i="1"/>
  <c r="N35" i="1" s="1"/>
  <c r="EJ34" i="1"/>
  <c r="EI34" i="1"/>
  <c r="EH34" i="1"/>
  <c r="ED34" i="1"/>
  <c r="EC34" i="1"/>
  <c r="DU34" i="1"/>
  <c r="DT34" i="1"/>
  <c r="DO34" i="1"/>
  <c r="DS34" i="1" s="1"/>
  <c r="DN34" i="1"/>
  <c r="AK34" i="1"/>
  <c r="H34" i="1"/>
  <c r="E34" i="1"/>
  <c r="B34" i="1"/>
  <c r="CY33" i="1"/>
  <c r="BW33" i="1"/>
  <c r="AK33" i="1"/>
  <c r="H33" i="1"/>
  <c r="E33" i="1"/>
  <c r="B33" i="1"/>
  <c r="AK32" i="1"/>
  <c r="H32" i="1"/>
  <c r="E32" i="1"/>
  <c r="B32" i="1"/>
  <c r="N32" i="1" s="1"/>
  <c r="AQ31" i="1"/>
  <c r="AK31" i="1"/>
  <c r="K31" i="1"/>
  <c r="H31" i="1"/>
  <c r="E31" i="1"/>
  <c r="B31" i="1"/>
  <c r="EJ30" i="1"/>
  <c r="EI30" i="1"/>
  <c r="EH30" i="1"/>
  <c r="ED30" i="1"/>
  <c r="EC30" i="1"/>
  <c r="DU30" i="1"/>
  <c r="DT30" i="1"/>
  <c r="DO30" i="1"/>
  <c r="DN30" i="1"/>
  <c r="AQ30" i="1"/>
  <c r="AK30" i="1"/>
  <c r="K30" i="1"/>
  <c r="H30" i="1"/>
  <c r="N30" i="1" s="1"/>
  <c r="E30" i="1"/>
  <c r="B30" i="1"/>
  <c r="EM29" i="1"/>
  <c r="EJ29" i="1"/>
  <c r="EI29" i="1"/>
  <c r="EH29" i="1"/>
  <c r="ED29" i="1"/>
  <c r="EC29" i="1"/>
  <c r="DX29" i="1"/>
  <c r="DU29" i="1"/>
  <c r="DT29" i="1"/>
  <c r="DO29" i="1"/>
  <c r="DN29" i="1"/>
  <c r="CY29" i="1"/>
  <c r="BW29" i="1"/>
  <c r="AQ29" i="1"/>
  <c r="AK29" i="1"/>
  <c r="K29" i="1"/>
  <c r="N29" i="1" s="1"/>
  <c r="H29" i="1"/>
  <c r="E29" i="1"/>
  <c r="B29" i="1"/>
  <c r="EJ28" i="1"/>
  <c r="EI28" i="1"/>
  <c r="EH28" i="1"/>
  <c r="ED28" i="1"/>
  <c r="EC28" i="1"/>
  <c r="DU28" i="1"/>
  <c r="DT28" i="1"/>
  <c r="DO28" i="1"/>
  <c r="DN28" i="1"/>
  <c r="AQ28" i="1"/>
  <c r="AK28" i="1"/>
  <c r="K28" i="1"/>
  <c r="H28" i="1"/>
  <c r="X31" i="1" s="1"/>
  <c r="E28" i="1"/>
  <c r="U31" i="1" s="1"/>
  <c r="B28" i="1"/>
  <c r="EJ27" i="1"/>
  <c r="EI27" i="1"/>
  <c r="EH27" i="1"/>
  <c r="ED27" i="1"/>
  <c r="EC27" i="1"/>
  <c r="DU27" i="1"/>
  <c r="DT27" i="1"/>
  <c r="DO27" i="1"/>
  <c r="DN27" i="1"/>
  <c r="AQ27" i="1"/>
  <c r="AA27" i="1"/>
  <c r="X27" i="1"/>
  <c r="K27" i="1"/>
  <c r="H27" i="1"/>
  <c r="E27" i="1"/>
  <c r="U27" i="1" s="1"/>
  <c r="B27" i="1"/>
  <c r="R29" i="1" s="1"/>
  <c r="EJ26" i="1"/>
  <c r="EI26" i="1"/>
  <c r="ED26" i="1"/>
  <c r="EH26" i="1" s="1"/>
  <c r="EC26" i="1"/>
  <c r="DU26" i="1"/>
  <c r="DT26" i="1"/>
  <c r="DO26" i="1"/>
  <c r="DN26" i="1"/>
  <c r="EJ25" i="1"/>
  <c r="EI25" i="1"/>
  <c r="EH25" i="1"/>
  <c r="ED25" i="1"/>
  <c r="EC25" i="1"/>
  <c r="DU25" i="1"/>
  <c r="DT25" i="1"/>
  <c r="DO25" i="1"/>
  <c r="DN25" i="1"/>
  <c r="CY25" i="1"/>
  <c r="BW25" i="1"/>
  <c r="EJ24" i="1"/>
  <c r="EI24" i="1"/>
  <c r="ED24" i="1"/>
  <c r="EH24" i="1" s="1"/>
  <c r="EC24" i="1"/>
  <c r="DU24" i="1"/>
  <c r="DT24" i="1"/>
  <c r="DO24" i="1"/>
  <c r="DN24" i="1"/>
  <c r="AP21" i="1"/>
  <c r="AM21" i="1"/>
  <c r="AO14" i="1" s="1"/>
  <c r="AJ21" i="1"/>
  <c r="AL14" i="1" s="1"/>
  <c r="W21" i="1"/>
  <c r="Y9" i="1" s="1"/>
  <c r="J21" i="1"/>
  <c r="G21" i="1"/>
  <c r="D21" i="1"/>
  <c r="B21" i="1"/>
  <c r="EJ20" i="1"/>
  <c r="EI20" i="1"/>
  <c r="EH20" i="1"/>
  <c r="ED20" i="1"/>
  <c r="EC20" i="1"/>
  <c r="DU20" i="1"/>
  <c r="DT20" i="1"/>
  <c r="DO20" i="1"/>
  <c r="DN20" i="1"/>
  <c r="CY20" i="1"/>
  <c r="BW20" i="1"/>
  <c r="AT20" i="1"/>
  <c r="S20" i="1"/>
  <c r="R20" i="1"/>
  <c r="R21" i="1" s="1"/>
  <c r="N20" i="1"/>
  <c r="C20" i="1"/>
  <c r="EM19" i="1"/>
  <c r="EJ19" i="1"/>
  <c r="EI19" i="1"/>
  <c r="ED19" i="1"/>
  <c r="EH19" i="1" s="1"/>
  <c r="EC19" i="1"/>
  <c r="DX19" i="1"/>
  <c r="DU19" i="1"/>
  <c r="DT19" i="1"/>
  <c r="DO19" i="1"/>
  <c r="DN19" i="1"/>
  <c r="AT19" i="1"/>
  <c r="R19" i="1"/>
  <c r="AD19" i="1" s="1"/>
  <c r="N19" i="1"/>
  <c r="C19" i="1"/>
  <c r="EJ18" i="1"/>
  <c r="EI18" i="1"/>
  <c r="ED18" i="1"/>
  <c r="EH18" i="1" s="1"/>
  <c r="EC18" i="1"/>
  <c r="DU18" i="1"/>
  <c r="DT18" i="1"/>
  <c r="DO18" i="1"/>
  <c r="DN18" i="1"/>
  <c r="AT18" i="1"/>
  <c r="V18" i="1"/>
  <c r="U18" i="1"/>
  <c r="T21" i="1" s="1"/>
  <c r="V17" i="1" s="1"/>
  <c r="R18" i="1"/>
  <c r="N18" i="1"/>
  <c r="C18" i="1"/>
  <c r="EJ17" i="1"/>
  <c r="EI17" i="1"/>
  <c r="ED17" i="1"/>
  <c r="EH17" i="1" s="1"/>
  <c r="EC17" i="1"/>
  <c r="DU17" i="1"/>
  <c r="DT17" i="1"/>
  <c r="DO17" i="1"/>
  <c r="DN17" i="1"/>
  <c r="AT17" i="1"/>
  <c r="U17" i="1"/>
  <c r="R17" i="1"/>
  <c r="N17" i="1"/>
  <c r="C17" i="1"/>
  <c r="EJ16" i="1"/>
  <c r="EI16" i="1"/>
  <c r="ED16" i="1"/>
  <c r="EH16" i="1" s="1"/>
  <c r="EC16" i="1"/>
  <c r="DU16" i="1"/>
  <c r="DT16" i="1"/>
  <c r="DO16" i="1"/>
  <c r="DN16" i="1"/>
  <c r="CY16" i="1"/>
  <c r="BW16" i="1"/>
  <c r="AT16" i="1"/>
  <c r="U16" i="1"/>
  <c r="AD16" i="1" s="1"/>
  <c r="S16" i="1"/>
  <c r="R16" i="1"/>
  <c r="N16" i="1"/>
  <c r="C16" i="1"/>
  <c r="EJ15" i="1"/>
  <c r="EI15" i="1"/>
  <c r="ED15" i="1"/>
  <c r="EH15" i="1" s="1"/>
  <c r="EC15" i="1"/>
  <c r="DU15" i="1"/>
  <c r="DT15" i="1"/>
  <c r="DO15" i="1"/>
  <c r="DN15" i="1"/>
  <c r="AT15" i="1"/>
  <c r="X15" i="1"/>
  <c r="U15" i="1"/>
  <c r="R15" i="1"/>
  <c r="S15" i="1" s="1"/>
  <c r="N15" i="1"/>
  <c r="I15" i="1"/>
  <c r="F15" i="1"/>
  <c r="C15" i="1"/>
  <c r="EJ14" i="1"/>
  <c r="EI14" i="1"/>
  <c r="ED14" i="1"/>
  <c r="EH14" i="1" s="1"/>
  <c r="EC14" i="1"/>
  <c r="DU14" i="1"/>
  <c r="DT14" i="1"/>
  <c r="DO14" i="1"/>
  <c r="DN14" i="1"/>
  <c r="AT14" i="1"/>
  <c r="Y14" i="1"/>
  <c r="X14" i="1"/>
  <c r="U14" i="1"/>
  <c r="R14" i="1"/>
  <c r="N14" i="1"/>
  <c r="C14" i="1"/>
  <c r="AT13" i="1"/>
  <c r="X13" i="1"/>
  <c r="U13" i="1"/>
  <c r="V13" i="1" s="1"/>
  <c r="S13" i="1"/>
  <c r="R13" i="1"/>
  <c r="N13" i="1"/>
  <c r="C13" i="1"/>
  <c r="CY12" i="1"/>
  <c r="BW12" i="1"/>
  <c r="AT12" i="1"/>
  <c r="AA12" i="1"/>
  <c r="AD12" i="1" s="1"/>
  <c r="Y12" i="1"/>
  <c r="X12" i="1"/>
  <c r="U12" i="1"/>
  <c r="R12" i="1"/>
  <c r="N12" i="1"/>
  <c r="I12" i="1"/>
  <c r="F12" i="1"/>
  <c r="C12" i="1"/>
  <c r="AT11" i="1"/>
  <c r="AA11" i="1"/>
  <c r="X11" i="1"/>
  <c r="U11" i="1"/>
  <c r="V11" i="1" s="1"/>
  <c r="S11" i="1"/>
  <c r="R11" i="1"/>
  <c r="AD11" i="1" s="1"/>
  <c r="N11" i="1"/>
  <c r="I11" i="1"/>
  <c r="F11" i="1"/>
  <c r="C11" i="1"/>
  <c r="EJ10" i="1"/>
  <c r="EI10" i="1"/>
  <c r="ED10" i="1"/>
  <c r="EH10" i="1" s="1"/>
  <c r="EC10" i="1"/>
  <c r="DU10" i="1"/>
  <c r="DT10" i="1"/>
  <c r="DO10" i="1"/>
  <c r="DN10" i="1"/>
  <c r="AT10" i="1"/>
  <c r="AR10" i="1"/>
  <c r="AL10" i="1"/>
  <c r="AA10" i="1"/>
  <c r="X10" i="1"/>
  <c r="Y10" i="1" s="1"/>
  <c r="U10" i="1"/>
  <c r="V10" i="1" s="1"/>
  <c r="R10" i="1"/>
  <c r="N10" i="1"/>
  <c r="C10" i="1"/>
  <c r="EM9" i="1"/>
  <c r="EJ9" i="1"/>
  <c r="EI9" i="1"/>
  <c r="ED9" i="1"/>
  <c r="EH9" i="1" s="1"/>
  <c r="EC9" i="1"/>
  <c r="DX9" i="1"/>
  <c r="DU9" i="1"/>
  <c r="DT9" i="1"/>
  <c r="DO9" i="1"/>
  <c r="DN9" i="1"/>
  <c r="AT9" i="1"/>
  <c r="AR9" i="1"/>
  <c r="AL9" i="1"/>
  <c r="AA9" i="1"/>
  <c r="X9" i="1"/>
  <c r="U9" i="1"/>
  <c r="V9" i="1" s="1"/>
  <c r="R9" i="1"/>
  <c r="N9" i="1"/>
  <c r="F9" i="1"/>
  <c r="C9" i="1"/>
  <c r="EJ8" i="1"/>
  <c r="EI8" i="1"/>
  <c r="ED8" i="1"/>
  <c r="EH8" i="1" s="1"/>
  <c r="EC8" i="1"/>
  <c r="DU8" i="1"/>
  <c r="DT8" i="1"/>
  <c r="DO8" i="1"/>
  <c r="DN8" i="1"/>
  <c r="CY8" i="1"/>
  <c r="BW8" i="1"/>
  <c r="AN8" i="1"/>
  <c r="AN32" i="1" s="1"/>
  <c r="AD8" i="1"/>
  <c r="AA8" i="1"/>
  <c r="X8" i="1"/>
  <c r="U8" i="1"/>
  <c r="S8" i="1"/>
  <c r="R8" i="1"/>
  <c r="AH8" i="1" s="1"/>
  <c r="N8" i="1"/>
  <c r="M21" i="1" s="1"/>
  <c r="L8" i="1"/>
  <c r="C8" i="1"/>
  <c r="EJ7" i="1"/>
  <c r="EI7" i="1"/>
  <c r="ED7" i="1"/>
  <c r="EH7" i="1" s="1"/>
  <c r="EC7" i="1"/>
  <c r="DU7" i="1"/>
  <c r="DT7" i="1"/>
  <c r="DO7" i="1"/>
  <c r="DN7" i="1"/>
  <c r="EJ6" i="1"/>
  <c r="EI6" i="1"/>
  <c r="ED6" i="1"/>
  <c r="EH6" i="1" s="1"/>
  <c r="EC6" i="1"/>
  <c r="DU6" i="1"/>
  <c r="DT6" i="1"/>
  <c r="DO6" i="1"/>
  <c r="DN6" i="1"/>
  <c r="EJ5" i="1"/>
  <c r="EI5" i="1"/>
  <c r="EH5" i="1"/>
  <c r="ED5" i="1"/>
  <c r="EC5" i="1"/>
  <c r="DU5" i="1"/>
  <c r="DT5" i="1"/>
  <c r="DO5" i="1"/>
  <c r="DN5" i="1"/>
  <c r="EJ4" i="1"/>
  <c r="EI4" i="1"/>
  <c r="ED4" i="1"/>
  <c r="EH4" i="1" s="1"/>
  <c r="EC4" i="1"/>
  <c r="DU4" i="1"/>
  <c r="DT4" i="1"/>
  <c r="DO4" i="1"/>
  <c r="DN4" i="1"/>
  <c r="CY4" i="1"/>
  <c r="BW4" i="1"/>
  <c r="U3" i="1"/>
  <c r="L3" i="1"/>
  <c r="L2" i="1"/>
  <c r="E2" i="1"/>
  <c r="E3" i="1" s="1"/>
  <c r="C87" i="1" l="1"/>
  <c r="S87" i="1" s="1"/>
  <c r="W88" i="1"/>
  <c r="X88" i="1" s="1"/>
  <c r="R97" i="1"/>
  <c r="W97" i="1"/>
  <c r="AM97" i="1" s="1"/>
  <c r="B110" i="1"/>
  <c r="C110" i="1" s="1"/>
  <c r="B109" i="1"/>
  <c r="R109" i="1" s="1"/>
  <c r="C92" i="1"/>
  <c r="S92" i="1" s="1"/>
  <c r="W93" i="1"/>
  <c r="X93" i="1" s="1"/>
  <c r="AN93" i="1" s="1"/>
  <c r="B108" i="1"/>
  <c r="R108" i="1" s="1"/>
  <c r="R92" i="1"/>
  <c r="B84" i="1"/>
  <c r="R84" i="1" s="1"/>
  <c r="C86" i="1"/>
  <c r="S86" i="1" s="1"/>
  <c r="AM94" i="1"/>
  <c r="B113" i="1"/>
  <c r="R113" i="1" s="1"/>
  <c r="R86" i="1"/>
  <c r="C89" i="1"/>
  <c r="S89" i="1" s="1"/>
  <c r="W86" i="1"/>
  <c r="AM86" i="1" s="1"/>
  <c r="B114" i="1"/>
  <c r="W114" i="1" s="1"/>
  <c r="X114" i="1" s="1"/>
  <c r="AN114" i="1" s="1"/>
  <c r="W87" i="1"/>
  <c r="X87" i="1" s="1"/>
  <c r="AN87" i="1" s="1"/>
  <c r="R89" i="1"/>
  <c r="B111" i="1"/>
  <c r="R111" i="1" s="1"/>
  <c r="X92" i="1"/>
  <c r="AN92" i="1" s="1"/>
  <c r="AM92" i="1"/>
  <c r="C91" i="1"/>
  <c r="S91" i="1" s="1"/>
  <c r="C85" i="1"/>
  <c r="S85" i="1" s="1"/>
  <c r="R91" i="1"/>
  <c r="W91" i="1"/>
  <c r="X91" i="1" s="1"/>
  <c r="R96" i="1"/>
  <c r="R90" i="1"/>
  <c r="C94" i="1"/>
  <c r="S94" i="1" s="1"/>
  <c r="R85" i="1"/>
  <c r="W90" i="1"/>
  <c r="AM90" i="1" s="1"/>
  <c r="W85" i="1"/>
  <c r="B98" i="1"/>
  <c r="B106" i="1"/>
  <c r="R106" i="1" s="1"/>
  <c r="AM88" i="1"/>
  <c r="F17" i="2"/>
  <c r="H17" i="2" s="1"/>
  <c r="N37" i="1"/>
  <c r="N70" i="1"/>
  <c r="R27" i="1"/>
  <c r="AD27" i="1" s="1"/>
  <c r="N74" i="1"/>
  <c r="R68" i="1"/>
  <c r="R67" i="1"/>
  <c r="U66" i="1"/>
  <c r="N72" i="1"/>
  <c r="D40" i="1"/>
  <c r="F27" i="1" s="1"/>
  <c r="U65" i="1"/>
  <c r="N71" i="1"/>
  <c r="C3" i="1"/>
  <c r="B3" i="1"/>
  <c r="U34" i="1"/>
  <c r="U28" i="1"/>
  <c r="A3" i="1"/>
  <c r="D3" i="1"/>
  <c r="D78" i="1"/>
  <c r="F69" i="1" s="1"/>
  <c r="N34" i="1"/>
  <c r="N31" i="1"/>
  <c r="AA29" i="1"/>
  <c r="AA30" i="1"/>
  <c r="F72" i="1"/>
  <c r="F74" i="1"/>
  <c r="F67" i="1"/>
  <c r="P85" i="1"/>
  <c r="AN88" i="1"/>
  <c r="BH116" i="1"/>
  <c r="BH117" i="1"/>
  <c r="AX4" i="3"/>
  <c r="AX5" i="3"/>
  <c r="AH37" i="1"/>
  <c r="AH30" i="1"/>
  <c r="AH27" i="1"/>
  <c r="AH31" i="1"/>
  <c r="AH38" i="1"/>
  <c r="AH34" i="1"/>
  <c r="AI8" i="1"/>
  <c r="AH36" i="1"/>
  <c r="AT8" i="1"/>
  <c r="AH39" i="1"/>
  <c r="AH28" i="1"/>
  <c r="AH32" i="1"/>
  <c r="AH35" i="1"/>
  <c r="AH33" i="1"/>
  <c r="AH21" i="1"/>
  <c r="AH29" i="1"/>
  <c r="I67" i="1"/>
  <c r="F34" i="1"/>
  <c r="F31" i="1"/>
  <c r="F30" i="1"/>
  <c r="F32" i="1"/>
  <c r="F35" i="1"/>
  <c r="I66" i="1"/>
  <c r="I65" i="1"/>
  <c r="I69" i="1"/>
  <c r="AK69" i="1"/>
  <c r="I71" i="1"/>
  <c r="AS66" i="1"/>
  <c r="AQ66" i="1"/>
  <c r="AQ67" i="1"/>
  <c r="AS67" i="1"/>
  <c r="F73" i="1"/>
  <c r="I176" i="2"/>
  <c r="O13" i="1"/>
  <c r="M22" i="1"/>
  <c r="B22" i="1"/>
  <c r="O9" i="1"/>
  <c r="O17" i="1"/>
  <c r="O12" i="1"/>
  <c r="O16" i="1"/>
  <c r="O11" i="1"/>
  <c r="O15" i="1"/>
  <c r="O20" i="1"/>
  <c r="O10" i="1"/>
  <c r="AZ72" i="1"/>
  <c r="AY74" i="1" s="1"/>
  <c r="AN89" i="1"/>
  <c r="F33" i="1"/>
  <c r="AA66" i="1"/>
  <c r="AA65" i="1"/>
  <c r="AA68" i="1"/>
  <c r="O8" i="1"/>
  <c r="AD10" i="1"/>
  <c r="V14" i="1"/>
  <c r="F10" i="1"/>
  <c r="F13" i="1"/>
  <c r="D22" i="1"/>
  <c r="F16" i="1"/>
  <c r="N28" i="1"/>
  <c r="R32" i="1"/>
  <c r="X29" i="1"/>
  <c r="R34" i="1"/>
  <c r="O46" i="1"/>
  <c r="N75" i="1"/>
  <c r="M99" i="1"/>
  <c r="P89" i="1" s="1"/>
  <c r="L90" i="1"/>
  <c r="O33" i="3"/>
  <c r="O30" i="3"/>
  <c r="D39" i="3"/>
  <c r="O24" i="3"/>
  <c r="O36" i="3"/>
  <c r="M39" i="3"/>
  <c r="B39" i="3"/>
  <c r="O35" i="3"/>
  <c r="L84" i="1"/>
  <c r="X96" i="1"/>
  <c r="AO9" i="1"/>
  <c r="S10" i="1"/>
  <c r="I10" i="1"/>
  <c r="I13" i="1"/>
  <c r="I9" i="1"/>
  <c r="F28" i="1"/>
  <c r="O52" i="1"/>
  <c r="S54" i="1"/>
  <c r="F71" i="1"/>
  <c r="BH108" i="1"/>
  <c r="BH111" i="1"/>
  <c r="S131" i="1"/>
  <c r="P62" i="2"/>
  <c r="Q49" i="2"/>
  <c r="P42" i="2"/>
  <c r="Q56" i="2"/>
  <c r="P49" i="2"/>
  <c r="Q63" i="2"/>
  <c r="P56" i="2"/>
  <c r="Q43" i="2"/>
  <c r="P63" i="2"/>
  <c r="Q50" i="2"/>
  <c r="P43" i="2"/>
  <c r="Q59" i="2"/>
  <c r="P59" i="2"/>
  <c r="Q46" i="2"/>
  <c r="P46" i="2"/>
  <c r="U117" i="2"/>
  <c r="Q53" i="2"/>
  <c r="Q60" i="2"/>
  <c r="P53" i="2"/>
  <c r="P50" i="2"/>
  <c r="P117" i="2"/>
  <c r="P60" i="2"/>
  <c r="Q57" i="2"/>
  <c r="Q47" i="2"/>
  <c r="P64" i="2"/>
  <c r="P44" i="2"/>
  <c r="Q54" i="2"/>
  <c r="Q55" i="2"/>
  <c r="P55" i="2"/>
  <c r="Q44" i="2"/>
  <c r="P57" i="2"/>
  <c r="Q52" i="2"/>
  <c r="P52" i="2"/>
  <c r="Q41" i="2"/>
  <c r="P41" i="2"/>
  <c r="Q62" i="2"/>
  <c r="P54" i="2"/>
  <c r="Q51" i="2"/>
  <c r="P51" i="2"/>
  <c r="Q64" i="2"/>
  <c r="P61" i="2"/>
  <c r="P48" i="2"/>
  <c r="P58" i="2"/>
  <c r="P47" i="2"/>
  <c r="Q42" i="2"/>
  <c r="Q48" i="2"/>
  <c r="Q58" i="2"/>
  <c r="Q45" i="2"/>
  <c r="AD15" i="3"/>
  <c r="Q61" i="2"/>
  <c r="P45" i="2"/>
  <c r="V15" i="3"/>
  <c r="T18" i="3"/>
  <c r="L87" i="1"/>
  <c r="AO28" i="3"/>
  <c r="AN28" i="3" s="1"/>
  <c r="C34" i="2" s="1"/>
  <c r="L34" i="2" s="1"/>
  <c r="AT40" i="3"/>
  <c r="AU39" i="3" s="1"/>
  <c r="AQ28" i="3"/>
  <c r="AP28" i="3"/>
  <c r="AD14" i="1"/>
  <c r="O19" i="1"/>
  <c r="S14" i="1"/>
  <c r="I28" i="1"/>
  <c r="X33" i="1"/>
  <c r="S47" i="1"/>
  <c r="R20" i="2"/>
  <c r="N20" i="2"/>
  <c r="M20" i="2"/>
  <c r="O20" i="2" s="1"/>
  <c r="AQ68" i="1"/>
  <c r="I70" i="1"/>
  <c r="R72" i="1"/>
  <c r="AA109" i="1"/>
  <c r="G109" i="1"/>
  <c r="M158" i="2"/>
  <c r="AJ40" i="1"/>
  <c r="O48" i="1"/>
  <c r="O58" i="1"/>
  <c r="S48" i="1"/>
  <c r="N69" i="1"/>
  <c r="R73" i="1"/>
  <c r="AM84" i="1"/>
  <c r="AD98" i="1"/>
  <c r="L92" i="1"/>
  <c r="S93" i="1"/>
  <c r="K109" i="1"/>
  <c r="AE109" i="1"/>
  <c r="AF109" i="1" s="1"/>
  <c r="O47" i="1"/>
  <c r="L91" i="1"/>
  <c r="M174" i="2"/>
  <c r="X34" i="1"/>
  <c r="S12" i="1"/>
  <c r="V15" i="1"/>
  <c r="S19" i="1"/>
  <c r="AD20" i="1"/>
  <c r="Z21" i="1"/>
  <c r="R31" i="1"/>
  <c r="F36" i="1"/>
  <c r="AA67" i="1"/>
  <c r="U72" i="1"/>
  <c r="U73" i="1"/>
  <c r="AF84" i="1"/>
  <c r="L86" i="1"/>
  <c r="BG23" i="2"/>
  <c r="BH22" i="2" s="1"/>
  <c r="BD23" i="2"/>
  <c r="BB23" i="2"/>
  <c r="BC23" i="2"/>
  <c r="J22" i="1"/>
  <c r="L9" i="1"/>
  <c r="L12" i="1"/>
  <c r="L11" i="1"/>
  <c r="S46" i="1"/>
  <c r="V8" i="1"/>
  <c r="AD29" i="1"/>
  <c r="F18" i="1"/>
  <c r="Y8" i="1"/>
  <c r="V12" i="1"/>
  <c r="O18" i="1"/>
  <c r="R28" i="1"/>
  <c r="O49" i="1"/>
  <c r="AH71" i="1"/>
  <c r="F66" i="1"/>
  <c r="AA69" i="1"/>
  <c r="R70" i="1"/>
  <c r="AF87" i="1"/>
  <c r="L88" i="1"/>
  <c r="AI106" i="1"/>
  <c r="O106" i="1"/>
  <c r="Y13" i="1"/>
  <c r="Y15" i="1"/>
  <c r="F17" i="1"/>
  <c r="S18" i="1"/>
  <c r="M171" i="2"/>
  <c r="AP40" i="1"/>
  <c r="AR29" i="1" s="1"/>
  <c r="F37" i="1"/>
  <c r="B40" i="1"/>
  <c r="C30" i="1" s="1"/>
  <c r="AD49" i="1"/>
  <c r="X72" i="1"/>
  <c r="R76" i="1"/>
  <c r="BH118" i="1"/>
  <c r="S125" i="1"/>
  <c r="AD13" i="1"/>
  <c r="AD15" i="1"/>
  <c r="AL16" i="1"/>
  <c r="AL17" i="1"/>
  <c r="AL8" i="1"/>
  <c r="M162" i="2"/>
  <c r="R36" i="1"/>
  <c r="S49" i="1"/>
  <c r="S57" i="1"/>
  <c r="DZ91" i="1"/>
  <c r="DZ86" i="1"/>
  <c r="AH99" i="1"/>
  <c r="AK86" i="1" s="1"/>
  <c r="AF91" i="1"/>
  <c r="AM91" i="1"/>
  <c r="Y5" i="3"/>
  <c r="AD5" i="3"/>
  <c r="P123" i="1"/>
  <c r="M137" i="1"/>
  <c r="P122" i="1" s="1"/>
  <c r="AO10" i="1"/>
  <c r="Y11" i="1"/>
  <c r="AL13" i="1"/>
  <c r="V16" i="1"/>
  <c r="AD17" i="1"/>
  <c r="AD18" i="1"/>
  <c r="U35" i="1"/>
  <c r="U32" i="1"/>
  <c r="U30" i="1"/>
  <c r="U29" i="1"/>
  <c r="U33" i="1"/>
  <c r="U36" i="1"/>
  <c r="X28" i="1"/>
  <c r="I30" i="1"/>
  <c r="M163" i="2"/>
  <c r="R37" i="1"/>
  <c r="O50" i="1"/>
  <c r="AQ65" i="1"/>
  <c r="N66" i="1"/>
  <c r="I68" i="1"/>
  <c r="L85" i="1"/>
  <c r="AH7" i="3"/>
  <c r="AD11" i="3"/>
  <c r="L118" i="2"/>
  <c r="S50" i="1"/>
  <c r="R77" i="1"/>
  <c r="AN95" i="1"/>
  <c r="BH110" i="1"/>
  <c r="O27" i="3"/>
  <c r="AL15" i="1"/>
  <c r="AA28" i="1"/>
  <c r="M160" i="2"/>
  <c r="Y49" i="1"/>
  <c r="S51" i="1"/>
  <c r="B60" i="1"/>
  <c r="R66" i="1"/>
  <c r="J85" i="2"/>
  <c r="J74" i="2"/>
  <c r="J78" i="2"/>
  <c r="J83" i="2"/>
  <c r="J87" i="2"/>
  <c r="J91" i="2"/>
  <c r="U87" i="2"/>
  <c r="AO15" i="1"/>
  <c r="AK109" i="1"/>
  <c r="AI111" i="1"/>
  <c r="AK110" i="1" s="1"/>
  <c r="BH119" i="1"/>
  <c r="AD29" i="3"/>
  <c r="AO13" i="1"/>
  <c r="R38" i="1"/>
  <c r="S56" i="1"/>
  <c r="AO12" i="1"/>
  <c r="J40" i="1"/>
  <c r="AA31" i="1"/>
  <c r="L61" i="2"/>
  <c r="L41" i="2"/>
  <c r="L48" i="2"/>
  <c r="L55" i="2"/>
  <c r="L62" i="2"/>
  <c r="L42" i="2"/>
  <c r="L49" i="2"/>
  <c r="L52" i="2"/>
  <c r="L59" i="2"/>
  <c r="L56" i="2"/>
  <c r="Q117" i="2"/>
  <c r="L63" i="2"/>
  <c r="L46" i="2"/>
  <c r="L43" i="2"/>
  <c r="L60" i="2"/>
  <c r="L57" i="2"/>
  <c r="L44" i="2"/>
  <c r="L54" i="2"/>
  <c r="L51" i="2"/>
  <c r="L64" i="2"/>
  <c r="L45" i="2"/>
  <c r="L58" i="2"/>
  <c r="L47" i="2"/>
  <c r="L53" i="2"/>
  <c r="T59" i="1"/>
  <c r="V54" i="1" s="1"/>
  <c r="L50" i="2"/>
  <c r="J78" i="1"/>
  <c r="L69" i="1" s="1"/>
  <c r="AQ26" i="2"/>
  <c r="M172" i="2"/>
  <c r="M173" i="2"/>
  <c r="M161" i="2"/>
  <c r="AK87" i="1"/>
  <c r="AL18" i="1"/>
  <c r="BD5" i="3"/>
  <c r="BD4" i="3"/>
  <c r="BD24" i="3" s="1"/>
  <c r="AN29" i="1"/>
  <c r="AN34" i="1"/>
  <c r="AN33" i="1"/>
  <c r="AN30" i="1"/>
  <c r="AN27" i="1"/>
  <c r="G22" i="1"/>
  <c r="AL32" i="1"/>
  <c r="M164" i="2"/>
  <c r="AR8" i="1"/>
  <c r="AL11" i="1"/>
  <c r="F14" i="1"/>
  <c r="R30" i="1"/>
  <c r="AN31" i="1"/>
  <c r="M165" i="2"/>
  <c r="AL37" i="1"/>
  <c r="U75" i="1"/>
  <c r="U69" i="1"/>
  <c r="U71" i="1"/>
  <c r="U68" i="1"/>
  <c r="U67" i="1"/>
  <c r="U70" i="1"/>
  <c r="U74" i="1"/>
  <c r="N67" i="1"/>
  <c r="B105" i="1"/>
  <c r="T38" i="3"/>
  <c r="AD25" i="3"/>
  <c r="O56" i="1"/>
  <c r="O55" i="1"/>
  <c r="O54" i="1"/>
  <c r="M60" i="1"/>
  <c r="O53" i="1"/>
  <c r="G60" i="1"/>
  <c r="I3" i="1"/>
  <c r="H3" i="1"/>
  <c r="S17" i="1"/>
  <c r="F29" i="1"/>
  <c r="AD9" i="1"/>
  <c r="U37" i="1"/>
  <c r="AO8" i="1"/>
  <c r="AR12" i="1"/>
  <c r="J3" i="1"/>
  <c r="F8" i="1"/>
  <c r="AO11" i="1"/>
  <c r="I14" i="1"/>
  <c r="N27" i="1"/>
  <c r="AN28" i="1"/>
  <c r="N33" i="1"/>
  <c r="AB50" i="1"/>
  <c r="L78" i="2"/>
  <c r="L71" i="2"/>
  <c r="L91" i="2"/>
  <c r="L88" i="2"/>
  <c r="L85" i="2"/>
  <c r="L82" i="2"/>
  <c r="L75" i="2"/>
  <c r="Q118" i="2"/>
  <c r="L74" i="2"/>
  <c r="L79" i="2"/>
  <c r="L81" i="2"/>
  <c r="L72" i="2"/>
  <c r="L86" i="2"/>
  <c r="L92" i="2"/>
  <c r="L90" i="2"/>
  <c r="L77" i="2"/>
  <c r="L70" i="2"/>
  <c r="L84" i="2"/>
  <c r="L73" i="2"/>
  <c r="L87" i="2"/>
  <c r="L76" i="2"/>
  <c r="L83" i="2"/>
  <c r="L89" i="2"/>
  <c r="L69" i="2"/>
  <c r="L80" i="2"/>
  <c r="W59" i="1"/>
  <c r="Y46" i="1" s="1"/>
  <c r="F65" i="1"/>
  <c r="E99" i="1"/>
  <c r="H93" i="1" s="1"/>
  <c r="BR84" i="1"/>
  <c r="H130" i="1"/>
  <c r="R39" i="1"/>
  <c r="X32" i="1"/>
  <c r="G40" i="1"/>
  <c r="S9" i="1"/>
  <c r="AL12" i="1"/>
  <c r="B78" i="1"/>
  <c r="C66" i="1" s="1"/>
  <c r="R75" i="1"/>
  <c r="R69" i="1"/>
  <c r="N65" i="1"/>
  <c r="R74" i="1"/>
  <c r="R65" i="1"/>
  <c r="R71" i="1"/>
  <c r="K3" i="1"/>
  <c r="I8" i="1"/>
  <c r="L10" i="1"/>
  <c r="AR11" i="1"/>
  <c r="O14" i="1"/>
  <c r="X30" i="1"/>
  <c r="C31" i="1"/>
  <c r="M175" i="2"/>
  <c r="AD50" i="1"/>
  <c r="S55" i="1"/>
  <c r="J60" i="1"/>
  <c r="L49" i="1"/>
  <c r="X71" i="1"/>
  <c r="X68" i="1"/>
  <c r="X67" i="1"/>
  <c r="X66" i="1"/>
  <c r="X65" i="1"/>
  <c r="X69" i="1"/>
  <c r="X70" i="1"/>
  <c r="K105" i="1"/>
  <c r="I115" i="1"/>
  <c r="AM89" i="1"/>
  <c r="BQ91" i="1"/>
  <c r="E137" i="1"/>
  <c r="H132" i="1" s="1"/>
  <c r="V6" i="3"/>
  <c r="J33" i="2"/>
  <c r="J18" i="2"/>
  <c r="J19" i="2"/>
  <c r="J26" i="2"/>
  <c r="J16" i="2"/>
  <c r="J25" i="2"/>
  <c r="J14" i="2"/>
  <c r="S95" i="1"/>
  <c r="AM95" i="1"/>
  <c r="AA111" i="1"/>
  <c r="AB111" i="1" s="1"/>
  <c r="G111" i="1"/>
  <c r="P126" i="1"/>
  <c r="I137" i="1"/>
  <c r="L124" i="1" s="1"/>
  <c r="S10" i="3"/>
  <c r="I30" i="3"/>
  <c r="I31" i="3"/>
  <c r="I32" i="3"/>
  <c r="I29" i="3"/>
  <c r="I27" i="3"/>
  <c r="I26" i="3"/>
  <c r="I25" i="3"/>
  <c r="G39" i="3"/>
  <c r="M58" i="3"/>
  <c r="O49" i="3" s="1"/>
  <c r="U46" i="5"/>
  <c r="V10" i="3"/>
  <c r="O25" i="3"/>
  <c r="L29" i="3"/>
  <c r="L27" i="3"/>
  <c r="L26" i="3"/>
  <c r="L25" i="3"/>
  <c r="L28" i="3"/>
  <c r="L3" i="4"/>
  <c r="L6" i="4"/>
  <c r="L5" i="4"/>
  <c r="L7" i="4"/>
  <c r="U47" i="5"/>
  <c r="K47" i="5"/>
  <c r="X97" i="1"/>
  <c r="W107" i="1"/>
  <c r="C107" i="1"/>
  <c r="AA110" i="1"/>
  <c r="AB110" i="1" s="1"/>
  <c r="G110" i="1"/>
  <c r="S6" i="3"/>
  <c r="M16" i="4"/>
  <c r="J17" i="4" s="1"/>
  <c r="W38" i="3"/>
  <c r="R19" i="2"/>
  <c r="N19" i="2"/>
  <c r="M19" i="2"/>
  <c r="O19" i="2" s="1"/>
  <c r="H131" i="1"/>
  <c r="S14" i="3"/>
  <c r="U116" i="2"/>
  <c r="P36" i="2"/>
  <c r="Q14" i="2"/>
  <c r="P13" i="2"/>
  <c r="Q18" i="2"/>
  <c r="Q16" i="2"/>
  <c r="P15" i="2"/>
  <c r="P116" i="2"/>
  <c r="Q19" i="2"/>
  <c r="P18" i="2"/>
  <c r="Q17" i="2"/>
  <c r="P16" i="2"/>
  <c r="P29" i="2"/>
  <c r="Q24" i="2"/>
  <c r="Q12" i="2"/>
  <c r="Q34" i="2"/>
  <c r="P24" i="2"/>
  <c r="P19" i="2"/>
  <c r="P12" i="2"/>
  <c r="P34" i="2"/>
  <c r="Q13" i="2"/>
  <c r="Q30" i="2"/>
  <c r="P25" i="2"/>
  <c r="P35" i="2"/>
  <c r="Q31" i="2"/>
  <c r="Q26" i="2"/>
  <c r="P14" i="2"/>
  <c r="Q10" i="2"/>
  <c r="Q35" i="2"/>
  <c r="Q20" i="2"/>
  <c r="P17" i="2"/>
  <c r="P10" i="2"/>
  <c r="Q27" i="2"/>
  <c r="P20" i="2"/>
  <c r="Q33" i="2"/>
  <c r="P31" i="2"/>
  <c r="P27" i="2"/>
  <c r="P33" i="2"/>
  <c r="Q25" i="2"/>
  <c r="P11" i="2"/>
  <c r="Q23" i="2"/>
  <c r="Q15" i="2"/>
  <c r="P21" i="2"/>
  <c r="P32" i="2"/>
  <c r="P30" i="2"/>
  <c r="Q28" i="2"/>
  <c r="P28" i="2"/>
  <c r="P26" i="2"/>
  <c r="Q22" i="2"/>
  <c r="Q29" i="2"/>
  <c r="R18" i="3"/>
  <c r="S11" i="3" s="1"/>
  <c r="Q32" i="2"/>
  <c r="Q36" i="2"/>
  <c r="P23" i="2"/>
  <c r="AD17" i="3"/>
  <c r="P22" i="2"/>
  <c r="S17" i="3"/>
  <c r="Q21" i="2"/>
  <c r="J100" i="2"/>
  <c r="J99" i="2"/>
  <c r="Z38" i="3"/>
  <c r="AD35" i="3"/>
  <c r="J39" i="3"/>
  <c r="B79" i="3"/>
  <c r="X7" i="4"/>
  <c r="X9" i="4"/>
  <c r="X5" i="4"/>
  <c r="X3" i="4"/>
  <c r="X8" i="4"/>
  <c r="X4" i="4"/>
  <c r="X6" i="4"/>
  <c r="S38" i="4"/>
  <c r="G106" i="1"/>
  <c r="AA106" i="1"/>
  <c r="J79" i="2"/>
  <c r="J118" i="2"/>
  <c r="J71" i="2"/>
  <c r="J77" i="2"/>
  <c r="O48" i="3"/>
  <c r="AA5" i="4"/>
  <c r="AA3" i="4"/>
  <c r="AA7" i="4"/>
  <c r="AA4" i="4"/>
  <c r="AA6" i="4"/>
  <c r="E115" i="1"/>
  <c r="R107" i="1"/>
  <c r="H118" i="2"/>
  <c r="AD6" i="3"/>
  <c r="O31" i="3"/>
  <c r="I34" i="1"/>
  <c r="F51" i="1"/>
  <c r="F48" i="1"/>
  <c r="F56" i="1"/>
  <c r="F55" i="1"/>
  <c r="F54" i="1"/>
  <c r="AN84" i="1"/>
  <c r="Z98" i="1"/>
  <c r="P88" i="1"/>
  <c r="S96" i="1"/>
  <c r="BH101" i="1"/>
  <c r="BH112" i="1"/>
  <c r="S124" i="1"/>
  <c r="B137" i="1"/>
  <c r="D124" i="1" s="1"/>
  <c r="AO21" i="3"/>
  <c r="AT21" i="3"/>
  <c r="AU20" i="3" s="1"/>
  <c r="AP21" i="3"/>
  <c r="AQ21" i="3"/>
  <c r="J79" i="3"/>
  <c r="L4" i="4"/>
  <c r="U42" i="5"/>
  <c r="R33" i="1"/>
  <c r="S52" i="1"/>
  <c r="L116" i="2"/>
  <c r="I51" i="1"/>
  <c r="I48" i="1"/>
  <c r="I72" i="1"/>
  <c r="AB85" i="1"/>
  <c r="P105" i="1"/>
  <c r="M116" i="1"/>
  <c r="AD115" i="1"/>
  <c r="BH25" i="3"/>
  <c r="N67" i="3"/>
  <c r="O4" i="4"/>
  <c r="G47" i="4"/>
  <c r="U43" i="5"/>
  <c r="K43" i="5"/>
  <c r="V5" i="3"/>
  <c r="AD8" i="3"/>
  <c r="I24" i="3"/>
  <c r="J58" i="2"/>
  <c r="J55" i="2"/>
  <c r="F44" i="2"/>
  <c r="H44" i="2" s="1"/>
  <c r="E65" i="2"/>
  <c r="G44" i="2"/>
  <c r="G11" i="2"/>
  <c r="F11" i="2"/>
  <c r="F71" i="2"/>
  <c r="H71" i="2" s="1"/>
  <c r="E93" i="2"/>
  <c r="P127" i="1"/>
  <c r="I28" i="3"/>
  <c r="F52" i="3"/>
  <c r="F46" i="3"/>
  <c r="F55" i="3"/>
  <c r="F51" i="3"/>
  <c r="F47" i="3"/>
  <c r="F53" i="3"/>
  <c r="F49" i="3"/>
  <c r="F45" i="3"/>
  <c r="F48" i="3"/>
  <c r="O5" i="4"/>
  <c r="U51" i="5"/>
  <c r="K51" i="5"/>
  <c r="O56" i="5"/>
  <c r="S53" i="5"/>
  <c r="T53" i="5"/>
  <c r="Q11" i="2"/>
  <c r="G71" i="2"/>
  <c r="J42" i="2"/>
  <c r="AD26" i="3"/>
  <c r="O28" i="3"/>
  <c r="O37" i="3"/>
  <c r="G22" i="2"/>
  <c r="F22" i="2"/>
  <c r="H22" i="2" s="1"/>
  <c r="AD116" i="1"/>
  <c r="S127" i="1"/>
  <c r="G104" i="2"/>
  <c r="V7" i="3"/>
  <c r="V13" i="3"/>
  <c r="J106" i="2"/>
  <c r="J102" i="2"/>
  <c r="J107" i="2"/>
  <c r="J105" i="2"/>
  <c r="BH29" i="3"/>
  <c r="U69" i="2"/>
  <c r="O16" i="3"/>
  <c r="J89" i="2"/>
  <c r="J81" i="2"/>
  <c r="J84" i="2"/>
  <c r="J69" i="2"/>
  <c r="J72" i="2"/>
  <c r="J88" i="2"/>
  <c r="J86" i="2"/>
  <c r="J82" i="2"/>
  <c r="J80" i="2"/>
  <c r="J73" i="2"/>
  <c r="J92" i="2"/>
  <c r="J76" i="2"/>
  <c r="J75" i="2"/>
  <c r="J70" i="2"/>
  <c r="J90" i="2"/>
  <c r="O10" i="4"/>
  <c r="AM105" i="1"/>
  <c r="AJ105" i="1"/>
  <c r="AN105" i="1" s="1"/>
  <c r="S123" i="1"/>
  <c r="Q137" i="1" s="1"/>
  <c r="H126" i="1"/>
  <c r="F47" i="1"/>
  <c r="M106" i="2"/>
  <c r="X10" i="4"/>
  <c r="V12" i="2"/>
  <c r="AD46" i="1"/>
  <c r="O57" i="1"/>
  <c r="F70" i="1"/>
  <c r="P86" i="1"/>
  <c r="BR89" i="1"/>
  <c r="H92" i="1"/>
  <c r="BR92" i="1"/>
  <c r="BH109" i="1"/>
  <c r="AM112" i="1"/>
  <c r="D128" i="1"/>
  <c r="AD7" i="3"/>
  <c r="BF38" i="3"/>
  <c r="W23" i="2"/>
  <c r="X23" i="2" s="1"/>
  <c r="V23" i="2"/>
  <c r="J10" i="2"/>
  <c r="U63" i="2"/>
  <c r="U43" i="2"/>
  <c r="U50" i="2"/>
  <c r="U57" i="2"/>
  <c r="U64" i="2"/>
  <c r="U44" i="2"/>
  <c r="U56" i="2"/>
  <c r="U53" i="2"/>
  <c r="U60" i="2"/>
  <c r="U47" i="2"/>
  <c r="U61" i="2"/>
  <c r="U51" i="2"/>
  <c r="U41" i="2"/>
  <c r="U52" i="2"/>
  <c r="U49" i="2"/>
  <c r="U62" i="2"/>
  <c r="U54" i="2"/>
  <c r="U59" i="2"/>
  <c r="U46" i="2"/>
  <c r="U48" i="2"/>
  <c r="U45" i="2"/>
  <c r="U58" i="2"/>
  <c r="U42" i="2"/>
  <c r="U55" i="2"/>
  <c r="U20" i="2"/>
  <c r="U35" i="2"/>
  <c r="U29" i="2"/>
  <c r="U24" i="2"/>
  <c r="R15" i="4"/>
  <c r="R7" i="4"/>
  <c r="Q17" i="4"/>
  <c r="R9" i="4"/>
  <c r="R5" i="4"/>
  <c r="X107" i="2"/>
  <c r="X110" i="2"/>
  <c r="X103" i="2"/>
  <c r="X108" i="2"/>
  <c r="X101" i="2"/>
  <c r="X106" i="2"/>
  <c r="X105" i="2"/>
  <c r="X100" i="2"/>
  <c r="X98" i="2"/>
  <c r="X102" i="2"/>
  <c r="X97" i="2"/>
  <c r="X109" i="2"/>
  <c r="X104" i="2"/>
  <c r="X111" i="2"/>
  <c r="X99" i="2"/>
  <c r="J54" i="2"/>
  <c r="J45" i="2"/>
  <c r="J49" i="2"/>
  <c r="J46" i="2"/>
  <c r="J53" i="2"/>
  <c r="N77" i="3"/>
  <c r="U7" i="4"/>
  <c r="S17" i="4"/>
  <c r="U9" i="4"/>
  <c r="U5" i="4"/>
  <c r="G15" i="2"/>
  <c r="F15" i="2"/>
  <c r="H15" i="2" s="1"/>
  <c r="N68" i="3"/>
  <c r="X117" i="2"/>
  <c r="S49" i="5"/>
  <c r="T51" i="5"/>
  <c r="K89" i="2"/>
  <c r="Y89" i="2"/>
  <c r="J20" i="2"/>
  <c r="J11" i="2"/>
  <c r="J27" i="2"/>
  <c r="J12" i="2"/>
  <c r="O34" i="3"/>
  <c r="J15" i="2"/>
  <c r="AD9" i="3"/>
  <c r="V11" i="3"/>
  <c r="J117" i="2"/>
  <c r="J47" i="2"/>
  <c r="J61" i="2"/>
  <c r="J41" i="2"/>
  <c r="J48" i="2"/>
  <c r="J62" i="2"/>
  <c r="T38" i="2"/>
  <c r="J52" i="2"/>
  <c r="J59" i="2"/>
  <c r="J63" i="2"/>
  <c r="J43" i="2"/>
  <c r="J51" i="2"/>
  <c r="J60" i="2"/>
  <c r="J57" i="2"/>
  <c r="J44" i="2"/>
  <c r="J21" i="2"/>
  <c r="L45" i="3"/>
  <c r="L49" i="3"/>
  <c r="AB16" i="4"/>
  <c r="AD6" i="4" s="1"/>
  <c r="T49" i="5"/>
  <c r="V8" i="3"/>
  <c r="S9" i="3"/>
  <c r="Y11" i="3"/>
  <c r="AD28" i="3"/>
  <c r="O29" i="3"/>
  <c r="C36" i="3"/>
  <c r="C25" i="3"/>
  <c r="C31" i="3"/>
  <c r="AF10" i="2"/>
  <c r="R10" i="4"/>
  <c r="AD13" i="4"/>
  <c r="T41" i="5"/>
  <c r="T45" i="5"/>
  <c r="D123" i="1"/>
  <c r="D130" i="1"/>
  <c r="C24" i="3"/>
  <c r="AD27" i="3"/>
  <c r="J24" i="2"/>
  <c r="J36" i="2"/>
  <c r="AD30" i="3"/>
  <c r="Z51" i="2"/>
  <c r="Z58" i="2"/>
  <c r="Z45" i="2"/>
  <c r="Z52" i="2"/>
  <c r="Z47" i="2"/>
  <c r="Z50" i="2"/>
  <c r="Z54" i="2"/>
  <c r="Z61" i="2"/>
  <c r="Z57" i="2"/>
  <c r="Z41" i="2"/>
  <c r="Z64" i="2"/>
  <c r="Z44" i="2"/>
  <c r="Z49" i="2"/>
  <c r="Z62" i="2"/>
  <c r="Z59" i="2"/>
  <c r="Z46" i="2"/>
  <c r="Z48" i="2"/>
  <c r="Z43" i="2"/>
  <c r="Z56" i="2"/>
  <c r="Z53" i="2"/>
  <c r="Z42" i="2"/>
  <c r="Z63" i="2"/>
  <c r="Z60" i="2"/>
  <c r="AD34" i="3"/>
  <c r="F30" i="3"/>
  <c r="F32" i="3"/>
  <c r="F29" i="3"/>
  <c r="U10" i="4"/>
  <c r="L12" i="2"/>
  <c r="L36" i="2"/>
  <c r="J42" i="5"/>
  <c r="J46" i="5"/>
  <c r="U38" i="2"/>
  <c r="L16" i="2"/>
  <c r="BB11" i="3"/>
  <c r="R38" i="3"/>
  <c r="I50" i="3"/>
  <c r="N74" i="3"/>
  <c r="O15" i="4"/>
  <c r="J64" i="2"/>
  <c r="J22" i="2"/>
  <c r="C54" i="1"/>
  <c r="C55" i="1"/>
  <c r="C56" i="1"/>
  <c r="C57" i="1"/>
  <c r="Q116" i="2"/>
  <c r="L31" i="2"/>
  <c r="L32" i="2"/>
  <c r="L33" i="2"/>
  <c r="L35" i="2"/>
  <c r="L28" i="2"/>
  <c r="L23" i="2"/>
  <c r="L18" i="2"/>
  <c r="L10" i="2"/>
  <c r="L11" i="2"/>
  <c r="L24" i="2"/>
  <c r="L22" i="2"/>
  <c r="L14" i="2"/>
  <c r="L29" i="2"/>
  <c r="L27" i="2"/>
  <c r="L25" i="2"/>
  <c r="L15" i="2"/>
  <c r="L21" i="2"/>
  <c r="L30" i="2"/>
  <c r="L26" i="2"/>
  <c r="R112" i="1"/>
  <c r="AD16" i="3"/>
  <c r="S16" i="3"/>
  <c r="J29" i="2"/>
  <c r="C35" i="3"/>
  <c r="D79" i="3"/>
  <c r="R8" i="4"/>
  <c r="R11" i="4"/>
  <c r="W28" i="2"/>
  <c r="X28" i="2" s="1"/>
  <c r="V28" i="2"/>
  <c r="M157" i="2"/>
  <c r="R35" i="1"/>
  <c r="C48" i="1"/>
  <c r="L117" i="2"/>
  <c r="S58" i="1"/>
  <c r="C112" i="1"/>
  <c r="BH5" i="3"/>
  <c r="BB6" i="3"/>
  <c r="BB7" i="3"/>
  <c r="BB8" i="3"/>
  <c r="L6" i="3"/>
  <c r="J19" i="3"/>
  <c r="J103" i="2"/>
  <c r="J97" i="2"/>
  <c r="J109" i="2"/>
  <c r="J110" i="2"/>
  <c r="J98" i="2"/>
  <c r="J111" i="2"/>
  <c r="J108" i="2"/>
  <c r="J101" i="2"/>
  <c r="J104" i="2"/>
  <c r="O32" i="3"/>
  <c r="F35" i="3"/>
  <c r="O55" i="3"/>
  <c r="R3" i="4"/>
  <c r="U8" i="4"/>
  <c r="U11" i="4"/>
  <c r="B17" i="4"/>
  <c r="S44" i="4"/>
  <c r="S52" i="5"/>
  <c r="L13" i="2"/>
  <c r="G29" i="2"/>
  <c r="F29" i="2"/>
  <c r="H29" i="2" s="1"/>
  <c r="M156" i="2"/>
  <c r="AL29" i="1"/>
  <c r="V52" i="1"/>
  <c r="AD58" i="1"/>
  <c r="BH115" i="1"/>
  <c r="BB10" i="3"/>
  <c r="M18" i="3"/>
  <c r="AD24" i="3"/>
  <c r="I47" i="3"/>
  <c r="U91" i="2"/>
  <c r="U85" i="2"/>
  <c r="U78" i="2"/>
  <c r="U74" i="2"/>
  <c r="U76" i="2"/>
  <c r="U83" i="2"/>
  <c r="U3" i="4"/>
  <c r="F4" i="4"/>
  <c r="F12" i="4"/>
  <c r="F11" i="4"/>
  <c r="F5" i="4"/>
  <c r="AL28" i="1"/>
  <c r="M159" i="2"/>
  <c r="BH6" i="3"/>
  <c r="BH8" i="3"/>
  <c r="BB9" i="3"/>
  <c r="AD13" i="3"/>
  <c r="AZ38" i="3"/>
  <c r="BB26" i="3" s="1"/>
  <c r="BB25" i="3"/>
  <c r="J56" i="2"/>
  <c r="L47" i="3"/>
  <c r="N66" i="3"/>
  <c r="AD3" i="4"/>
  <c r="AD8" i="4"/>
  <c r="O12" i="4"/>
  <c r="S45" i="4"/>
  <c r="L17" i="2"/>
  <c r="P97" i="2"/>
  <c r="P107" i="2"/>
  <c r="F50" i="2"/>
  <c r="H50" i="2" s="1"/>
  <c r="P87" i="2"/>
  <c r="Q97" i="2"/>
  <c r="L111" i="2"/>
  <c r="P74" i="2"/>
  <c r="Q80" i="2"/>
  <c r="Q87" i="2"/>
  <c r="L104" i="2"/>
  <c r="P111" i="2"/>
  <c r="K111" i="2" s="1"/>
  <c r="G61" i="2"/>
  <c r="F98" i="2"/>
  <c r="G98" i="2"/>
  <c r="Q111" i="2"/>
  <c r="P84" i="2"/>
  <c r="G102" i="2"/>
  <c r="G43" i="2"/>
  <c r="F43" i="2"/>
  <c r="H43" i="2" s="1"/>
  <c r="U81" i="2"/>
  <c r="X118" i="2"/>
  <c r="U18" i="2"/>
  <c r="U16" i="2"/>
  <c r="U21" i="2"/>
  <c r="U19" i="2"/>
  <c r="U13" i="2"/>
  <c r="U30" i="2"/>
  <c r="U25" i="2"/>
  <c r="U14" i="2"/>
  <c r="U31" i="2"/>
  <c r="U26" i="2"/>
  <c r="U36" i="2"/>
  <c r="U27" i="2"/>
  <c r="U32" i="2"/>
  <c r="U22" i="2"/>
  <c r="I42" i="5"/>
  <c r="P78" i="2"/>
  <c r="G106" i="2"/>
  <c r="N76" i="3"/>
  <c r="E41" i="5"/>
  <c r="E45" i="5"/>
  <c r="E49" i="5"/>
  <c r="E53" i="5"/>
  <c r="U15" i="2"/>
  <c r="G41" i="2"/>
  <c r="G72" i="2"/>
  <c r="F72" i="2"/>
  <c r="H72" i="2" s="1"/>
  <c r="Q102" i="2"/>
  <c r="P109" i="2"/>
  <c r="G82" i="2"/>
  <c r="P99" i="2"/>
  <c r="K99" i="2" s="1"/>
  <c r="U11" i="2"/>
  <c r="Q99" i="2"/>
  <c r="G52" i="2"/>
  <c r="F52" i="2"/>
  <c r="H52" i="2" s="1"/>
  <c r="Q69" i="2"/>
  <c r="G73" i="2"/>
  <c r="P106" i="2"/>
  <c r="K106" i="2" s="1"/>
  <c r="E44" i="5"/>
  <c r="E48" i="5"/>
  <c r="E52" i="5"/>
  <c r="U33" i="2"/>
  <c r="G86" i="2"/>
  <c r="F86" i="2"/>
  <c r="H86" i="2" s="1"/>
  <c r="Q101" i="2"/>
  <c r="P98" i="2"/>
  <c r="Q104" i="2"/>
  <c r="P101" i="2"/>
  <c r="K101" i="2" s="1"/>
  <c r="Q107" i="2"/>
  <c r="P104" i="2"/>
  <c r="K104" i="2" s="1"/>
  <c r="P105" i="2"/>
  <c r="K105" i="2" s="1"/>
  <c r="Q98" i="2"/>
  <c r="Q110" i="2"/>
  <c r="P110" i="2"/>
  <c r="Q103" i="2"/>
  <c r="Q108" i="2"/>
  <c r="P103" i="2"/>
  <c r="K103" i="2" s="1"/>
  <c r="P108" i="2"/>
  <c r="Q105" i="2"/>
  <c r="Q100" i="2"/>
  <c r="P100" i="2"/>
  <c r="P102" i="2"/>
  <c r="K102" i="2" s="1"/>
  <c r="Q109" i="2"/>
  <c r="Q90" i="2"/>
  <c r="Q86" i="2"/>
  <c r="Q82" i="2"/>
  <c r="Q78" i="2"/>
  <c r="Q74" i="2"/>
  <c r="Q70" i="2"/>
  <c r="Q71" i="2"/>
  <c r="P71" i="2"/>
  <c r="Q91" i="2"/>
  <c r="Q88" i="2"/>
  <c r="Q85" i="2"/>
  <c r="Q75" i="2"/>
  <c r="P91" i="2"/>
  <c r="P88" i="2"/>
  <c r="P85" i="2"/>
  <c r="P82" i="2"/>
  <c r="P75" i="2"/>
  <c r="Q79" i="2"/>
  <c r="U118" i="2"/>
  <c r="Q81" i="2"/>
  <c r="P79" i="2"/>
  <c r="Q72" i="2"/>
  <c r="P81" i="2"/>
  <c r="P72" i="2"/>
  <c r="Q92" i="2"/>
  <c r="P86" i="2"/>
  <c r="Q77" i="2"/>
  <c r="P92" i="2"/>
  <c r="P90" i="2"/>
  <c r="P77" i="2"/>
  <c r="P70" i="2"/>
  <c r="Q84" i="2"/>
  <c r="Q73" i="2"/>
  <c r="P80" i="2"/>
  <c r="P118" i="2"/>
  <c r="Q83" i="2"/>
  <c r="P69" i="2"/>
  <c r="L109" i="2"/>
  <c r="L100" i="2"/>
  <c r="L98" i="2"/>
  <c r="L105" i="2"/>
  <c r="L110" i="2"/>
  <c r="L103" i="2"/>
  <c r="L108" i="2"/>
  <c r="L102" i="2"/>
  <c r="L101" i="2"/>
  <c r="L99" i="2"/>
  <c r="L97" i="2"/>
  <c r="J31" i="2"/>
  <c r="J17" i="2"/>
  <c r="J28" i="2"/>
  <c r="J23" i="2"/>
  <c r="J35" i="2"/>
  <c r="F44" i="5"/>
  <c r="F48" i="5"/>
  <c r="F52" i="5"/>
  <c r="J52" i="5" s="1"/>
  <c r="U17" i="2"/>
  <c r="P76" i="2"/>
  <c r="Q89" i="2"/>
  <c r="C7" i="3"/>
  <c r="AB9" i="3"/>
  <c r="Y12" i="3"/>
  <c r="C15" i="3"/>
  <c r="J50" i="2"/>
  <c r="C46" i="3"/>
  <c r="C52" i="3"/>
  <c r="G44" i="5"/>
  <c r="G48" i="5"/>
  <c r="G52" i="5"/>
  <c r="J13" i="2"/>
  <c r="G28" i="2"/>
  <c r="F28" i="2"/>
  <c r="H28" i="2" s="1"/>
  <c r="G47" i="2"/>
  <c r="F47" i="2"/>
  <c r="H47" i="2" s="1"/>
  <c r="Q76" i="2"/>
  <c r="G107" i="2"/>
  <c r="F7" i="3"/>
  <c r="J30" i="2"/>
  <c r="J32" i="2"/>
  <c r="J116" i="2"/>
  <c r="AD33" i="3"/>
  <c r="C49" i="3"/>
  <c r="U90" i="2"/>
  <c r="U86" i="2"/>
  <c r="U88" i="2"/>
  <c r="U75" i="2"/>
  <c r="U82" i="2"/>
  <c r="U79" i="2"/>
  <c r="U72" i="2"/>
  <c r="U92" i="2"/>
  <c r="U89" i="2"/>
  <c r="U77" i="2"/>
  <c r="U70" i="2"/>
  <c r="U84" i="2"/>
  <c r="U80" i="2"/>
  <c r="U71" i="2"/>
  <c r="H44" i="5"/>
  <c r="H48" i="5"/>
  <c r="U10" i="2"/>
  <c r="P73" i="2"/>
  <c r="G63" i="2"/>
  <c r="F63" i="2"/>
  <c r="H63" i="2" s="1"/>
  <c r="U73" i="2"/>
  <c r="P83" i="2"/>
  <c r="L107" i="2"/>
  <c r="G100" i="2"/>
  <c r="F100" i="2"/>
  <c r="G105" i="2"/>
  <c r="F108" i="2"/>
  <c r="AN34" i="3"/>
  <c r="G27" i="2"/>
  <c r="F42" i="2"/>
  <c r="F58" i="2"/>
  <c r="H58" i="2" s="1"/>
  <c r="F62" i="2"/>
  <c r="H62" i="2" s="1"/>
  <c r="F69" i="2"/>
  <c r="G60" i="2"/>
  <c r="F53" i="2"/>
  <c r="H53" i="2" s="1"/>
  <c r="F55" i="2"/>
  <c r="H55" i="2" s="1"/>
  <c r="F76" i="2"/>
  <c r="H76" i="2" s="1"/>
  <c r="F99" i="2"/>
  <c r="F16" i="2"/>
  <c r="H16" i="2" s="1"/>
  <c r="F107" i="2"/>
  <c r="F74" i="2"/>
  <c r="H74" i="2" s="1"/>
  <c r="F81" i="2"/>
  <c r="H81" i="2" s="1"/>
  <c r="F84" i="2"/>
  <c r="H84" i="2" s="1"/>
  <c r="F102" i="2"/>
  <c r="F70" i="2"/>
  <c r="H70" i="2" s="1"/>
  <c r="G87" i="2"/>
  <c r="F90" i="2"/>
  <c r="H90" i="2" s="1"/>
  <c r="F97" i="2"/>
  <c r="W108" i="1" l="1"/>
  <c r="R110" i="1"/>
  <c r="C106" i="1"/>
  <c r="S110" i="1"/>
  <c r="C111" i="1"/>
  <c r="S111" i="1" s="1"/>
  <c r="W110" i="1"/>
  <c r="X110" i="1" s="1"/>
  <c r="AN110" i="1" s="1"/>
  <c r="AM93" i="1"/>
  <c r="C113" i="1"/>
  <c r="S113" i="1" s="1"/>
  <c r="C84" i="1"/>
  <c r="B99" i="1" s="1"/>
  <c r="D84" i="1" s="1"/>
  <c r="C109" i="1"/>
  <c r="S109" i="1" s="1"/>
  <c r="W109" i="1"/>
  <c r="X109" i="1" s="1"/>
  <c r="C108" i="1"/>
  <c r="S108" i="1" s="1"/>
  <c r="AM87" i="1"/>
  <c r="Q98" i="1"/>
  <c r="X90" i="1"/>
  <c r="AM114" i="1"/>
  <c r="R114" i="1"/>
  <c r="C114" i="1"/>
  <c r="S114" i="1" s="1"/>
  <c r="W113" i="1"/>
  <c r="AM113" i="1" s="1"/>
  <c r="W111" i="1"/>
  <c r="X86" i="1"/>
  <c r="AN86" i="1" s="1"/>
  <c r="W106" i="1"/>
  <c r="X106" i="1" s="1"/>
  <c r="X108" i="1"/>
  <c r="AN108" i="1" s="1"/>
  <c r="AM108" i="1"/>
  <c r="X85" i="1"/>
  <c r="W98" i="1"/>
  <c r="AM85" i="1"/>
  <c r="C77" i="1"/>
  <c r="C67" i="1"/>
  <c r="C65" i="1"/>
  <c r="C74" i="1"/>
  <c r="F68" i="1"/>
  <c r="F75" i="1"/>
  <c r="H94" i="1"/>
  <c r="L66" i="1"/>
  <c r="T129" i="1"/>
  <c r="T128" i="1"/>
  <c r="T126" i="1"/>
  <c r="T135" i="1"/>
  <c r="T133" i="1"/>
  <c r="T130" i="1"/>
  <c r="T132" i="1"/>
  <c r="T122" i="1"/>
  <c r="T134" i="1"/>
  <c r="N26" i="2"/>
  <c r="R26" i="2"/>
  <c r="M26" i="2"/>
  <c r="O26" i="2" s="1"/>
  <c r="N28" i="2"/>
  <c r="R28" i="2"/>
  <c r="M28" i="2"/>
  <c r="O28" i="2" s="1"/>
  <c r="X112" i="2"/>
  <c r="W29" i="2"/>
  <c r="X29" i="2" s="1"/>
  <c r="V29" i="2"/>
  <c r="W56" i="2"/>
  <c r="X56" i="2" s="1"/>
  <c r="V56" i="2"/>
  <c r="BB30" i="3"/>
  <c r="Y21" i="2"/>
  <c r="K21" i="2"/>
  <c r="K18" i="2"/>
  <c r="Y18" i="2"/>
  <c r="AM107" i="1"/>
  <c r="X107" i="1"/>
  <c r="R76" i="2"/>
  <c r="N76" i="2"/>
  <c r="O76" i="2" s="1"/>
  <c r="M76" i="2"/>
  <c r="R82" i="2"/>
  <c r="N82" i="2"/>
  <c r="O82" i="2" s="1"/>
  <c r="M82" i="2"/>
  <c r="R54" i="2"/>
  <c r="N54" i="2"/>
  <c r="M54" i="2"/>
  <c r="O54" i="2" s="1"/>
  <c r="N42" i="2"/>
  <c r="M42" i="2"/>
  <c r="O42" i="2" s="1"/>
  <c r="R42" i="2"/>
  <c r="W78" i="1"/>
  <c r="AD70" i="1"/>
  <c r="AR30" i="1"/>
  <c r="I167" i="2"/>
  <c r="AT39" i="1"/>
  <c r="BB27" i="3"/>
  <c r="K29" i="2"/>
  <c r="Y29" i="2"/>
  <c r="AN97" i="1"/>
  <c r="I29" i="1"/>
  <c r="I32" i="1"/>
  <c r="R87" i="2"/>
  <c r="N87" i="2"/>
  <c r="O87" i="2" s="1"/>
  <c r="M87" i="2"/>
  <c r="R85" i="2"/>
  <c r="N85" i="2"/>
  <c r="O85" i="2" s="1"/>
  <c r="M85" i="2"/>
  <c r="N62" i="2"/>
  <c r="M62" i="2"/>
  <c r="O62" i="2" s="1"/>
  <c r="R62" i="2"/>
  <c r="N118" i="2"/>
  <c r="O118" i="2" s="1"/>
  <c r="M118" i="2"/>
  <c r="Z78" i="1"/>
  <c r="AB67" i="1" s="1"/>
  <c r="AB8" i="1"/>
  <c r="R63" i="3"/>
  <c r="AM26" i="3" s="1"/>
  <c r="E34" i="2"/>
  <c r="J34" i="2"/>
  <c r="J37" i="2" s="1"/>
  <c r="U34" i="2"/>
  <c r="U37" i="2" s="1"/>
  <c r="C38" i="2"/>
  <c r="AD34" i="1"/>
  <c r="W35" i="2"/>
  <c r="X35" i="2" s="1"/>
  <c r="V35" i="2"/>
  <c r="W44" i="2"/>
  <c r="X44" i="2" s="1"/>
  <c r="V44" i="2"/>
  <c r="M101" i="2"/>
  <c r="M109" i="2"/>
  <c r="G65" i="2"/>
  <c r="V19" i="2"/>
  <c r="W19" i="2"/>
  <c r="X19" i="2" s="1"/>
  <c r="R21" i="2"/>
  <c r="N21" i="2"/>
  <c r="M21" i="2"/>
  <c r="O21" i="2" s="1"/>
  <c r="W20" i="2"/>
  <c r="X20" i="2" s="1"/>
  <c r="V20" i="2"/>
  <c r="W64" i="2"/>
  <c r="X64" i="2" s="1"/>
  <c r="V64" i="2"/>
  <c r="H11" i="2"/>
  <c r="AB106" i="1"/>
  <c r="Z115" i="1"/>
  <c r="Y32" i="1"/>
  <c r="R73" i="2"/>
  <c r="N73" i="2"/>
  <c r="O73" i="2" s="1"/>
  <c r="M73" i="2"/>
  <c r="R88" i="2"/>
  <c r="N88" i="2"/>
  <c r="O88" i="2" s="1"/>
  <c r="M88" i="2"/>
  <c r="R44" i="2"/>
  <c r="N44" i="2"/>
  <c r="M44" i="2"/>
  <c r="O44" i="2" s="1"/>
  <c r="N55" i="2"/>
  <c r="M55" i="2"/>
  <c r="O55" i="2" s="1"/>
  <c r="R55" i="2"/>
  <c r="C29" i="1"/>
  <c r="C33" i="1"/>
  <c r="C39" i="1"/>
  <c r="C35" i="1"/>
  <c r="C36" i="1"/>
  <c r="Y51" i="2"/>
  <c r="K51" i="2"/>
  <c r="C32" i="1"/>
  <c r="I164" i="2"/>
  <c r="AT36" i="1"/>
  <c r="M97" i="2"/>
  <c r="L112" i="2"/>
  <c r="U48" i="5"/>
  <c r="K48" i="5"/>
  <c r="W91" i="2"/>
  <c r="X91" i="2" s="1"/>
  <c r="V91" i="2"/>
  <c r="Y73" i="2"/>
  <c r="K73" i="2"/>
  <c r="Y76" i="2"/>
  <c r="K76" i="2"/>
  <c r="W15" i="2"/>
  <c r="X15" i="2" s="1"/>
  <c r="V15" i="2"/>
  <c r="V21" i="2"/>
  <c r="W21" i="2"/>
  <c r="X21" i="2" s="1"/>
  <c r="R15" i="2"/>
  <c r="M15" i="2"/>
  <c r="O15" i="2" s="1"/>
  <c r="N15" i="2"/>
  <c r="N35" i="2"/>
  <c r="M35" i="2"/>
  <c r="O35" i="2" s="1"/>
  <c r="R35" i="2"/>
  <c r="W55" i="2"/>
  <c r="X55" i="2" s="1"/>
  <c r="V55" i="2"/>
  <c r="W57" i="2"/>
  <c r="X57" i="2" s="1"/>
  <c r="V57" i="2"/>
  <c r="O54" i="3"/>
  <c r="O45" i="3"/>
  <c r="O52" i="3"/>
  <c r="M59" i="3"/>
  <c r="J59" i="3"/>
  <c r="O51" i="3"/>
  <c r="O56" i="3"/>
  <c r="O47" i="3"/>
  <c r="AD39" i="1"/>
  <c r="R40" i="1"/>
  <c r="S32" i="1" s="1"/>
  <c r="R91" i="2"/>
  <c r="N91" i="2"/>
  <c r="O91" i="2" s="1"/>
  <c r="M91" i="2"/>
  <c r="R57" i="2"/>
  <c r="N57" i="2"/>
  <c r="M57" i="2"/>
  <c r="O57" i="2" s="1"/>
  <c r="V87" i="2"/>
  <c r="W87" i="2"/>
  <c r="X87" i="2" s="1"/>
  <c r="AR71" i="1"/>
  <c r="AJ71" i="1"/>
  <c r="AD73" i="1"/>
  <c r="V12" i="3"/>
  <c r="V14" i="3"/>
  <c r="V9" i="3"/>
  <c r="T19" i="3"/>
  <c r="K42" i="2"/>
  <c r="Y42" i="2"/>
  <c r="Y29" i="1"/>
  <c r="AC59" i="1"/>
  <c r="U44" i="5"/>
  <c r="K44" i="5"/>
  <c r="K74" i="2"/>
  <c r="Y74" i="2"/>
  <c r="V42" i="2"/>
  <c r="W42" i="2"/>
  <c r="X42" i="2" s="1"/>
  <c r="V50" i="2"/>
  <c r="W50" i="2"/>
  <c r="X50" i="2" s="1"/>
  <c r="Z99" i="1"/>
  <c r="AC85" i="1"/>
  <c r="AN85" i="1"/>
  <c r="K11" i="2"/>
  <c r="Y11" i="2"/>
  <c r="Y15" i="2"/>
  <c r="K15" i="2"/>
  <c r="O46" i="3"/>
  <c r="R84" i="2"/>
  <c r="M84" i="2"/>
  <c r="N84" i="2"/>
  <c r="O84" i="2" s="1"/>
  <c r="M48" i="2"/>
  <c r="O48" i="2" s="1"/>
  <c r="R48" i="2"/>
  <c r="N48" i="2"/>
  <c r="AB31" i="1"/>
  <c r="Z40" i="1"/>
  <c r="AB28" i="1" s="1"/>
  <c r="AD36" i="1"/>
  <c r="AR31" i="1"/>
  <c r="AR27" i="1"/>
  <c r="AD72" i="1"/>
  <c r="K54" i="2"/>
  <c r="Y54" i="2"/>
  <c r="Y60" i="2"/>
  <c r="K60" i="2"/>
  <c r="AD32" i="1"/>
  <c r="I162" i="2"/>
  <c r="AT34" i="1"/>
  <c r="AD68" i="1"/>
  <c r="BB29" i="3"/>
  <c r="BB35" i="3"/>
  <c r="BB32" i="3"/>
  <c r="BB31" i="3"/>
  <c r="BB28" i="3"/>
  <c r="BB34" i="3"/>
  <c r="M102" i="2"/>
  <c r="M108" i="2"/>
  <c r="Y75" i="2"/>
  <c r="K75" i="2"/>
  <c r="K49" i="5"/>
  <c r="U49" i="5"/>
  <c r="W18" i="2"/>
  <c r="X18" i="2" s="1"/>
  <c r="V18" i="2"/>
  <c r="M111" i="2"/>
  <c r="M113" i="2" s="1"/>
  <c r="M19" i="3"/>
  <c r="D19" i="3"/>
  <c r="O7" i="3"/>
  <c r="O17" i="3"/>
  <c r="O9" i="3"/>
  <c r="G19" i="3"/>
  <c r="B19" i="3"/>
  <c r="O6" i="3"/>
  <c r="O14" i="3"/>
  <c r="R27" i="2"/>
  <c r="M27" i="2"/>
  <c r="O27" i="2" s="1"/>
  <c r="N27" i="2"/>
  <c r="N33" i="2"/>
  <c r="M33" i="2"/>
  <c r="O33" i="2" s="1"/>
  <c r="R33" i="2"/>
  <c r="N36" i="2"/>
  <c r="M36" i="2"/>
  <c r="O36" i="2" s="1"/>
  <c r="R36" i="2"/>
  <c r="W58" i="2"/>
  <c r="X58" i="2" s="1"/>
  <c r="V58" i="2"/>
  <c r="W43" i="2"/>
  <c r="X43" i="2" s="1"/>
  <c r="V43" i="2"/>
  <c r="W69" i="2"/>
  <c r="V69" i="2"/>
  <c r="U93" i="2"/>
  <c r="T127" i="1"/>
  <c r="AS21" i="3"/>
  <c r="K22" i="2"/>
  <c r="Y22" i="2"/>
  <c r="Y35" i="2"/>
  <c r="K35" i="2"/>
  <c r="Y30" i="1"/>
  <c r="I171" i="2"/>
  <c r="AO27" i="1"/>
  <c r="AM40" i="1"/>
  <c r="O8" i="3"/>
  <c r="R60" i="2"/>
  <c r="N60" i="2"/>
  <c r="M60" i="2"/>
  <c r="O60" i="2" s="1"/>
  <c r="L31" i="1"/>
  <c r="L29" i="1"/>
  <c r="L27" i="1"/>
  <c r="O50" i="3"/>
  <c r="M176" i="2"/>
  <c r="Y47" i="1"/>
  <c r="BF23" i="2"/>
  <c r="BA25" i="2"/>
  <c r="Y45" i="2"/>
  <c r="K45" i="2"/>
  <c r="Y62" i="2"/>
  <c r="K62" i="2"/>
  <c r="I31" i="1"/>
  <c r="V49" i="1"/>
  <c r="I166" i="2"/>
  <c r="AT38" i="1"/>
  <c r="AI38" i="1"/>
  <c r="Y69" i="2"/>
  <c r="K69" i="2"/>
  <c r="P93" i="2"/>
  <c r="Z65" i="2"/>
  <c r="AD11" i="4"/>
  <c r="AD15" i="4"/>
  <c r="AD5" i="4"/>
  <c r="AB17" i="4"/>
  <c r="AD9" i="4"/>
  <c r="AD7" i="4"/>
  <c r="AD10" i="4"/>
  <c r="W45" i="2"/>
  <c r="X45" i="2" s="1"/>
  <c r="V45" i="2"/>
  <c r="W63" i="2"/>
  <c r="X63" i="2" s="1"/>
  <c r="V63" i="2"/>
  <c r="AG108" i="1"/>
  <c r="AG105" i="1"/>
  <c r="AG106" i="1"/>
  <c r="AE8" i="3"/>
  <c r="AE17" i="3"/>
  <c r="K33" i="2"/>
  <c r="Y33" i="2"/>
  <c r="H95" i="1"/>
  <c r="H86" i="1"/>
  <c r="R70" i="2"/>
  <c r="N70" i="2"/>
  <c r="O70" i="2" s="1"/>
  <c r="M70" i="2"/>
  <c r="N71" i="2"/>
  <c r="O71" i="2" s="1"/>
  <c r="M71" i="2"/>
  <c r="R71" i="2"/>
  <c r="T78" i="1"/>
  <c r="V75" i="1"/>
  <c r="I174" i="2"/>
  <c r="R43" i="2"/>
  <c r="N43" i="2"/>
  <c r="M43" i="2"/>
  <c r="O43" i="2" s="1"/>
  <c r="R41" i="2"/>
  <c r="N41" i="2"/>
  <c r="M41" i="2"/>
  <c r="L65" i="2"/>
  <c r="AH8" i="3"/>
  <c r="C37" i="1"/>
  <c r="W40" i="1"/>
  <c r="Y34" i="1"/>
  <c r="K41" i="2"/>
  <c r="Y41" i="2"/>
  <c r="P65" i="2"/>
  <c r="C28" i="1"/>
  <c r="AB11" i="1"/>
  <c r="I159" i="2"/>
  <c r="AT31" i="1"/>
  <c r="K41" i="5"/>
  <c r="U41" i="5"/>
  <c r="V81" i="2"/>
  <c r="W81" i="2"/>
  <c r="X81" i="2" s="1"/>
  <c r="Y87" i="2"/>
  <c r="K87" i="2"/>
  <c r="R14" i="2"/>
  <c r="N14" i="2"/>
  <c r="M14" i="2"/>
  <c r="O14" i="2" s="1"/>
  <c r="M32" i="2"/>
  <c r="O32" i="2" s="1"/>
  <c r="N32" i="2"/>
  <c r="R32" i="2"/>
  <c r="W48" i="2"/>
  <c r="X48" i="2" s="1"/>
  <c r="V48" i="2"/>
  <c r="Y23" i="2"/>
  <c r="K23" i="2"/>
  <c r="Y27" i="2"/>
  <c r="K27" i="2"/>
  <c r="H84" i="1"/>
  <c r="R77" i="2"/>
  <c r="M77" i="2"/>
  <c r="N77" i="2"/>
  <c r="O77" i="2" s="1"/>
  <c r="R78" i="2"/>
  <c r="M78" i="2"/>
  <c r="N78" i="2"/>
  <c r="O78" i="2" s="1"/>
  <c r="I177" i="2"/>
  <c r="R46" i="2"/>
  <c r="N46" i="2"/>
  <c r="M46" i="2"/>
  <c r="O46" i="2" s="1"/>
  <c r="R61" i="2"/>
  <c r="N61" i="2"/>
  <c r="M61" i="2"/>
  <c r="O61" i="2" s="1"/>
  <c r="AD28" i="1"/>
  <c r="S28" i="1"/>
  <c r="Q65" i="2"/>
  <c r="Q66" i="2" s="1"/>
  <c r="Y50" i="2"/>
  <c r="K50" i="2"/>
  <c r="AB9" i="1"/>
  <c r="I155" i="2"/>
  <c r="AI27" i="1"/>
  <c r="AH40" i="1"/>
  <c r="AI34" i="1" s="1"/>
  <c r="AT27" i="1"/>
  <c r="W88" i="2"/>
  <c r="X88" i="2" s="1"/>
  <c r="V88" i="2"/>
  <c r="K53" i="5"/>
  <c r="U53" i="5"/>
  <c r="F112" i="2"/>
  <c r="W80" i="2"/>
  <c r="X80" i="2" s="1"/>
  <c r="V80" i="2"/>
  <c r="M105" i="2"/>
  <c r="Y88" i="2"/>
  <c r="K88" i="2"/>
  <c r="D122" i="1"/>
  <c r="D129" i="1"/>
  <c r="D134" i="1"/>
  <c r="B138" i="1"/>
  <c r="D126" i="1"/>
  <c r="K31" i="2"/>
  <c r="Y31" i="2"/>
  <c r="K25" i="2"/>
  <c r="Y25" i="2"/>
  <c r="R90" i="2"/>
  <c r="N90" i="2"/>
  <c r="O90" i="2" s="1"/>
  <c r="M90" i="2"/>
  <c r="I178" i="2"/>
  <c r="AO34" i="1"/>
  <c r="L67" i="1"/>
  <c r="R63" i="2"/>
  <c r="N63" i="2"/>
  <c r="M63" i="2"/>
  <c r="O63" i="2" s="1"/>
  <c r="AC21" i="1"/>
  <c r="AE15" i="1" s="1"/>
  <c r="AL35" i="1"/>
  <c r="AL31" i="1"/>
  <c r="AL34" i="1"/>
  <c r="AL27" i="1"/>
  <c r="K52" i="2"/>
  <c r="Y52" i="2"/>
  <c r="K53" i="2"/>
  <c r="Y53" i="2"/>
  <c r="AD67" i="1"/>
  <c r="I158" i="2"/>
  <c r="AI30" i="1"/>
  <c r="AT30" i="1"/>
  <c r="F65" i="2"/>
  <c r="H65" i="2" s="1"/>
  <c r="H42" i="2"/>
  <c r="W71" i="2"/>
  <c r="X71" i="2" s="1"/>
  <c r="V71" i="2"/>
  <c r="J44" i="5"/>
  <c r="M110" i="2"/>
  <c r="Y85" i="2"/>
  <c r="K85" i="2"/>
  <c r="W46" i="2"/>
  <c r="X46" i="2" s="1"/>
  <c r="V46" i="2"/>
  <c r="O10" i="3"/>
  <c r="W84" i="2"/>
  <c r="X84" i="2" s="1"/>
  <c r="V84" i="2"/>
  <c r="K77" i="2"/>
  <c r="Y77" i="2"/>
  <c r="Y91" i="2"/>
  <c r="K91" i="2"/>
  <c r="K107" i="2"/>
  <c r="N31" i="2"/>
  <c r="R31" i="2"/>
  <c r="M31" i="2"/>
  <c r="O31" i="2" s="1"/>
  <c r="Z117" i="2"/>
  <c r="AA117" i="2" s="1"/>
  <c r="Y117" i="2"/>
  <c r="V59" i="2"/>
  <c r="W59" i="2"/>
  <c r="X59" i="2" s="1"/>
  <c r="N116" i="2"/>
  <c r="M116" i="2"/>
  <c r="O116" i="2" s="1"/>
  <c r="T124" i="1"/>
  <c r="L125" i="1"/>
  <c r="I116" i="1"/>
  <c r="R92" i="2"/>
  <c r="N92" i="2"/>
  <c r="O92" i="2" s="1"/>
  <c r="M92" i="2"/>
  <c r="I172" i="2"/>
  <c r="AO28" i="1"/>
  <c r="I173" i="2"/>
  <c r="AO29" i="1"/>
  <c r="S117" i="2"/>
  <c r="R117" i="2"/>
  <c r="T117" i="2" s="1"/>
  <c r="P124" i="1"/>
  <c r="AL33" i="1"/>
  <c r="I165" i="2"/>
  <c r="AT37" i="1"/>
  <c r="N12" i="2"/>
  <c r="M12" i="2"/>
  <c r="O12" i="2" s="1"/>
  <c r="R12" i="2"/>
  <c r="Y70" i="2"/>
  <c r="K70" i="2"/>
  <c r="K108" i="2"/>
  <c r="N22" i="2"/>
  <c r="M22" i="2"/>
  <c r="R22" i="2"/>
  <c r="G59" i="3"/>
  <c r="W70" i="2"/>
  <c r="X70" i="2" s="1"/>
  <c r="V70" i="2"/>
  <c r="M98" i="2"/>
  <c r="Y90" i="2"/>
  <c r="K90" i="2"/>
  <c r="K78" i="2"/>
  <c r="Y78" i="2"/>
  <c r="K97" i="2"/>
  <c r="P112" i="2"/>
  <c r="C27" i="1"/>
  <c r="C38" i="1"/>
  <c r="R116" i="2"/>
  <c r="T116" i="2" s="1"/>
  <c r="S116" i="2"/>
  <c r="AD4" i="4"/>
  <c r="W54" i="2"/>
  <c r="X54" i="2" s="1"/>
  <c r="V54" i="2"/>
  <c r="L130" i="1"/>
  <c r="G48" i="4"/>
  <c r="R47" i="4"/>
  <c r="E116" i="1"/>
  <c r="H106" i="1" s="1"/>
  <c r="R19" i="3"/>
  <c r="AC18" i="3"/>
  <c r="AE11" i="3" s="1"/>
  <c r="S13" i="3"/>
  <c r="S8" i="3"/>
  <c r="S12" i="3"/>
  <c r="S15" i="3"/>
  <c r="Y20" i="2"/>
  <c r="K20" i="2"/>
  <c r="K13" i="2"/>
  <c r="Y13" i="2"/>
  <c r="S106" i="1"/>
  <c r="Y70" i="1"/>
  <c r="R86" i="2"/>
  <c r="N86" i="2"/>
  <c r="O86" i="2" s="1"/>
  <c r="M86" i="2"/>
  <c r="M40" i="1"/>
  <c r="R50" i="2"/>
  <c r="N50" i="2"/>
  <c r="M50" i="2"/>
  <c r="O50" i="2" s="1"/>
  <c r="R56" i="2"/>
  <c r="N56" i="2"/>
  <c r="M56" i="2"/>
  <c r="O56" i="2" s="1"/>
  <c r="H127" i="1"/>
  <c r="L129" i="1"/>
  <c r="L28" i="1"/>
  <c r="Y57" i="2"/>
  <c r="K57" i="2"/>
  <c r="AX27" i="3"/>
  <c r="AX34" i="3"/>
  <c r="AX26" i="3"/>
  <c r="AX33" i="3"/>
  <c r="BJ5" i="3"/>
  <c r="AX36" i="3"/>
  <c r="AX28" i="3"/>
  <c r="AX25" i="3"/>
  <c r="AX29" i="3"/>
  <c r="AX31" i="3"/>
  <c r="AX18" i="3"/>
  <c r="AX37" i="3"/>
  <c r="AX35" i="3"/>
  <c r="AX30" i="3"/>
  <c r="AX32" i="3"/>
  <c r="W13" i="2"/>
  <c r="X13" i="2" s="1"/>
  <c r="V13" i="2"/>
  <c r="R25" i="2"/>
  <c r="N25" i="2"/>
  <c r="M25" i="2"/>
  <c r="O25" i="2" s="1"/>
  <c r="Y82" i="2"/>
  <c r="K82" i="2"/>
  <c r="J65" i="2"/>
  <c r="O5" i="3"/>
  <c r="W62" i="2"/>
  <c r="X62" i="2" s="1"/>
  <c r="V62" i="2"/>
  <c r="AE26" i="3"/>
  <c r="O53" i="3"/>
  <c r="Y69" i="1"/>
  <c r="AD71" i="1"/>
  <c r="BD26" i="3"/>
  <c r="BD30" i="3"/>
  <c r="BD27" i="3"/>
  <c r="BD32" i="3"/>
  <c r="BC18" i="3"/>
  <c r="BD29" i="3"/>
  <c r="BD31" i="3"/>
  <c r="BD25" i="3"/>
  <c r="BD28" i="3"/>
  <c r="T60" i="1"/>
  <c r="V51" i="1"/>
  <c r="V56" i="1"/>
  <c r="V53" i="1"/>
  <c r="V50" i="1"/>
  <c r="V47" i="1"/>
  <c r="V46" i="1"/>
  <c r="N59" i="2"/>
  <c r="M59" i="2"/>
  <c r="O59" i="2" s="1"/>
  <c r="R59" i="2"/>
  <c r="AD38" i="1"/>
  <c r="S38" i="1"/>
  <c r="D133" i="1"/>
  <c r="P125" i="1"/>
  <c r="AE18" i="1"/>
  <c r="AB10" i="1"/>
  <c r="Y43" i="2"/>
  <c r="K43" i="2"/>
  <c r="AL30" i="1"/>
  <c r="BJ4" i="3"/>
  <c r="BK4" i="3" s="1"/>
  <c r="AY4" i="3"/>
  <c r="AX24" i="3"/>
  <c r="W90" i="2"/>
  <c r="X90" i="2" s="1"/>
  <c r="V90" i="2"/>
  <c r="M103" i="2"/>
  <c r="N29" i="2"/>
  <c r="M29" i="2"/>
  <c r="O29" i="2" s="1"/>
  <c r="R29" i="2"/>
  <c r="W77" i="2"/>
  <c r="X77" i="2" s="1"/>
  <c r="V77" i="2"/>
  <c r="M100" i="2"/>
  <c r="Y92" i="2"/>
  <c r="K92" i="2"/>
  <c r="R17" i="2"/>
  <c r="N17" i="2"/>
  <c r="M17" i="2"/>
  <c r="O17" i="2" s="1"/>
  <c r="K110" i="2"/>
  <c r="K98" i="2"/>
  <c r="W22" i="2"/>
  <c r="X22" i="2" s="1"/>
  <c r="V22" i="2"/>
  <c r="Y84" i="2"/>
  <c r="K84" i="2"/>
  <c r="M166" i="2"/>
  <c r="S112" i="1"/>
  <c r="AE34" i="3"/>
  <c r="W49" i="2"/>
  <c r="X49" i="2" s="1"/>
  <c r="V49" i="2"/>
  <c r="BH27" i="3"/>
  <c r="BH28" i="3"/>
  <c r="BH26" i="3"/>
  <c r="D59" i="3"/>
  <c r="V17" i="4"/>
  <c r="Y36" i="2"/>
  <c r="K36" i="2"/>
  <c r="Y65" i="1"/>
  <c r="AD65" i="1"/>
  <c r="Y50" i="1"/>
  <c r="Y53" i="1"/>
  <c r="Y51" i="1"/>
  <c r="Y48" i="1"/>
  <c r="Y52" i="1"/>
  <c r="R72" i="2"/>
  <c r="N72" i="2"/>
  <c r="O72" i="2" s="1"/>
  <c r="M72" i="2"/>
  <c r="AC38" i="3"/>
  <c r="AE25" i="3" s="1"/>
  <c r="C34" i="1"/>
  <c r="R53" i="2"/>
  <c r="N53" i="2"/>
  <c r="M53" i="2"/>
  <c r="O53" i="2" s="1"/>
  <c r="N52" i="2"/>
  <c r="M52" i="2"/>
  <c r="O52" i="2" s="1"/>
  <c r="R52" i="2"/>
  <c r="AE17" i="1"/>
  <c r="AE13" i="1"/>
  <c r="AD99" i="1"/>
  <c r="AG84" i="1"/>
  <c r="O57" i="3"/>
  <c r="Y33" i="1"/>
  <c r="Y47" i="2"/>
  <c r="K47" i="2"/>
  <c r="K55" i="2"/>
  <c r="Y55" i="2"/>
  <c r="D135" i="1"/>
  <c r="W85" i="2"/>
  <c r="X85" i="2" s="1"/>
  <c r="V85" i="2"/>
  <c r="M99" i="2"/>
  <c r="M104" i="2"/>
  <c r="W10" i="2"/>
  <c r="V10" i="2"/>
  <c r="V17" i="2"/>
  <c r="W17" i="2"/>
  <c r="X17" i="2" s="1"/>
  <c r="W16" i="2"/>
  <c r="X16" i="2" s="1"/>
  <c r="V16" i="2"/>
  <c r="K45" i="5"/>
  <c r="U45" i="5"/>
  <c r="V32" i="2"/>
  <c r="W32" i="2"/>
  <c r="X32" i="2" s="1"/>
  <c r="AD33" i="1"/>
  <c r="K10" i="2"/>
  <c r="Y10" i="2"/>
  <c r="AF17" i="2"/>
  <c r="P37" i="2"/>
  <c r="Y34" i="2"/>
  <c r="Y66" i="1"/>
  <c r="AD74" i="1"/>
  <c r="R80" i="2"/>
  <c r="N80" i="2"/>
  <c r="O80" i="2" s="1"/>
  <c r="M80" i="2"/>
  <c r="R81" i="2"/>
  <c r="N81" i="2"/>
  <c r="O81" i="2" s="1"/>
  <c r="M81" i="2"/>
  <c r="T39" i="3"/>
  <c r="I175" i="2"/>
  <c r="AO31" i="1"/>
  <c r="R47" i="2"/>
  <c r="N47" i="2"/>
  <c r="M47" i="2"/>
  <c r="O47" i="2" s="1"/>
  <c r="B59" i="3"/>
  <c r="Y63" i="2"/>
  <c r="K63" i="2"/>
  <c r="D131" i="1"/>
  <c r="AE10" i="1"/>
  <c r="I33" i="1"/>
  <c r="L68" i="1"/>
  <c r="L30" i="1"/>
  <c r="T44" i="4"/>
  <c r="Q112" i="2"/>
  <c r="Y86" i="2"/>
  <c r="K86" i="2"/>
  <c r="W27" i="2"/>
  <c r="X27" i="2" s="1"/>
  <c r="V27" i="2"/>
  <c r="M117" i="2"/>
  <c r="O117" i="2" s="1"/>
  <c r="N117" i="2"/>
  <c r="N11" i="2"/>
  <c r="M11" i="2"/>
  <c r="O11" i="2" s="1"/>
  <c r="R11" i="2"/>
  <c r="W41" i="2"/>
  <c r="V41" i="2"/>
  <c r="U65" i="2"/>
  <c r="K17" i="2"/>
  <c r="Y17" i="2"/>
  <c r="O7" i="4"/>
  <c r="M17" i="4"/>
  <c r="O6" i="4"/>
  <c r="O3" i="4"/>
  <c r="O11" i="4"/>
  <c r="O8" i="4"/>
  <c r="G17" i="4"/>
  <c r="D17" i="4"/>
  <c r="O14" i="4"/>
  <c r="L122" i="1"/>
  <c r="L126" i="1"/>
  <c r="L127" i="1"/>
  <c r="L128" i="1"/>
  <c r="Y67" i="1"/>
  <c r="M78" i="1"/>
  <c r="O65" i="1" s="1"/>
  <c r="R79" i="2"/>
  <c r="N79" i="2"/>
  <c r="O79" i="2" s="1"/>
  <c r="M79" i="2"/>
  <c r="S30" i="1"/>
  <c r="AD30" i="1"/>
  <c r="N49" i="2"/>
  <c r="M49" i="2"/>
  <c r="O49" i="2" s="1"/>
  <c r="R49" i="2"/>
  <c r="D125" i="1"/>
  <c r="V55" i="1"/>
  <c r="BB33" i="3"/>
  <c r="Y58" i="2"/>
  <c r="K58" i="2"/>
  <c r="K46" i="2"/>
  <c r="Y46" i="2"/>
  <c r="T131" i="1"/>
  <c r="P84" i="1"/>
  <c r="H88" i="1"/>
  <c r="AR28" i="1"/>
  <c r="I157" i="2"/>
  <c r="AI29" i="1"/>
  <c r="AT29" i="1"/>
  <c r="V30" i="2"/>
  <c r="W30" i="2"/>
  <c r="X30" i="2" s="1"/>
  <c r="Q93" i="2"/>
  <c r="N24" i="2"/>
  <c r="R24" i="2"/>
  <c r="M24" i="2"/>
  <c r="O24" i="2" s="1"/>
  <c r="Y71" i="2"/>
  <c r="K71" i="2"/>
  <c r="J93" i="2"/>
  <c r="AD14" i="4"/>
  <c r="O15" i="3"/>
  <c r="Y26" i="2"/>
  <c r="K26" i="2"/>
  <c r="Y12" i="2"/>
  <c r="K12" i="2"/>
  <c r="Y68" i="1"/>
  <c r="AD69" i="1"/>
  <c r="R74" i="2"/>
  <c r="M74" i="2"/>
  <c r="N74" i="2"/>
  <c r="O74" i="2" s="1"/>
  <c r="M58" i="2"/>
  <c r="O58" i="2" s="1"/>
  <c r="N58" i="2"/>
  <c r="R58" i="2"/>
  <c r="O66" i="1"/>
  <c r="AB12" i="1"/>
  <c r="T125" i="1"/>
  <c r="D132" i="1"/>
  <c r="AG109" i="1"/>
  <c r="AN96" i="1"/>
  <c r="AI20" i="1"/>
  <c r="AI18" i="1"/>
  <c r="AI19" i="1"/>
  <c r="AI17" i="1"/>
  <c r="AI13" i="1"/>
  <c r="AI12" i="1"/>
  <c r="AI11" i="1"/>
  <c r="AS21" i="1"/>
  <c r="AH22" i="1" s="1"/>
  <c r="AI9" i="1"/>
  <c r="AI16" i="1"/>
  <c r="AI15" i="1"/>
  <c r="AI10" i="1"/>
  <c r="AI14" i="1"/>
  <c r="R30" i="2"/>
  <c r="M30" i="2"/>
  <c r="O30" i="2" s="1"/>
  <c r="N30" i="2"/>
  <c r="Y80" i="2"/>
  <c r="K80" i="2"/>
  <c r="W92" i="2"/>
  <c r="X92" i="2" s="1"/>
  <c r="V92" i="2"/>
  <c r="W51" i="2"/>
  <c r="X51" i="2" s="1"/>
  <c r="V51" i="2"/>
  <c r="Y83" i="2"/>
  <c r="K83" i="2"/>
  <c r="AE30" i="3"/>
  <c r="AE9" i="3"/>
  <c r="W61" i="2"/>
  <c r="X61" i="2" s="1"/>
  <c r="V61" i="2"/>
  <c r="O13" i="4"/>
  <c r="K28" i="2"/>
  <c r="Y28" i="2"/>
  <c r="K19" i="2"/>
  <c r="Y19" i="2"/>
  <c r="Y71" i="1"/>
  <c r="AD75" i="1"/>
  <c r="R69" i="2"/>
  <c r="M69" i="2"/>
  <c r="L93" i="2"/>
  <c r="N69" i="2"/>
  <c r="S118" i="2"/>
  <c r="R118" i="2"/>
  <c r="N45" i="2"/>
  <c r="R45" i="2"/>
  <c r="M45" i="2"/>
  <c r="O45" i="2" s="1"/>
  <c r="H89" i="1"/>
  <c r="AO69" i="1"/>
  <c r="AH72" i="1" s="1"/>
  <c r="AG91" i="1"/>
  <c r="AN91" i="1"/>
  <c r="P106" i="1"/>
  <c r="K48" i="2"/>
  <c r="Y48" i="2"/>
  <c r="K56" i="2"/>
  <c r="Y56" i="2"/>
  <c r="O75" i="1"/>
  <c r="H87" i="1"/>
  <c r="AG107" i="1"/>
  <c r="I161" i="2"/>
  <c r="AT33" i="1"/>
  <c r="AI33" i="1"/>
  <c r="J48" i="5"/>
  <c r="Z118" i="2"/>
  <c r="AA118" i="2" s="1"/>
  <c r="Y118" i="2"/>
  <c r="N34" i="2"/>
  <c r="M34" i="2"/>
  <c r="O34" i="2" s="1"/>
  <c r="R34" i="2"/>
  <c r="V89" i="2"/>
  <c r="W89" i="2"/>
  <c r="X89" i="2" s="1"/>
  <c r="W11" i="2"/>
  <c r="X11" i="2" s="1"/>
  <c r="V11" i="2"/>
  <c r="V52" i="2"/>
  <c r="W52" i="2"/>
  <c r="X52" i="2" s="1"/>
  <c r="M107" i="2"/>
  <c r="W36" i="2"/>
  <c r="X36" i="2" s="1"/>
  <c r="V36" i="2"/>
  <c r="R39" i="3"/>
  <c r="W26" i="2"/>
  <c r="X26" i="2" s="1"/>
  <c r="V26" i="2"/>
  <c r="W73" i="2"/>
  <c r="X73" i="2" s="1"/>
  <c r="V73" i="2"/>
  <c r="W82" i="2"/>
  <c r="X82" i="2" s="1"/>
  <c r="V82" i="2"/>
  <c r="K81" i="2"/>
  <c r="Y81" i="2"/>
  <c r="W31" i="2"/>
  <c r="X31" i="2" s="1"/>
  <c r="V31" i="2"/>
  <c r="W76" i="2"/>
  <c r="X76" i="2" s="1"/>
  <c r="V76" i="2"/>
  <c r="R13" i="2"/>
  <c r="N13" i="2"/>
  <c r="M13" i="2"/>
  <c r="AE16" i="3"/>
  <c r="M18" i="2"/>
  <c r="O18" i="2" s="1"/>
  <c r="N18" i="2"/>
  <c r="R18" i="2"/>
  <c r="R16" i="2"/>
  <c r="N16" i="2"/>
  <c r="M16" i="2"/>
  <c r="O16" i="2" s="1"/>
  <c r="W47" i="2"/>
  <c r="X47" i="2" s="1"/>
  <c r="V47" i="2"/>
  <c r="T123" i="1"/>
  <c r="S7" i="3"/>
  <c r="O13" i="3"/>
  <c r="S5" i="3"/>
  <c r="Q37" i="2"/>
  <c r="Y24" i="2"/>
  <c r="K24" i="2"/>
  <c r="H90" i="1"/>
  <c r="L123" i="1"/>
  <c r="O12" i="3"/>
  <c r="C73" i="1"/>
  <c r="C75" i="1"/>
  <c r="C69" i="1"/>
  <c r="C68" i="1"/>
  <c r="C76" i="1"/>
  <c r="T40" i="1"/>
  <c r="V36" i="1" s="1"/>
  <c r="C105" i="1"/>
  <c r="B115" i="1"/>
  <c r="Q115" i="1" s="1"/>
  <c r="R105" i="1"/>
  <c r="H85" i="1"/>
  <c r="AJ106" i="1"/>
  <c r="AH115" i="1"/>
  <c r="V48" i="1"/>
  <c r="AE14" i="1"/>
  <c r="K61" i="2"/>
  <c r="Y61" i="2"/>
  <c r="K59" i="2"/>
  <c r="Y59" i="2"/>
  <c r="C71" i="1"/>
  <c r="P87" i="1"/>
  <c r="I163" i="2"/>
  <c r="AT35" i="1"/>
  <c r="AI35" i="1"/>
  <c r="V86" i="2"/>
  <c r="W86" i="2"/>
  <c r="X86" i="2" s="1"/>
  <c r="W33" i="2"/>
  <c r="X33" i="2" s="1"/>
  <c r="V33" i="2"/>
  <c r="K109" i="2"/>
  <c r="W14" i="2"/>
  <c r="X14" i="2" s="1"/>
  <c r="V14" i="2"/>
  <c r="W74" i="2"/>
  <c r="X74" i="2" s="1"/>
  <c r="V74" i="2"/>
  <c r="J112" i="2"/>
  <c r="S35" i="1"/>
  <c r="AD35" i="1"/>
  <c r="D127" i="1"/>
  <c r="M23" i="2"/>
  <c r="O23" i="2" s="1"/>
  <c r="R23" i="2"/>
  <c r="N23" i="2"/>
  <c r="AE28" i="3"/>
  <c r="O9" i="4"/>
  <c r="W60" i="2"/>
  <c r="X60" i="2" s="1"/>
  <c r="V60" i="2"/>
  <c r="AH116" i="1"/>
  <c r="AK105" i="1" s="1"/>
  <c r="G93" i="2"/>
  <c r="Y17" i="4"/>
  <c r="K30" i="2"/>
  <c r="Y30" i="2"/>
  <c r="Y14" i="2"/>
  <c r="K14" i="2"/>
  <c r="K16" i="2"/>
  <c r="Y16" i="2"/>
  <c r="I27" i="1"/>
  <c r="R89" i="2"/>
  <c r="N89" i="2"/>
  <c r="O89" i="2" s="1"/>
  <c r="M89" i="2"/>
  <c r="AE9" i="1"/>
  <c r="S84" i="1"/>
  <c r="R64" i="2"/>
  <c r="N64" i="2"/>
  <c r="M64" i="2"/>
  <c r="O64" i="2" s="1"/>
  <c r="AD66" i="1"/>
  <c r="AD37" i="1"/>
  <c r="AK88" i="1"/>
  <c r="AK85" i="1"/>
  <c r="AB109" i="1"/>
  <c r="Y44" i="2"/>
  <c r="K44" i="2"/>
  <c r="K49" i="2"/>
  <c r="Y49" i="2"/>
  <c r="C70" i="1"/>
  <c r="I160" i="2"/>
  <c r="AT32" i="1"/>
  <c r="AI32" i="1"/>
  <c r="W72" i="2"/>
  <c r="X72" i="2" s="1"/>
  <c r="V72" i="2"/>
  <c r="W79" i="2"/>
  <c r="X79" i="2" s="1"/>
  <c r="V79" i="2"/>
  <c r="Y72" i="2"/>
  <c r="K72" i="2"/>
  <c r="M79" i="3"/>
  <c r="B80" i="3" s="1"/>
  <c r="W83" i="2"/>
  <c r="X83" i="2" s="1"/>
  <c r="V83" i="2"/>
  <c r="N10" i="2"/>
  <c r="M10" i="2"/>
  <c r="L37" i="2"/>
  <c r="R10" i="2"/>
  <c r="AF11" i="2"/>
  <c r="F93" i="2"/>
  <c r="H93" i="2" s="1"/>
  <c r="AG81" i="2"/>
  <c r="AG69" i="2"/>
  <c r="AG70" i="2" s="1"/>
  <c r="W75" i="2"/>
  <c r="X75" i="2" s="1"/>
  <c r="V75" i="2"/>
  <c r="Y79" i="2"/>
  <c r="K79" i="2"/>
  <c r="K100" i="2"/>
  <c r="U52" i="5"/>
  <c r="K52" i="5"/>
  <c r="W25" i="2"/>
  <c r="X25" i="2" s="1"/>
  <c r="V25" i="2"/>
  <c r="W78" i="2"/>
  <c r="X78" i="2" s="1"/>
  <c r="V78" i="2"/>
  <c r="W24" i="2"/>
  <c r="X24" i="2" s="1"/>
  <c r="V24" i="2"/>
  <c r="W53" i="2"/>
  <c r="X53" i="2" s="1"/>
  <c r="V53" i="2"/>
  <c r="AD12" i="4"/>
  <c r="K32" i="2"/>
  <c r="Y32" i="2"/>
  <c r="S107" i="1"/>
  <c r="H122" i="1"/>
  <c r="H123" i="1"/>
  <c r="H133" i="1"/>
  <c r="H129" i="1"/>
  <c r="H125" i="1"/>
  <c r="H124" i="1"/>
  <c r="H128" i="1"/>
  <c r="M83" i="2"/>
  <c r="R83" i="2"/>
  <c r="N83" i="2"/>
  <c r="O83" i="2" s="1"/>
  <c r="R75" i="2"/>
  <c r="N75" i="2"/>
  <c r="O75" i="2" s="1"/>
  <c r="M75" i="2"/>
  <c r="R51" i="2"/>
  <c r="M51" i="2"/>
  <c r="O51" i="2" s="1"/>
  <c r="N51" i="2"/>
  <c r="AD77" i="1"/>
  <c r="R78" i="1"/>
  <c r="S71" i="1" s="1"/>
  <c r="O11" i="3"/>
  <c r="AK84" i="1"/>
  <c r="AD76" i="1"/>
  <c r="AG87" i="1"/>
  <c r="AD31" i="1"/>
  <c r="S31" i="1"/>
  <c r="AK89" i="1"/>
  <c r="Y64" i="2"/>
  <c r="K64" i="2"/>
  <c r="H91" i="1"/>
  <c r="C72" i="1"/>
  <c r="L65" i="1"/>
  <c r="I156" i="2"/>
  <c r="AI28" i="1"/>
  <c r="AT28" i="1"/>
  <c r="AL36" i="1"/>
  <c r="AM110" i="1" l="1"/>
  <c r="AM109" i="1"/>
  <c r="W99" i="1"/>
  <c r="Y96" i="1" s="1"/>
  <c r="AL98" i="1"/>
  <c r="X113" i="1"/>
  <c r="AN113" i="1" s="1"/>
  <c r="AN90" i="1"/>
  <c r="W115" i="1"/>
  <c r="AM111" i="1"/>
  <c r="X111" i="1"/>
  <c r="AN111" i="1" s="1"/>
  <c r="AL99" i="1"/>
  <c r="AO88" i="1" s="1"/>
  <c r="AM106" i="1"/>
  <c r="AL115" i="1" s="1"/>
  <c r="S37" i="1"/>
  <c r="S36" i="1"/>
  <c r="O67" i="1"/>
  <c r="S76" i="1"/>
  <c r="S77" i="1"/>
  <c r="S75" i="1"/>
  <c r="S33" i="1"/>
  <c r="H105" i="1"/>
  <c r="H109" i="1"/>
  <c r="H111" i="1"/>
  <c r="H110" i="1"/>
  <c r="B79" i="1"/>
  <c r="AB68" i="1"/>
  <c r="K34" i="2"/>
  <c r="K37" i="2" s="1"/>
  <c r="AG40" i="2"/>
  <c r="N37" i="2"/>
  <c r="AG39" i="2"/>
  <c r="O76" i="3"/>
  <c r="V30" i="1"/>
  <c r="V29" i="1"/>
  <c r="V93" i="2"/>
  <c r="G34" i="2"/>
  <c r="G37" i="2" s="1"/>
  <c r="F34" i="2"/>
  <c r="F37" i="2" s="1"/>
  <c r="E37" i="2"/>
  <c r="BJ27" i="3"/>
  <c r="AU29" i="1"/>
  <c r="O37" i="1"/>
  <c r="M41" i="1"/>
  <c r="O34" i="1"/>
  <c r="O39" i="1"/>
  <c r="O31" i="1"/>
  <c r="O29" i="1"/>
  <c r="O30" i="1"/>
  <c r="O32" i="1"/>
  <c r="O36" i="1"/>
  <c r="O38" i="1"/>
  <c r="O35" i="1"/>
  <c r="D41" i="1"/>
  <c r="AH9" i="3"/>
  <c r="AH10" i="3" s="1"/>
  <c r="AH11" i="3" s="1"/>
  <c r="AH12" i="3" s="1"/>
  <c r="AH13" i="3" s="1"/>
  <c r="AH14" i="3" s="1"/>
  <c r="G99" i="2"/>
  <c r="G112" i="2" s="1"/>
  <c r="V66" i="1"/>
  <c r="V65" i="1"/>
  <c r="W93" i="2"/>
  <c r="X93" i="2" s="1"/>
  <c r="X69" i="2"/>
  <c r="O77" i="3"/>
  <c r="AC60" i="1"/>
  <c r="AE47" i="1"/>
  <c r="AE52" i="1"/>
  <c r="AE55" i="1"/>
  <c r="AE48" i="1"/>
  <c r="AE57" i="1"/>
  <c r="AE51" i="1"/>
  <c r="Z60" i="1"/>
  <c r="R60" i="1"/>
  <c r="AE54" i="1"/>
  <c r="AE56" i="1"/>
  <c r="AE53" i="1"/>
  <c r="V70" i="1"/>
  <c r="Y72" i="1"/>
  <c r="AB118" i="2"/>
  <c r="T118" i="2"/>
  <c r="AE46" i="1"/>
  <c r="Z39" i="3"/>
  <c r="L108" i="1"/>
  <c r="L106" i="1"/>
  <c r="L107" i="1"/>
  <c r="AU31" i="1"/>
  <c r="AU33" i="1"/>
  <c r="AI31" i="1"/>
  <c r="P94" i="2"/>
  <c r="M112" i="2"/>
  <c r="O69" i="2"/>
  <c r="N93" i="2"/>
  <c r="O93" i="2" s="1"/>
  <c r="V72" i="1"/>
  <c r="O27" i="1"/>
  <c r="L94" i="2"/>
  <c r="AQ15" i="2"/>
  <c r="AN15" i="2"/>
  <c r="M93" i="2"/>
  <c r="AG82" i="2"/>
  <c r="S74" i="1"/>
  <c r="BH37" i="2"/>
  <c r="O22" i="2"/>
  <c r="AI37" i="1"/>
  <c r="AU27" i="1"/>
  <c r="K93" i="2"/>
  <c r="Z22" i="1"/>
  <c r="AS22" i="1"/>
  <c r="AU12" i="1"/>
  <c r="AU19" i="1"/>
  <c r="AU14" i="1"/>
  <c r="AU20" i="1"/>
  <c r="AM22" i="1"/>
  <c r="AJ22" i="1"/>
  <c r="AU9" i="1"/>
  <c r="AU16" i="1"/>
  <c r="AU17" i="1"/>
  <c r="AP22" i="1"/>
  <c r="AU10" i="1"/>
  <c r="AU13" i="1"/>
  <c r="AU15" i="1"/>
  <c r="AU11" i="1"/>
  <c r="AU18" i="1"/>
  <c r="O66" i="3"/>
  <c r="R93" i="2"/>
  <c r="AE29" i="3"/>
  <c r="BJ32" i="3"/>
  <c r="AU37" i="1"/>
  <c r="J79" i="1"/>
  <c r="AS40" i="1"/>
  <c r="Y93" i="2"/>
  <c r="AU34" i="1"/>
  <c r="AB27" i="1"/>
  <c r="AB30" i="1"/>
  <c r="AB29" i="1"/>
  <c r="AI36" i="1"/>
  <c r="AI39" i="1"/>
  <c r="BJ30" i="3"/>
  <c r="AC19" i="3"/>
  <c r="AE12" i="3"/>
  <c r="Z19" i="3"/>
  <c r="AE4" i="3"/>
  <c r="W19" i="3"/>
  <c r="AE10" i="3"/>
  <c r="AE14" i="3"/>
  <c r="AE58" i="1"/>
  <c r="AM41" i="1"/>
  <c r="AO32" i="1"/>
  <c r="AU36" i="1"/>
  <c r="AB69" i="1"/>
  <c r="AU39" i="1"/>
  <c r="O67" i="3"/>
  <c r="BJ35" i="3"/>
  <c r="I168" i="2"/>
  <c r="AE49" i="1"/>
  <c r="AE50" i="1"/>
  <c r="BE28" i="3"/>
  <c r="Z24" i="2"/>
  <c r="Z35" i="2"/>
  <c r="Z20" i="2"/>
  <c r="Z29" i="2"/>
  <c r="BJ37" i="3"/>
  <c r="H107" i="1"/>
  <c r="H112" i="1"/>
  <c r="H108" i="1"/>
  <c r="L66" i="2"/>
  <c r="AQ14" i="2"/>
  <c r="AN14" i="2"/>
  <c r="I179" i="2"/>
  <c r="BC38" i="3"/>
  <c r="BE25" i="3"/>
  <c r="AY13" i="3"/>
  <c r="AY8" i="3"/>
  <c r="AY16" i="3"/>
  <c r="AY14" i="3"/>
  <c r="AY9" i="3"/>
  <c r="AY10" i="3"/>
  <c r="AY7" i="3"/>
  <c r="AY6" i="3"/>
  <c r="BI18" i="3"/>
  <c r="AX19" i="3" s="1"/>
  <c r="AY15" i="3"/>
  <c r="AY12" i="3"/>
  <c r="AY11" i="3"/>
  <c r="AY17" i="3"/>
  <c r="O41" i="2"/>
  <c r="M65" i="2"/>
  <c r="O65" i="2" s="1"/>
  <c r="AG65" i="2" s="1"/>
  <c r="AG66" i="2" s="1"/>
  <c r="AU38" i="1"/>
  <c r="AU8" i="1"/>
  <c r="N65" i="2"/>
  <c r="S27" i="1"/>
  <c r="AC40" i="1"/>
  <c r="T41" i="1" s="1"/>
  <c r="S29" i="1"/>
  <c r="AB66" i="1"/>
  <c r="AB65" i="1"/>
  <c r="AN107" i="1"/>
  <c r="V28" i="1"/>
  <c r="V31" i="1"/>
  <c r="V27" i="1"/>
  <c r="V34" i="1"/>
  <c r="Z79" i="2"/>
  <c r="Z72" i="2"/>
  <c r="Z92" i="2"/>
  <c r="Z89" i="2"/>
  <c r="Z69" i="2"/>
  <c r="Z86" i="2"/>
  <c r="Z90" i="2"/>
  <c r="Z88" i="2"/>
  <c r="Z84" i="2"/>
  <c r="Z75" i="2"/>
  <c r="Z73" i="2"/>
  <c r="Z80" i="2"/>
  <c r="Z82" i="2"/>
  <c r="Z71" i="2"/>
  <c r="Z81" i="2"/>
  <c r="BE29" i="3"/>
  <c r="Z70" i="2"/>
  <c r="Z77" i="2"/>
  <c r="AY5" i="3"/>
  <c r="O33" i="1"/>
  <c r="AO33" i="1"/>
  <c r="R65" i="2"/>
  <c r="V33" i="1"/>
  <c r="V69" i="1"/>
  <c r="S39" i="1"/>
  <c r="S34" i="1"/>
  <c r="O74" i="3"/>
  <c r="AC78" i="1"/>
  <c r="AC79" i="1" s="1"/>
  <c r="S67" i="1"/>
  <c r="S68" i="1"/>
  <c r="V37" i="1"/>
  <c r="S69" i="1"/>
  <c r="P38" i="2"/>
  <c r="AF57" i="2" s="1"/>
  <c r="AH42" i="2"/>
  <c r="X10" i="2"/>
  <c r="W60" i="1"/>
  <c r="BE7" i="3"/>
  <c r="BE10" i="3"/>
  <c r="BE8" i="3"/>
  <c r="BE6" i="3"/>
  <c r="BE11" i="3"/>
  <c r="BE9" i="3"/>
  <c r="BE12" i="3"/>
  <c r="BC19" i="3"/>
  <c r="BJ29" i="3"/>
  <c r="T34" i="4"/>
  <c r="T35" i="4"/>
  <c r="R48" i="4"/>
  <c r="L48" i="4"/>
  <c r="T43" i="4"/>
  <c r="T46" i="4"/>
  <c r="T41" i="4"/>
  <c r="T37" i="4"/>
  <c r="T39" i="4"/>
  <c r="I48" i="4"/>
  <c r="T40" i="4"/>
  <c r="O48" i="4"/>
  <c r="T42" i="4"/>
  <c r="T36" i="4"/>
  <c r="J41" i="1"/>
  <c r="Z116" i="1"/>
  <c r="AC106" i="1"/>
  <c r="AN109" i="1"/>
  <c r="B116" i="1"/>
  <c r="D105" i="1" s="1"/>
  <c r="S105" i="1"/>
  <c r="AK106" i="1"/>
  <c r="O74" i="1"/>
  <c r="O72" i="1"/>
  <c r="M79" i="1"/>
  <c r="D79" i="1"/>
  <c r="O70" i="1"/>
  <c r="G79" i="1"/>
  <c r="O77" i="1"/>
  <c r="O76" i="1"/>
  <c r="O73" i="1"/>
  <c r="O68" i="1"/>
  <c r="O71" i="1"/>
  <c r="V65" i="2"/>
  <c r="Q113" i="2"/>
  <c r="S113" i="2"/>
  <c r="S65" i="1"/>
  <c r="BE32" i="3"/>
  <c r="D80" i="3"/>
  <c r="AX38" i="3"/>
  <c r="AY25" i="3" s="1"/>
  <c r="BJ25" i="3"/>
  <c r="AC22" i="1"/>
  <c r="AE8" i="1"/>
  <c r="AE19" i="1"/>
  <c r="R22" i="1"/>
  <c r="T22" i="1"/>
  <c r="AE11" i="1"/>
  <c r="AE16" i="1"/>
  <c r="W22" i="1"/>
  <c r="AE12" i="1"/>
  <c r="P66" i="2"/>
  <c r="AE27" i="3"/>
  <c r="Q99" i="1"/>
  <c r="T84" i="1" s="1"/>
  <c r="AU32" i="1"/>
  <c r="X41" i="2"/>
  <c r="W65" i="2"/>
  <c r="X65" i="2" s="1"/>
  <c r="AE24" i="3"/>
  <c r="V73" i="1"/>
  <c r="Y37" i="2"/>
  <c r="BE5" i="3"/>
  <c r="BJ28" i="3"/>
  <c r="AE7" i="3"/>
  <c r="AE5" i="3"/>
  <c r="Y65" i="2"/>
  <c r="T38" i="4"/>
  <c r="AO85" i="1"/>
  <c r="AE20" i="1"/>
  <c r="V74" i="1"/>
  <c r="O68" i="3"/>
  <c r="Z22" i="2"/>
  <c r="Z23" i="2"/>
  <c r="Z25" i="2"/>
  <c r="Z31" i="2"/>
  <c r="Z26" i="2"/>
  <c r="Z15" i="2"/>
  <c r="Z36" i="2"/>
  <c r="Z27" i="2"/>
  <c r="Z16" i="2"/>
  <c r="Z28" i="2"/>
  <c r="Z14" i="2"/>
  <c r="Z11" i="2"/>
  <c r="Z18" i="2"/>
  <c r="Z21" i="2"/>
  <c r="Z32" i="2"/>
  <c r="Z30" i="2"/>
  <c r="Z19" i="2"/>
  <c r="Z10" i="2"/>
  <c r="Z33" i="2"/>
  <c r="Z13" i="2"/>
  <c r="BJ36" i="3"/>
  <c r="AY36" i="3"/>
  <c r="Z12" i="2"/>
  <c r="Z34" i="2"/>
  <c r="Z17" i="2"/>
  <c r="V32" i="1"/>
  <c r="K65" i="2"/>
  <c r="O28" i="1"/>
  <c r="AE6" i="3"/>
  <c r="S72" i="1"/>
  <c r="S73" i="1"/>
  <c r="V67" i="1"/>
  <c r="G41" i="1"/>
  <c r="O13" i="2"/>
  <c r="AF33" i="2"/>
  <c r="AU28" i="1"/>
  <c r="D97" i="1"/>
  <c r="D94" i="1"/>
  <c r="D90" i="1"/>
  <c r="D87" i="1"/>
  <c r="D89" i="1"/>
  <c r="D85" i="1"/>
  <c r="D86" i="1"/>
  <c r="D92" i="1"/>
  <c r="D93" i="1"/>
  <c r="D96" i="1"/>
  <c r="D91" i="1"/>
  <c r="D95" i="1"/>
  <c r="D88" i="1"/>
  <c r="BE27" i="3"/>
  <c r="S66" i="1"/>
  <c r="L109" i="1"/>
  <c r="AE35" i="3"/>
  <c r="AN106" i="1"/>
  <c r="T45" i="4"/>
  <c r="BJ24" i="3"/>
  <c r="BK24" i="3" s="1"/>
  <c r="AY24" i="3"/>
  <c r="Z91" i="2"/>
  <c r="Z87" i="2"/>
  <c r="Z83" i="2"/>
  <c r="Z76" i="2"/>
  <c r="Z85" i="2"/>
  <c r="Z78" i="2"/>
  <c r="Z74" i="2"/>
  <c r="BE30" i="3"/>
  <c r="BK5" i="3"/>
  <c r="V35" i="1"/>
  <c r="AU30" i="1"/>
  <c r="AE15" i="3"/>
  <c r="AO30" i="1"/>
  <c r="V71" i="1"/>
  <c r="AC91" i="1"/>
  <c r="AC94" i="1"/>
  <c r="AC86" i="1"/>
  <c r="AC93" i="1"/>
  <c r="AC89" i="1"/>
  <c r="AC90" i="1"/>
  <c r="AC88" i="1"/>
  <c r="AC84" i="1"/>
  <c r="AC92" i="1"/>
  <c r="AC87" i="1"/>
  <c r="AC95" i="1"/>
  <c r="V68" i="1"/>
  <c r="M80" i="3"/>
  <c r="O70" i="3"/>
  <c r="O73" i="3"/>
  <c r="O71" i="3"/>
  <c r="O75" i="3"/>
  <c r="G80" i="3"/>
  <c r="O65" i="3"/>
  <c r="O78" i="3"/>
  <c r="O69" i="3"/>
  <c r="O72" i="3"/>
  <c r="BE31" i="3"/>
  <c r="AC118" i="2"/>
  <c r="J80" i="3"/>
  <c r="W100" i="1"/>
  <c r="Y88" i="1"/>
  <c r="Y86" i="1"/>
  <c r="Y93" i="1"/>
  <c r="Y89" i="1"/>
  <c r="Y95" i="1"/>
  <c r="Y92" i="1"/>
  <c r="Y94" i="1"/>
  <c r="Y85" i="1"/>
  <c r="Y91" i="1"/>
  <c r="Y84" i="1"/>
  <c r="Y87" i="1"/>
  <c r="R37" i="2"/>
  <c r="AC39" i="3"/>
  <c r="AE36" i="3"/>
  <c r="AE31" i="3"/>
  <c r="AE37" i="3"/>
  <c r="AE32" i="3"/>
  <c r="BE26" i="3"/>
  <c r="BJ33" i="3"/>
  <c r="P113" i="2"/>
  <c r="O113" i="2"/>
  <c r="AK82" i="2"/>
  <c r="R113" i="2"/>
  <c r="Y27" i="1"/>
  <c r="Y31" i="1"/>
  <c r="AN22" i="3"/>
  <c r="O69" i="1"/>
  <c r="AN71" i="1"/>
  <c r="B41" i="1"/>
  <c r="Y97" i="1"/>
  <c r="AY31" i="3"/>
  <c r="BJ31" i="3"/>
  <c r="L38" i="2"/>
  <c r="AQ13" i="2"/>
  <c r="AQ21" i="2" s="1"/>
  <c r="AN13" i="2"/>
  <c r="AN21" i="2" s="1"/>
  <c r="AF36" i="2"/>
  <c r="AF37" i="2"/>
  <c r="AU35" i="1"/>
  <c r="AY26" i="3"/>
  <c r="BJ26" i="3"/>
  <c r="K112" i="2"/>
  <c r="AE33" i="3"/>
  <c r="W34" i="2"/>
  <c r="X34" i="2" s="1"/>
  <c r="V34" i="2"/>
  <c r="V37" i="2" s="1"/>
  <c r="S70" i="1"/>
  <c r="Q94" i="2"/>
  <c r="AJ82" i="2"/>
  <c r="O10" i="2"/>
  <c r="M37" i="2"/>
  <c r="O37" i="2" s="1"/>
  <c r="AH38" i="2" s="1"/>
  <c r="AH39" i="2" s="1"/>
  <c r="Q38" i="2"/>
  <c r="AG57" i="2" s="1"/>
  <c r="AI42" i="2"/>
  <c r="AG92" i="1"/>
  <c r="AG90" i="1"/>
  <c r="AG85" i="1"/>
  <c r="AG89" i="1"/>
  <c r="AG88" i="1"/>
  <c r="AG86" i="1"/>
  <c r="BJ34" i="3"/>
  <c r="Y28" i="1"/>
  <c r="AE13" i="3"/>
  <c r="W39" i="3"/>
  <c r="AO96" i="1" l="1"/>
  <c r="AO84" i="1"/>
  <c r="AO89" i="1"/>
  <c r="Y90" i="1"/>
  <c r="AO91" i="1"/>
  <c r="W116" i="1"/>
  <c r="Y108" i="1" s="1"/>
  <c r="AO87" i="1"/>
  <c r="AO94" i="1"/>
  <c r="AO97" i="1"/>
  <c r="AO86" i="1"/>
  <c r="AO90" i="1"/>
  <c r="AO95" i="1"/>
  <c r="AH43" i="2"/>
  <c r="AH44" i="2" s="1"/>
  <c r="AO92" i="1"/>
  <c r="AO93" i="1"/>
  <c r="AG42" i="2"/>
  <c r="AG41" i="2"/>
  <c r="AE31" i="1"/>
  <c r="AE70" i="1"/>
  <c r="AE37" i="1"/>
  <c r="AE76" i="1"/>
  <c r="W41" i="1"/>
  <c r="AE34" i="1"/>
  <c r="R79" i="1"/>
  <c r="AE30" i="1"/>
  <c r="AE39" i="1"/>
  <c r="AE73" i="1"/>
  <c r="AE66" i="1"/>
  <c r="AE71" i="1"/>
  <c r="AE28" i="1"/>
  <c r="AE38" i="1"/>
  <c r="AE69" i="1"/>
  <c r="AE33" i="1"/>
  <c r="Z79" i="1"/>
  <c r="AE72" i="1"/>
  <c r="AY32" i="3"/>
  <c r="AE36" i="1"/>
  <c r="AG48" i="2"/>
  <c r="AE32" i="1"/>
  <c r="L168" i="2"/>
  <c r="BK32" i="3"/>
  <c r="AY37" i="3"/>
  <c r="AE74" i="1"/>
  <c r="AE35" i="1"/>
  <c r="AC105" i="1"/>
  <c r="AC112" i="1"/>
  <c r="AC108" i="1"/>
  <c r="AC107" i="1"/>
  <c r="AC111" i="1"/>
  <c r="AC110" i="1"/>
  <c r="AY29" i="3"/>
  <c r="BK37" i="3"/>
  <c r="AY30" i="3"/>
  <c r="BC39" i="3"/>
  <c r="AY35" i="3"/>
  <c r="W117" i="1"/>
  <c r="Y110" i="1"/>
  <c r="Y112" i="1"/>
  <c r="Y105" i="1"/>
  <c r="AE77" i="1"/>
  <c r="BK25" i="3"/>
  <c r="BK35" i="3"/>
  <c r="AE68" i="1"/>
  <c r="T79" i="1"/>
  <c r="BK29" i="3"/>
  <c r="AE75" i="1"/>
  <c r="K94" i="2"/>
  <c r="AL116" i="1"/>
  <c r="AO109" i="1" s="1"/>
  <c r="BI38" i="3"/>
  <c r="BK30" i="3" s="1"/>
  <c r="AY27" i="3"/>
  <c r="BK36" i="3"/>
  <c r="T90" i="1"/>
  <c r="T91" i="1"/>
  <c r="T86" i="1"/>
  <c r="T92" i="1"/>
  <c r="T97" i="1"/>
  <c r="T89" i="1"/>
  <c r="T88" i="1"/>
  <c r="T87" i="1"/>
  <c r="T96" i="1"/>
  <c r="T93" i="1"/>
  <c r="T95" i="1"/>
  <c r="T85" i="1"/>
  <c r="T94" i="1"/>
  <c r="AH15" i="3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W79" i="1"/>
  <c r="AY28" i="3"/>
  <c r="BK34" i="3"/>
  <c r="Z37" i="2"/>
  <c r="Q116" i="1"/>
  <c r="AE67" i="1"/>
  <c r="H34" i="2"/>
  <c r="H37" i="2" s="1"/>
  <c r="K38" i="2"/>
  <c r="B117" i="1"/>
  <c r="D111" i="1"/>
  <c r="D109" i="1"/>
  <c r="D108" i="1"/>
  <c r="D113" i="1"/>
  <c r="D110" i="1"/>
  <c r="D114" i="1"/>
  <c r="D107" i="1"/>
  <c r="D112" i="1"/>
  <c r="D106" i="1"/>
  <c r="AC41" i="1"/>
  <c r="AE27" i="1"/>
  <c r="AE29" i="1"/>
  <c r="BK7" i="3"/>
  <c r="BK13" i="3"/>
  <c r="BI19" i="3"/>
  <c r="BF19" i="3"/>
  <c r="BK17" i="3"/>
  <c r="AZ19" i="3"/>
  <c r="BK8" i="3"/>
  <c r="BK6" i="3"/>
  <c r="BK15" i="3"/>
  <c r="BK16" i="3"/>
  <c r="BK11" i="3"/>
  <c r="BK14" i="3"/>
  <c r="BK12" i="3"/>
  <c r="BK10" i="3"/>
  <c r="BK9" i="3"/>
  <c r="Z41" i="1"/>
  <c r="BK26" i="3"/>
  <c r="R41" i="1"/>
  <c r="AN22" i="2"/>
  <c r="AN30" i="2" s="1"/>
  <c r="AY33" i="3"/>
  <c r="AE65" i="1"/>
  <c r="AC109" i="1"/>
  <c r="AQ22" i="2"/>
  <c r="AQ30" i="2" s="1"/>
  <c r="AN23" i="2"/>
  <c r="AY34" i="3"/>
  <c r="AJ83" i="2"/>
  <c r="BK33" i="3"/>
  <c r="W37" i="2"/>
  <c r="X37" i="2" s="1"/>
  <c r="Z93" i="2"/>
  <c r="AS41" i="1"/>
  <c r="AP41" i="1"/>
  <c r="AJ41" i="1"/>
  <c r="AQ23" i="2"/>
  <c r="BK28" i="3"/>
  <c r="AH41" i="1"/>
  <c r="Y109" i="1" l="1"/>
  <c r="Y111" i="1"/>
  <c r="Y113" i="1"/>
  <c r="Y114" i="1"/>
  <c r="Y106" i="1"/>
  <c r="Y107" i="1"/>
  <c r="AO107" i="1"/>
  <c r="AQ31" i="2"/>
  <c r="AQ39" i="2" s="1"/>
  <c r="AQ42" i="2" s="1"/>
  <c r="T109" i="1"/>
  <c r="T108" i="1"/>
  <c r="T110" i="1"/>
  <c r="T113" i="1"/>
  <c r="T111" i="1"/>
  <c r="T114" i="1"/>
  <c r="T107" i="1"/>
  <c r="T112" i="1"/>
  <c r="T106" i="1"/>
  <c r="T105" i="1"/>
  <c r="AX39" i="3"/>
  <c r="AO114" i="1"/>
  <c r="AO112" i="1"/>
  <c r="AO105" i="1"/>
  <c r="AO113" i="1"/>
  <c r="AO110" i="1"/>
  <c r="AO108" i="1"/>
  <c r="AO111" i="1"/>
  <c r="BK31" i="3"/>
  <c r="AH35" i="3"/>
  <c r="AH36" i="3" s="1"/>
  <c r="N109" i="2"/>
  <c r="AO106" i="1"/>
  <c r="AN32" i="2"/>
  <c r="AN33" i="2"/>
  <c r="AN31" i="2"/>
  <c r="AN39" i="2" s="1"/>
  <c r="BI39" i="3"/>
  <c r="AZ39" i="3"/>
  <c r="BF39" i="3"/>
  <c r="AQ33" i="2"/>
  <c r="AQ32" i="2"/>
  <c r="BK27" i="3"/>
  <c r="AQ40" i="2" l="1"/>
  <c r="AQ41" i="2"/>
  <c r="AN42" i="2"/>
  <c r="AN41" i="2"/>
  <c r="AH37" i="3"/>
  <c r="N108" i="2"/>
  <c r="N103" i="2"/>
  <c r="N97" i="2"/>
  <c r="N100" i="2"/>
  <c r="AN40" i="2"/>
  <c r="W97" i="2" l="1"/>
  <c r="AH38" i="3"/>
  <c r="N98" i="2"/>
  <c r="N110" i="2"/>
  <c r="AH39" i="3" l="1"/>
  <c r="N99" i="2"/>
  <c r="N111" i="2"/>
  <c r="N101" i="2"/>
  <c r="AH40" i="3" l="1"/>
  <c r="AH41" i="3" s="1"/>
  <c r="N104" i="2"/>
  <c r="AH42" i="3" l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N106" i="2"/>
  <c r="N102" i="2"/>
  <c r="N107" i="2"/>
  <c r="N105" i="2"/>
  <c r="N112" i="2" l="1"/>
</calcChain>
</file>

<file path=xl/sharedStrings.xml><?xml version="1.0" encoding="utf-8"?>
<sst xmlns="http://schemas.openxmlformats.org/spreadsheetml/2006/main" count="3317" uniqueCount="522">
  <si>
    <t>Commons</t>
  </si>
  <si>
    <t>Rares</t>
  </si>
  <si>
    <t>Epics</t>
  </si>
  <si>
    <t>Legendary</t>
  </si>
  <si>
    <t>Total</t>
  </si>
  <si>
    <t>current gold to cards rate</t>
  </si>
  <si>
    <t>Current legendary factor</t>
  </si>
  <si>
    <t>Arena 1 rewards</t>
  </si>
  <si>
    <t>Arena 1 rewards avreage</t>
  </si>
  <si>
    <t>commons</t>
  </si>
  <si>
    <t>rares</t>
  </si>
  <si>
    <t>epics</t>
  </si>
  <si>
    <t>legendaries</t>
  </si>
  <si>
    <t>legendary</t>
  </si>
  <si>
    <t>Silver</t>
  </si>
  <si>
    <t>Giant</t>
  </si>
  <si>
    <t>Free</t>
  </si>
  <si>
    <t>Gold</t>
  </si>
  <si>
    <t>Challenge</t>
  </si>
  <si>
    <t>cland &amp; 2v2</t>
  </si>
  <si>
    <t>Magical</t>
  </si>
  <si>
    <t>Supermagical</t>
  </si>
  <si>
    <t>Tournament</t>
  </si>
  <si>
    <t>league</t>
  </si>
  <si>
    <t>Free chest</t>
  </si>
  <si>
    <t>Silver chest</t>
  </si>
  <si>
    <t>Golden chest</t>
  </si>
  <si>
    <t>Crown chest</t>
  </si>
  <si>
    <t>Giant chest</t>
  </si>
  <si>
    <t>Magical chest</t>
  </si>
  <si>
    <t>Super magical chest</t>
  </si>
  <si>
    <t>Epic chest</t>
  </si>
  <si>
    <t>Legendary  chest</t>
  </si>
  <si>
    <t>Victory gold</t>
  </si>
  <si>
    <t>Request</t>
  </si>
  <si>
    <t>Donate</t>
  </si>
  <si>
    <t>Arena 1</t>
  </si>
  <si>
    <t>Goblin Stadium</t>
  </si>
  <si>
    <t>Arena 7</t>
  </si>
  <si>
    <t>Royal Arena</t>
  </si>
  <si>
    <t>cards</t>
  </si>
  <si>
    <t>How many times</t>
  </si>
  <si>
    <t>Legendary Factor 2018</t>
  </si>
  <si>
    <t>Chest</t>
  </si>
  <si>
    <t>Gold min</t>
  </si>
  <si>
    <t>Gold max</t>
  </si>
  <si>
    <t>Gold avg</t>
  </si>
  <si>
    <t>Cards</t>
  </si>
  <si>
    <t>Common</t>
  </si>
  <si>
    <t>legendary odds</t>
  </si>
  <si>
    <t>gold value min</t>
  </si>
  <si>
    <t>gold value max</t>
  </si>
  <si>
    <t>21-24</t>
  </si>
  <si>
    <t>15-21</t>
  </si>
  <si>
    <t>50-70</t>
  </si>
  <si>
    <t>140-160</t>
  </si>
  <si>
    <t>400-560</t>
  </si>
  <si>
    <t>150-210</t>
  </si>
  <si>
    <t>900-1260</t>
  </si>
  <si>
    <t>more room</t>
  </si>
  <si>
    <t>Gold require to upgrade cards</t>
  </si>
  <si>
    <t>Accumulated gold require to upgrade cards</t>
  </si>
  <si>
    <t>Exp from cards</t>
  </si>
  <si>
    <t>Arena 2 rewards</t>
  </si>
  <si>
    <t>silver</t>
  </si>
  <si>
    <t>All</t>
  </si>
  <si>
    <t>Golden</t>
  </si>
  <si>
    <t>Level</t>
  </si>
  <si>
    <t>Cost</t>
  </si>
  <si>
    <t>Percentage</t>
  </si>
  <si>
    <t>Crown</t>
  </si>
  <si>
    <t>28-32</t>
  </si>
  <si>
    <t>20-28</t>
  </si>
  <si>
    <t>70-98</t>
  </si>
  <si>
    <t>189-216</t>
  </si>
  <si>
    <t>504-756</t>
  </si>
  <si>
    <t>205-287</t>
  </si>
  <si>
    <t>1215-1701</t>
  </si>
  <si>
    <t>gold</t>
  </si>
  <si>
    <t>max wins</t>
  </si>
  <si>
    <t>max gold</t>
  </si>
  <si>
    <t>Arena 3 rewards</t>
  </si>
  <si>
    <t>Super Magical</t>
  </si>
  <si>
    <t>35-40</t>
  </si>
  <si>
    <t>25-35</t>
  </si>
  <si>
    <t>85-119</t>
  </si>
  <si>
    <t>238-272</t>
  </si>
  <si>
    <t>680-952</t>
  </si>
  <si>
    <t>255-357</t>
  </si>
  <si>
    <t>1530-2142</t>
  </si>
  <si>
    <t>Clan &amp; 2v2</t>
  </si>
  <si>
    <t>Arena 2</t>
  </si>
  <si>
    <t>Bone Pit</t>
  </si>
  <si>
    <t>Arena 8</t>
  </si>
  <si>
    <t>Frozen Peak</t>
  </si>
  <si>
    <t>Arena 4 rewards</t>
  </si>
  <si>
    <t>42-48</t>
  </si>
  <si>
    <t>30-42</t>
  </si>
  <si>
    <t>100-140</t>
  </si>
  <si>
    <t>280-320</t>
  </si>
  <si>
    <t>800-1120</t>
  </si>
  <si>
    <t>300-420</t>
  </si>
  <si>
    <t>1800-2520</t>
  </si>
  <si>
    <t>Legue</t>
  </si>
  <si>
    <t>Arena 5 rewards</t>
  </si>
  <si>
    <t>49-56</t>
  </si>
  <si>
    <t>35-49</t>
  </si>
  <si>
    <t>115-161</t>
  </si>
  <si>
    <t>322-368</t>
  </si>
  <si>
    <t>920-1288</t>
  </si>
  <si>
    <t>345-483</t>
  </si>
  <si>
    <t>2070-2898</t>
  </si>
  <si>
    <t>Total cost</t>
  </si>
  <si>
    <t>Arena 6 rewards</t>
  </si>
  <si>
    <t>Arena 3</t>
  </si>
  <si>
    <t>Barbarian Bowl</t>
  </si>
  <si>
    <t>Arena 9</t>
  </si>
  <si>
    <t>Jungle Arena</t>
  </si>
  <si>
    <t>Gold require to upgrade all cards</t>
  </si>
  <si>
    <t>Accumulated  gold  require to upgrade all cards</t>
  </si>
  <si>
    <t>Accumulated Exp from cards</t>
  </si>
  <si>
    <t>56-64</t>
  </si>
  <si>
    <t>40-56</t>
  </si>
  <si>
    <t>130-182</t>
  </si>
  <si>
    <t>364-416</t>
  </si>
  <si>
    <t>1040-1456</t>
  </si>
  <si>
    <t>390-546</t>
  </si>
  <si>
    <t>2340-3276</t>
  </si>
  <si>
    <t>Arena 7 rewards</t>
  </si>
  <si>
    <t>63-72</t>
  </si>
  <si>
    <t>45-63</t>
  </si>
  <si>
    <t>145-203</t>
  </si>
  <si>
    <t>406-464</t>
  </si>
  <si>
    <t>1160-1624</t>
  </si>
  <si>
    <t>435-609</t>
  </si>
  <si>
    <t>2610-3654</t>
  </si>
  <si>
    <t>Arena 8 rewards</t>
  </si>
  <si>
    <t>Arena 4</t>
  </si>
  <si>
    <t>P.E.K.K.A's Playhouse</t>
  </si>
  <si>
    <t>Arena 10</t>
  </si>
  <si>
    <t>Hog Mountain</t>
  </si>
  <si>
    <t>70-80</t>
  </si>
  <si>
    <t>160-224</t>
  </si>
  <si>
    <t>448-512</t>
  </si>
  <si>
    <t>1280-1792</t>
  </si>
  <si>
    <t>480-672</t>
  </si>
  <si>
    <t>2880-4032</t>
  </si>
  <si>
    <t>Arena 9 rewards</t>
  </si>
  <si>
    <t>77-88</t>
  </si>
  <si>
    <t>55-77</t>
  </si>
  <si>
    <t>175-245</t>
  </si>
  <si>
    <t>490-560</t>
  </si>
  <si>
    <t>1400-1960</t>
  </si>
  <si>
    <t>525-735</t>
  </si>
  <si>
    <t>3150-4410</t>
  </si>
  <si>
    <t>Arena 10 rewards</t>
  </si>
  <si>
    <t>84-96</t>
  </si>
  <si>
    <t xml:space="preserve"> 60-84</t>
  </si>
  <si>
    <t>190-266</t>
  </si>
  <si>
    <t>532-608</t>
  </si>
  <si>
    <t>1520-2128</t>
  </si>
  <si>
    <t>570-798</t>
  </si>
  <si>
    <t>3420-4788</t>
  </si>
  <si>
    <t>Clan chest</t>
  </si>
  <si>
    <t>Arena 5</t>
  </si>
  <si>
    <t>Spell Valley</t>
  </si>
  <si>
    <t>Arena 11</t>
  </si>
  <si>
    <t>Electro Valley</t>
  </si>
  <si>
    <t>Number of Cards require for Upgrade</t>
  </si>
  <si>
    <t>Accumulated cards  require to upgrade cards</t>
  </si>
  <si>
    <t>Arena 6</t>
  </si>
  <si>
    <t>Builder's Workshop</t>
  </si>
  <si>
    <t>Arena 12</t>
  </si>
  <si>
    <t>Legendary Arena</t>
  </si>
  <si>
    <t>Avreage gold per x</t>
  </si>
  <si>
    <t>Month (31 Days)</t>
  </si>
  <si>
    <t>Number of cards require to upgrade all cards</t>
  </si>
  <si>
    <t>Accumulated cards  require to upgrade all cards</t>
  </si>
  <si>
    <t>Day (24 Hours)</t>
  </si>
  <si>
    <t>Week (7 Days)</t>
  </si>
  <si>
    <t>chest</t>
  </si>
  <si>
    <t>number</t>
  </si>
  <si>
    <t>Legaue rewards</t>
  </si>
  <si>
    <t>Without maxed cards</t>
  </si>
  <si>
    <t>Trophy start</t>
  </si>
  <si>
    <t>Trophy end</t>
  </si>
  <si>
    <t>Reset</t>
  </si>
  <si>
    <t>Number</t>
  </si>
  <si>
    <t># of cards</t>
  </si>
  <si>
    <t>Gold Conversion</t>
  </si>
  <si>
    <t>Challenger 1</t>
  </si>
  <si>
    <t>Challenger 2</t>
  </si>
  <si>
    <t>crown chest</t>
  </si>
  <si>
    <t>Challenger 3</t>
  </si>
  <si>
    <t>Master 1</t>
  </si>
  <si>
    <t>Master 2</t>
  </si>
  <si>
    <t>Super magical</t>
  </si>
  <si>
    <t>Master 3</t>
  </si>
  <si>
    <t>Donation</t>
  </si>
  <si>
    <t>With daily gold</t>
  </si>
  <si>
    <t>Champion</t>
  </si>
  <si>
    <t>Grand Champion</t>
  </si>
  <si>
    <t>Ultimate Champion</t>
  </si>
  <si>
    <t>With weekly gold</t>
  </si>
  <si>
    <t>How much gold left to collect for next level</t>
  </si>
  <si>
    <t>How much gold left to gather for upgardes</t>
  </si>
  <si>
    <t>Shop prices 2016-17</t>
  </si>
  <si>
    <t>Clan chest(December 2016 - Apirl 2018)</t>
  </si>
  <si>
    <t>Clan chest*2 (December 2016 - Apirl 2018)</t>
  </si>
  <si>
    <t>Rare</t>
  </si>
  <si>
    <t>Epic</t>
  </si>
  <si>
    <t>Tiers</t>
  </si>
  <si>
    <t>Crowns need</t>
  </si>
  <si>
    <t>Card total</t>
  </si>
  <si>
    <t>Gold value</t>
  </si>
  <si>
    <t>level</t>
  </si>
  <si>
    <t>Number of cards</t>
  </si>
  <si>
    <t>Each price</t>
  </si>
  <si>
    <t>Consecutive Price</t>
  </si>
  <si>
    <t>Forumla</t>
  </si>
  <si>
    <t>Gold = 40,000*#card</t>
  </si>
  <si>
    <t>Gold = 20,000*#card(#card+1)</t>
  </si>
  <si>
    <t>Gold = 1,000*#card</t>
  </si>
  <si>
    <t>Gold = 500*#card(#card+1)</t>
  </si>
  <si>
    <t>Total cards</t>
  </si>
  <si>
    <t>Clan Wars rewards</t>
  </si>
  <si>
    <t>Bronze</t>
  </si>
  <si>
    <t>Place</t>
  </si>
  <si>
    <t>common</t>
  </si>
  <si>
    <t>rare</t>
  </si>
  <si>
    <t>epic</t>
  </si>
  <si>
    <t>gold value</t>
  </si>
  <si>
    <t>collection day</t>
  </si>
  <si>
    <t>war day</t>
  </si>
  <si>
    <t>victory gold</t>
  </si>
  <si>
    <t>How much gold left to collect to next level to tournment starneds</t>
  </si>
  <si>
    <t>How much gold you have left to gather for upgardes at tournments starnders</t>
  </si>
  <si>
    <t>collection day wins</t>
  </si>
  <si>
    <t>war day wins</t>
  </si>
  <si>
    <t>total victory gold won</t>
  </si>
  <si>
    <t>1+</t>
  </si>
  <si>
    <t>Cost to buy from the shop</t>
  </si>
  <si>
    <t>4+</t>
  </si>
  <si>
    <t>7+</t>
  </si>
  <si>
    <t>9+</t>
  </si>
  <si>
    <t>Number of cards left to go</t>
  </si>
  <si>
    <t>How much gold you have left to gather for My deck upgardes</t>
  </si>
  <si>
    <t>Gold = 20*#card</t>
  </si>
  <si>
    <t>Gold = 10*#card(#card+1)</t>
  </si>
  <si>
    <t>Gold = 2*#card</t>
  </si>
  <si>
    <t>Gold = #card(#card+1)</t>
  </si>
  <si>
    <t>Quest chest cycle</t>
  </si>
  <si>
    <t>smc</t>
  </si>
  <si>
    <t>magic</t>
  </si>
  <si>
    <t>giant</t>
  </si>
  <si>
    <t>Hours</t>
  </si>
  <si>
    <t>Magic</t>
  </si>
  <si>
    <t>Level of player:</t>
  </si>
  <si>
    <t>Requested troop:</t>
  </si>
  <si>
    <t>Elite Barbarians</t>
  </si>
  <si>
    <t>Danman5000</t>
  </si>
  <si>
    <t>Username :</t>
  </si>
  <si>
    <t>Request per day:</t>
  </si>
  <si>
    <t>Arena:</t>
  </si>
  <si>
    <t>Common cards</t>
  </si>
  <si>
    <t>Card</t>
  </si>
  <si>
    <t>Cards Collected</t>
  </si>
  <si>
    <t>Cards to next level</t>
  </si>
  <si>
    <t>Request left</t>
  </si>
  <si>
    <t>Days left</t>
  </si>
  <si>
    <t>Estimated date of next level</t>
  </si>
  <si>
    <t>Gold for next level</t>
  </si>
  <si>
    <t>Level Could be at</t>
  </si>
  <si>
    <t>Gold for level be at</t>
  </si>
  <si>
    <t>Cards to max level</t>
  </si>
  <si>
    <t>Estimated  date of max cards</t>
  </si>
  <si>
    <t>Gold for all levels</t>
  </si>
  <si>
    <t>Gold spent</t>
  </si>
  <si>
    <t>Shop Price</t>
  </si>
  <si>
    <t>X level</t>
  </si>
  <si>
    <t>Gold to level X</t>
  </si>
  <si>
    <t>Xp to X level</t>
  </si>
  <si>
    <t>Skeletons</t>
  </si>
  <si>
    <t>Ice spirit</t>
  </si>
  <si>
    <t>Giant Snowball</t>
  </si>
  <si>
    <t>Now</t>
  </si>
  <si>
    <t>Goblins</t>
  </si>
  <si>
    <t>commons to max</t>
  </si>
  <si>
    <t>Zap</t>
  </si>
  <si>
    <t>Rares to max</t>
  </si>
  <si>
    <t>Bats</t>
  </si>
  <si>
    <t>Epics to max</t>
  </si>
  <si>
    <t>Fire Spirits</t>
  </si>
  <si>
    <t>Commons to max</t>
  </si>
  <si>
    <t>Math</t>
  </si>
  <si>
    <t>Spear Goblins</t>
  </si>
  <si>
    <t>Commons per day</t>
  </si>
  <si>
    <t>Knight</t>
  </si>
  <si>
    <t>Commons date to be done</t>
  </si>
  <si>
    <t>DM5</t>
  </si>
  <si>
    <t>Rares per day (requesting commons)</t>
  </si>
  <si>
    <t>Archers</t>
  </si>
  <si>
    <t>Epics per week</t>
  </si>
  <si>
    <t>Royal Delivery</t>
  </si>
  <si>
    <t>Arrows</t>
  </si>
  <si>
    <t>Day till all commons are maxed</t>
  </si>
  <si>
    <t>Minions</t>
  </si>
  <si>
    <t>Rares once commons are maxed</t>
  </si>
  <si>
    <t>Cannon</t>
  </si>
  <si>
    <t>Epics once commons are done</t>
  </si>
  <si>
    <t>Firecracker</t>
  </si>
  <si>
    <t>Skeleton Barrel</t>
  </si>
  <si>
    <t>Bomber</t>
  </si>
  <si>
    <t>Common gold</t>
  </si>
  <si>
    <t>Goblin Gang</t>
  </si>
  <si>
    <t>rares once commons are done</t>
  </si>
  <si>
    <t>Tesla</t>
  </si>
  <si>
    <t>Skeleton Dragons</t>
  </si>
  <si>
    <t>Mortar</t>
  </si>
  <si>
    <t>Day till rares maxed</t>
  </si>
  <si>
    <t>Barbarians</t>
  </si>
  <si>
    <t>Esmited date of being done.</t>
  </si>
  <si>
    <t xml:space="preserve"> Range("C2").Select</t>
  </si>
  <si>
    <t>Rascals</t>
  </si>
  <si>
    <t>Minion Horde</t>
  </si>
  <si>
    <t>Epic to max</t>
  </si>
  <si>
    <t>Royal Giant</t>
  </si>
  <si>
    <t>Royal Recruits</t>
  </si>
  <si>
    <t>Rares gold</t>
  </si>
  <si>
    <t>Rare cards</t>
  </si>
  <si>
    <t>days  till epics maxed</t>
  </si>
  <si>
    <t xml:space="preserve"> X level</t>
  </si>
  <si>
    <t>Ice Golem</t>
  </si>
  <si>
    <t>Heal spell</t>
  </si>
  <si>
    <t>Tombstone</t>
  </si>
  <si>
    <t>Dart Goblin</t>
  </si>
  <si>
    <t>Mega Minion</t>
  </si>
  <si>
    <t>Hog Rider</t>
  </si>
  <si>
    <t>Fireball</t>
  </si>
  <si>
    <t>Battle Ram</t>
  </si>
  <si>
    <t>Furnace</t>
  </si>
  <si>
    <t>Mini P.E.K.K.A</t>
  </si>
  <si>
    <t>Flying Machine</t>
  </si>
  <si>
    <t>Zappies</t>
  </si>
  <si>
    <t>Musketeer</t>
  </si>
  <si>
    <t>Valkyrie</t>
  </si>
  <si>
    <t>Inferno Tower</t>
  </si>
  <si>
    <t>Wizard</t>
  </si>
  <si>
    <t>Royal Hogs</t>
  </si>
  <si>
    <t>Bomb Tower</t>
  </si>
  <si>
    <t>Goblin Hut</t>
  </si>
  <si>
    <t>Rocket</t>
  </si>
  <si>
    <t>Elixir Collector</t>
  </si>
  <si>
    <t>Barbarian Hut</t>
  </si>
  <si>
    <t>Three Musketeers</t>
  </si>
  <si>
    <t>Epic cards</t>
  </si>
  <si>
    <t>Weeks left</t>
  </si>
  <si>
    <t>Mirror</t>
  </si>
  <si>
    <t>Rage</t>
  </si>
  <si>
    <t>Skeleton Army</t>
  </si>
  <si>
    <t>Barbarian Barrel</t>
  </si>
  <si>
    <t>Guards</t>
  </si>
  <si>
    <t>IF(NOW()+(M60*7)=NOW(),"",NOW()+(M60*7))</t>
  </si>
  <si>
    <t>Goblin Barrel</t>
  </si>
  <si>
    <t>Tornado</t>
  </si>
  <si>
    <t>Clone</t>
  </si>
  <si>
    <t>Dark Prince</t>
  </si>
  <si>
    <t>Baby Dragon</t>
  </si>
  <si>
    <t>Hunter</t>
  </si>
  <si>
    <t>Freeze</t>
  </si>
  <si>
    <t>Posion</t>
  </si>
  <si>
    <t>Cannon Cart</t>
  </si>
  <si>
    <t>Witch</t>
  </si>
  <si>
    <t>Executioner</t>
  </si>
  <si>
    <t>Ballon</t>
  </si>
  <si>
    <t>Bowler</t>
  </si>
  <si>
    <t>Prince</t>
  </si>
  <si>
    <t>X-Bow</t>
  </si>
  <si>
    <t>Giant Skeleton</t>
  </si>
  <si>
    <t>Lightning</t>
  </si>
  <si>
    <t>P.E.K.K.A</t>
  </si>
  <si>
    <t>Golem</t>
  </si>
  <si>
    <t>Shop price</t>
  </si>
  <si>
    <t>Shop price consecutive</t>
  </si>
  <si>
    <t>Shp price</t>
  </si>
  <si>
    <t>The Log</t>
  </si>
  <si>
    <t>N/A</t>
  </si>
  <si>
    <t>Ice Wizard</t>
  </si>
  <si>
    <t>Miner</t>
  </si>
  <si>
    <t>Electro Wizard</t>
  </si>
  <si>
    <t>Princess</t>
  </si>
  <si>
    <t>Magic Archer</t>
  </si>
  <si>
    <t>Bandit</t>
  </si>
  <si>
    <t>Royal Ghost</t>
  </si>
  <si>
    <t>Lumberjack</t>
  </si>
  <si>
    <t>Inferno Dragon</t>
  </si>
  <si>
    <t>Night Witch</t>
  </si>
  <si>
    <t>Graveyard</t>
  </si>
  <si>
    <t>Sparky</t>
  </si>
  <si>
    <t>Lava Hound</t>
  </si>
  <si>
    <t>Mega knight</t>
  </si>
  <si>
    <t>Examples</t>
  </si>
  <si>
    <t>Days/Weeks left</t>
  </si>
  <si>
    <t>Level could be at</t>
  </si>
  <si>
    <t>Cards to TS</t>
  </si>
  <si>
    <t>Exp</t>
  </si>
  <si>
    <t>Gold require for next upgrade</t>
  </si>
  <si>
    <t>Number of Cards needed for next Upgrade</t>
  </si>
  <si>
    <t>C31</t>
  </si>
  <si>
    <t>Shop Singles</t>
  </si>
  <si>
    <t>consecutive</t>
  </si>
  <si>
    <t>Arena</t>
  </si>
  <si>
    <t>Troops</t>
  </si>
  <si>
    <t>Cell</t>
  </si>
  <si>
    <t xml:space="preserve"> Commons</t>
  </si>
  <si>
    <t>C10</t>
  </si>
  <si>
    <t>C35</t>
  </si>
  <si>
    <t>C59</t>
  </si>
  <si>
    <t>C85</t>
  </si>
  <si>
    <t>C89</t>
  </si>
  <si>
    <t>C11</t>
  </si>
  <si>
    <t>C36</t>
  </si>
  <si>
    <t>C60</t>
  </si>
  <si>
    <t>C86</t>
  </si>
  <si>
    <t>C90</t>
  </si>
  <si>
    <t>C12</t>
  </si>
  <si>
    <t>C37</t>
  </si>
  <si>
    <t>C61</t>
  </si>
  <si>
    <t>C87</t>
  </si>
  <si>
    <t>C91</t>
  </si>
  <si>
    <t>C13</t>
  </si>
  <si>
    <t>C38</t>
  </si>
  <si>
    <t>C62</t>
  </si>
  <si>
    <t>C88</t>
  </si>
  <si>
    <t>C92</t>
  </si>
  <si>
    <t>C14</t>
  </si>
  <si>
    <t>C39</t>
  </si>
  <si>
    <t>C63</t>
  </si>
  <si>
    <t>C93</t>
  </si>
  <si>
    <t>C15</t>
  </si>
  <si>
    <t>C40</t>
  </si>
  <si>
    <t>C64</t>
  </si>
  <si>
    <t>C94</t>
  </si>
  <si>
    <t>C16</t>
  </si>
  <si>
    <t>C41</t>
  </si>
  <si>
    <t>C65</t>
  </si>
  <si>
    <t>C95</t>
  </si>
  <si>
    <t>C17</t>
  </si>
  <si>
    <t>C42</t>
  </si>
  <si>
    <t>C66</t>
  </si>
  <si>
    <t>C96</t>
  </si>
  <si>
    <t>C18</t>
  </si>
  <si>
    <t>C43</t>
  </si>
  <si>
    <t>C67</t>
  </si>
  <si>
    <t>C97</t>
  </si>
  <si>
    <t>C19</t>
  </si>
  <si>
    <t>C44</t>
  </si>
  <si>
    <t>C68</t>
  </si>
  <si>
    <t>C98</t>
  </si>
  <si>
    <t>C20</t>
  </si>
  <si>
    <t>C45</t>
  </si>
  <si>
    <t>C69</t>
  </si>
  <si>
    <t>C99</t>
  </si>
  <si>
    <t>C21</t>
  </si>
  <si>
    <t>C46</t>
  </si>
  <si>
    <t>C70</t>
  </si>
  <si>
    <t>C100</t>
  </si>
  <si>
    <t>C22</t>
  </si>
  <si>
    <t>C47</t>
  </si>
  <si>
    <t>C71</t>
  </si>
  <si>
    <t>C101</t>
  </si>
  <si>
    <t>C23</t>
  </si>
  <si>
    <t>C48</t>
  </si>
  <si>
    <t>C72</t>
  </si>
  <si>
    <t>C102</t>
  </si>
  <si>
    <t>Rares/Epics</t>
  </si>
  <si>
    <t>C24</t>
  </si>
  <si>
    <t>C49</t>
  </si>
  <si>
    <t>C73</t>
  </si>
  <si>
    <t>C103</t>
  </si>
  <si>
    <t>C25</t>
  </si>
  <si>
    <t>C50</t>
  </si>
  <si>
    <t>C74</t>
  </si>
  <si>
    <t>C26</t>
  </si>
  <si>
    <t>C51</t>
  </si>
  <si>
    <t>C75</t>
  </si>
  <si>
    <t>C27</t>
  </si>
  <si>
    <t>C52</t>
  </si>
  <si>
    <t>C76</t>
  </si>
  <si>
    <t>C28</t>
  </si>
  <si>
    <t>C53</t>
  </si>
  <si>
    <t>C77</t>
  </si>
  <si>
    <t>C29</t>
  </si>
  <si>
    <t>C54</t>
  </si>
  <si>
    <t>C78</t>
  </si>
  <si>
    <t>C30</t>
  </si>
  <si>
    <t>C55</t>
  </si>
  <si>
    <t>C79</t>
  </si>
  <si>
    <t>C56</t>
  </si>
  <si>
    <t>C80</t>
  </si>
  <si>
    <t>C32</t>
  </si>
  <si>
    <t>C57</t>
  </si>
  <si>
    <t>C58</t>
  </si>
  <si>
    <t>request per week</t>
  </si>
  <si>
    <t>Vaule</t>
  </si>
  <si>
    <t>Card return</t>
  </si>
  <si>
    <t>shop</t>
  </si>
  <si>
    <t>Gold per xp</t>
  </si>
  <si>
    <t>Legendaries</t>
  </si>
  <si>
    <t>Legendary  Odds</t>
  </si>
  <si>
    <t>Half  Classic Challenge rewards</t>
  </si>
  <si>
    <t>Half Grand Challenge rewards</t>
  </si>
  <si>
    <t>Wins</t>
  </si>
  <si>
    <t>total cards</t>
  </si>
  <si>
    <t>Challenges factor</t>
  </si>
  <si>
    <t>Classic Challenge rewards</t>
  </si>
  <si>
    <t>Grand Challenge rewards</t>
  </si>
  <si>
    <t>Number of times you plan to enter</t>
  </si>
  <si>
    <t>Common Cards</t>
  </si>
  <si>
    <t>Epic Cards</t>
  </si>
  <si>
    <t>Rare Cards</t>
  </si>
  <si>
    <t>Legendary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</si>
</sst>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,##0&quot; &quot;;#,##0&quot; &quot;;&quot;-&quot;#&quot; &quot;;&quot; &quot;@"/>
    <numFmt numFmtId="165" formatCode="#,##0&quot; &quot;;&quot;-&quot;#,##0&quot; &quot;"/>
    <numFmt numFmtId="166" formatCode="mmmm&quot; &quot;d&quot;, &quot;yyyy"/>
    <numFmt numFmtId="167" formatCode="[$-409]m/d/yyyy&quot; &quot;h&quot;:&quot;mm"/>
    <numFmt numFmtId="168" formatCode="#,##0.0"/>
    <numFmt numFmtId="169" formatCode="dd/mm/yyyy"/>
    <numFmt numFmtId="170" formatCode="0.0"/>
    <numFmt numFmtId="171" formatCode="[$-409]m/d/yyyy"/>
    <numFmt numFmtId="172" formatCode="#,##0.00&quot; &quot;;#,##0.00&quot; &quot;;&quot;-&quot;#&quot; &quot;;&quot; &quot;@"/>
    <numFmt numFmtId="173" formatCode="0.0%"/>
    <numFmt numFmtId="174" formatCode="[$-409]d\-mmm"/>
    <numFmt numFmtId="175" formatCode="[$-409]h&quot;:&quot;mm"/>
  </numFmts>
  <fonts count="2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333333"/>
      <name val="Inherit"/>
    </font>
    <font>
      <b/>
      <sz val="11"/>
      <color rgb="FFFFD700"/>
      <name val="Inherit"/>
    </font>
    <font>
      <b/>
      <sz val="11"/>
      <color rgb="FF8D00D9"/>
      <name val="Inherit"/>
    </font>
    <font>
      <b/>
      <sz val="11"/>
      <color rgb="FF800000"/>
      <name val="Inherit"/>
    </font>
    <font>
      <sz val="28"/>
      <color rgb="FF000000"/>
      <name val="Calibri"/>
      <family val="2"/>
    </font>
    <font>
      <sz val="26"/>
      <color rgb="FF000000"/>
      <name val="Calibri"/>
      <family val="2"/>
    </font>
    <font>
      <sz val="27"/>
      <color rgb="FF000000"/>
      <name val="Calibri"/>
      <family val="2"/>
    </font>
    <font>
      <sz val="24"/>
      <color rgb="FF000000"/>
      <name val="Calibri"/>
      <family val="2"/>
    </font>
    <font>
      <sz val="11"/>
      <color rgb="FFE7E6E6"/>
      <name val="Calibri"/>
      <family val="2"/>
    </font>
    <font>
      <sz val="11"/>
      <color rgb="FF9C5700"/>
      <name val="Calibri"/>
      <family val="2"/>
    </font>
    <font>
      <sz val="11"/>
      <color rgb="FF000000"/>
      <name val="Cambria"/>
      <family val="1"/>
    </font>
    <font>
      <sz val="10"/>
      <color rgb="FF333333"/>
      <name val="Verdana"/>
      <family val="2"/>
    </font>
    <font>
      <b/>
      <sz val="14"/>
      <color rgb="FF000000"/>
      <name val="Arial"/>
      <family val="2"/>
    </font>
    <font>
      <sz val="16"/>
      <color rgb="FF000000"/>
      <name val="Calibri"/>
      <family val="2"/>
    </font>
    <font>
      <sz val="22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7030A0"/>
        <bgColor rgb="FF7030A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C0C0C"/>
        <bgColor rgb="FF0C0C0C"/>
      </patternFill>
    </fill>
    <fill>
      <patternFill patternType="solid">
        <fgColor rgb="FFF7F7F7"/>
        <bgColor rgb="FFF7F7F7"/>
      </patternFill>
    </fill>
    <fill>
      <patternFill patternType="solid">
        <fgColor rgb="FFE7E6E6"/>
        <bgColor rgb="FFE7E6E6"/>
      </patternFill>
    </fill>
    <fill>
      <patternFill patternType="solid">
        <fgColor rgb="FF0099FF"/>
        <bgColor rgb="FF0099FF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  <fill>
      <patternFill patternType="solid">
        <fgColor rgb="FFFF6600"/>
        <bgColor rgb="FFFF6600"/>
      </patternFill>
    </fill>
    <fill>
      <patternFill patternType="solid">
        <fgColor rgb="FF9900CC"/>
        <bgColor rgb="FF9900CC"/>
      </patternFill>
    </fill>
    <fill>
      <patternFill patternType="solid">
        <fgColor rgb="FF9900CC"/>
        <bgColor rgb="FF7030A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9" fillId="0" borderId="0"/>
    <xf numFmtId="0" fontId="10" fillId="0" borderId="0"/>
    <xf numFmtId="0" fontId="7" fillId="10" borderId="0"/>
    <xf numFmtId="0" fontId="4" fillId="5" borderId="0"/>
    <xf numFmtId="0" fontId="12" fillId="11" borderId="0"/>
    <xf numFmtId="0" fontId="13" fillId="11" borderId="2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1" fillId="7" borderId="0"/>
    <xf numFmtId="0" fontId="1" fillId="8" borderId="0"/>
    <xf numFmtId="0" fontId="5" fillId="9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09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9" fontId="0" fillId="0" borderId="0" xfId="0" applyNumberFormat="1" applyFont="1"/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9" fontId="0" fillId="2" borderId="0" xfId="0" applyNumberFormat="1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7" xfId="0" applyFont="1" applyBorder="1"/>
    <xf numFmtId="0" fontId="0" fillId="0" borderId="14" xfId="0" applyFont="1" applyBorder="1"/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0" borderId="5" xfId="0" applyNumberFormat="1" applyFont="1" applyBorder="1"/>
    <xf numFmtId="164" fontId="0" fillId="0" borderId="15" xfId="0" applyNumberFormat="1" applyFont="1" applyBorder="1"/>
    <xf numFmtId="0" fontId="0" fillId="0" borderId="5" xfId="0" applyFont="1" applyBorder="1"/>
    <xf numFmtId="9" fontId="0" fillId="0" borderId="5" xfId="0" applyNumberFormat="1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73" fontId="0" fillId="0" borderId="5" xfId="0" applyNumberFormat="1" applyFont="1" applyBorder="1"/>
    <xf numFmtId="164" fontId="0" fillId="0" borderId="4" xfId="0" applyNumberFormat="1" applyFont="1" applyBorder="1"/>
    <xf numFmtId="0" fontId="0" fillId="0" borderId="4" xfId="0" applyFont="1" applyBorder="1"/>
    <xf numFmtId="9" fontId="0" fillId="0" borderId="4" xfId="0" applyNumberFormat="1" applyFont="1" applyBorder="1"/>
    <xf numFmtId="173" fontId="0" fillId="0" borderId="4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16" xfId="0" applyNumberFormat="1" applyFont="1" applyBorder="1"/>
    <xf numFmtId="3" fontId="0" fillId="0" borderId="15" xfId="0" applyNumberFormat="1" applyFont="1" applyBorder="1" applyAlignment="1">
      <alignment horizontal="center"/>
    </xf>
    <xf numFmtId="3" fontId="0" fillId="0" borderId="8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/>
    <xf numFmtId="3" fontId="0" fillId="0" borderId="8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2" borderId="0" xfId="0" applyNumberFormat="1" applyFont="1" applyFill="1" applyBorder="1"/>
    <xf numFmtId="3" fontId="0" fillId="0" borderId="0" xfId="0" applyNumberFormat="1" applyFont="1"/>
    <xf numFmtId="3" fontId="0" fillId="0" borderId="4" xfId="0" applyNumberFormat="1" applyFont="1" applyBorder="1" applyAlignment="1">
      <alignment horizontal="center"/>
    </xf>
    <xf numFmtId="3" fontId="0" fillId="0" borderId="13" xfId="0" applyNumberFormat="1" applyFont="1" applyBorder="1" applyAlignment="1">
      <alignment horizontal="center"/>
    </xf>
    <xf numFmtId="3" fontId="0" fillId="0" borderId="12" xfId="0" applyNumberFormat="1" applyFont="1" applyBorder="1"/>
    <xf numFmtId="3" fontId="0" fillId="0" borderId="13" xfId="0" applyNumberFormat="1" applyFont="1" applyBorder="1"/>
    <xf numFmtId="3" fontId="0" fillId="0" borderId="12" xfId="0" applyNumberFormat="1" applyFont="1" applyBorder="1" applyAlignment="1">
      <alignment horizontal="center"/>
    </xf>
    <xf numFmtId="164" fontId="0" fillId="0" borderId="3" xfId="0" applyNumberFormat="1" applyFont="1" applyBorder="1"/>
    <xf numFmtId="164" fontId="0" fillId="0" borderId="11" xfId="0" applyNumberFormat="1" applyFont="1" applyBorder="1"/>
    <xf numFmtId="0" fontId="0" fillId="0" borderId="3" xfId="0" applyFont="1" applyBorder="1"/>
    <xf numFmtId="9" fontId="0" fillId="0" borderId="3" xfId="0" applyNumberFormat="1" applyFont="1" applyBorder="1"/>
    <xf numFmtId="164" fontId="0" fillId="0" borderId="9" xfId="0" applyNumberFormat="1" applyFont="1" applyBorder="1"/>
    <xf numFmtId="173" fontId="0" fillId="0" borderId="3" xfId="0" applyNumberFormat="1" applyFont="1" applyBorder="1"/>
    <xf numFmtId="3" fontId="0" fillId="0" borderId="3" xfId="0" applyNumberFormat="1" applyFont="1" applyBorder="1"/>
    <xf numFmtId="3" fontId="0" fillId="0" borderId="11" xfId="0" applyNumberFormat="1" applyFont="1" applyBorder="1"/>
    <xf numFmtId="3" fontId="0" fillId="0" borderId="11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right"/>
    </xf>
    <xf numFmtId="3" fontId="0" fillId="0" borderId="1" xfId="0" applyNumberFormat="1" applyFont="1" applyBorder="1"/>
    <xf numFmtId="3" fontId="0" fillId="0" borderId="6" xfId="0" applyNumberFormat="1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10" fontId="0" fillId="0" borderId="14" xfId="0" applyNumberFormat="1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10" fontId="0" fillId="2" borderId="0" xfId="0" applyNumberFormat="1" applyFont="1" applyFill="1" applyBorder="1"/>
    <xf numFmtId="10" fontId="0" fillId="0" borderId="0" xfId="0" applyNumberFormat="1" applyFont="1"/>
    <xf numFmtId="0" fontId="0" fillId="2" borderId="12" xfId="0" applyFont="1" applyFill="1" applyBorder="1"/>
    <xf numFmtId="0" fontId="0" fillId="2" borderId="0" xfId="0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/>
    <xf numFmtId="164" fontId="0" fillId="0" borderId="0" xfId="0" applyNumberFormat="1" applyFont="1"/>
    <xf numFmtId="164" fontId="0" fillId="0" borderId="10" xfId="0" applyNumberFormat="1" applyFont="1" applyBorder="1"/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/>
    <xf numFmtId="3" fontId="0" fillId="0" borderId="0" xfId="0" applyNumberFormat="1" applyFont="1" applyAlignment="1">
      <alignment horizontal="center"/>
    </xf>
    <xf numFmtId="173" fontId="0" fillId="0" borderId="0" xfId="0" applyNumberFormat="1" applyFont="1"/>
    <xf numFmtId="3" fontId="0" fillId="0" borderId="3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right"/>
    </xf>
    <xf numFmtId="174" fontId="0" fillId="0" borderId="0" xfId="0" applyNumberFormat="1" applyFont="1"/>
    <xf numFmtId="164" fontId="0" fillId="0" borderId="16" xfId="0" applyNumberFormat="1" applyFont="1" applyBorder="1"/>
    <xf numFmtId="164" fontId="0" fillId="0" borderId="8" xfId="0" applyNumberFormat="1" applyFont="1" applyBorder="1"/>
    <xf numFmtId="164" fontId="0" fillId="0" borderId="5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 vertical="center"/>
    </xf>
    <xf numFmtId="172" fontId="0" fillId="0" borderId="0" xfId="0" applyNumberFormat="1" applyFo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2" fontId="0" fillId="0" borderId="4" xfId="0" applyNumberFormat="1" applyFont="1" applyBorder="1"/>
    <xf numFmtId="0" fontId="0" fillId="0" borderId="15" xfId="0" applyFont="1" applyBorder="1" applyAlignment="1">
      <alignment horizontal="center"/>
    </xf>
    <xf numFmtId="9" fontId="0" fillId="0" borderId="13" xfId="0" applyNumberFormat="1" applyFont="1" applyBorder="1"/>
    <xf numFmtId="0" fontId="0" fillId="2" borderId="8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12" borderId="8" xfId="0" applyFont="1" applyFill="1" applyBorder="1"/>
    <xf numFmtId="9" fontId="0" fillId="0" borderId="11" xfId="0" applyNumberFormat="1" applyFont="1" applyBorder="1"/>
    <xf numFmtId="0" fontId="0" fillId="0" borderId="11" xfId="0" applyFont="1" applyBorder="1" applyAlignment="1">
      <alignment horizontal="center"/>
    </xf>
    <xf numFmtId="9" fontId="0" fillId="0" borderId="12" xfId="0" applyNumberFormat="1" applyFont="1" applyBorder="1"/>
    <xf numFmtId="9" fontId="0" fillId="0" borderId="16" xfId="0" applyNumberFormat="1" applyFont="1" applyBorder="1"/>
    <xf numFmtId="0" fontId="0" fillId="0" borderId="9" xfId="0" applyFont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164" fontId="0" fillId="2" borderId="16" xfId="0" applyNumberFormat="1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13" borderId="0" xfId="0" applyFont="1" applyFill="1" applyBorder="1"/>
    <xf numFmtId="164" fontId="0" fillId="0" borderId="1" xfId="0" applyNumberFormat="1" applyFont="1" applyBorder="1"/>
    <xf numFmtId="0" fontId="0" fillId="0" borderId="16" xfId="0" applyFont="1" applyBorder="1" applyAlignment="1">
      <alignment horizontal="center"/>
    </xf>
    <xf numFmtId="172" fontId="0" fillId="0" borderId="5" xfId="0" applyNumberFormat="1" applyFont="1" applyBorder="1"/>
    <xf numFmtId="9" fontId="0" fillId="0" borderId="15" xfId="0" applyNumberFormat="1" applyFont="1" applyBorder="1"/>
    <xf numFmtId="9" fontId="0" fillId="0" borderId="8" xfId="0" applyNumberFormat="1" applyFont="1" applyBorder="1"/>
    <xf numFmtId="9" fontId="0" fillId="0" borderId="9" xfId="0" applyNumberFormat="1" applyFont="1" applyBorder="1"/>
    <xf numFmtId="0" fontId="0" fillId="0" borderId="10" xfId="0" applyFont="1" applyBorder="1" applyAlignment="1">
      <alignment horizontal="center"/>
    </xf>
    <xf numFmtId="175" fontId="0" fillId="0" borderId="0" xfId="0" applyNumberFormat="1" applyFont="1"/>
    <xf numFmtId="0" fontId="14" fillId="14" borderId="17" xfId="0" applyFont="1" applyFill="1" applyBorder="1" applyAlignment="1">
      <alignment horizontal="center" vertical="center" wrapText="1"/>
    </xf>
    <xf numFmtId="0" fontId="14" fillId="12" borderId="17" xfId="0" applyFont="1" applyFill="1" applyBorder="1" applyAlignment="1">
      <alignment horizontal="center" vertical="center" wrapText="1"/>
    </xf>
    <xf numFmtId="0" fontId="15" fillId="14" borderId="17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 wrapText="1"/>
    </xf>
    <xf numFmtId="0" fontId="17" fillId="14" borderId="17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3" fontId="0" fillId="0" borderId="14" xfId="0" applyNumberFormat="1" applyFont="1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/>
    </xf>
    <xf numFmtId="10" fontId="0" fillId="0" borderId="6" xfId="0" applyNumberFormat="1" applyFont="1" applyFill="1" applyBorder="1" applyAlignment="1">
      <alignment horizontal="center"/>
    </xf>
    <xf numFmtId="10" fontId="0" fillId="0" borderId="14" xfId="0" applyNumberFormat="1" applyFont="1" applyFill="1" applyBorder="1" applyAlignment="1">
      <alignment horizontal="center"/>
    </xf>
    <xf numFmtId="10" fontId="0" fillId="0" borderId="7" xfId="0" applyNumberFormat="1" applyFont="1" applyFill="1" applyBorder="1" applyAlignment="1">
      <alignment horizontal="center"/>
    </xf>
    <xf numFmtId="10" fontId="0" fillId="0" borderId="8" xfId="0" applyNumberFormat="1" applyFont="1" applyFill="1" applyBorder="1" applyAlignment="1">
      <alignment horizontal="center"/>
    </xf>
    <xf numFmtId="10" fontId="0" fillId="0" borderId="16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 vertical="top"/>
    </xf>
    <xf numFmtId="164" fontId="0" fillId="0" borderId="11" xfId="0" applyNumberFormat="1" applyFont="1" applyFill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0" fontId="0" fillId="13" borderId="1" xfId="0" applyFill="1" applyBorder="1"/>
    <xf numFmtId="0" fontId="0" fillId="15" borderId="0" xfId="0" applyFont="1" applyFill="1" applyBorder="1"/>
    <xf numFmtId="2" fontId="0" fillId="15" borderId="0" xfId="0" applyNumberFormat="1" applyFont="1" applyFill="1" applyBorder="1"/>
    <xf numFmtId="0" fontId="18" fillId="15" borderId="0" xfId="0" applyFont="1" applyFill="1" applyBorder="1" applyAlignment="1">
      <alignment horizontal="right"/>
    </xf>
    <xf numFmtId="0" fontId="18" fillId="15" borderId="0" xfId="0" applyFont="1" applyFill="1" applyBorder="1"/>
    <xf numFmtId="0" fontId="0" fillId="15" borderId="0" xfId="0" applyFont="1" applyFill="1" applyBorder="1" applyAlignment="1">
      <alignment horizontal="center"/>
    </xf>
    <xf numFmtId="166" fontId="0" fillId="15" borderId="0" xfId="0" applyNumberFormat="1" applyFont="1" applyFill="1" applyBorder="1"/>
    <xf numFmtId="0" fontId="18" fillId="15" borderId="14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right"/>
    </xf>
    <xf numFmtId="0" fontId="20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5" borderId="0" xfId="0" applyFont="1" applyFill="1" applyBorder="1" applyAlignment="1">
      <alignment horizontal="center" vertical="center"/>
    </xf>
    <xf numFmtId="164" fontId="0" fillId="15" borderId="0" xfId="0" applyNumberFormat="1" applyFont="1" applyFill="1" applyBorder="1"/>
    <xf numFmtId="0" fontId="22" fillId="15" borderId="0" xfId="0" applyFont="1" applyFill="1" applyBorder="1"/>
    <xf numFmtId="0" fontId="18" fillId="15" borderId="0" xfId="0" applyFont="1" applyFill="1" applyBorder="1" applyAlignment="1">
      <alignment horizontal="center"/>
    </xf>
    <xf numFmtId="0" fontId="0" fillId="16" borderId="7" xfId="0" applyFont="1" applyFill="1" applyBorder="1"/>
    <xf numFmtId="0" fontId="0" fillId="17" borderId="5" xfId="0" applyFont="1" applyFill="1" applyBorder="1"/>
    <xf numFmtId="0" fontId="0" fillId="17" borderId="1" xfId="0" applyFont="1" applyFill="1" applyBorder="1"/>
    <xf numFmtId="167" fontId="0" fillId="17" borderId="1" xfId="0" applyNumberFormat="1" applyFont="1" applyFill="1" applyBorder="1"/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6" xfId="0" applyNumberFormat="1" applyFont="1" applyFill="1" applyBorder="1"/>
    <xf numFmtId="2" fontId="0" fillId="7" borderId="16" xfId="0" applyNumberFormat="1" applyFont="1" applyFill="1" applyBorder="1"/>
    <xf numFmtId="166" fontId="0" fillId="7" borderId="1" xfId="0" applyNumberFormat="1" applyFont="1" applyFill="1" applyBorder="1"/>
    <xf numFmtId="3" fontId="23" fillId="18" borderId="8" xfId="0" applyNumberFormat="1" applyFont="1" applyFill="1" applyBorder="1"/>
    <xf numFmtId="3" fontId="0" fillId="7" borderId="1" xfId="0" applyNumberFormat="1" applyFont="1" applyFill="1" applyBorder="1"/>
    <xf numFmtId="3" fontId="0" fillId="7" borderId="8" xfId="0" applyNumberFormat="1" applyFont="1" applyFill="1" applyBorder="1"/>
    <xf numFmtId="3" fontId="23" fillId="18" borderId="1" xfId="0" applyNumberFormat="1" applyFont="1" applyFill="1" applyBorder="1"/>
    <xf numFmtId="1" fontId="0" fillId="7" borderId="1" xfId="0" applyNumberFormat="1" applyFont="1" applyFill="1" applyBorder="1"/>
    <xf numFmtId="170" fontId="0" fillId="7" borderId="1" xfId="0" applyNumberFormat="1" applyFont="1" applyFill="1" applyBorder="1"/>
    <xf numFmtId="3" fontId="23" fillId="18" borderId="13" xfId="0" applyNumberFormat="1" applyFont="1" applyFill="1" applyBorder="1"/>
    <xf numFmtId="164" fontId="0" fillId="16" borderId="7" xfId="0" applyNumberFormat="1" applyFont="1" applyFill="1" applyBorder="1"/>
    <xf numFmtId="3" fontId="0" fillId="15" borderId="0" xfId="0" applyNumberFormat="1" applyFont="1" applyFill="1" applyBorder="1"/>
    <xf numFmtId="167" fontId="0" fillId="15" borderId="0" xfId="0" applyNumberFormat="1" applyFont="1" applyFill="1" applyBorder="1"/>
    <xf numFmtId="0" fontId="0" fillId="7" borderId="1" xfId="0" applyFont="1" applyFill="1" applyBorder="1"/>
    <xf numFmtId="1" fontId="0" fillId="15" borderId="0" xfId="0" applyNumberFormat="1" applyFont="1" applyFill="1" applyBorder="1"/>
    <xf numFmtId="172" fontId="0" fillId="15" borderId="0" xfId="0" applyNumberFormat="1" applyFont="1" applyFill="1" applyBorder="1"/>
    <xf numFmtId="0" fontId="24" fillId="0" borderId="0" xfId="0" applyFont="1" applyBorder="1"/>
    <xf numFmtId="3" fontId="23" fillId="18" borderId="3" xfId="0" applyNumberFormat="1" applyFont="1" applyFill="1" applyBorder="1"/>
    <xf numFmtId="3" fontId="23" fillId="18" borderId="11" xfId="0" applyNumberFormat="1" applyFont="1" applyFill="1" applyBorder="1"/>
    <xf numFmtId="166" fontId="0" fillId="15" borderId="13" xfId="0" applyNumberFormat="1" applyFont="1" applyFill="1" applyBorder="1"/>
    <xf numFmtId="168" fontId="0" fillId="17" borderId="1" xfId="0" applyNumberFormat="1" applyFont="1" applyFill="1" applyBorder="1"/>
    <xf numFmtId="3" fontId="0" fillId="17" borderId="1" xfId="0" applyNumberFormat="1" applyFont="1" applyFill="1" applyBorder="1"/>
    <xf numFmtId="166" fontId="0" fillId="17" borderId="1" xfId="0" applyNumberFormat="1" applyFont="1" applyFill="1" applyBorder="1"/>
    <xf numFmtId="3" fontId="0" fillId="17" borderId="3" xfId="0" applyNumberFormat="1" applyFont="1" applyFill="1" applyBorder="1"/>
    <xf numFmtId="166" fontId="0" fillId="17" borderId="3" xfId="0" applyNumberFormat="1" applyFont="1" applyFill="1" applyBorder="1"/>
    <xf numFmtId="166" fontId="0" fillId="15" borderId="4" xfId="0" applyNumberFormat="1" applyFont="1" applyFill="1" applyBorder="1"/>
    <xf numFmtId="173" fontId="0" fillId="15" borderId="0" xfId="0" applyNumberFormat="1" applyFont="1" applyFill="1" applyBorder="1"/>
    <xf numFmtId="9" fontId="0" fillId="15" borderId="0" xfId="0" applyNumberFormat="1" applyFont="1" applyFill="1" applyBorder="1"/>
    <xf numFmtId="169" fontId="0" fillId="15" borderId="0" xfId="0" applyNumberFormat="1" applyFont="1" applyFill="1" applyBorder="1"/>
    <xf numFmtId="3" fontId="0" fillId="15" borderId="0" xfId="0" applyNumberFormat="1" applyFont="1" applyFill="1" applyBorder="1" applyAlignment="1">
      <alignment horizontal="center"/>
    </xf>
    <xf numFmtId="0" fontId="0" fillId="7" borderId="16" xfId="0" applyFont="1" applyFill="1" applyBorder="1"/>
    <xf numFmtId="3" fontId="23" fillId="18" borderId="7" xfId="0" applyNumberFormat="1" applyFont="1" applyFill="1" applyBorder="1"/>
    <xf numFmtId="0" fontId="0" fillId="15" borderId="0" xfId="0" applyFont="1" applyFill="1" applyBorder="1" applyAlignment="1">
      <alignment horizontal="center" vertical="center"/>
    </xf>
    <xf numFmtId="3" fontId="22" fillId="15" borderId="0" xfId="0" applyNumberFormat="1" applyFont="1" applyFill="1" applyBorder="1" applyAlignment="1">
      <alignment horizontal="center"/>
    </xf>
    <xf numFmtId="3" fontId="0" fillId="15" borderId="0" xfId="0" applyNumberFormat="1" applyFont="1" applyFill="1" applyBorder="1" applyAlignment="1">
      <alignment horizontal="right"/>
    </xf>
    <xf numFmtId="10" fontId="0" fillId="15" borderId="0" xfId="0" applyNumberFormat="1" applyFont="1" applyFill="1" applyBorder="1" applyAlignment="1">
      <alignment horizontal="center"/>
    </xf>
    <xf numFmtId="171" fontId="25" fillId="0" borderId="0" xfId="0" applyNumberFormat="1" applyFont="1"/>
    <xf numFmtId="1" fontId="0" fillId="7" borderId="15" xfId="0" applyNumberFormat="1" applyFont="1" applyFill="1" applyBorder="1"/>
    <xf numFmtId="166" fontId="25" fillId="0" borderId="0" xfId="0" applyNumberFormat="1" applyFont="1"/>
    <xf numFmtId="1" fontId="0" fillId="17" borderId="1" xfId="0" applyNumberFormat="1" applyFont="1" applyFill="1" applyBorder="1"/>
    <xf numFmtId="165" fontId="0" fillId="7" borderId="16" xfId="0" applyNumberFormat="1" applyFont="1" applyFill="1" applyBorder="1"/>
    <xf numFmtId="3" fontId="0" fillId="7" borderId="8" xfId="0" applyNumberFormat="1" applyFont="1" applyFill="1" applyBorder="1" applyAlignment="1">
      <alignment horizontal="center"/>
    </xf>
    <xf numFmtId="3" fontId="0" fillId="7" borderId="5" xfId="0" applyNumberFormat="1" applyFont="1" applyFill="1" applyBorder="1" applyAlignment="1">
      <alignment horizontal="center"/>
    </xf>
    <xf numFmtId="3" fontId="0" fillId="7" borderId="1" xfId="0" applyNumberFormat="1" applyFont="1" applyFill="1" applyBorder="1" applyAlignment="1">
      <alignment horizontal="center"/>
    </xf>
    <xf numFmtId="3" fontId="0" fillId="7" borderId="14" xfId="0" applyNumberFormat="1" applyFont="1" applyFill="1" applyBorder="1"/>
    <xf numFmtId="165" fontId="0" fillId="7" borderId="14" xfId="0" applyNumberFormat="1" applyFont="1" applyFill="1" applyBorder="1"/>
    <xf numFmtId="3" fontId="0" fillId="17" borderId="1" xfId="0" applyNumberFormat="1" applyFont="1" applyFill="1" applyBorder="1" applyAlignment="1">
      <alignment horizontal="center"/>
    </xf>
    <xf numFmtId="168" fontId="0" fillId="17" borderId="1" xfId="0" applyNumberFormat="1" applyFont="1" applyFill="1" applyBorder="1" applyAlignment="1">
      <alignment horizontal="center"/>
    </xf>
    <xf numFmtId="164" fontId="0" fillId="17" borderId="1" xfId="0" applyNumberFormat="1" applyFont="1" applyFill="1" applyBorder="1"/>
    <xf numFmtId="166" fontId="0" fillId="15" borderId="3" xfId="0" applyNumberFormat="1" applyFont="1" applyFill="1" applyBorder="1"/>
    <xf numFmtId="3" fontId="23" fillId="18" borderId="12" xfId="0" applyNumberFormat="1" applyFont="1" applyFill="1" applyBorder="1"/>
    <xf numFmtId="0" fontId="0" fillId="7" borderId="12" xfId="0" applyFont="1" applyFill="1" applyBorder="1"/>
    <xf numFmtId="3" fontId="0" fillId="15" borderId="12" xfId="0" applyNumberFormat="1" applyFont="1" applyFill="1" applyBorder="1"/>
    <xf numFmtId="2" fontId="0" fillId="15" borderId="13" xfId="0" applyNumberFormat="1" applyFont="1" applyFill="1" applyBorder="1"/>
    <xf numFmtId="3" fontId="0" fillId="15" borderId="8" xfId="0" applyNumberFormat="1" applyFont="1" applyFill="1" applyBorder="1"/>
    <xf numFmtId="3" fontId="0" fillId="15" borderId="16" xfId="0" applyNumberFormat="1" applyFont="1" applyFill="1" applyBorder="1"/>
    <xf numFmtId="2" fontId="0" fillId="15" borderId="16" xfId="0" applyNumberFormat="1" applyFont="1" applyFill="1" applyBorder="1"/>
    <xf numFmtId="166" fontId="0" fillId="15" borderId="1" xfId="0" applyNumberFormat="1" applyFont="1" applyFill="1" applyBorder="1"/>
    <xf numFmtId="0" fontId="0" fillId="7" borderId="8" xfId="0" applyFont="1" applyFill="1" applyBorder="1"/>
    <xf numFmtId="0" fontId="0" fillId="15" borderId="16" xfId="0" applyFont="1" applyFill="1" applyBorder="1"/>
    <xf numFmtId="2" fontId="0" fillId="15" borderId="15" xfId="0" applyNumberFormat="1" applyFont="1" applyFill="1" applyBorder="1"/>
    <xf numFmtId="1" fontId="0" fillId="15" borderId="16" xfId="0" applyNumberFormat="1" applyFont="1" applyFill="1" applyBorder="1"/>
    <xf numFmtId="166" fontId="0" fillId="15" borderId="5" xfId="0" applyNumberFormat="1" applyFont="1" applyFill="1" applyBorder="1"/>
    <xf numFmtId="1" fontId="0" fillId="15" borderId="15" xfId="0" applyNumberFormat="1" applyFont="1" applyFill="1" applyBorder="1"/>
    <xf numFmtId="3" fontId="23" fillId="18" borderId="15" xfId="0" applyNumberFormat="1" applyFont="1" applyFill="1" applyBorder="1"/>
    <xf numFmtId="0" fontId="26" fillId="0" borderId="0" xfId="0" applyFont="1"/>
    <xf numFmtId="0" fontId="18" fillId="15" borderId="0" xfId="0" applyFont="1" applyFill="1" applyBorder="1" applyAlignment="1">
      <alignment horizontal="right"/>
    </xf>
    <xf numFmtId="0" fontId="18" fillId="12" borderId="5" xfId="0" applyFont="1" applyFill="1" applyBorder="1" applyAlignment="1">
      <alignment horizontal="center"/>
    </xf>
    <xf numFmtId="0" fontId="19" fillId="15" borderId="0" xfId="0" applyFont="1" applyFill="1" applyBorder="1" applyAlignment="1">
      <alignment horizontal="right"/>
    </xf>
    <xf numFmtId="0" fontId="18" fillId="12" borderId="1" xfId="0" applyFont="1" applyFill="1" applyBorder="1" applyAlignment="1">
      <alignment horizontal="center"/>
    </xf>
    <xf numFmtId="0" fontId="0" fillId="15" borderId="0" xfId="0" applyFill="1" applyBorder="1"/>
    <xf numFmtId="0" fontId="18" fillId="12" borderId="3" xfId="0" applyFont="1" applyFill="1" applyBorder="1" applyAlignment="1">
      <alignment horizontal="center"/>
    </xf>
    <xf numFmtId="0" fontId="18" fillId="15" borderId="12" xfId="0" applyFont="1" applyFill="1" applyBorder="1" applyAlignment="1">
      <alignment horizontal="right"/>
    </xf>
    <xf numFmtId="0" fontId="0" fillId="16" borderId="6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7" borderId="1" xfId="0" applyFill="1" applyBorder="1"/>
    <xf numFmtId="3" fontId="0" fillId="0" borderId="9" xfId="0" applyNumberFormat="1" applyFont="1" applyBorder="1"/>
    <xf numFmtId="167" fontId="0" fillId="0" borderId="0" xfId="0" applyNumberFormat="1" applyFont="1"/>
    <xf numFmtId="3" fontId="0" fillId="0" borderId="10" xfId="0" applyNumberFormat="1" applyFont="1" applyBorder="1"/>
    <xf numFmtId="3" fontId="0" fillId="0" borderId="4" xfId="0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right"/>
    </xf>
    <xf numFmtId="1" fontId="0" fillId="0" borderId="0" xfId="0" applyNumberFormat="1" applyFont="1"/>
    <xf numFmtId="3" fontId="0" fillId="0" borderId="9" xfId="0" applyNumberFormat="1" applyFont="1" applyBorder="1" applyAlignment="1">
      <alignment horizontal="center"/>
    </xf>
    <xf numFmtId="0" fontId="0" fillId="2" borderId="6" xfId="0" applyFont="1" applyFill="1" applyBorder="1"/>
    <xf numFmtId="0" fontId="0" fillId="2" borderId="14" xfId="0" applyFont="1" applyFill="1" applyBorder="1"/>
    <xf numFmtId="0" fontId="0" fillId="2" borderId="7" xfId="0" applyFont="1" applyFill="1" applyBorder="1"/>
    <xf numFmtId="1" fontId="0" fillId="0" borderId="5" xfId="0" applyNumberFormat="1" applyFont="1" applyBorder="1"/>
    <xf numFmtId="1" fontId="0" fillId="0" borderId="13" xfId="0" applyNumberFormat="1" applyFont="1" applyBorder="1"/>
    <xf numFmtId="1" fontId="0" fillId="0" borderId="11" xfId="0" applyNumberFormat="1" applyFont="1" applyBorder="1"/>
    <xf numFmtId="9" fontId="0" fillId="0" borderId="10" xfId="0" applyNumberFormat="1" applyFont="1" applyBorder="1"/>
    <xf numFmtId="171" fontId="0" fillId="0" borderId="0" xfId="0" applyNumberFormat="1" applyFont="1"/>
    <xf numFmtId="1" fontId="0" fillId="0" borderId="15" xfId="0" applyNumberFormat="1" applyFont="1" applyBorder="1"/>
    <xf numFmtId="0" fontId="0" fillId="0" borderId="1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10" fontId="0" fillId="0" borderId="16" xfId="0" applyNumberFormat="1" applyFont="1" applyBorder="1"/>
    <xf numFmtId="164" fontId="0" fillId="0" borderId="5" xfId="0" applyNumberFormat="1" applyFont="1" applyBorder="1" applyAlignment="1">
      <alignment horizontal="center"/>
    </xf>
    <xf numFmtId="10" fontId="0" fillId="0" borderId="15" xfId="0" applyNumberFormat="1" applyFont="1" applyBorder="1"/>
    <xf numFmtId="164" fontId="0" fillId="0" borderId="4" xfId="0" applyNumberFormat="1" applyFont="1" applyBorder="1" applyAlignment="1">
      <alignment horizontal="center"/>
    </xf>
    <xf numFmtId="10" fontId="0" fillId="0" borderId="13" xfId="0" applyNumberFormat="1" applyFont="1" applyBorder="1"/>
    <xf numFmtId="10" fontId="0" fillId="0" borderId="10" xfId="0" applyNumberFormat="1" applyFont="1" applyBorder="1"/>
    <xf numFmtId="164" fontId="0" fillId="0" borderId="3" xfId="0" applyNumberFormat="1" applyFont="1" applyBorder="1" applyAlignment="1">
      <alignment horizontal="center"/>
    </xf>
    <xf numFmtId="10" fontId="0" fillId="0" borderId="11" xfId="0" applyNumberFormat="1" applyFont="1" applyBorder="1"/>
    <xf numFmtId="0" fontId="28" fillId="0" borderId="0" xfId="0" applyFon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172" fontId="0" fillId="0" borderId="16" xfId="0" applyNumberFormat="1" applyFont="1" applyBorder="1"/>
    <xf numFmtId="172" fontId="0" fillId="0" borderId="15" xfId="0" applyNumberFormat="1" applyFont="1" applyBorder="1"/>
    <xf numFmtId="172" fontId="0" fillId="0" borderId="13" xfId="0" applyNumberFormat="1" applyFont="1" applyBorder="1"/>
    <xf numFmtId="172" fontId="0" fillId="0" borderId="10" xfId="0" applyNumberFormat="1" applyFont="1" applyBorder="1"/>
    <xf numFmtId="172" fontId="0" fillId="0" borderId="11" xfId="0" applyNumberFormat="1" applyFont="1" applyBorder="1"/>
    <xf numFmtId="0" fontId="27" fillId="0" borderId="0" xfId="0" applyFont="1" applyFill="1" applyBorder="1" applyAlignment="1">
      <alignment horizontal="center" vertical="center"/>
    </xf>
    <xf numFmtId="167" fontId="0" fillId="17" borderId="5" xfId="0" applyNumberFormat="1" applyFont="1" applyFill="1" applyBorder="1"/>
    <xf numFmtId="166" fontId="1" fillId="7" borderId="18" xfId="12" applyNumberFormat="1" applyBorder="1"/>
    <xf numFmtId="3" fontId="23" fillId="18" borderId="16" xfId="0" applyNumberFormat="1" applyFont="1" applyFill="1" applyBorder="1"/>
    <xf numFmtId="0" fontId="0" fillId="16" borderId="14" xfId="0" applyFont="1" applyFill="1" applyBorder="1" applyAlignment="1">
      <alignment horizontal="center"/>
    </xf>
    <xf numFmtId="0" fontId="0" fillId="16" borderId="7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0" fillId="15" borderId="10" xfId="0" applyFont="1" applyFill="1" applyBorder="1" applyAlignment="1">
      <alignment horizontal="center"/>
    </xf>
    <xf numFmtId="0" fontId="0" fillId="20" borderId="6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3" xfId="0" applyFont="1" applyFill="1" applyBorder="1"/>
    <xf numFmtId="0" fontId="1" fillId="21" borderId="18" xfId="13" applyFill="1" applyBorder="1" applyAlignment="1">
      <alignment horizontal="center"/>
    </xf>
    <xf numFmtId="0" fontId="0" fillId="19" borderId="6" xfId="0" applyFont="1" applyFill="1" applyBorder="1" applyAlignment="1">
      <alignment horizontal="center"/>
    </xf>
    <xf numFmtId="0" fontId="0" fillId="19" borderId="14" xfId="0" applyFont="1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</cellXfs>
  <cellStyles count="21">
    <cellStyle name="Accent" xfId="7" xr:uid="{326BE6FA-C219-4613-BF63-D3D27F7A06BA}"/>
    <cellStyle name="Accent 1" xfId="8" xr:uid="{D9576D49-764D-4BDC-8E7D-D681B3F480EE}"/>
    <cellStyle name="Accent 2" xfId="9" xr:uid="{56FD2F6C-A643-4BAB-9445-85D0CA38C943}"/>
    <cellStyle name="Accent 3" xfId="10" xr:uid="{931503CA-EB52-4E11-8466-4604458CB0C1}"/>
    <cellStyle name="Bad" xfId="4" builtinId="27" customBuiltin="1"/>
    <cellStyle name="ConditionalStyle_1" xfId="11" xr:uid="{C68FF8E0-92D6-40F6-98F7-4C1A8D71D1E0}"/>
    <cellStyle name="ConditionalStyle_11" xfId="12" xr:uid="{6EF90277-9D26-4476-A067-AC1899B36F06}"/>
    <cellStyle name="ConditionalStyle_3" xfId="13" xr:uid="{E6BE80C2-1989-4931-AE61-3FF55E7C0FA0}"/>
    <cellStyle name="Error" xfId="14" xr:uid="{F0E38D6A-939D-4C92-BCEB-7906849EB0CA}"/>
    <cellStyle name="Footnote" xfId="15" xr:uid="{01D511C9-5E6F-494C-B6F2-EBC17BCE57EA}"/>
    <cellStyle name="Good" xfId="3" builtinId="26" customBuiltin="1"/>
    <cellStyle name="Heading" xfId="16" xr:uid="{D2F3F650-D64E-4CBB-8D72-CD82969B8390}"/>
    <cellStyle name="Heading 1" xfId="1" builtinId="16" customBuiltin="1"/>
    <cellStyle name="Heading 2" xfId="2" builtinId="17" customBuiltin="1"/>
    <cellStyle name="Hyperlink" xfId="17" xr:uid="{236EE29B-0DE7-4859-90AD-03F6C62EF806}"/>
    <cellStyle name="Neutral" xfId="5" builtinId="28" customBuiltin="1"/>
    <cellStyle name="Normal" xfId="0" builtinId="0" customBuiltin="1"/>
    <cellStyle name="Note" xfId="6" builtinId="10" customBuiltin="1"/>
    <cellStyle name="Status" xfId="18" xr:uid="{814371DC-3D59-4215-947E-3F80D1F438A0}"/>
    <cellStyle name="Text" xfId="19" xr:uid="{973B993C-986F-4EA9-9BEE-3A7813485AA0}"/>
    <cellStyle name="Warning" xfId="20" xr:uid="{8713B7F3-08F1-4B67-905C-53DC99E97951}"/>
  </cellStyles>
  <dxfs count="107"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B4C6E7"/>
          <bgColor rgb="FFB4C6E7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7030A0"/>
          <bgColor rgb="FF7030A0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7030A0"/>
          <bgColor rgb="FF7030A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B4C6E7"/>
          <bgColor rgb="FFB4C6E7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B4C6E7"/>
          <bgColor rgb="FFB4C6E7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00CC00"/>
          <bgColor rgb="FF00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B4C6E7"/>
          <bgColor rgb="FFB4C6E7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00CC00"/>
          <bgColor rgb="FF00CC00"/>
        </patternFill>
      </fill>
    </dxf>
    <dxf>
      <font>
        <color rgb="FF000000"/>
        <family val="2"/>
      </font>
      <fill>
        <patternFill patternType="solid">
          <fgColor rgb="FFFF0000"/>
          <bgColor rgb="FFFF0000"/>
        </patternFill>
      </fill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family val="2"/>
      </font>
      <fill>
        <patternFill patternType="solid">
          <fgColor rgb="FFFFCC00"/>
          <bgColor rgb="FFFFCC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colors>
    <mruColors>
      <color rgb="FFCC3300"/>
      <color rgb="FFFF9900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D3C-2576-40FB-9196-5D0A94F215D6}">
  <dimension ref="A1:BJ1004"/>
  <sheetViews>
    <sheetView tabSelected="1" topLeftCell="O3" zoomScale="90" zoomScaleNormal="90" workbookViewId="0">
      <selection activeCell="T65" sqref="T65"/>
    </sheetView>
  </sheetViews>
  <sheetFormatPr defaultRowHeight="15" customHeight="1"/>
  <cols>
    <col min="1" max="1" width="4.7109375" customWidth="1"/>
    <col min="2" max="2" width="18.28515625" customWidth="1"/>
    <col min="3" max="3" width="17.140625" customWidth="1"/>
    <col min="4" max="4" width="9.140625" customWidth="1"/>
    <col min="5" max="5" width="20.140625" customWidth="1"/>
    <col min="6" max="6" width="18.7109375" customWidth="1"/>
    <col min="7" max="7" width="23.42578125" customWidth="1"/>
    <col min="8" max="8" width="28.140625" customWidth="1"/>
    <col min="9" max="9" width="18.7109375" customWidth="1"/>
    <col min="10" max="10" width="21.85546875" customWidth="1"/>
    <col min="11" max="11" width="21" customWidth="1"/>
    <col min="12" max="12" width="18.7109375" customWidth="1"/>
    <col min="13" max="13" width="16.42578125" customWidth="1"/>
    <col min="14" max="14" width="23.42578125" customWidth="1"/>
    <col min="15" max="15" width="31.28515625" customWidth="1"/>
    <col min="16" max="16" width="20" customWidth="1"/>
    <col min="17" max="17" width="36.85546875" customWidth="1"/>
    <col min="18" max="18" width="28" customWidth="1"/>
    <col min="19" max="19" width="18.42578125" customWidth="1"/>
    <col min="20" max="20" width="28.28515625" customWidth="1"/>
    <col min="21" max="21" width="21.28515625" customWidth="1"/>
    <col min="22" max="22" width="31" customWidth="1"/>
    <col min="23" max="23" width="31.140625" customWidth="1"/>
    <col min="24" max="24" width="46.28515625" customWidth="1"/>
    <col min="25" max="25" width="16" customWidth="1"/>
    <col min="26" max="26" width="28" customWidth="1"/>
    <col min="27" max="27" width="18.7109375" customWidth="1"/>
    <col min="28" max="31" width="9.7109375" customWidth="1"/>
    <col min="32" max="32" width="37.85546875" customWidth="1"/>
    <col min="33" max="33" width="36.140625" customWidth="1"/>
    <col min="34" max="34" width="15.7109375" customWidth="1"/>
    <col min="35" max="38" width="9.7109375" customWidth="1"/>
    <col min="39" max="39" width="40" customWidth="1"/>
    <col min="40" max="40" width="18" customWidth="1"/>
    <col min="41" max="41" width="16.42578125" customWidth="1"/>
    <col min="42" max="42" width="37.85546875" customWidth="1"/>
    <col min="43" max="43" width="18.42578125" customWidth="1"/>
    <col min="44" max="44" width="16.42578125" customWidth="1"/>
    <col min="45" max="47" width="9.7109375" customWidth="1"/>
    <col min="48" max="49" width="18" customWidth="1"/>
    <col min="50" max="50" width="16.42578125" customWidth="1"/>
    <col min="51" max="62" width="9.7109375" customWidth="1"/>
    <col min="63" max="1024" width="15.28515625" customWidth="1"/>
  </cols>
  <sheetData>
    <row r="1" spans="1:62" ht="17.25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8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 ht="36">
      <c r="A2" s="243" t="s">
        <v>257</v>
      </c>
      <c r="B2" s="243"/>
      <c r="C2" s="243"/>
      <c r="D2" s="243"/>
      <c r="E2" s="243"/>
      <c r="F2" s="244">
        <v>11</v>
      </c>
      <c r="G2" s="160"/>
      <c r="H2" s="160"/>
      <c r="I2" s="245" t="s">
        <v>258</v>
      </c>
      <c r="J2" s="245"/>
      <c r="K2" s="246" t="s">
        <v>259</v>
      </c>
      <c r="L2" s="246"/>
      <c r="M2" s="246"/>
      <c r="N2" s="157"/>
      <c r="O2" s="247"/>
      <c r="P2" s="24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 ht="36">
      <c r="A3" s="243"/>
      <c r="B3" s="243"/>
      <c r="C3" s="243"/>
      <c r="D3" s="243"/>
      <c r="E3" s="243"/>
      <c r="F3" s="244"/>
      <c r="G3" s="160"/>
      <c r="H3" s="160"/>
      <c r="I3" s="245"/>
      <c r="J3" s="245"/>
      <c r="K3" s="246"/>
      <c r="L3" s="246"/>
      <c r="M3" s="246"/>
      <c r="N3" s="157"/>
      <c r="O3" s="247"/>
      <c r="P3" s="247"/>
      <c r="Q3" s="162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 ht="9.75" customHeight="1">
      <c r="A4" s="159"/>
      <c r="B4" s="159"/>
      <c r="C4" s="159"/>
      <c r="D4" s="159"/>
      <c r="E4" s="159"/>
      <c r="F4" s="163"/>
      <c r="G4" s="160"/>
      <c r="H4" s="160"/>
      <c r="I4" s="164"/>
      <c r="J4" s="164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 ht="36">
      <c r="A5" s="159"/>
      <c r="B5" s="159"/>
      <c r="C5" s="159"/>
      <c r="D5" s="159"/>
      <c r="E5" s="159"/>
      <c r="F5" s="248" t="s">
        <v>260</v>
      </c>
      <c r="G5" s="248"/>
      <c r="H5" s="248"/>
      <c r="I5" s="159"/>
      <c r="J5" s="159"/>
      <c r="K5" s="160"/>
      <c r="L5" s="160"/>
      <c r="M5" s="160"/>
      <c r="N5" s="157"/>
      <c r="O5" s="162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 ht="27.75" customHeight="1">
      <c r="A6" s="157"/>
      <c r="B6" s="157"/>
      <c r="C6" s="243" t="s">
        <v>261</v>
      </c>
      <c r="D6" s="243"/>
      <c r="E6" s="243"/>
      <c r="F6" s="248"/>
      <c r="G6" s="248"/>
      <c r="H6" s="248"/>
      <c r="I6" s="249" t="s">
        <v>262</v>
      </c>
      <c r="J6" s="249"/>
      <c r="K6" s="165">
        <v>3</v>
      </c>
      <c r="L6" s="160"/>
      <c r="M6" s="160" t="s">
        <v>263</v>
      </c>
      <c r="N6" s="166">
        <v>11</v>
      </c>
      <c r="O6" s="167"/>
      <c r="P6" s="157"/>
      <c r="Q6" s="168"/>
      <c r="R6" s="162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69" t="s">
        <v>260</v>
      </c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 ht="36">
      <c r="A7" s="157"/>
      <c r="B7" s="157"/>
      <c r="C7" s="159"/>
      <c r="D7" s="159"/>
      <c r="E7" s="159"/>
      <c r="F7" s="170"/>
      <c r="G7" s="170"/>
      <c r="H7" s="170"/>
      <c r="I7" s="160"/>
      <c r="J7" s="160"/>
      <c r="K7" s="160"/>
      <c r="L7" s="160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7"/>
      <c r="B8" s="250" t="s">
        <v>518</v>
      </c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171"/>
      <c r="S8" s="250" t="s">
        <v>518</v>
      </c>
      <c r="T8" s="298"/>
      <c r="U8" s="298"/>
      <c r="V8" s="298"/>
      <c r="W8" s="298"/>
      <c r="X8" s="298"/>
      <c r="Y8" s="298"/>
      <c r="Z8" s="299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72" t="s">
        <v>265</v>
      </c>
      <c r="C9" s="172" t="s">
        <v>266</v>
      </c>
      <c r="D9" s="172" t="s">
        <v>215</v>
      </c>
      <c r="E9" s="173" t="s">
        <v>267</v>
      </c>
      <c r="F9" s="173" t="s">
        <v>268</v>
      </c>
      <c r="G9" s="173" t="s">
        <v>269</v>
      </c>
      <c r="H9" s="172" t="s">
        <v>270</v>
      </c>
      <c r="I9" s="173" t="s">
        <v>271</v>
      </c>
      <c r="J9" s="172" t="s">
        <v>272</v>
      </c>
      <c r="K9" s="172" t="s">
        <v>273</v>
      </c>
      <c r="L9" s="173" t="s">
        <v>274</v>
      </c>
      <c r="M9" s="173" t="s">
        <v>268</v>
      </c>
      <c r="N9" s="174" t="s">
        <v>269</v>
      </c>
      <c r="O9" s="295" t="s">
        <v>275</v>
      </c>
      <c r="P9" s="173" t="s">
        <v>276</v>
      </c>
      <c r="Q9" s="175" t="s">
        <v>277</v>
      </c>
      <c r="R9" s="175" t="s">
        <v>278</v>
      </c>
      <c r="S9" s="175" t="s">
        <v>265</v>
      </c>
      <c r="T9" s="175" t="s">
        <v>279</v>
      </c>
      <c r="U9" s="173" t="s">
        <v>267</v>
      </c>
      <c r="V9" s="173" t="s">
        <v>268</v>
      </c>
      <c r="W9" s="173" t="s">
        <v>269</v>
      </c>
      <c r="X9" s="173" t="s">
        <v>270</v>
      </c>
      <c r="Y9" s="173" t="s">
        <v>280</v>
      </c>
      <c r="Z9" s="173" t="s">
        <v>281</v>
      </c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73" t="s">
        <v>282</v>
      </c>
      <c r="C10" s="176">
        <v>9200</v>
      </c>
      <c r="D10" s="176">
        <v>8</v>
      </c>
      <c r="E10" s="177">
        <f>MAX(VLOOKUP(D10,'Card Progress data'!$A$24:$B$37,2,0)-C10,0)</f>
        <v>0</v>
      </c>
      <c r="F10" s="177">
        <f>ROUNDUP(E10/'Card Progress data'!$AE$52,0)</f>
        <v>0</v>
      </c>
      <c r="G10" s="178">
        <f>E10/('Card Progress data'!$AE$52*$K$6)</f>
        <v>0</v>
      </c>
      <c r="H10" s="296" t="str">
        <f ca="1">IF(NOW()+(F10/'Card Progress data'!$AF$74*7)=NOW(),"",NOW()+(F10/'Card Progress data'!$AF$74*7))</f>
        <v/>
      </c>
      <c r="I10" s="297">
        <f>MAX(VLOOKUP(D10,'Card Progress data'!$A$4:$B$17,2,0),0)</f>
        <v>4000</v>
      </c>
      <c r="J10" s="181">
        <f>VLOOKUP(VLOOKUP(D10-1,'Card Progress data'!$Q$23:$R$37,2,0)+C10,'Card Progress data'!$R$24:$S$37,2,1)</f>
        <v>13</v>
      </c>
      <c r="K10" s="180">
        <f>P10-VLOOKUP(J10,'Card Progress data'!$A$44:$B$57,2,0)</f>
        <v>182000</v>
      </c>
      <c r="L10" s="182">
        <f>MAX('Generic Info'!$R$58-C10-VLOOKUP(D10,'Generic Info'!$Q$46:$R$58,2,0),0)</f>
        <v>0</v>
      </c>
      <c r="M10" s="177">
        <f>ROUNDUP(L10/'Card Progress data'!$AE$52,0)</f>
        <v>0</v>
      </c>
      <c r="N10" s="178">
        <f>L10/('Card Progress data'!$AE$52*$K$6)</f>
        <v>0</v>
      </c>
      <c r="O10" s="296" t="str">
        <f ca="1">IF(NOW()+(M10/'Card Progress data'!$AF$74*7)=NOW(),"",NOW()+(M10/'Card Progress data'!$AF$74*7))</f>
        <v/>
      </c>
      <c r="P10" s="208">
        <f>MAX('Card Progress data'!$R$17-VLOOKUP(D10-1,'Card Progress data'!$Q$4:$R$17,2,0),0)</f>
        <v>182000</v>
      </c>
      <c r="Q10" s="183">
        <f>'Card Progress data'!$B$44-MAX('Card Progress data'!$R$17-VLOOKUP(D10-1,'Card Progress data'!$Q$4:$R$17,2,0),0)</f>
        <v>3625</v>
      </c>
      <c r="R10" s="183">
        <f>L10*'Card Progress data'!$V$79</f>
        <v>0</v>
      </c>
      <c r="S10" s="173" t="str">
        <f t="shared" ref="S10:S36" si="0">B10</f>
        <v>Skeletons</v>
      </c>
      <c r="T10" s="181">
        <v>12</v>
      </c>
      <c r="U10" s="181">
        <f>MAX((VLOOKUP($T10,'Card Progress data'!$A$65:$B$78,2,0))-(VLOOKUP($D10-1,'Card Progress data'!$Q$24:$R$37,2,0))-$C10,0)</f>
        <v>0</v>
      </c>
      <c r="V10" s="184">
        <f>U10/('Card Progress data'!$AE$52*$K$6)</f>
        <v>0</v>
      </c>
      <c r="W10" s="185">
        <f>U10/('Card Progress data'!$AE$52*$K$6)</f>
        <v>0</v>
      </c>
      <c r="X10" s="179">
        <f t="shared" ref="X10:X36" ca="1" si="1">NOW()+W10</f>
        <v>45736.526136342596</v>
      </c>
      <c r="Y10" s="186">
        <f>MAX(P10-VLOOKUP(T10,'Card Progress data'!$A$44:$B$57,2,0),0)</f>
        <v>82000</v>
      </c>
      <c r="Z10" s="187">
        <f>MAX(VLOOKUP(T10,'Card Progress data'!$AW$24:$AX$37,2,0)-(VLOOKUP(D10,'Card Progress data'!$AW$24:$AX$37,2,0)),0)</f>
        <v>2000</v>
      </c>
      <c r="AA10" s="157"/>
      <c r="AB10" s="157"/>
      <c r="AC10" s="157"/>
      <c r="AD10" s="157"/>
      <c r="AE10" s="157"/>
      <c r="AF10" s="188">
        <f>'Card Progress data'!B38-L10</f>
        <v>9586</v>
      </c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69" t="s">
        <v>260</v>
      </c>
      <c r="BC10" s="157"/>
      <c r="BD10" s="157"/>
      <c r="BE10" s="157"/>
      <c r="BF10" s="189">
        <v>42961.666597222225</v>
      </c>
      <c r="BG10" s="157"/>
      <c r="BH10" s="157"/>
      <c r="BI10" s="157"/>
      <c r="BJ10" s="157"/>
    </row>
    <row r="11" spans="1:62">
      <c r="A11" s="157"/>
      <c r="B11" s="173" t="s">
        <v>283</v>
      </c>
      <c r="C11" s="176">
        <v>8104</v>
      </c>
      <c r="D11" s="190">
        <v>9</v>
      </c>
      <c r="E11" s="177">
        <f>MAX(VLOOKUP(D11,'Card Progress data'!$A$24:$B$37,2,0)-C11,0)</f>
        <v>0</v>
      </c>
      <c r="F11" s="177">
        <f>ROUNDUP(E11/VLOOKUP($N$6,'Card Progress data'!$AC$42:$AD$52,2,0),0)</f>
        <v>0</v>
      </c>
      <c r="G11" s="178">
        <f>E11/('Card Progress data'!$AE$52*$K$6)</f>
        <v>0</v>
      </c>
      <c r="H11" s="296" t="str">
        <f ca="1">IF(NOW()+(F11/'Card Progress data'!$AF$74*7)=NOW(),"",NOW()+(F11/'Card Progress data'!$AF$74*7))</f>
        <v/>
      </c>
      <c r="I11" s="297">
        <f>MAX(VLOOKUP(D11,'Card Progress data'!$A$4:$B$17,2,0),0)</f>
        <v>8000</v>
      </c>
      <c r="J11" s="181">
        <f>VLOOKUP(VLOOKUP(D11-1,'Card Progress data'!$Q$23:$R$37,2,0)+C11,'Card Progress data'!$R$24:$S$37,2,1)</f>
        <v>12</v>
      </c>
      <c r="K11" s="180">
        <f>P11-VLOOKUP(J11,'Card Progress data'!$A$44:$B$57,2,0)</f>
        <v>78000</v>
      </c>
      <c r="L11" s="182">
        <f>MAX('Generic Info'!$R$58-C11-VLOOKUP(D11,'Generic Info'!$Q$46:$R$58,2,0),0)</f>
        <v>696</v>
      </c>
      <c r="M11" s="177">
        <f>ROUNDUP(L11/'Card Progress data'!$AE$52,0)</f>
        <v>18</v>
      </c>
      <c r="N11" s="178">
        <f>L11/('Card Progress data'!$AE$52*$K$6)</f>
        <v>5.8</v>
      </c>
      <c r="O11" s="296">
        <f ca="1">IF(NOW()+(M11/'Card Progress data'!$AF$74*7)=NOW(),"",NOW()+(M11/'Card Progress data'!$AF$74*7))</f>
        <v>45742.826136342599</v>
      </c>
      <c r="P11" s="208">
        <f>MAX('Card Progress data'!$R$17-VLOOKUP(D11-1,'Card Progress data'!$Q$4:$R$17,2,0),0)</f>
        <v>178000</v>
      </c>
      <c r="Q11" s="183">
        <f>'Card Progress data'!$B$44-MAX('Card Progress data'!$R$17-VLOOKUP(D11-1,'Card Progress data'!$Q$4:$R$17,2,0),0)</f>
        <v>7625</v>
      </c>
      <c r="R11" s="183">
        <f>L11*'Card Progress data'!$V$79</f>
        <v>6960</v>
      </c>
      <c r="S11" s="173" t="str">
        <f t="shared" si="0"/>
        <v>Ice spirit</v>
      </c>
      <c r="T11" s="181">
        <v>12</v>
      </c>
      <c r="U11" s="181">
        <f>MAX((VLOOKUP($T11,'Card Progress data'!$A$65:$B$78,2,0))-(VLOOKUP($D11-1,'Card Progress data'!$Q$24:$R$37,2,0))-$C11,0)</f>
        <v>0</v>
      </c>
      <c r="V11" s="184">
        <f>U11/('Card Progress data'!$AE$52*$K$6)</f>
        <v>0</v>
      </c>
      <c r="W11" s="185">
        <f>U11/('Card Progress data'!$AE$52*$K$6)</f>
        <v>0</v>
      </c>
      <c r="X11" s="179">
        <f t="shared" ca="1" si="1"/>
        <v>45736.526136342596</v>
      </c>
      <c r="Y11" s="186">
        <f>MAX(P11-VLOOKUP(T11,'Card Progress data'!$A$44:$B$57,2,0),0)</f>
        <v>78000</v>
      </c>
      <c r="Z11" s="187">
        <f>MAX(VLOOKUP(T11,'Card Progress data'!$AW$24:$AX$37,2,0)-(VLOOKUP(D11,'Card Progress data'!$AW$24:$AX$37,2,0)),0)</f>
        <v>1800</v>
      </c>
      <c r="AA11" s="157"/>
      <c r="AB11" s="157"/>
      <c r="AC11" s="157"/>
      <c r="AD11" s="157"/>
      <c r="AE11" s="157"/>
      <c r="AF11" s="188" t="e">
        <f>#REF!+L10</f>
        <v>#REF!</v>
      </c>
      <c r="AG11" s="157"/>
      <c r="AH11" s="157"/>
      <c r="AI11" s="157"/>
      <c r="AJ11" s="157"/>
      <c r="AK11" s="157"/>
      <c r="AL11" s="157"/>
      <c r="AM11" s="157"/>
      <c r="AN11" s="169" t="s">
        <v>260</v>
      </c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89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73" t="s">
        <v>284</v>
      </c>
      <c r="C12" s="176">
        <v>2781</v>
      </c>
      <c r="D12" s="190">
        <v>9</v>
      </c>
      <c r="E12" s="177">
        <f>MAX(VLOOKUP(D12,'Card Progress data'!$A$24:$B$37,2,0)-C12,0)</f>
        <v>0</v>
      </c>
      <c r="F12" s="177">
        <f>ROUNDUP(E12/VLOOKUP($N$6,'Card Progress data'!$AC$42:$AD$52,2,0),0)</f>
        <v>0</v>
      </c>
      <c r="G12" s="178">
        <f>E12/('Card Progress data'!$AE$52*$K$6)</f>
        <v>0</v>
      </c>
      <c r="H12" s="296" t="str">
        <f ca="1">IF(NOW()+(F12/'Card Progress data'!$AF$74*7)=NOW(),"",NOW()+(F12/'Card Progress data'!$AF$74*7))</f>
        <v/>
      </c>
      <c r="I12" s="297">
        <f>MAX(VLOOKUP(D12,'Card Progress data'!$A$4:$B$17,2,0),0)</f>
        <v>8000</v>
      </c>
      <c r="J12" s="181">
        <f>VLOOKUP(VLOOKUP(D12-1,'Card Progress data'!$Q$23:$R$37,2,0)+C12,'Card Progress data'!$R$24:$S$37,2,1)</f>
        <v>11</v>
      </c>
      <c r="K12" s="180">
        <f>P12-VLOOKUP(J12,'Card Progress data'!$A$44:$B$57,2,0)</f>
        <v>28000</v>
      </c>
      <c r="L12" s="182">
        <f>MAX('Generic Info'!$R$58-C12-VLOOKUP(D12,'Generic Info'!$Q$46:$R$58,2,0),0)</f>
        <v>6019</v>
      </c>
      <c r="M12" s="177">
        <f>ROUNDUP(L12/'Card Progress data'!$AE$52,0)</f>
        <v>151</v>
      </c>
      <c r="N12" s="178">
        <f>L12/('Card Progress data'!$AE$52*$K$6)</f>
        <v>50.158333333333331</v>
      </c>
      <c r="O12" s="296">
        <f ca="1">IF(NOW()+(M12/'Card Progress data'!$AF$74*7)=NOW(),"",NOW()+(M12/'Card Progress data'!$AF$74*7))</f>
        <v>45789.376136342595</v>
      </c>
      <c r="P12" s="208">
        <f>MAX('Card Progress data'!$R$17-VLOOKUP(D12-1,'Card Progress data'!$Q$4:$R$17,2,0),0)</f>
        <v>178000</v>
      </c>
      <c r="Q12" s="183">
        <f>'Card Progress data'!$B$44-MAX('Card Progress data'!$R$17-VLOOKUP(D12-1,'Card Progress data'!$Q$4:$R$17,2,0),0)</f>
        <v>7625</v>
      </c>
      <c r="R12" s="183">
        <f>L12*'Card Progress data'!$V$79</f>
        <v>60190</v>
      </c>
      <c r="S12" s="173" t="str">
        <f t="shared" si="0"/>
        <v>Giant Snowball</v>
      </c>
      <c r="T12" s="181">
        <v>12</v>
      </c>
      <c r="U12" s="181">
        <f>MAX((VLOOKUP($T12,'Card Progress data'!$A$65:$B$78,2,0))-(VLOOKUP($D12-1,'Card Progress data'!$Q$24:$R$37,2,0))-$C12,0)</f>
        <v>1019</v>
      </c>
      <c r="V12" s="184">
        <f>U12/('Card Progress data'!$AE$52*$K$6)</f>
        <v>8.4916666666666671</v>
      </c>
      <c r="W12" s="185">
        <f>U12/('Card Progress data'!$AE$52*$K$6)</f>
        <v>8.4916666666666671</v>
      </c>
      <c r="X12" s="179">
        <f t="shared" ca="1" si="1"/>
        <v>45745.017803009265</v>
      </c>
      <c r="Y12" s="186">
        <f>MAX(P12-VLOOKUP(T12,'Card Progress data'!$A$44:$B$57,2,0),0)</f>
        <v>78000</v>
      </c>
      <c r="Z12" s="187">
        <f>MAX(VLOOKUP(T12,'Card Progress data'!$AW$24:$AX$37,2,0)-(VLOOKUP(D12,'Card Progress data'!$AW$24:$AX$37,2,0)),0)</f>
        <v>1800</v>
      </c>
      <c r="AA12" s="157"/>
      <c r="AB12" s="157"/>
      <c r="AC12" s="157"/>
      <c r="AD12" s="157"/>
      <c r="AE12" s="157"/>
      <c r="AF12" s="188"/>
      <c r="AG12" s="157"/>
      <c r="AH12" s="157"/>
      <c r="AI12" s="157"/>
      <c r="AJ12" s="157"/>
      <c r="AK12" s="157"/>
      <c r="AL12" s="157"/>
      <c r="AM12" s="157"/>
      <c r="AN12" s="169"/>
      <c r="AO12" s="157"/>
      <c r="AP12" s="157"/>
      <c r="AQ12" s="157"/>
      <c r="AR12" s="157"/>
      <c r="AS12" s="157"/>
      <c r="AT12" s="157"/>
      <c r="AU12" s="157"/>
      <c r="AV12" s="157"/>
      <c r="AW12" s="169" t="s">
        <v>260</v>
      </c>
      <c r="AX12" s="157"/>
      <c r="AY12" s="189"/>
      <c r="AZ12" s="189"/>
      <c r="BA12" s="157"/>
      <c r="BB12" s="189"/>
      <c r="BC12" s="157"/>
      <c r="BD12" s="157"/>
      <c r="BE12" s="157"/>
      <c r="BF12" s="157" t="s">
        <v>285</v>
      </c>
      <c r="BG12" s="157"/>
      <c r="BH12" s="157"/>
      <c r="BI12" s="157"/>
      <c r="BJ12" s="157"/>
    </row>
    <row r="13" spans="1:62">
      <c r="A13" s="157"/>
      <c r="B13" s="173" t="s">
        <v>286</v>
      </c>
      <c r="C13" s="190">
        <v>8100</v>
      </c>
      <c r="D13" s="190">
        <v>10</v>
      </c>
      <c r="E13" s="177">
        <f>MAX(VLOOKUP(D13,'Card Progress data'!$A$24:$B$37,2,0)-C13,0)</f>
        <v>0</v>
      </c>
      <c r="F13" s="177">
        <f>ROUNDUP(E13/VLOOKUP($N$6,'Card Progress data'!$AC$42:$AD$52,2,0),0)</f>
        <v>0</v>
      </c>
      <c r="G13" s="178">
        <f>E13/('Card Progress data'!$AE$52*$K$6)</f>
        <v>0</v>
      </c>
      <c r="H13" s="296" t="str">
        <f ca="1">IF(NOW()+(F13/'Card Progress data'!$AF$74*7)=NOW(),"",NOW()+(F13/'Card Progress data'!$AF$74*7))</f>
        <v/>
      </c>
      <c r="I13" s="297">
        <f>MAX(VLOOKUP(D13,'Card Progress data'!$A$4:$B$17,2,0),0)</f>
        <v>20000</v>
      </c>
      <c r="J13" s="181">
        <f>VLOOKUP(VLOOKUP(D13-1,'Card Progress data'!$Q$23:$R$37,2,0)+C13,'Card Progress data'!$R$24:$S$37,2,1)</f>
        <v>13</v>
      </c>
      <c r="K13" s="180">
        <f>P13-VLOOKUP(J13,'Card Progress data'!$A$44:$B$57,2,0)</f>
        <v>170000</v>
      </c>
      <c r="L13" s="182">
        <f>MAX('Generic Info'!$R$58-C13-VLOOKUP(D13,'Generic Info'!$Q$46:$R$58,2,0),0)</f>
        <v>0</v>
      </c>
      <c r="M13" s="177">
        <f>ROUNDUP(L13/'Card Progress data'!$AE$52,0)</f>
        <v>0</v>
      </c>
      <c r="N13" s="178">
        <f>L13/('Card Progress data'!$AE$52*$K$6)</f>
        <v>0</v>
      </c>
      <c r="O13" s="296" t="str">
        <f ca="1">IF(NOW()+(M13/'Card Progress data'!$AF$74*7)=NOW(),"",NOW()+(M13/'Card Progress data'!$AF$74*7))</f>
        <v/>
      </c>
      <c r="P13" s="208">
        <f>MAX('Card Progress data'!$R$17-VLOOKUP(D13-1,'Card Progress data'!$Q$4:$R$17,2,0),0)</f>
        <v>170000</v>
      </c>
      <c r="Q13" s="183">
        <f>'Card Progress data'!$B$44-MAX('Card Progress data'!$R$17-VLOOKUP(D13-1,'Card Progress data'!$Q$4:$R$17,2,0),0)</f>
        <v>15625</v>
      </c>
      <c r="R13" s="183">
        <f>L13*'Card Progress data'!$V$79</f>
        <v>0</v>
      </c>
      <c r="S13" s="173" t="str">
        <f t="shared" si="0"/>
        <v>Goblins</v>
      </c>
      <c r="T13" s="181">
        <v>12</v>
      </c>
      <c r="U13" s="181">
        <f>MAX((VLOOKUP($T13,'Card Progress data'!$A$65:$B$78,2,0))-(VLOOKUP($D13-1,'Card Progress data'!$Q$24:$R$37,2,0))-$C13,0)</f>
        <v>0</v>
      </c>
      <c r="V13" s="184">
        <f>U13/('Card Progress data'!$AE$52*$K$6)</f>
        <v>0</v>
      </c>
      <c r="W13" s="185">
        <f>U13/('Card Progress data'!$AE$52*$K$6)</f>
        <v>0</v>
      </c>
      <c r="X13" s="179">
        <f t="shared" ca="1" si="1"/>
        <v>45736.526136342596</v>
      </c>
      <c r="Y13" s="186">
        <f>MAX(P13-VLOOKUP(T13,'Card Progress data'!$A$44:$B$57,2,0),0)</f>
        <v>70000</v>
      </c>
      <c r="Z13" s="187">
        <f>MAX(VLOOKUP(T13,'Card Progress data'!$AW$24:$AX$37,2,0)-(VLOOKUP(D13,'Card Progress data'!$AW$24:$AX$37,2,0)),0)</f>
        <v>1400</v>
      </c>
      <c r="AA13" s="157"/>
      <c r="AB13" s="157"/>
      <c r="AC13" s="157"/>
      <c r="AD13" s="157"/>
      <c r="AE13" s="157"/>
      <c r="AF13" s="157"/>
      <c r="AG13" s="189">
        <v>42961.666597222225</v>
      </c>
      <c r="AH13" s="157"/>
      <c r="AI13" s="157"/>
      <c r="AJ13" s="157"/>
      <c r="AK13" s="157"/>
      <c r="AL13" s="157"/>
      <c r="AM13" s="157" t="s">
        <v>287</v>
      </c>
      <c r="AN13" s="188">
        <f ca="1">$L37</f>
        <v>53655</v>
      </c>
      <c r="AO13" s="157"/>
      <c r="AP13" s="157" t="s">
        <v>287</v>
      </c>
      <c r="AQ13" s="188">
        <f ca="1">$L37</f>
        <v>53655</v>
      </c>
      <c r="AR13" s="157"/>
      <c r="AS13" s="157"/>
      <c r="AT13" s="157"/>
      <c r="AU13" s="157"/>
      <c r="AV13" s="157"/>
      <c r="AW13" s="169"/>
      <c r="AX13" s="157"/>
      <c r="AY13" s="189"/>
      <c r="AZ13" s="189"/>
      <c r="BA13" s="157"/>
      <c r="BB13" s="189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157"/>
      <c r="B14" s="173" t="s">
        <v>288</v>
      </c>
      <c r="C14" s="190">
        <v>7100</v>
      </c>
      <c r="D14" s="190">
        <v>11</v>
      </c>
      <c r="E14" s="177">
        <f>MAX(VLOOKUP(D14,'Card Progress data'!$A$24:$B$37,2,0)-C14,0)</f>
        <v>0</v>
      </c>
      <c r="F14" s="177">
        <f>ROUNDUP(E14/VLOOKUP($N$6,'Card Progress data'!$AC$42:$AD$52,2,0),0)</f>
        <v>0</v>
      </c>
      <c r="G14" s="178">
        <f>E14/('Card Progress data'!$AE$52*$K$6)</f>
        <v>0</v>
      </c>
      <c r="H14" s="296" t="str">
        <f ca="1">IF(NOW()+(F14/'Card Progress data'!$AF$74*7)=NOW(),"",NOW()+(F14/'Card Progress data'!$AF$74*7))</f>
        <v/>
      </c>
      <c r="I14" s="297">
        <f>MAX(VLOOKUP(D14,'Card Progress data'!$A$4:$B$17,2,0),0)</f>
        <v>50000</v>
      </c>
      <c r="J14" s="181">
        <f>VLOOKUP(VLOOKUP(D14-1,'Card Progress data'!$Q$23:$R$37,2,0)+C14,'Card Progress data'!$R$24:$S$37,2,1)</f>
        <v>13</v>
      </c>
      <c r="K14" s="180">
        <f>P14-VLOOKUP(J14,'Card Progress data'!$A$44:$B$57,2,0)</f>
        <v>150000</v>
      </c>
      <c r="L14" s="182">
        <f>MAX('Generic Info'!$R$58-C14-VLOOKUP(D14,'Generic Info'!$Q$46:$R$58,2,0),0)</f>
        <v>0</v>
      </c>
      <c r="M14" s="177">
        <f>ROUNDUP(L14/'Card Progress data'!$AE$52,0)</f>
        <v>0</v>
      </c>
      <c r="N14" s="178">
        <f>L14/('Card Progress data'!$AE$52*$K$6)</f>
        <v>0</v>
      </c>
      <c r="O14" s="296" t="str">
        <f ca="1">IF(NOW()+(M14/'Card Progress data'!$AF$74*7)=NOW(),"",NOW()+(M14/'Card Progress data'!$AF$74*7))</f>
        <v/>
      </c>
      <c r="P14" s="208">
        <f>MAX('Card Progress data'!$R$17-VLOOKUP(D14-1,'Card Progress data'!$Q$4:$R$17,2,0),0)</f>
        <v>150000</v>
      </c>
      <c r="Q14" s="183">
        <f>'Card Progress data'!$B$44-MAX('Card Progress data'!$R$17-VLOOKUP(D14-1,'Card Progress data'!$Q$4:$R$17,2,0),0)</f>
        <v>35625</v>
      </c>
      <c r="R14" s="183">
        <f>L14*'Card Progress data'!$V$79</f>
        <v>0</v>
      </c>
      <c r="S14" s="173" t="str">
        <f t="shared" si="0"/>
        <v>Zap</v>
      </c>
      <c r="T14" s="181">
        <v>12</v>
      </c>
      <c r="U14" s="181">
        <f>MAX((VLOOKUP($T14,'Card Progress data'!$A$65:$B$78,2,0))-(VLOOKUP($D14-1,'Card Progress data'!$Q$24:$R$37,2,0))-$C14,0)</f>
        <v>0</v>
      </c>
      <c r="V14" s="184">
        <f>U14/('Card Progress data'!$AE$52*$K$6)</f>
        <v>0</v>
      </c>
      <c r="W14" s="185">
        <f>U14/('Card Progress data'!$AE$52*$K$6)</f>
        <v>0</v>
      </c>
      <c r="X14" s="179">
        <f t="shared" ca="1" si="1"/>
        <v>45736.526136342596</v>
      </c>
      <c r="Y14" s="186">
        <f>MAX(P14-VLOOKUP(T14,'Card Progress data'!$A$44:$B$57,2,0),0)</f>
        <v>50000</v>
      </c>
      <c r="Z14" s="187">
        <f>MAX(VLOOKUP(T14,'Card Progress data'!$AW$24:$AX$37,2,0)-(VLOOKUP(D14,'Card Progress data'!$AW$24:$AX$37,2,0)),0)</f>
        <v>800</v>
      </c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 t="s">
        <v>289</v>
      </c>
      <c r="AN14" s="188">
        <f>$L65</f>
        <v>41023</v>
      </c>
      <c r="AO14" s="157"/>
      <c r="AP14" s="157" t="s">
        <v>289</v>
      </c>
      <c r="AQ14" s="188">
        <f>$L65</f>
        <v>41023</v>
      </c>
      <c r="AR14" s="157"/>
      <c r="AS14" s="157"/>
      <c r="AT14" s="157"/>
      <c r="AU14" s="157"/>
      <c r="AV14" s="157"/>
      <c r="AW14" s="157"/>
      <c r="AX14" s="157"/>
      <c r="AY14" s="157"/>
      <c r="AZ14" s="189"/>
      <c r="BA14" s="157"/>
      <c r="BB14" s="189"/>
      <c r="BC14" s="157"/>
      <c r="BD14" s="157"/>
      <c r="BE14" s="157"/>
      <c r="BF14" s="189">
        <f ca="1">NOW()</f>
        <v>45736.526136342596</v>
      </c>
      <c r="BG14" s="189">
        <v>42987.666597222225</v>
      </c>
      <c r="BH14" s="157"/>
      <c r="BI14" s="157"/>
      <c r="BJ14" s="157"/>
    </row>
    <row r="15" spans="1:62">
      <c r="A15" s="157"/>
      <c r="B15" s="173" t="s">
        <v>290</v>
      </c>
      <c r="C15" s="176">
        <v>6565</v>
      </c>
      <c r="D15" s="190">
        <v>9</v>
      </c>
      <c r="E15" s="177">
        <f>MAX(VLOOKUP(D15,'Card Progress data'!$A$24:$B$37,2,0)-C15,0)</f>
        <v>0</v>
      </c>
      <c r="F15" s="177">
        <f>ROUNDUP(E15/VLOOKUP($N$6,'Card Progress data'!$AC$42:$AD$52,2,0),0)</f>
        <v>0</v>
      </c>
      <c r="G15" s="178">
        <f>E15/('Card Progress data'!$AE$52*$K$6)</f>
        <v>0</v>
      </c>
      <c r="H15" s="296" t="str">
        <f ca="1">IF(NOW()+(F15/'Card Progress data'!$AF$74*7)=NOW(),"",NOW()+(F15/'Card Progress data'!$AF$74*7))</f>
        <v/>
      </c>
      <c r="I15" s="297">
        <f>MAX(VLOOKUP(D15,'Card Progress data'!$A$4:$B$17,2,0),0)</f>
        <v>8000</v>
      </c>
      <c r="J15" s="181">
        <f>VLOOKUP(VLOOKUP(D15-1,'Card Progress data'!$Q$23:$R$37,2,0)+C15,'Card Progress data'!$R$24:$S$37,2,1)</f>
        <v>12</v>
      </c>
      <c r="K15" s="180">
        <f>P15-VLOOKUP(J15,'Card Progress data'!$A$44:$B$57,2,0)</f>
        <v>78000</v>
      </c>
      <c r="L15" s="182">
        <f>MAX('Generic Info'!$R$58-C15-VLOOKUP(D15,'Generic Info'!$Q$46:$R$58,2,0),0)</f>
        <v>2235</v>
      </c>
      <c r="M15" s="177">
        <f>ROUNDUP(L15/'Card Progress data'!$AE$52,0)</f>
        <v>56</v>
      </c>
      <c r="N15" s="178">
        <f>L15/('Card Progress data'!$AE$52*$K$6)</f>
        <v>18.625</v>
      </c>
      <c r="O15" s="296">
        <f ca="1">IF(NOW()+(M15/'Card Progress data'!$AF$74*7)=NOW(),"",NOW()+(M15/'Card Progress data'!$AF$74*7))</f>
        <v>45756.126136342595</v>
      </c>
      <c r="P15" s="208">
        <f>MAX('Card Progress data'!$R$17-VLOOKUP(D15-1,'Card Progress data'!$Q$4:$R$17,2,0),0)</f>
        <v>178000</v>
      </c>
      <c r="Q15" s="183">
        <f>'Card Progress data'!$B$44-MAX('Card Progress data'!$R$17-VLOOKUP(D15-1,'Card Progress data'!$Q$4:$R$17,2,0),0)</f>
        <v>7625</v>
      </c>
      <c r="R15" s="183">
        <f>L15*'Card Progress data'!$V$79</f>
        <v>22350</v>
      </c>
      <c r="S15" s="173" t="str">
        <f t="shared" si="0"/>
        <v>Bats</v>
      </c>
      <c r="T15" s="181">
        <v>12</v>
      </c>
      <c r="U15" s="181">
        <f>MAX((VLOOKUP($T15,'Card Progress data'!$A$65:$B$78,2,0))-(VLOOKUP($D15-1,'Card Progress data'!$Q$24:$R$37,2,0))-$C15,0)</f>
        <v>0</v>
      </c>
      <c r="V15" s="184">
        <f>U15/('Card Progress data'!$AE$52*$K$6)</f>
        <v>0</v>
      </c>
      <c r="W15" s="185">
        <f>U15/('Card Progress data'!$AE$52*$K$6)</f>
        <v>0</v>
      </c>
      <c r="X15" s="179">
        <f t="shared" ca="1" si="1"/>
        <v>45736.526136342596</v>
      </c>
      <c r="Y15" s="186">
        <f>MAX(P15-VLOOKUP(T15,'Card Progress data'!$A$44:$B$57,2,0),0)</f>
        <v>78000</v>
      </c>
      <c r="Z15" s="187">
        <f>MAX(VLOOKUP(T15,'Card Progress data'!$AW$24:$AX$37,2,0)-(VLOOKUP(D15,'Card Progress data'!$AW$24:$AX$37,2,0)),0)</f>
        <v>1800</v>
      </c>
      <c r="AA15" s="157"/>
      <c r="AB15" s="157"/>
      <c r="AC15" s="157"/>
      <c r="AD15" s="157"/>
      <c r="AE15" s="157"/>
      <c r="AF15" s="157"/>
      <c r="AG15" s="157"/>
      <c r="AH15" s="189"/>
      <c r="AI15" s="157"/>
      <c r="AJ15" s="157"/>
      <c r="AK15" s="157"/>
      <c r="AL15" s="157"/>
      <c r="AM15" s="157" t="s">
        <v>291</v>
      </c>
      <c r="AN15" s="188">
        <f>$L93</f>
        <v>6649</v>
      </c>
      <c r="AO15" s="157"/>
      <c r="AP15" s="157" t="s">
        <v>291</v>
      </c>
      <c r="AQ15" s="188">
        <f>$L93</f>
        <v>6649</v>
      </c>
      <c r="AR15" s="157"/>
      <c r="AS15" s="157"/>
      <c r="AT15" s="157"/>
      <c r="AU15" s="157"/>
      <c r="AV15" s="157">
        <v>6866</v>
      </c>
      <c r="AW15" s="157"/>
      <c r="AX15" s="157"/>
      <c r="AY15" s="157"/>
      <c r="AZ15" s="189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57"/>
      <c r="B16" s="173" t="s">
        <v>292</v>
      </c>
      <c r="C16" s="190">
        <v>0</v>
      </c>
      <c r="D16" s="190">
        <v>13</v>
      </c>
      <c r="E16" s="177">
        <f>MAX(VLOOKUP(D16,'Card Progress data'!$A$24:$B$37,2,0)-C16,0)</f>
        <v>0</v>
      </c>
      <c r="F16" s="177">
        <f>ROUNDUP(E16/VLOOKUP($N$6,'Card Progress data'!$AC$42:$AD$52,2,0),0)</f>
        <v>0</v>
      </c>
      <c r="G16" s="178">
        <f>E16/('Card Progress data'!$AE$52*$K$6)</f>
        <v>0</v>
      </c>
      <c r="H16" s="296" t="str">
        <f ca="1">IF(NOW()+(F16/'Card Progress data'!$AF$74*7)=NOW(),"",NOW()+(F16/'Card Progress data'!$AF$74*7))</f>
        <v/>
      </c>
      <c r="I16" s="297">
        <f>MAX(VLOOKUP(D16,'Card Progress data'!$A$4:$B$17,2,0),0)</f>
        <v>0</v>
      </c>
      <c r="J16" s="181">
        <f>VLOOKUP(VLOOKUP(D16-1,'Card Progress data'!$Q$23:$R$37,2,0)+C16,'Card Progress data'!$R$24:$S$37,2,1)</f>
        <v>13</v>
      </c>
      <c r="K16" s="180">
        <f>P16-VLOOKUP(J16,'Card Progress data'!$A$44:$B$57,2,0)</f>
        <v>0</v>
      </c>
      <c r="L16" s="182">
        <f>MAX('Generic Info'!$R$58-C16-VLOOKUP(D16,'Generic Info'!$Q$46:$R$58,2,0),0)</f>
        <v>0</v>
      </c>
      <c r="M16" s="177">
        <f>ROUNDUP(L16/'Card Progress data'!$AE$52,0)</f>
        <v>0</v>
      </c>
      <c r="N16" s="178">
        <f>L16/('Card Progress data'!$AE$52*$K$6)</f>
        <v>0</v>
      </c>
      <c r="O16" s="296" t="str">
        <f ca="1">IF(NOW()+(M16/'Card Progress data'!$AF$74*7)=NOW(),"",NOW()+(M16/'Card Progress data'!$AF$74*7))</f>
        <v/>
      </c>
      <c r="P16" s="208">
        <f>MAX('Card Progress data'!$R$17-VLOOKUP(D16-1,'Card Progress data'!$Q$4:$R$17,2,0),0)</f>
        <v>0</v>
      </c>
      <c r="Q16" s="183">
        <f>'Card Progress data'!$B$44-MAX('Card Progress data'!$R$17-VLOOKUP(D16-1,'Card Progress data'!$Q$4:$R$17,2,0),0)</f>
        <v>185625</v>
      </c>
      <c r="R16" s="183">
        <f>L16*'Card Progress data'!$V$79</f>
        <v>0</v>
      </c>
      <c r="S16" s="173" t="str">
        <f t="shared" si="0"/>
        <v>Fire Spirits</v>
      </c>
      <c r="T16" s="181">
        <v>12</v>
      </c>
      <c r="U16" s="181">
        <f>MAX((VLOOKUP($T16,'Card Progress data'!$A$65:$B$78,2,0))-(VLOOKUP($D16-1,'Card Progress data'!$Q$24:$R$37,2,0))-$C16,0)</f>
        <v>0</v>
      </c>
      <c r="V16" s="184">
        <f>U16/('Card Progress data'!$AE$52*$K$6)</f>
        <v>0</v>
      </c>
      <c r="W16" s="185">
        <f>U16/('Card Progress data'!$AE$52*$K$6)</f>
        <v>0</v>
      </c>
      <c r="X16" s="179">
        <f t="shared" ca="1" si="1"/>
        <v>45736.526136342596</v>
      </c>
      <c r="Y16" s="186">
        <f>MAX(P16-VLOOKUP(T16,'Card Progress data'!$A$44:$B$57,2,0),0)</f>
        <v>0</v>
      </c>
      <c r="Z16" s="187">
        <f>MAX(VLOOKUP(T16,'Card Progress data'!$AW$24:$AX$37,2,0)-(VLOOKUP(D16,'Card Progress data'!$AW$24:$AX$37,2,0)),0)</f>
        <v>0</v>
      </c>
      <c r="AA16" s="157"/>
      <c r="AB16" s="157"/>
      <c r="AC16" s="157"/>
      <c r="AD16" s="157"/>
      <c r="AE16" s="157"/>
      <c r="AF16" s="157"/>
      <c r="AG16" s="189"/>
      <c r="AH16" s="157"/>
      <c r="AI16" s="189"/>
      <c r="AJ16" s="157"/>
      <c r="AK16" s="157"/>
      <c r="AL16" s="157"/>
      <c r="AM16" s="251" t="s">
        <v>293</v>
      </c>
      <c r="AN16" s="251"/>
      <c r="AO16" s="157"/>
      <c r="AP16" s="251" t="s">
        <v>293</v>
      </c>
      <c r="AQ16" s="251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 t="s">
        <v>294</v>
      </c>
      <c r="BH16" s="157"/>
      <c r="BI16" s="157"/>
      <c r="BJ16" s="157"/>
    </row>
    <row r="17" spans="1:62">
      <c r="A17" s="157"/>
      <c r="B17" s="173" t="s">
        <v>295</v>
      </c>
      <c r="C17" s="176">
        <v>5158</v>
      </c>
      <c r="D17" s="190">
        <v>10</v>
      </c>
      <c r="E17" s="177">
        <f>MAX(VLOOKUP(D17,'Card Progress data'!$A$24:$B$37,2,0)-C17,0)</f>
        <v>0</v>
      </c>
      <c r="F17" s="177">
        <f>ROUNDUP(E17/VLOOKUP($N$6,'Card Progress data'!$AC$42:$AD$52,2,0),0)</f>
        <v>0</v>
      </c>
      <c r="G17" s="178">
        <f>E17/('Card Progress data'!$AE$52*$K$6)</f>
        <v>0</v>
      </c>
      <c r="H17" s="296" t="str">
        <f ca="1">IF(NOW()+(F17/'Card Progress data'!$AF$74*7)=NOW(),"",NOW()+(F17/'Card Progress data'!$AF$74*7))</f>
        <v/>
      </c>
      <c r="I17" s="297">
        <f>MAX(VLOOKUP(D17,'Card Progress data'!$A$4:$B$17,2,0),0)</f>
        <v>20000</v>
      </c>
      <c r="J17" s="181">
        <f>VLOOKUP(VLOOKUP(D17-1,'Card Progress data'!$Q$23:$R$37,2,0)+C17,'Card Progress data'!$R$24:$S$37,2,1)</f>
        <v>12</v>
      </c>
      <c r="K17" s="180">
        <f>P17-VLOOKUP(J17,'Card Progress data'!$A$44:$B$57,2,0)</f>
        <v>70000</v>
      </c>
      <c r="L17" s="182">
        <f>MAX('Generic Info'!$R$58-C17-VLOOKUP(D17,'Generic Info'!$Q$46:$R$58,2,0),0)</f>
        <v>2842</v>
      </c>
      <c r="M17" s="177">
        <f>ROUNDUP(L17/'Card Progress data'!$AE$52,0)</f>
        <v>72</v>
      </c>
      <c r="N17" s="178">
        <f>L17/('Card Progress data'!$AE$52*$K$6)</f>
        <v>23.683333333333334</v>
      </c>
      <c r="O17" s="296">
        <f ca="1">IF(NOW()+(M17/'Card Progress data'!$AF$74*7)=NOW(),"",NOW()+(M17/'Card Progress data'!$AF$74*7))</f>
        <v>45761.726136342593</v>
      </c>
      <c r="P17" s="208">
        <f>MAX('Card Progress data'!$R$17-VLOOKUP(D17-1,'Card Progress data'!$Q$4:$R$17,2,0),0)</f>
        <v>170000</v>
      </c>
      <c r="Q17" s="183">
        <f>'Card Progress data'!$B$44-MAX('Card Progress data'!$R$17-VLOOKUP(D17-1,'Card Progress data'!$Q$4:$R$17,2,0),0)</f>
        <v>15625</v>
      </c>
      <c r="R17" s="183">
        <f>L17*'Card Progress data'!$V$79</f>
        <v>28420</v>
      </c>
      <c r="S17" s="173" t="str">
        <f t="shared" si="0"/>
        <v>Spear Goblins</v>
      </c>
      <c r="T17" s="181">
        <v>12</v>
      </c>
      <c r="U17" s="181">
        <f>MAX((VLOOKUP($T17,'Card Progress data'!$A$65:$B$78,2,0))-(VLOOKUP($D17-1,'Card Progress data'!$Q$24:$R$37,2,0))-$C17,0)</f>
        <v>0</v>
      </c>
      <c r="V17" s="184">
        <f>U17/('Card Progress data'!$AE$52*$K$6)</f>
        <v>0</v>
      </c>
      <c r="W17" s="185">
        <f>U17/('Card Progress data'!$AE$52*$K$6)</f>
        <v>0</v>
      </c>
      <c r="X17" s="179">
        <f t="shared" ca="1" si="1"/>
        <v>45736.526136342596</v>
      </c>
      <c r="Y17" s="186">
        <f>MAX(P17-VLOOKUP(T17,'Card Progress data'!$A$44:$B$57,2,0),0)</f>
        <v>70000</v>
      </c>
      <c r="Z17" s="187">
        <f>MAX(VLOOKUP(T17,'Card Progress data'!$AW$24:$AX$37,2,0)-(VLOOKUP(D17,'Card Progress data'!$AW$24:$AX$37,2,0)),0)</f>
        <v>1400</v>
      </c>
      <c r="AA17" s="157"/>
      <c r="AB17" s="157"/>
      <c r="AC17" s="157"/>
      <c r="AD17" s="157"/>
      <c r="AE17" s="157"/>
      <c r="AF17" s="188">
        <f>P10-VLOOKUP(J10,'Card Progress data'!A44:B57,2,0)</f>
        <v>182000</v>
      </c>
      <c r="AG17" s="157"/>
      <c r="AH17" s="157"/>
      <c r="AI17" s="189"/>
      <c r="AJ17" s="157"/>
      <c r="AK17" s="157"/>
      <c r="AL17" s="157"/>
      <c r="AM17" s="157" t="s">
        <v>296</v>
      </c>
      <c r="AN17" s="157">
        <f>(4*'Generic Info'!EE55)+'Generic Info'!EE56+120+'Generic Info'!EE57</f>
        <v>296</v>
      </c>
      <c r="AO17" s="157"/>
      <c r="AP17" s="157" t="s">
        <v>296</v>
      </c>
      <c r="AQ17" s="157">
        <f>211+120</f>
        <v>331</v>
      </c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89">
        <f ca="1">BF14-BG14</f>
        <v>2748.8595391203708</v>
      </c>
      <c r="BH17" s="157"/>
      <c r="BI17" s="157"/>
      <c r="BJ17" s="157"/>
    </row>
    <row r="18" spans="1:62">
      <c r="A18" s="157"/>
      <c r="B18" s="173" t="s">
        <v>297</v>
      </c>
      <c r="C18" s="190">
        <v>0</v>
      </c>
      <c r="D18" s="190">
        <v>13</v>
      </c>
      <c r="E18" s="177">
        <f>MAX(VLOOKUP(D18,'Card Progress data'!$A$24:$B$37,2,0)-C18,0)</f>
        <v>0</v>
      </c>
      <c r="F18" s="177">
        <f>ROUNDUP(E18/VLOOKUP($N$6,'Card Progress data'!$AC$42:$AD$52,2,0),0)</f>
        <v>0</v>
      </c>
      <c r="G18" s="178">
        <f>E18/('Card Progress data'!$AE$52*$K$6)</f>
        <v>0</v>
      </c>
      <c r="H18" s="296" t="str">
        <f ca="1">IF(NOW()+(F18/'Card Progress data'!$AF$74*7)=NOW(),"",NOW()+(F18/'Card Progress data'!$AF$74*7))</f>
        <v/>
      </c>
      <c r="I18" s="297">
        <f>MAX(VLOOKUP(D18,'Card Progress data'!$A$4:$B$17,2,0),0)</f>
        <v>0</v>
      </c>
      <c r="J18" s="181">
        <f>VLOOKUP(VLOOKUP(D18-1,'Card Progress data'!$Q$23:$R$37,2,0)+C18,'Card Progress data'!$R$24:$S$37,2,1)</f>
        <v>13</v>
      </c>
      <c r="K18" s="180">
        <f>P18-VLOOKUP(J18,'Card Progress data'!$A$44:$B$57,2,0)</f>
        <v>0</v>
      </c>
      <c r="L18" s="182">
        <f>MAX('Generic Info'!$R$58-C18-VLOOKUP(D18,'Generic Info'!$Q$46:$R$58,2,0),0)</f>
        <v>0</v>
      </c>
      <c r="M18" s="177">
        <f>ROUNDUP(L18/'Card Progress data'!$AE$52,0)</f>
        <v>0</v>
      </c>
      <c r="N18" s="178">
        <f>L18/('Card Progress data'!$AE$52*$K$6)</f>
        <v>0</v>
      </c>
      <c r="O18" s="296" t="str">
        <f ca="1">IF(NOW()+(M18/'Card Progress data'!$AF$74*7)=NOW(),"",NOW()+(M18/'Card Progress data'!$AF$74*7))</f>
        <v/>
      </c>
      <c r="P18" s="208">
        <f>MAX('Card Progress data'!$R$17-VLOOKUP(D18-1,'Card Progress data'!$Q$4:$R$17,2,0),0)</f>
        <v>0</v>
      </c>
      <c r="Q18" s="183">
        <f>'Card Progress data'!$B$44-MAX('Card Progress data'!$R$17-VLOOKUP(D18-1,'Card Progress data'!$Q$4:$R$17,2,0),0)</f>
        <v>185625</v>
      </c>
      <c r="R18" s="183">
        <f>L18*'Card Progress data'!$V$79</f>
        <v>0</v>
      </c>
      <c r="S18" s="173" t="str">
        <f t="shared" si="0"/>
        <v>Knight</v>
      </c>
      <c r="T18" s="181">
        <v>12</v>
      </c>
      <c r="U18" s="181">
        <f>MAX((VLOOKUP($T18,'Card Progress data'!$A$65:$B$78,2,0))-(VLOOKUP($D18-1,'Card Progress data'!$Q$24:$R$37,2,0))-$C18,0)</f>
        <v>0</v>
      </c>
      <c r="V18" s="184">
        <f>U18/('Card Progress data'!$AE$52*$K$6)</f>
        <v>0</v>
      </c>
      <c r="W18" s="185">
        <f>U18/('Card Progress data'!$AE$52*$K$6)</f>
        <v>0</v>
      </c>
      <c r="X18" s="179">
        <f t="shared" ca="1" si="1"/>
        <v>45736.526136342596</v>
      </c>
      <c r="Y18" s="186">
        <f>MAX(P18-VLOOKUP(T18,'Card Progress data'!$A$44:$B$57,2,0),0)</f>
        <v>0</v>
      </c>
      <c r="Z18" s="187">
        <f>MAX(VLOOKUP(T18,'Card Progress data'!$AW$24:$AX$37,2,0)-(VLOOKUP(D18,'Card Progress data'!$AW$24:$AX$37,2,0)),0)</f>
        <v>0</v>
      </c>
      <c r="AA18" s="157"/>
      <c r="AB18" s="157"/>
      <c r="AC18" s="157"/>
      <c r="AD18" s="157"/>
      <c r="AE18" s="157"/>
      <c r="AF18" s="157"/>
      <c r="AG18" s="157" t="s">
        <v>298</v>
      </c>
      <c r="AH18" s="157"/>
      <c r="AI18" s="157"/>
      <c r="AJ18" s="169" t="s">
        <v>299</v>
      </c>
      <c r="AK18" s="157"/>
      <c r="AL18" s="157"/>
      <c r="AM18" s="157" t="s">
        <v>300</v>
      </c>
      <c r="AN18" s="157">
        <v>19</v>
      </c>
      <c r="AO18" s="157"/>
      <c r="AP18" s="157" t="s">
        <v>300</v>
      </c>
      <c r="AQ18" s="157">
        <v>19</v>
      </c>
      <c r="AR18" s="157"/>
      <c r="AS18" s="157"/>
      <c r="AT18" s="157"/>
      <c r="AU18" s="157"/>
      <c r="AV18" s="157"/>
      <c r="AW18" s="157"/>
      <c r="AX18" s="157"/>
      <c r="AY18" s="157"/>
      <c r="AZ18" s="157"/>
      <c r="BA18" s="189"/>
      <c r="BB18" s="189"/>
      <c r="BC18" s="157"/>
      <c r="BD18" s="157"/>
      <c r="BE18" s="157"/>
      <c r="BF18" s="157"/>
      <c r="BG18" s="191">
        <f ca="1">BG17*24</f>
        <v>65972.628938888898</v>
      </c>
      <c r="BH18" s="157"/>
      <c r="BI18" s="157"/>
      <c r="BJ18" s="157"/>
    </row>
    <row r="19" spans="1:62">
      <c r="A19" s="157"/>
      <c r="B19" s="173" t="s">
        <v>301</v>
      </c>
      <c r="C19" s="190">
        <v>0</v>
      </c>
      <c r="D19" s="190">
        <v>13</v>
      </c>
      <c r="E19" s="177">
        <f>MAX(VLOOKUP(D19,'Card Progress data'!$A$24:$B$37,2,0)-C19,0)</f>
        <v>0</v>
      </c>
      <c r="F19" s="177">
        <f>ROUNDUP(E19/VLOOKUP($N$6,'Card Progress data'!$AC$42:$AD$52,2,0),0)</f>
        <v>0</v>
      </c>
      <c r="G19" s="178">
        <f>E19/('Card Progress data'!$AE$52*$K$6)</f>
        <v>0</v>
      </c>
      <c r="H19" s="296" t="str">
        <f ca="1">IF(NOW()+(F19/'Card Progress data'!$AF$74*7)=NOW(),"",NOW()+(F19/'Card Progress data'!$AF$74*7))</f>
        <v/>
      </c>
      <c r="I19" s="297">
        <f>MAX(VLOOKUP(D19,'Card Progress data'!$A$4:$B$17,2,0),0)</f>
        <v>0</v>
      </c>
      <c r="J19" s="181">
        <f>VLOOKUP(VLOOKUP(D19-1,'Card Progress data'!$Q$23:$R$37,2,0)+C19,'Card Progress data'!$R$24:$S$37,2,1)</f>
        <v>13</v>
      </c>
      <c r="K19" s="180">
        <f>P19-VLOOKUP(J19,'Card Progress data'!$A$44:$B$57,2,0)</f>
        <v>0</v>
      </c>
      <c r="L19" s="182">
        <f>MAX('Generic Info'!$R$58-C19-VLOOKUP(D19,'Generic Info'!$Q$46:$R$58,2,0),0)</f>
        <v>0</v>
      </c>
      <c r="M19" s="177">
        <f>ROUNDUP(L19/'Card Progress data'!$AE$52,0)</f>
        <v>0</v>
      </c>
      <c r="N19" s="178">
        <f>L19/('Card Progress data'!$AE$52*$K$6)</f>
        <v>0</v>
      </c>
      <c r="O19" s="296" t="str">
        <f ca="1">IF(NOW()+(M19/'Card Progress data'!$AF$74*7)=NOW(),"",NOW()+(M19/'Card Progress data'!$AF$74*7))</f>
        <v/>
      </c>
      <c r="P19" s="208">
        <f>MAX('Card Progress data'!$R$17-VLOOKUP(D19-1,'Card Progress data'!$Q$4:$R$17,2,0),0)</f>
        <v>0</v>
      </c>
      <c r="Q19" s="183">
        <f>'Card Progress data'!$B$44-MAX('Card Progress data'!$R$17-VLOOKUP(D19-1,'Card Progress data'!$Q$4:$R$17,2,0),0)</f>
        <v>185625</v>
      </c>
      <c r="R19" s="183">
        <f>L19*'Card Progress data'!$V$79</f>
        <v>0</v>
      </c>
      <c r="S19" s="173" t="str">
        <f t="shared" si="0"/>
        <v>Archers</v>
      </c>
      <c r="T19" s="181">
        <v>12</v>
      </c>
      <c r="U19" s="181">
        <f>MAX((VLOOKUP($T19,'Card Progress data'!$A$65:$B$78,2,0))-(VLOOKUP($D19-1,'Card Progress data'!$Q$24:$R$37,2,0))-$C19,0)</f>
        <v>0</v>
      </c>
      <c r="V19" s="184">
        <f>U19/('Card Progress data'!$AE$52*$K$6)</f>
        <v>0</v>
      </c>
      <c r="W19" s="185">
        <f>U19/('Card Progress data'!$AE$52*$K$6)</f>
        <v>0</v>
      </c>
      <c r="X19" s="179">
        <f t="shared" ca="1" si="1"/>
        <v>45736.526136342596</v>
      </c>
      <c r="Y19" s="186">
        <f>MAX(P19-VLOOKUP(T19,'Card Progress data'!$A$44:$B$57,2,0),0)</f>
        <v>0</v>
      </c>
      <c r="Z19" s="187">
        <f>MAX(VLOOKUP(T19,'Card Progress data'!$AW$24:$AX$37,2,0)-(VLOOKUP(D19,'Card Progress data'!$AW$24:$AX$37,2,0)),0)</f>
        <v>0</v>
      </c>
      <c r="AA19" s="157"/>
      <c r="AB19" s="157"/>
      <c r="AC19" s="157"/>
      <c r="AD19" s="157"/>
      <c r="AE19" s="157"/>
      <c r="AF19" s="157"/>
      <c r="AG19" s="162">
        <v>43416.679585069447</v>
      </c>
      <c r="AH19" s="189"/>
      <c r="AI19" s="157"/>
      <c r="AJ19" s="157"/>
      <c r="AK19" s="157"/>
      <c r="AL19" s="157"/>
      <c r="AM19" s="157" t="s">
        <v>302</v>
      </c>
      <c r="AN19" s="157">
        <v>30</v>
      </c>
      <c r="AO19" s="157"/>
      <c r="AP19" s="157" t="s">
        <v>302</v>
      </c>
      <c r="AQ19" s="157">
        <v>30</v>
      </c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69" t="s">
        <v>260</v>
      </c>
      <c r="BC19" s="157"/>
      <c r="BD19" s="157"/>
      <c r="BE19" s="157"/>
      <c r="BF19" s="157"/>
      <c r="BG19" s="191">
        <f ca="1">ROUNDDOWN(BG18,0)</f>
        <v>65972</v>
      </c>
      <c r="BH19" s="157"/>
      <c r="BI19" s="157"/>
      <c r="BJ19" s="157"/>
    </row>
    <row r="20" spans="1:62">
      <c r="A20" s="157"/>
      <c r="B20" s="173" t="s">
        <v>303</v>
      </c>
      <c r="C20" s="190">
        <v>274</v>
      </c>
      <c r="D20" s="190">
        <v>7</v>
      </c>
      <c r="E20" s="177">
        <f>MAX(VLOOKUP(D20,'Card Progress data'!$A$24:$B$37,2,0)-C20,0)</f>
        <v>0</v>
      </c>
      <c r="F20" s="177">
        <f>ROUNDUP(E20/VLOOKUP($N$6,'Card Progress data'!$AC$42:$AD$52,2,0),0)</f>
        <v>0</v>
      </c>
      <c r="G20" s="178">
        <f>E20/('Card Progress data'!$AE$52*$K$6)</f>
        <v>0</v>
      </c>
      <c r="H20" s="296" t="str">
        <f ca="1">IF(NOW()+(F20/'Card Progress data'!$AF$74*7)=NOW(),"",NOW()+(F20/'Card Progress data'!$AF$74*7))</f>
        <v/>
      </c>
      <c r="I20" s="297">
        <f>MAX(VLOOKUP(D20,'Card Progress data'!$A$4:$B$17,2,0),0)</f>
        <v>2000</v>
      </c>
      <c r="J20" s="181">
        <f>VLOOKUP(VLOOKUP(D20-1,'Card Progress data'!$Q$23:$R$37,2,0)+C20,'Card Progress data'!$R$24:$S$37,2,1)</f>
        <v>8</v>
      </c>
      <c r="K20" s="180">
        <f>P20-VLOOKUP(J20,'Card Progress data'!$A$44:$B$57,2,0)</f>
        <v>2000</v>
      </c>
      <c r="L20" s="182">
        <f>MAX('Generic Info'!$R$58-C20-VLOOKUP(D20,'Generic Info'!$Q$46:$R$58,2,0),0)</f>
        <v>9126</v>
      </c>
      <c r="M20" s="177">
        <f>ROUNDUP(L20/'Card Progress data'!$AE$52,0)</f>
        <v>229</v>
      </c>
      <c r="N20" s="178">
        <f>L20/('Card Progress data'!$AE$52*$K$6)</f>
        <v>76.05</v>
      </c>
      <c r="O20" s="296">
        <f ca="1">IF(NOW()+(M20/'Card Progress data'!$AF$74*7)=NOW(),"",NOW()+(M20/'Card Progress data'!$AF$74*7))</f>
        <v>45816.676136342598</v>
      </c>
      <c r="P20" s="208">
        <f>MAX('Card Progress data'!$R$17-VLOOKUP(D20-1,'Card Progress data'!$Q$4:$R$17,2,0),0)</f>
        <v>184000</v>
      </c>
      <c r="Q20" s="183">
        <f>'Card Progress data'!$B$44-MAX('Card Progress data'!$R$17-VLOOKUP(D20-1,'Card Progress data'!$Q$4:$R$17,2,0),0)</f>
        <v>1625</v>
      </c>
      <c r="R20" s="183">
        <f>L20*'Card Progress data'!$V$79</f>
        <v>91260</v>
      </c>
      <c r="S20" s="173" t="str">
        <f t="shared" si="0"/>
        <v>Royal Delivery</v>
      </c>
      <c r="T20" s="181">
        <v>13</v>
      </c>
      <c r="U20" s="181">
        <f>MAX((VLOOKUP($T20,'Card Progress data'!$A$65:$B$78,2,0))-(VLOOKUP($D20-1,'Card Progress data'!$Q$24:$R$37,2,0))-$C20,0)</f>
        <v>9126</v>
      </c>
      <c r="V20" s="184">
        <f>U20/('Card Progress data'!$AE$52*$K$6)</f>
        <v>76.05</v>
      </c>
      <c r="W20" s="185">
        <f>U20/('Card Progress data'!$AE$52*$K$6)</f>
        <v>76.05</v>
      </c>
      <c r="X20" s="179">
        <f t="shared" ca="1" si="1"/>
        <v>45812.576136342599</v>
      </c>
      <c r="Y20" s="186">
        <f>MAX(P20-VLOOKUP(T20,'Card Progress data'!$A$44:$B$57,2,0),0)</f>
        <v>184000</v>
      </c>
      <c r="Z20" s="187">
        <f>MAX(VLOOKUP(T20,'Card Progress data'!$AW$24:$AX$37,2,0)-(VLOOKUP(D20,'Card Progress data'!$AW$24:$AX$37,2,0)),0)</f>
        <v>3700</v>
      </c>
      <c r="AA20" s="157"/>
      <c r="AB20" s="157"/>
      <c r="AC20" s="157"/>
      <c r="AD20" s="157"/>
      <c r="AE20" s="157"/>
      <c r="AF20" s="157"/>
      <c r="AG20" s="162"/>
      <c r="AH20" s="189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69"/>
      <c r="BC20" s="157"/>
      <c r="BD20" s="157"/>
      <c r="BE20" s="157"/>
      <c r="BF20" s="157"/>
      <c r="BG20" s="191"/>
      <c r="BH20" s="157"/>
      <c r="BI20" s="157"/>
      <c r="BJ20" s="157"/>
    </row>
    <row r="21" spans="1:62">
      <c r="A21" s="157"/>
      <c r="B21" s="173" t="s">
        <v>304</v>
      </c>
      <c r="C21" s="176">
        <v>4835</v>
      </c>
      <c r="D21" s="190">
        <v>11</v>
      </c>
      <c r="E21" s="177">
        <f>MAX(VLOOKUP(D21,'Card Progress data'!$A$24:$B$37,2,0)-C21,0)</f>
        <v>0</v>
      </c>
      <c r="F21" s="177">
        <f>ROUNDUP(E21/VLOOKUP($N$6,'Card Progress data'!$AC$42:$AD$52,2,0),0)</f>
        <v>0</v>
      </c>
      <c r="G21" s="178">
        <f>E21/('Card Progress data'!$AE$52*$K$6)</f>
        <v>0</v>
      </c>
      <c r="H21" s="296" t="str">
        <f ca="1">IF(NOW()+(F21/'Card Progress data'!$AF$74*7)=NOW(),"",NOW()+(F21/'Card Progress data'!$AF$74*7))</f>
        <v/>
      </c>
      <c r="I21" s="297">
        <f>MAX(VLOOKUP(D21,'Card Progress data'!$A$4:$B$17,2,0),0)</f>
        <v>50000</v>
      </c>
      <c r="J21" s="181">
        <f>VLOOKUP(VLOOKUP(D21-1,'Card Progress data'!$Q$23:$R$37,2,0)+C21,'Card Progress data'!$R$24:$S$37,2,1)</f>
        <v>12</v>
      </c>
      <c r="K21" s="180">
        <f>P21-VLOOKUP(J21,'Card Progress data'!$A$44:$B$57,2,0)</f>
        <v>50000</v>
      </c>
      <c r="L21" s="182">
        <f>MAX('Generic Info'!$R$58-C21-VLOOKUP(D21,'Generic Info'!$Q$46:$R$58,2,0),0)</f>
        <v>2165</v>
      </c>
      <c r="M21" s="177">
        <f>ROUNDUP(L21/'Card Progress data'!$AE$52,0)</f>
        <v>55</v>
      </c>
      <c r="N21" s="178">
        <f>L21/('Card Progress data'!$AE$52*$K$6)</f>
        <v>18.041666666666668</v>
      </c>
      <c r="O21" s="296">
        <f ca="1">IF(NOW()+(M21/'Card Progress data'!$AF$74*7)=NOW(),"",NOW()+(M21/'Card Progress data'!$AF$74*7))</f>
        <v>45755.776136342596</v>
      </c>
      <c r="P21" s="208">
        <f>MAX('Card Progress data'!$R$17-VLOOKUP(D21-1,'Card Progress data'!$Q$4:$R$17,2,0),0)</f>
        <v>150000</v>
      </c>
      <c r="Q21" s="183">
        <f>'Card Progress data'!$B$44-MAX('Card Progress data'!$R$17-VLOOKUP(D21-1,'Card Progress data'!$Q$4:$R$17,2,0),0)</f>
        <v>35625</v>
      </c>
      <c r="R21" s="183">
        <f>L21*'Card Progress data'!$V$79</f>
        <v>21650</v>
      </c>
      <c r="S21" s="173" t="str">
        <f t="shared" si="0"/>
        <v>Arrows</v>
      </c>
      <c r="T21" s="181">
        <v>12</v>
      </c>
      <c r="U21" s="181">
        <f>MAX((VLOOKUP($T21,'Card Progress data'!$A$65:$B$78,2,0))-(VLOOKUP($D21-1,'Card Progress data'!$Q$24:$R$37,2,0))-$C21,0)</f>
        <v>0</v>
      </c>
      <c r="V21" s="184">
        <f>U21/('Card Progress data'!$AE$52*$K$6)</f>
        <v>0</v>
      </c>
      <c r="W21" s="185">
        <f>U21/('Card Progress data'!$AE$52*$K$6)</f>
        <v>0</v>
      </c>
      <c r="X21" s="179">
        <f t="shared" ca="1" si="1"/>
        <v>45736.526136342596</v>
      </c>
      <c r="Y21" s="186">
        <f>MAX(P21-VLOOKUP(T21,'Card Progress data'!$A$44:$B$57,2,0),0)</f>
        <v>50000</v>
      </c>
      <c r="Z21" s="187">
        <f>MAX(VLOOKUP(T21,'Card Progress data'!$AW$24:$AX$37,2,0)-(VLOOKUP(D21,'Card Progress data'!$AW$24:$AX$37,2,0)),0)</f>
        <v>800</v>
      </c>
      <c r="AA21" s="157"/>
      <c r="AB21" s="157"/>
      <c r="AC21" s="157"/>
      <c r="AD21" s="157"/>
      <c r="AE21" s="157"/>
      <c r="AF21" s="157"/>
      <c r="AG21" s="157"/>
      <c r="AH21" s="189"/>
      <c r="AI21" s="157"/>
      <c r="AJ21" s="157"/>
      <c r="AK21" s="157"/>
      <c r="AL21" s="157"/>
      <c r="AM21" s="157" t="s">
        <v>305</v>
      </c>
      <c r="AN21" s="157">
        <f ca="1">AN13/AN17</f>
        <v>181.2668918918919</v>
      </c>
      <c r="AO21" s="157"/>
      <c r="AP21" s="157" t="s">
        <v>305</v>
      </c>
      <c r="AQ21" s="157">
        <f ca="1">AQ13/AQ17</f>
        <v>162.09969788519638</v>
      </c>
      <c r="AR21" s="157"/>
      <c r="AS21" s="157"/>
      <c r="AT21" s="157"/>
      <c r="AU21" s="157"/>
      <c r="AV21" s="157"/>
      <c r="AW21" s="157"/>
      <c r="AX21" s="157"/>
      <c r="AY21" s="157"/>
      <c r="AZ21" s="189"/>
      <c r="BA21" s="157"/>
      <c r="BB21" s="157"/>
      <c r="BC21" s="157"/>
      <c r="BD21" s="157"/>
      <c r="BE21" s="157"/>
      <c r="BF21" s="157"/>
      <c r="BG21" s="157">
        <f ca="1">BG19/8</f>
        <v>8246.5</v>
      </c>
      <c r="BH21" s="189"/>
      <c r="BI21" s="157"/>
      <c r="BJ21" s="157"/>
    </row>
    <row r="22" spans="1:62" ht="15.75" customHeight="1">
      <c r="A22" s="157"/>
      <c r="B22" s="173" t="s">
        <v>306</v>
      </c>
      <c r="C22" s="190">
        <v>8100</v>
      </c>
      <c r="D22" s="190">
        <v>10</v>
      </c>
      <c r="E22" s="177">
        <f>MAX(VLOOKUP(D22,'Card Progress data'!$A$24:$B$37,2,0)-C22,0)</f>
        <v>0</v>
      </c>
      <c r="F22" s="177">
        <f>ROUNDUP(E22/VLOOKUP($N$6,'Card Progress data'!$AC$42:$AD$52,2,0),0)</f>
        <v>0</v>
      </c>
      <c r="G22" s="178">
        <f>E22/('Card Progress data'!$AE$52*$K$6)</f>
        <v>0</v>
      </c>
      <c r="H22" s="296" t="str">
        <f ca="1">IF(NOW()+(F22/'Card Progress data'!$AF$74*7)=NOW(),"",NOW()+(F22/'Card Progress data'!$AF$74*7))</f>
        <v/>
      </c>
      <c r="I22" s="297">
        <f>MAX(VLOOKUP(D22,'Card Progress data'!$A$4:$B$17,2,0),0)</f>
        <v>20000</v>
      </c>
      <c r="J22" s="181">
        <f>VLOOKUP(VLOOKUP(D22-1,'Card Progress data'!$Q$23:$R$37,2,0)+C22,'Card Progress data'!$R$24:$S$37,2,1)</f>
        <v>13</v>
      </c>
      <c r="K22" s="180">
        <f>P22-VLOOKUP(J22,'Card Progress data'!$A$44:$B$57,2,0)</f>
        <v>170000</v>
      </c>
      <c r="L22" s="182">
        <f>MAX('Generic Info'!$R$58-C22-VLOOKUP(D22,'Generic Info'!$Q$46:$R$58,2,0),0)</f>
        <v>0</v>
      </c>
      <c r="M22" s="177">
        <f>ROUNDUP(L22/'Card Progress data'!$AE$52,0)</f>
        <v>0</v>
      </c>
      <c r="N22" s="178">
        <f>L22/('Card Progress data'!$AE$52*$K$6)</f>
        <v>0</v>
      </c>
      <c r="O22" s="296" t="str">
        <f ca="1">IF(NOW()+(M22/'Card Progress data'!$AF$74*7)=NOW(),"",NOW()+(M22/'Card Progress data'!$AF$74*7))</f>
        <v/>
      </c>
      <c r="P22" s="208">
        <f>MAX('Card Progress data'!$R$17-VLOOKUP(D22-1,'Card Progress data'!$Q$4:$R$17,2,0),0)</f>
        <v>170000</v>
      </c>
      <c r="Q22" s="183">
        <f>'Card Progress data'!$B$44-MAX('Card Progress data'!$R$17-VLOOKUP(D22-1,'Card Progress data'!$Q$4:$R$17,2,0),0)</f>
        <v>15625</v>
      </c>
      <c r="R22" s="183">
        <f>L22*'Card Progress data'!$V$79</f>
        <v>0</v>
      </c>
      <c r="S22" s="173" t="str">
        <f t="shared" si="0"/>
        <v>Minions</v>
      </c>
      <c r="T22" s="181">
        <v>12</v>
      </c>
      <c r="U22" s="181">
        <f>MAX((VLOOKUP($T22,'Card Progress data'!$A$65:$B$78,2,0))-(VLOOKUP($D22-1,'Card Progress data'!$Q$24:$R$37,2,0))-$C22,0)</f>
        <v>0</v>
      </c>
      <c r="V22" s="184">
        <f>U22/('Card Progress data'!$AE$52*$K$6)</f>
        <v>0</v>
      </c>
      <c r="W22" s="185">
        <f>U22/('Card Progress data'!$AE$52*$K$6)</f>
        <v>0</v>
      </c>
      <c r="X22" s="179">
        <f t="shared" ca="1" si="1"/>
        <v>45736.526136342596</v>
      </c>
      <c r="Y22" s="186">
        <f>MAX(P22-VLOOKUP(T22,'Card Progress data'!$A$44:$B$57,2,0),0)</f>
        <v>70000</v>
      </c>
      <c r="Z22" s="187">
        <f>MAX(VLOOKUP(T22,'Card Progress data'!$AW$24:$AX$37,2,0)-(VLOOKUP(D22,'Card Progress data'!$AW$24:$AX$37,2,0)),0)</f>
        <v>1400</v>
      </c>
      <c r="AA22" s="157"/>
      <c r="AB22" s="157"/>
      <c r="AC22" s="157"/>
      <c r="AD22" s="157"/>
      <c r="AE22" s="157"/>
      <c r="AF22" s="157"/>
      <c r="AG22" s="157"/>
      <c r="AH22" s="189"/>
      <c r="AI22" s="189"/>
      <c r="AJ22" s="157"/>
      <c r="AK22" s="157"/>
      <c r="AL22" s="157"/>
      <c r="AM22" s="157" t="s">
        <v>307</v>
      </c>
      <c r="AN22" s="168">
        <f ca="1">AN14-(AN18*AN21)</f>
        <v>37578.929054054053</v>
      </c>
      <c r="AO22" s="157"/>
      <c r="AP22" s="157" t="s">
        <v>307</v>
      </c>
      <c r="AQ22" s="168">
        <f ca="1">AQ14-(AQ18*AQ21)</f>
        <v>37943.105740181272</v>
      </c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 t="s">
        <v>48</v>
      </c>
      <c r="BC22" s="157" t="s">
        <v>1</v>
      </c>
      <c r="BD22" s="157" t="s">
        <v>2</v>
      </c>
      <c r="BE22" s="157"/>
      <c r="BF22" s="157"/>
      <c r="BG22" s="157">
        <f ca="1">ROUNDDOWN(BG21,0)</f>
        <v>8246</v>
      </c>
      <c r="BH22" s="189">
        <f ca="1">BG14+BG23</f>
        <v>45736.33326388889</v>
      </c>
      <c r="BI22" s="157"/>
      <c r="BJ22" s="157"/>
    </row>
    <row r="23" spans="1:62" ht="15.75" customHeight="1">
      <c r="A23" s="157"/>
      <c r="B23" s="173" t="s">
        <v>308</v>
      </c>
      <c r="C23" s="176">
        <v>8000</v>
      </c>
      <c r="D23" s="190">
        <v>10</v>
      </c>
      <c r="E23" s="177">
        <f>MAX(VLOOKUP(D23,'Card Progress data'!$A$24:$B$37,2,0)-C23,0)</f>
        <v>0</v>
      </c>
      <c r="F23" s="177">
        <f>ROUNDUP(E23/VLOOKUP($N$6,'Card Progress data'!$AC$42:$AD$52,2,0),0)</f>
        <v>0</v>
      </c>
      <c r="G23" s="178">
        <f>E23/('Card Progress data'!$AE$52*$K$6)</f>
        <v>0</v>
      </c>
      <c r="H23" s="296" t="str">
        <f ca="1">IF(NOW()+(F23/'Card Progress data'!$AF$74*7)=NOW(),"",NOW()+(F23/'Card Progress data'!$AF$74*7))</f>
        <v/>
      </c>
      <c r="I23" s="297">
        <f>MAX(VLOOKUP(D23,'Card Progress data'!$A$4:$B$17,2,0),0)</f>
        <v>20000</v>
      </c>
      <c r="J23" s="181">
        <f>VLOOKUP(VLOOKUP(D23-1,'Card Progress data'!$Q$23:$R$37,2,0)+C23,'Card Progress data'!$R$24:$S$37,2,1)</f>
        <v>13</v>
      </c>
      <c r="K23" s="180">
        <f>P23-VLOOKUP(J23,'Card Progress data'!$A$44:$B$57,2,0)</f>
        <v>170000</v>
      </c>
      <c r="L23" s="182">
        <f>MAX('Generic Info'!$R$58-C23-VLOOKUP(D23,'Generic Info'!$Q$46:$R$58,2,0),0)</f>
        <v>0</v>
      </c>
      <c r="M23" s="177">
        <f>ROUNDUP(L23/'Card Progress data'!$AE$52,0)</f>
        <v>0</v>
      </c>
      <c r="N23" s="178">
        <f>L23/('Card Progress data'!$AE$52*$K$6)</f>
        <v>0</v>
      </c>
      <c r="O23" s="296" t="str">
        <f ca="1">IF(NOW()+(M23/'Card Progress data'!$AF$74*7)=NOW(),"",NOW()+(M23/'Card Progress data'!$AF$74*7))</f>
        <v/>
      </c>
      <c r="P23" s="208">
        <f>MAX('Card Progress data'!$R$17-VLOOKUP(D23-1,'Card Progress data'!$Q$4:$R$17,2,0),0)</f>
        <v>170000</v>
      </c>
      <c r="Q23" s="183">
        <f>'Card Progress data'!$B$44-MAX('Card Progress data'!$R$17-VLOOKUP(D23-1,'Card Progress data'!$Q$4:$R$17,2,0),0)</f>
        <v>15625</v>
      </c>
      <c r="R23" s="183">
        <f>L23*'Card Progress data'!$V$79</f>
        <v>0</v>
      </c>
      <c r="S23" s="173" t="str">
        <f t="shared" si="0"/>
        <v>Cannon</v>
      </c>
      <c r="T23" s="181">
        <v>12</v>
      </c>
      <c r="U23" s="181">
        <f>MAX((VLOOKUP($T23,'Card Progress data'!$A$65:$B$78,2,0))-(VLOOKUP($D23-1,'Card Progress data'!$Q$24:$R$37,2,0))-$C23,0)</f>
        <v>0</v>
      </c>
      <c r="V23" s="184">
        <f>U23/('Card Progress data'!$AE$52*$K$6)</f>
        <v>0</v>
      </c>
      <c r="W23" s="185">
        <f>U23/('Card Progress data'!$AE$52*$K$6)</f>
        <v>0</v>
      </c>
      <c r="X23" s="179">
        <f t="shared" ca="1" si="1"/>
        <v>45736.526136342596</v>
      </c>
      <c r="Y23" s="186">
        <f>MAX(P23-VLOOKUP(T23,'Card Progress data'!$A$44:$B$57,2,0),0)</f>
        <v>70000</v>
      </c>
      <c r="Z23" s="187">
        <f>MAX(VLOOKUP(T23,'Card Progress data'!$AW$24:$AX$37,2,0)-(VLOOKUP(D23,'Card Progress data'!$AW$24:$AX$37,2,0)),0)</f>
        <v>1400</v>
      </c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 t="s">
        <v>309</v>
      </c>
      <c r="AN23" s="191">
        <f ca="1">AN15-(AN19*(AN21/7))</f>
        <v>5872.1418918918916</v>
      </c>
      <c r="AO23" s="157"/>
      <c r="AP23" s="157" t="s">
        <v>309</v>
      </c>
      <c r="AQ23" s="191">
        <f ca="1">AQ15-(AQ19*(AQ21/7))</f>
        <v>5954.2870090634442</v>
      </c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>
        <f ca="1">BG22*40</f>
        <v>329840</v>
      </c>
      <c r="BC23" s="157">
        <f ca="1">BG22*4</f>
        <v>32984</v>
      </c>
      <c r="BD23" s="157">
        <f ca="1">BG22*4</f>
        <v>32984</v>
      </c>
      <c r="BE23" s="157"/>
      <c r="BF23" s="157">
        <f ca="1">BB23</f>
        <v>329840</v>
      </c>
      <c r="BG23" s="189">
        <f ca="1">BG22*(8/24)</f>
        <v>2748.6666666666665</v>
      </c>
      <c r="BH23" s="189"/>
      <c r="BI23" s="157"/>
      <c r="BJ23" s="157"/>
    </row>
    <row r="24" spans="1:62" ht="15.75" customHeight="1">
      <c r="A24" s="157"/>
      <c r="B24" s="173" t="s">
        <v>310</v>
      </c>
      <c r="C24" s="176">
        <v>470</v>
      </c>
      <c r="D24" s="190">
        <v>6</v>
      </c>
      <c r="E24" s="177">
        <f>MAX(VLOOKUP(D24,'Card Progress data'!$A$24:$B$37,2,0)-C24,0)</f>
        <v>0</v>
      </c>
      <c r="F24" s="177">
        <f>ROUNDUP(E24/VLOOKUP($N$6,'Card Progress data'!$AC$42:$AD$52,2,0),0)</f>
        <v>0</v>
      </c>
      <c r="G24" s="178">
        <f>E24/('Card Progress data'!$AE$52*$K$6)</f>
        <v>0</v>
      </c>
      <c r="H24" s="296" t="str">
        <f ca="1">IF(NOW()+(F24/'Card Progress data'!$AF$74*7)=NOW(),"",NOW()+(F24/'Card Progress data'!$AF$74*7))</f>
        <v/>
      </c>
      <c r="I24" s="297">
        <f>MAX(VLOOKUP(D24,'Card Progress data'!$A$4:$B$17,2,0),0)</f>
        <v>1000</v>
      </c>
      <c r="J24" s="181">
        <f>VLOOKUP(VLOOKUP(D24-1,'Card Progress data'!$Q$23:$R$37,2,0)+C24,'Card Progress data'!$R$24:$S$37,2,1)</f>
        <v>8</v>
      </c>
      <c r="K24" s="180">
        <f>P24-VLOOKUP(J24,'Card Progress data'!$A$44:$B$57,2,0)</f>
        <v>3000</v>
      </c>
      <c r="L24" s="182">
        <f>MAX('Generic Info'!$R$58-C24-VLOOKUP(D24,'Generic Info'!$Q$46:$R$58,2,0),0)</f>
        <v>9030</v>
      </c>
      <c r="M24" s="177">
        <f>ROUNDUP(L24/'Card Progress data'!$AE$52,0)</f>
        <v>226</v>
      </c>
      <c r="N24" s="178">
        <f>L24/('Card Progress data'!$AE$52*$K$6)</f>
        <v>75.25</v>
      </c>
      <c r="O24" s="296">
        <f ca="1">IF(NOW()+(M24/'Card Progress data'!$AF$74*7)=NOW(),"",NOW()+(M24/'Card Progress data'!$AF$74*7))</f>
        <v>45815.626136342595</v>
      </c>
      <c r="P24" s="208">
        <f>MAX('Card Progress data'!$R$17-VLOOKUP(D24-1,'Card Progress data'!$Q$4:$R$17,2,0),0)</f>
        <v>185000</v>
      </c>
      <c r="Q24" s="183">
        <f>'Card Progress data'!$B$44-MAX('Card Progress data'!$R$17-VLOOKUP(D24-1,'Card Progress data'!$Q$4:$R$17,2,0),0)</f>
        <v>625</v>
      </c>
      <c r="R24" s="183">
        <f>L24*'Card Progress data'!$V$79</f>
        <v>90300</v>
      </c>
      <c r="S24" s="173" t="str">
        <f t="shared" si="0"/>
        <v>Firecracker</v>
      </c>
      <c r="T24" s="181">
        <v>13</v>
      </c>
      <c r="U24" s="181">
        <f>MAX((VLOOKUP($T24,'Card Progress data'!$A$65:$B$78,2,0))-(VLOOKUP($D24-1,'Card Progress data'!$Q$24:$R$37,2,0))-$C24,0)</f>
        <v>9030</v>
      </c>
      <c r="V24" s="184">
        <f>U24/('Card Progress data'!$AE$52*$K$6)</f>
        <v>75.25</v>
      </c>
      <c r="W24" s="185">
        <f>U24/('Card Progress data'!$AE$52*$K$6)</f>
        <v>75.25</v>
      </c>
      <c r="X24" s="179">
        <f t="shared" ca="1" si="1"/>
        <v>45811.776136342596</v>
      </c>
      <c r="Y24" s="186">
        <f>MAX(P24-VLOOKUP(T24,'Card Progress data'!$A$44:$B$57,2,0),0)</f>
        <v>185000</v>
      </c>
      <c r="Z24" s="187">
        <f>MAX(VLOOKUP(T24,'Card Progress data'!$AW$24:$AX$37,2,0)-(VLOOKUP(D24,'Card Progress data'!$AW$24:$AX$37,2,0)),0)</f>
        <v>3750</v>
      </c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91"/>
      <c r="AO24" s="157"/>
      <c r="AP24" s="157"/>
      <c r="AQ24" s="191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89"/>
      <c r="BH24" s="189"/>
      <c r="BI24" s="157"/>
      <c r="BJ24" s="157"/>
    </row>
    <row r="25" spans="1:62" ht="15.75" customHeight="1">
      <c r="A25" s="157"/>
      <c r="B25" s="173" t="s">
        <v>311</v>
      </c>
      <c r="C25" s="176">
        <v>6117</v>
      </c>
      <c r="D25" s="190">
        <v>9</v>
      </c>
      <c r="E25" s="177">
        <f>MAX(VLOOKUP(D25,'Card Progress data'!$A$24:$B$37,2,0)-C25,0)</f>
        <v>0</v>
      </c>
      <c r="F25" s="177">
        <f>ROUNDUP(E25/VLOOKUP($N$6,'Card Progress data'!$AC$42:$AD$52,2,0),0)</f>
        <v>0</v>
      </c>
      <c r="G25" s="178">
        <f>E25/('Card Progress data'!$AE$52*$K$6)</f>
        <v>0</v>
      </c>
      <c r="H25" s="296" t="str">
        <f ca="1">IF(NOW()+(F25/'Card Progress data'!$AF$74*7)=NOW(),"",NOW()+(F25/'Card Progress data'!$AF$74*7))</f>
        <v/>
      </c>
      <c r="I25" s="297">
        <f>MAX(VLOOKUP(D25,'Card Progress data'!$A$4:$B$17,2,0),0)</f>
        <v>8000</v>
      </c>
      <c r="J25" s="181">
        <f>VLOOKUP(VLOOKUP(D25-1,'Card Progress data'!$Q$23:$R$37,2,0)+C25,'Card Progress data'!$R$24:$S$37,2,1)</f>
        <v>12</v>
      </c>
      <c r="K25" s="180">
        <f>P25-VLOOKUP(J25,'Card Progress data'!$A$44:$B$57,2,0)</f>
        <v>78000</v>
      </c>
      <c r="L25" s="182">
        <f>MAX('Generic Info'!$R$58-C25-VLOOKUP(D25,'Generic Info'!$Q$46:$R$58,2,0),0)</f>
        <v>2683</v>
      </c>
      <c r="M25" s="177">
        <f>ROUNDUP(L25/'Card Progress data'!$AE$52,0)</f>
        <v>68</v>
      </c>
      <c r="N25" s="178">
        <f>L25/('Card Progress data'!$AE$52*$K$6)</f>
        <v>22.358333333333334</v>
      </c>
      <c r="O25" s="296">
        <f ca="1">IF(NOW()+(M25/'Card Progress data'!$AF$74*7)=NOW(),"",NOW()+(M25/'Card Progress data'!$AF$74*7))</f>
        <v>45760.326136342599</v>
      </c>
      <c r="P25" s="208">
        <f>MAX('Card Progress data'!$R$17-VLOOKUP(D25-1,'Card Progress data'!$Q$4:$R$17,2,0),0)</f>
        <v>178000</v>
      </c>
      <c r="Q25" s="183">
        <f>'Card Progress data'!$B$44-MAX('Card Progress data'!$R$17-VLOOKUP(D25-1,'Card Progress data'!$Q$4:$R$17,2,0),0)</f>
        <v>7625</v>
      </c>
      <c r="R25" s="183">
        <f>L25*'Card Progress data'!$V$79</f>
        <v>26830</v>
      </c>
      <c r="S25" s="173" t="str">
        <f t="shared" si="0"/>
        <v>Skeleton Barrel</v>
      </c>
      <c r="T25" s="181">
        <v>12</v>
      </c>
      <c r="U25" s="181">
        <f>MAX((VLOOKUP($T25,'Card Progress data'!$A$65:$B$78,2,0))-(VLOOKUP($D25-1,'Card Progress data'!$Q$24:$R$37,2,0))-$C25,0)</f>
        <v>0</v>
      </c>
      <c r="V25" s="184">
        <f>U25/('Card Progress data'!$AE$52*$K$6)</f>
        <v>0</v>
      </c>
      <c r="W25" s="185">
        <f>U25/('Card Progress data'!$AE$52*$K$6)</f>
        <v>0</v>
      </c>
      <c r="X25" s="179">
        <f t="shared" ca="1" si="1"/>
        <v>45736.526136342596</v>
      </c>
      <c r="Y25" s="186">
        <f>MAX(P25-VLOOKUP(T25,'Card Progress data'!$A$44:$B$57,2,0),0)</f>
        <v>78000</v>
      </c>
      <c r="Z25" s="187">
        <f>MAX(VLOOKUP(T25,'Card Progress data'!$AW$24:$AX$37,2,0)-(VLOOKUP(D25,'Card Progress data'!$AW$24:$AX$37,2,0)),0)</f>
        <v>1800</v>
      </c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251" t="s">
        <v>289</v>
      </c>
      <c r="AN25" s="251"/>
      <c r="AO25" s="157"/>
      <c r="AP25" s="251" t="s">
        <v>289</v>
      </c>
      <c r="AQ25" s="251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>
        <f ca="1">C13+BB23</f>
        <v>337940</v>
      </c>
      <c r="BB25" s="157"/>
      <c r="BC25" s="157"/>
      <c r="BD25" s="157"/>
      <c r="BE25" s="157"/>
      <c r="BF25" s="157"/>
      <c r="BG25" s="189"/>
      <c r="BH25" s="189"/>
      <c r="BI25" s="157"/>
      <c r="BJ25" s="157"/>
    </row>
    <row r="26" spans="1:62" ht="15.75" customHeight="1">
      <c r="A26" s="157"/>
      <c r="B26" s="173" t="s">
        <v>312</v>
      </c>
      <c r="C26" s="190">
        <v>0</v>
      </c>
      <c r="D26" s="190">
        <v>13</v>
      </c>
      <c r="E26" s="177">
        <f>MAX(VLOOKUP(D26,'Card Progress data'!$A$24:$B$37,2,0)-C26,0)</f>
        <v>0</v>
      </c>
      <c r="F26" s="177">
        <f>ROUNDUP(E26/VLOOKUP($N$6,'Card Progress data'!$AC$42:$AD$52,2,0),0)</f>
        <v>0</v>
      </c>
      <c r="G26" s="178">
        <f>E26/('Card Progress data'!$AE$52*$K$6)</f>
        <v>0</v>
      </c>
      <c r="H26" s="296" t="str">
        <f ca="1">IF(NOW()+(F26/'Card Progress data'!$AF$74*7)=NOW(),"",NOW()+(F26/'Card Progress data'!$AF$74*7))</f>
        <v/>
      </c>
      <c r="I26" s="297">
        <f>MAX(VLOOKUP(D26,'Card Progress data'!$A$4:$B$17,2,0),0)</f>
        <v>0</v>
      </c>
      <c r="J26" s="181">
        <f>VLOOKUP(VLOOKUP(D26-1,'Card Progress data'!$Q$23:$R$37,2,0)+C26,'Card Progress data'!$R$24:$S$37,2,1)</f>
        <v>13</v>
      </c>
      <c r="K26" s="180">
        <f>P26-VLOOKUP(J26,'Card Progress data'!$A$44:$B$57,2,0)</f>
        <v>0</v>
      </c>
      <c r="L26" s="182">
        <f>MAX('Generic Info'!$R$58-C26-VLOOKUP(D26,'Generic Info'!$Q$46:$R$58,2,0),0)</f>
        <v>0</v>
      </c>
      <c r="M26" s="177">
        <f>ROUNDUP(L26/'Card Progress data'!$AE$52,0)</f>
        <v>0</v>
      </c>
      <c r="N26" s="178">
        <f>L26/('Card Progress data'!$AE$52*$K$6)</f>
        <v>0</v>
      </c>
      <c r="O26" s="296" t="str">
        <f ca="1">IF(NOW()+(M26/'Card Progress data'!$AF$74*7)=NOW(),"",NOW()+(M26/'Card Progress data'!$AF$74*7))</f>
        <v/>
      </c>
      <c r="P26" s="208">
        <f>MAX('Card Progress data'!$R$17-VLOOKUP(D26-1,'Card Progress data'!$Q$4:$R$17,2,0),0)</f>
        <v>0</v>
      </c>
      <c r="Q26" s="183">
        <f>'Card Progress data'!$B$44-MAX('Card Progress data'!$R$17-VLOOKUP(D26-1,'Card Progress data'!$Q$4:$R$17,2,0),0)</f>
        <v>185625</v>
      </c>
      <c r="R26" s="183">
        <f>L26*'Card Progress data'!$V$79</f>
        <v>0</v>
      </c>
      <c r="S26" s="173" t="str">
        <f t="shared" si="0"/>
        <v>Bomber</v>
      </c>
      <c r="T26" s="181">
        <v>12</v>
      </c>
      <c r="U26" s="181">
        <f>MAX((VLOOKUP($T26,'Card Progress data'!$A$65:$B$78,2,0))-(VLOOKUP($D26-1,'Card Progress data'!$Q$24:$R$37,2,0))-$C26,0)</f>
        <v>0</v>
      </c>
      <c r="V26" s="184">
        <f>U26/('Card Progress data'!$AE$52*$K$6)</f>
        <v>0</v>
      </c>
      <c r="W26" s="185">
        <f>U26/('Card Progress data'!$AE$52*$K$6)</f>
        <v>0</v>
      </c>
      <c r="X26" s="179">
        <f t="shared" ca="1" si="1"/>
        <v>45736.526136342596</v>
      </c>
      <c r="Y26" s="186">
        <f>MAX(P26-VLOOKUP(T26,'Card Progress data'!$A$44:$B$57,2,0),0)</f>
        <v>0</v>
      </c>
      <c r="Z26" s="187">
        <f>MAX(VLOOKUP(T26,'Card Progress data'!$AW$24:$AX$37,2,0)-(VLOOKUP(D26,'Card Progress data'!$AW$24:$AX$37,2,0)),0)</f>
        <v>0</v>
      </c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 t="s">
        <v>313</v>
      </c>
      <c r="AN26" s="157">
        <f>(AN17-120)*5</f>
        <v>880</v>
      </c>
      <c r="AO26" s="157"/>
      <c r="AP26" s="157" t="s">
        <v>313</v>
      </c>
      <c r="AQ26" s="157">
        <f>(AQ17-120)*5</f>
        <v>1055</v>
      </c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</row>
    <row r="27" spans="1:62" ht="15.75" customHeight="1">
      <c r="A27" s="157"/>
      <c r="B27" s="173" t="s">
        <v>314</v>
      </c>
      <c r="C27" s="190">
        <v>8900</v>
      </c>
      <c r="D27" s="190">
        <v>9</v>
      </c>
      <c r="E27" s="177">
        <f>MAX(VLOOKUP(D27,'Card Progress data'!$A$24:$B$37,2,0)-C27,0)</f>
        <v>0</v>
      </c>
      <c r="F27" s="177">
        <f>ROUNDUP(E27/VLOOKUP($N$6,'Card Progress data'!$AC$42:$AD$52,2,0),0)</f>
        <v>0</v>
      </c>
      <c r="G27" s="178">
        <f>E27/('Card Progress data'!$AE$52*$K$6)</f>
        <v>0</v>
      </c>
      <c r="H27" s="296" t="str">
        <f ca="1">IF(NOW()+(F27/'Card Progress data'!$AF$74*7)=NOW(),"",NOW()+(F27/'Card Progress data'!$AF$74*7))</f>
        <v/>
      </c>
      <c r="I27" s="297">
        <f>MAX(VLOOKUP(D27,'Card Progress data'!$A$4:$B$17,2,0),0)</f>
        <v>8000</v>
      </c>
      <c r="J27" s="181">
        <f>VLOOKUP(VLOOKUP(D27-1,'Card Progress data'!$Q$23:$R$37,2,0)+C27,'Card Progress data'!$R$24:$S$37,2,1)</f>
        <v>13</v>
      </c>
      <c r="K27" s="180">
        <f>P27-VLOOKUP(J27,'Card Progress data'!$A$44:$B$57,2,0)</f>
        <v>178000</v>
      </c>
      <c r="L27" s="182">
        <f>MAX('Generic Info'!$R$58-C27-VLOOKUP(D27,'Generic Info'!$Q$46:$R$58,2,0),0)</f>
        <v>0</v>
      </c>
      <c r="M27" s="177">
        <f>ROUNDUP(L27/'Card Progress data'!$AE$52,0)</f>
        <v>0</v>
      </c>
      <c r="N27" s="178">
        <f>L27/('Card Progress data'!$AE$52*$K$6)</f>
        <v>0</v>
      </c>
      <c r="O27" s="296" t="str">
        <f ca="1">IF(NOW()+(M27/'Card Progress data'!$AF$74*7)=NOW(),"",NOW()+(M27/'Card Progress data'!$AF$74*7))</f>
        <v/>
      </c>
      <c r="P27" s="208">
        <f>MAX('Card Progress data'!$R$17-VLOOKUP(D27-1,'Card Progress data'!$Q$4:$R$17,2,0),0)</f>
        <v>178000</v>
      </c>
      <c r="Q27" s="183">
        <f>'Card Progress data'!$B$44-MAX('Card Progress data'!$R$17-VLOOKUP(D27-1,'Card Progress data'!$Q$4:$R$17,2,0),0)</f>
        <v>7625</v>
      </c>
      <c r="R27" s="183">
        <f>L27*'Card Progress data'!$V$79</f>
        <v>0</v>
      </c>
      <c r="S27" s="173" t="str">
        <f t="shared" si="0"/>
        <v>Goblin Gang</v>
      </c>
      <c r="T27" s="181">
        <v>12</v>
      </c>
      <c r="U27" s="181">
        <f>MAX((VLOOKUP($T27,'Card Progress data'!$A$65:$B$78,2,0))-(VLOOKUP($D27-1,'Card Progress data'!$Q$24:$R$37,2,0))-$C27,0)</f>
        <v>0</v>
      </c>
      <c r="V27" s="184">
        <f>U27/('Card Progress data'!$AE$52*$K$6)</f>
        <v>0</v>
      </c>
      <c r="W27" s="185">
        <f>U27/('Card Progress data'!$AE$52*$K$6)</f>
        <v>0</v>
      </c>
      <c r="X27" s="179">
        <f t="shared" ca="1" si="1"/>
        <v>45736.526136342596</v>
      </c>
      <c r="Y27" s="186">
        <f>MAX(P27-VLOOKUP(T27,'Card Progress data'!$A$44:$B$57,2,0),0)</f>
        <v>78000</v>
      </c>
      <c r="Z27" s="187">
        <f>MAX(VLOOKUP(T27,'Card Progress data'!$AW$24:$AX$37,2,0)-(VLOOKUP(D27,'Card Progress data'!$AW$24:$AX$37,2,0)),0)</f>
        <v>1800</v>
      </c>
      <c r="AA27" s="157"/>
      <c r="AB27" s="157"/>
      <c r="AC27" s="157"/>
      <c r="AD27" s="157"/>
      <c r="AE27" s="157"/>
      <c r="AF27" s="157"/>
      <c r="AG27" s="157"/>
      <c r="AH27" s="189"/>
      <c r="AI27" s="157"/>
      <c r="AJ27" s="157"/>
      <c r="AK27" s="157"/>
      <c r="AL27" s="157"/>
      <c r="AM27" s="157" t="s">
        <v>315</v>
      </c>
      <c r="AN27" s="157">
        <f>AN18+12+10</f>
        <v>41</v>
      </c>
      <c r="AO27" s="157"/>
      <c r="AP27" s="157" t="s">
        <v>315</v>
      </c>
      <c r="AQ27" s="157">
        <f>AQ18+12+10</f>
        <v>41</v>
      </c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89"/>
      <c r="BH27" s="157"/>
      <c r="BI27" s="157"/>
      <c r="BJ27" s="157"/>
    </row>
    <row r="28" spans="1:62" ht="15.75" customHeight="1">
      <c r="A28" s="157"/>
      <c r="B28" s="173" t="s">
        <v>316</v>
      </c>
      <c r="C28" s="176">
        <v>8000</v>
      </c>
      <c r="D28" s="190">
        <v>10</v>
      </c>
      <c r="E28" s="177">
        <f>MAX(VLOOKUP(D28,'Card Progress data'!$A$24:$B$37,2,0)-C28,0)</f>
        <v>0</v>
      </c>
      <c r="F28" s="177">
        <f>ROUNDUP(E28/VLOOKUP($N$6,'Card Progress data'!$AC$42:$AD$52,2,0),0)</f>
        <v>0</v>
      </c>
      <c r="G28" s="178">
        <f>E28/('Card Progress data'!$AE$52*$K$6)</f>
        <v>0</v>
      </c>
      <c r="H28" s="296" t="str">
        <f ca="1">IF(NOW()+(F28/'Card Progress data'!$AF$74*7)=NOW(),"",NOW()+(F28/'Card Progress data'!$AF$74*7))</f>
        <v/>
      </c>
      <c r="I28" s="297">
        <f>MAX(VLOOKUP(D28,'Card Progress data'!$A$4:$B$17,2,0),0)</f>
        <v>20000</v>
      </c>
      <c r="J28" s="181">
        <f>VLOOKUP(VLOOKUP(D28-1,'Card Progress data'!$Q$23:$R$37,2,0)+C28,'Card Progress data'!$R$24:$S$37,2,1)</f>
        <v>13</v>
      </c>
      <c r="K28" s="180">
        <f>P28-VLOOKUP(J28,'Card Progress data'!$A$44:$B$57,2,0)</f>
        <v>170000</v>
      </c>
      <c r="L28" s="182">
        <f>MAX('Generic Info'!$R$58-C28-VLOOKUP(D28,'Generic Info'!$Q$46:$R$58,2,0),0)</f>
        <v>0</v>
      </c>
      <c r="M28" s="177">
        <f>ROUNDUP(L28/'Card Progress data'!$AE$52,0)</f>
        <v>0</v>
      </c>
      <c r="N28" s="178">
        <f>L28/('Card Progress data'!$AE$52*$K$6)</f>
        <v>0</v>
      </c>
      <c r="O28" s="296" t="str">
        <f ca="1">IF(NOW()+(M28/'Card Progress data'!$AF$74*7)=NOW(),"",NOW()+(M28/'Card Progress data'!$AF$74*7))</f>
        <v/>
      </c>
      <c r="P28" s="208">
        <f>MAX('Card Progress data'!$R$17-VLOOKUP(D28-1,'Card Progress data'!$Q$4:$R$17,2,0),0)</f>
        <v>170000</v>
      </c>
      <c r="Q28" s="183">
        <f>'Card Progress data'!$B$44-MAX('Card Progress data'!$R$17-VLOOKUP(D28-1,'Card Progress data'!$Q$4:$R$17,2,0),0)</f>
        <v>15625</v>
      </c>
      <c r="R28" s="183">
        <f>L28*'Card Progress data'!$V$79</f>
        <v>0</v>
      </c>
      <c r="S28" s="173" t="str">
        <f t="shared" si="0"/>
        <v>Tesla</v>
      </c>
      <c r="T28" s="181">
        <v>12</v>
      </c>
      <c r="U28" s="181">
        <f>MAX((VLOOKUP($T28,'Card Progress data'!$A$65:$B$78,2,0))-(VLOOKUP($D28-1,'Card Progress data'!$Q$24:$R$37,2,0))-$C28,0)</f>
        <v>0</v>
      </c>
      <c r="V28" s="184">
        <f>U28/('Card Progress data'!$AE$52*$K$6)</f>
        <v>0</v>
      </c>
      <c r="W28" s="185">
        <f>U28/('Card Progress data'!$AE$52*$K$6)</f>
        <v>0</v>
      </c>
      <c r="X28" s="179">
        <f t="shared" ca="1" si="1"/>
        <v>45736.526136342596</v>
      </c>
      <c r="Y28" s="186">
        <f>MAX(P28-VLOOKUP(T28,'Card Progress data'!$A$44:$B$57,2,0),0)</f>
        <v>70000</v>
      </c>
      <c r="Z28" s="187">
        <f>MAX(VLOOKUP(T28,'Card Progress data'!$AW$24:$AX$37,2,0)-(VLOOKUP(D28,'Card Progress data'!$AW$24:$AX$37,2,0)),0)</f>
        <v>1400</v>
      </c>
      <c r="AA28" s="157"/>
      <c r="AB28" s="157"/>
      <c r="AC28" s="157"/>
      <c r="AD28" s="157"/>
      <c r="AE28" s="157"/>
      <c r="AF28" s="157">
        <f>104494-102910</f>
        <v>1584</v>
      </c>
      <c r="AG28" s="157"/>
      <c r="AH28" s="157"/>
      <c r="AI28" s="157"/>
      <c r="AJ28" s="157"/>
      <c r="AK28" s="157"/>
      <c r="AL28" s="157"/>
      <c r="AM28" s="157" t="s">
        <v>11</v>
      </c>
      <c r="AN28" s="157">
        <v>30</v>
      </c>
      <c r="AO28" s="157"/>
      <c r="AP28" s="157" t="s">
        <v>11</v>
      </c>
      <c r="AQ28" s="157">
        <v>30</v>
      </c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 ht="15.75" customHeight="1">
      <c r="A29" s="157"/>
      <c r="B29" s="173" t="s">
        <v>317</v>
      </c>
      <c r="C29" s="176">
        <v>530</v>
      </c>
      <c r="D29" s="190">
        <v>1</v>
      </c>
      <c r="E29" s="177">
        <f>MAX(VLOOKUP(D29,'Card Progress data'!$A$24:$B$37,2,0)-C29,0)</f>
        <v>0</v>
      </c>
      <c r="F29" s="177">
        <f>ROUNDUP(E29/VLOOKUP($N$6,'Card Progress data'!$AC$42:$AD$52,2,0),0)</f>
        <v>0</v>
      </c>
      <c r="G29" s="178">
        <f>E29/('Card Progress data'!$AE$52*$K$6)</f>
        <v>0</v>
      </c>
      <c r="H29" s="296" t="str">
        <f ca="1">IF(NOW()+(F29/'Card Progress data'!$AF$74*7)=NOW(),"",NOW()+(F29/'Card Progress data'!$AF$74*7))</f>
        <v/>
      </c>
      <c r="I29" s="297">
        <f>MAX(VLOOKUP(D29,'Card Progress data'!$A$4:$B$17,2,0),0)</f>
        <v>5</v>
      </c>
      <c r="J29" s="181">
        <f>VLOOKUP(VLOOKUP(D29-1,'Card Progress data'!$Q$23:$R$37,2,0)+C29,'Card Progress data'!$R$24:$S$37,2,1)</f>
        <v>8</v>
      </c>
      <c r="K29" s="180">
        <f>P29-VLOOKUP(J29,'Card Progress data'!$A$44:$B$57,2,0)</f>
        <v>3625</v>
      </c>
      <c r="L29" s="182">
        <f>MAX('Generic Info'!$R$58-C29-VLOOKUP(D29,'Generic Info'!$Q$46:$R$58,2,0),0)</f>
        <v>9056</v>
      </c>
      <c r="M29" s="177">
        <f>ROUNDUP(L29/'Card Progress data'!$AE$52,0)</f>
        <v>227</v>
      </c>
      <c r="N29" s="178">
        <f>L29/('Card Progress data'!$AE$52*$K$6)</f>
        <v>75.466666666666669</v>
      </c>
      <c r="O29" s="296">
        <f ca="1">IF(NOW()+(M29/'Card Progress data'!$AF$74*7)=NOW(),"",NOW()+(M29/'Card Progress data'!$AF$74*7))</f>
        <v>45815.976136342593</v>
      </c>
      <c r="P29" s="208">
        <f>MAX('Card Progress data'!$R$17-VLOOKUP(D29-1,'Card Progress data'!$Q$4:$R$17,2,0),0)</f>
        <v>185625</v>
      </c>
      <c r="Q29" s="183">
        <f>'Card Progress data'!$B$44-MAX('Card Progress data'!$R$17-VLOOKUP(D29-1,'Card Progress data'!$Q$4:$R$17,2,0),0)</f>
        <v>0</v>
      </c>
      <c r="R29" s="183">
        <f>L29*'Card Progress data'!$V$79</f>
        <v>90560</v>
      </c>
      <c r="S29" s="173" t="str">
        <f t="shared" si="0"/>
        <v>Skeleton Dragons</v>
      </c>
      <c r="T29" s="181">
        <v>13</v>
      </c>
      <c r="U29" s="181">
        <f>MAX((VLOOKUP($T29,'Card Progress data'!$A$65:$B$78,2,0))-(VLOOKUP($D29-1,'Card Progress data'!$Q$24:$R$37,2,0))-$C29,0)</f>
        <v>9056</v>
      </c>
      <c r="V29" s="184">
        <f>U29/('Card Progress data'!$AE$52*$K$6)</f>
        <v>75.466666666666669</v>
      </c>
      <c r="W29" s="185">
        <f>U29/('Card Progress data'!$AE$52*$K$6)</f>
        <v>75.466666666666669</v>
      </c>
      <c r="X29" s="179">
        <f t="shared" ca="1" si="1"/>
        <v>45811.992803009263</v>
      </c>
      <c r="Y29" s="186">
        <f>MAX(P29-VLOOKUP(T29,'Card Progress data'!$A$44:$B$57,2,0),0)</f>
        <v>185625</v>
      </c>
      <c r="Z29" s="187">
        <f>MAX(VLOOKUP(T29,'Card Progress data'!$AW$24:$AX$37,2,0)-(VLOOKUP(D29,'Card Progress data'!$AW$24:$AX$37,2,0)),0)</f>
        <v>3800</v>
      </c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 ht="15.75" customHeight="1">
      <c r="A30" s="157"/>
      <c r="B30" s="173" t="s">
        <v>318</v>
      </c>
      <c r="C30" s="176">
        <v>8800</v>
      </c>
      <c r="D30" s="190">
        <v>9</v>
      </c>
      <c r="E30" s="177">
        <f>MAX(VLOOKUP(D30,'Card Progress data'!$A$24:$B$37,2,0)-C30,0)</f>
        <v>0</v>
      </c>
      <c r="F30" s="177">
        <f>ROUNDUP(E30/VLOOKUP($N$6,'Card Progress data'!$AC$42:$AD$52,2,0),0)</f>
        <v>0</v>
      </c>
      <c r="G30" s="178">
        <f>E30/('Card Progress data'!$AE$52*$K$6)</f>
        <v>0</v>
      </c>
      <c r="H30" s="296" t="str">
        <f ca="1">IF(NOW()+(F30/'Card Progress data'!$AF$74*7)=NOW(),"",NOW()+(F30/'Card Progress data'!$AF$74*7))</f>
        <v/>
      </c>
      <c r="I30" s="297">
        <f>MAX(VLOOKUP(D30,'Card Progress data'!$A$4:$B$17,2,0),0)</f>
        <v>8000</v>
      </c>
      <c r="J30" s="181">
        <f>VLOOKUP(VLOOKUP(D30-1,'Card Progress data'!$Q$23:$R$37,2,0)+C30,'Card Progress data'!$R$24:$S$37,2,1)</f>
        <v>13</v>
      </c>
      <c r="K30" s="180">
        <f>P30-VLOOKUP(J30,'Card Progress data'!$A$44:$B$57,2,0)</f>
        <v>178000</v>
      </c>
      <c r="L30" s="182">
        <f>MAX('Generic Info'!$R$58-C30-VLOOKUP(D30,'Generic Info'!$Q$46:$R$58,2,0),0)</f>
        <v>0</v>
      </c>
      <c r="M30" s="177">
        <f>ROUNDUP(L30/'Card Progress data'!$AE$52,0)</f>
        <v>0</v>
      </c>
      <c r="N30" s="178">
        <f>L30/('Card Progress data'!$AE$52*$K$6)</f>
        <v>0</v>
      </c>
      <c r="O30" s="296" t="str">
        <f ca="1">IF(NOW()+(M30/'Card Progress data'!$AF$74*7)=NOW(),"",NOW()+(M30/'Card Progress data'!$AF$74*7))</f>
        <v/>
      </c>
      <c r="P30" s="208">
        <f>MAX('Card Progress data'!$R$17-VLOOKUP(D30-1,'Card Progress data'!$Q$4:$R$17,2,0),0)</f>
        <v>178000</v>
      </c>
      <c r="Q30" s="183">
        <f>'Card Progress data'!$B$44-MAX('Card Progress data'!$R$17-VLOOKUP(D30-1,'Card Progress data'!$Q$4:$R$17,2,0),0)</f>
        <v>7625</v>
      </c>
      <c r="R30" s="183">
        <f>L30*'Card Progress data'!$V$79</f>
        <v>0</v>
      </c>
      <c r="S30" s="173" t="str">
        <f t="shared" si="0"/>
        <v>Mortar</v>
      </c>
      <c r="T30" s="181">
        <v>12</v>
      </c>
      <c r="U30" s="181">
        <f>MAX((VLOOKUP($T30,'Card Progress data'!$A$65:$B$78,2,0))-(VLOOKUP($D30-1,'Card Progress data'!$Q$24:$R$37,2,0))-$C30,0)</f>
        <v>0</v>
      </c>
      <c r="V30" s="184">
        <f>U30/('Card Progress data'!$AE$52*$K$6)</f>
        <v>0</v>
      </c>
      <c r="W30" s="185">
        <f>U30/('Card Progress data'!$AE$52*$K$6)</f>
        <v>0</v>
      </c>
      <c r="X30" s="179">
        <f t="shared" ca="1" si="1"/>
        <v>45736.526136342596</v>
      </c>
      <c r="Y30" s="186">
        <f>MAX(P30-VLOOKUP(T30,'Card Progress data'!$A$44:$B$57,2,0),0)</f>
        <v>78000</v>
      </c>
      <c r="Z30" s="187">
        <f>MAX(VLOOKUP(T30,'Card Progress data'!$AW$24:$AX$37,2,0)-(VLOOKUP(D30,'Card Progress data'!$AW$24:$AX$37,2,0)),0)</f>
        <v>1800</v>
      </c>
      <c r="AA30" s="157"/>
      <c r="AB30" s="157"/>
      <c r="AC30" s="157"/>
      <c r="AD30" s="157"/>
      <c r="AE30" s="157"/>
      <c r="AF30" s="157">
        <f>AF28/9</f>
        <v>176</v>
      </c>
      <c r="AG30" s="157"/>
      <c r="AH30" s="157"/>
      <c r="AI30" s="157"/>
      <c r="AJ30" s="157"/>
      <c r="AK30" s="157"/>
      <c r="AL30" s="157"/>
      <c r="AM30" s="157" t="s">
        <v>319</v>
      </c>
      <c r="AN30" s="192">
        <f ca="1">AN22/AN27</f>
        <v>916.55924522083058</v>
      </c>
      <c r="AO30" s="157"/>
      <c r="AP30" s="157" t="s">
        <v>319</v>
      </c>
      <c r="AQ30" s="192">
        <f ca="1">AQ22/AQ27</f>
        <v>925.44160341905547</v>
      </c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 ht="15.75" customHeight="1">
      <c r="A31" s="157"/>
      <c r="B31" s="173" t="s">
        <v>320</v>
      </c>
      <c r="C31" s="190">
        <v>8100</v>
      </c>
      <c r="D31" s="190">
        <v>10</v>
      </c>
      <c r="E31" s="177">
        <f>MAX(VLOOKUP(D31,'Card Progress data'!$A$24:$B$37,2,0)-C31,0)</f>
        <v>0</v>
      </c>
      <c r="F31" s="177">
        <f>ROUNDUP(E31/VLOOKUP($N$6,'Card Progress data'!$AC$42:$AD$52,2,0),0)</f>
        <v>0</v>
      </c>
      <c r="G31" s="178">
        <f>E31/('Card Progress data'!$AE$52*$K$6)</f>
        <v>0</v>
      </c>
      <c r="H31" s="296" t="str">
        <f ca="1">IF(NOW()+(F31/'Card Progress data'!$AF$74*7)=NOW(),"",NOW()+(F31/'Card Progress data'!$AF$74*7))</f>
        <v/>
      </c>
      <c r="I31" s="297">
        <f>MAX(VLOOKUP(D31,'Card Progress data'!$A$4:$B$17,2,0),0)</f>
        <v>20000</v>
      </c>
      <c r="J31" s="181">
        <f>VLOOKUP(VLOOKUP(D31-1,'Card Progress data'!$Q$23:$R$37,2,0)+C31,'Card Progress data'!$R$24:$S$37,2,1)</f>
        <v>13</v>
      </c>
      <c r="K31" s="180">
        <f>P31-VLOOKUP(J31,'Card Progress data'!$A$44:$B$57,2,0)</f>
        <v>170000</v>
      </c>
      <c r="L31" s="182">
        <f>MAX('Generic Info'!$R$58-C31-VLOOKUP(D31,'Generic Info'!$Q$46:$R$58,2,0),0)</f>
        <v>0</v>
      </c>
      <c r="M31" s="177">
        <f>ROUNDUP(L31/'Card Progress data'!$AE$52,0)</f>
        <v>0</v>
      </c>
      <c r="N31" s="178">
        <f>L31/('Card Progress data'!$AE$52*$K$6)</f>
        <v>0</v>
      </c>
      <c r="O31" s="296" t="str">
        <f ca="1">IF(NOW()+(M31/'Card Progress data'!$AF$74*7)=NOW(),"",NOW()+(M31/'Card Progress data'!$AF$74*7))</f>
        <v/>
      </c>
      <c r="P31" s="208">
        <f>MAX('Card Progress data'!$R$17-VLOOKUP(D31-1,'Card Progress data'!$Q$4:$R$17,2,0),0)</f>
        <v>170000</v>
      </c>
      <c r="Q31" s="183">
        <f>'Card Progress data'!$B$44-MAX('Card Progress data'!$R$17-VLOOKUP(D31-1,'Card Progress data'!$Q$4:$R$17,2,0),0)</f>
        <v>15625</v>
      </c>
      <c r="R31" s="183">
        <f>L31*'Card Progress data'!$V$79</f>
        <v>0</v>
      </c>
      <c r="S31" s="173" t="str">
        <f t="shared" si="0"/>
        <v>Barbarians</v>
      </c>
      <c r="T31" s="181">
        <v>12</v>
      </c>
      <c r="U31" s="181">
        <f>MAX((VLOOKUP($T31,'Card Progress data'!$A$65:$B$78,2,0))-(VLOOKUP($D31-1,'Card Progress data'!$Q$24:$R$37,2,0))-$C31,0)</f>
        <v>0</v>
      </c>
      <c r="V31" s="184">
        <f>U31/('Card Progress data'!$AE$52*$K$6)</f>
        <v>0</v>
      </c>
      <c r="W31" s="185">
        <f>U31/('Card Progress data'!$AE$52*$K$6)</f>
        <v>0</v>
      </c>
      <c r="X31" s="179">
        <f t="shared" ca="1" si="1"/>
        <v>45736.526136342596</v>
      </c>
      <c r="Y31" s="186">
        <f>MAX(P31-VLOOKUP(T31,'Card Progress data'!$A$44:$B$57,2,0),0)</f>
        <v>70000</v>
      </c>
      <c r="Z31" s="187">
        <f>MAX(VLOOKUP(T31,'Card Progress data'!$AW$24:$AX$37,2,0)-(VLOOKUP(D31,'Card Progress data'!$AW$24:$AX$37,2,0)),0)</f>
        <v>1400</v>
      </c>
      <c r="AA31" s="157"/>
      <c r="AB31" s="157"/>
      <c r="AC31" s="157"/>
      <c r="AD31" s="157"/>
      <c r="AE31" s="157"/>
      <c r="AF31" s="157" t="s">
        <v>321</v>
      </c>
      <c r="AG31" s="157"/>
      <c r="AH31" s="157"/>
      <c r="AI31" s="157"/>
      <c r="AJ31" s="157"/>
      <c r="AK31" s="157"/>
      <c r="AL31" s="157"/>
      <c r="AM31" s="157" t="s">
        <v>11</v>
      </c>
      <c r="AN31" s="192">
        <f ca="1">AN23-(AN28*(AN30/7))</f>
        <v>1944.0308409454747</v>
      </c>
      <c r="AO31" s="157"/>
      <c r="AP31" s="157" t="s">
        <v>11</v>
      </c>
      <c r="AQ31" s="192">
        <f ca="1">AQ23-(AQ28*(AQ30/7))</f>
        <v>1988.1087086960633</v>
      </c>
      <c r="AR31" s="157"/>
      <c r="AS31" s="157"/>
      <c r="AT31" s="157"/>
      <c r="AU31" s="157"/>
      <c r="AV31" s="157"/>
      <c r="AW31" s="157"/>
      <c r="AX31" s="157"/>
      <c r="AY31" s="157"/>
      <c r="AZ31" s="157" t="s">
        <v>322</v>
      </c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 ht="15.75" customHeight="1">
      <c r="A32" s="157"/>
      <c r="B32" s="173" t="s">
        <v>323</v>
      </c>
      <c r="C32" s="176">
        <v>4537</v>
      </c>
      <c r="D32" s="176">
        <v>9</v>
      </c>
      <c r="E32" s="177">
        <f>MAX(VLOOKUP(D32,'Card Progress data'!$A$24:$B$37,2,0)-C32,0)</f>
        <v>0</v>
      </c>
      <c r="F32" s="177">
        <f>ROUNDUP(E32/VLOOKUP($N$6,'Card Progress data'!$AC$42:$AD$52,2,0),0)</f>
        <v>0</v>
      </c>
      <c r="G32" s="178">
        <f>E32/('Card Progress data'!$AE$52*$K$6)</f>
        <v>0</v>
      </c>
      <c r="H32" s="296" t="str">
        <f ca="1">IF(NOW()+(F32/'Card Progress data'!$AF$74*7)=NOW(),"",NOW()+(F32/'Card Progress data'!$AF$74*7))</f>
        <v/>
      </c>
      <c r="I32" s="297">
        <f>MAX(VLOOKUP(D32,'Card Progress data'!$A$4:$B$17,2,0),0)</f>
        <v>8000</v>
      </c>
      <c r="J32" s="181">
        <f>VLOOKUP(VLOOKUP(D32-1,'Card Progress data'!$Q$23:$R$37,2,0)+C32,'Card Progress data'!$R$24:$S$37,2,1)</f>
        <v>12</v>
      </c>
      <c r="K32" s="180">
        <f>P32-VLOOKUP(J32,'Card Progress data'!$A$44:$B$57,2,0)</f>
        <v>78000</v>
      </c>
      <c r="L32" s="182">
        <f>MAX('Generic Info'!$R$58-C32-VLOOKUP(D32,'Generic Info'!$Q$46:$R$58,2,0),0)</f>
        <v>4263</v>
      </c>
      <c r="M32" s="177">
        <f>ROUNDUP(L32/'Card Progress data'!$AE$52,0)</f>
        <v>107</v>
      </c>
      <c r="N32" s="178">
        <f>L32/('Card Progress data'!$AE$52*$K$6)</f>
        <v>35.524999999999999</v>
      </c>
      <c r="O32" s="296">
        <f ca="1">IF(NOW()+(M32/'Card Progress data'!$AF$74*7)=NOW(),"",NOW()+(M32/'Card Progress data'!$AF$74*7))</f>
        <v>45773.976136342593</v>
      </c>
      <c r="P32" s="208">
        <f>MAX('Card Progress data'!$R$17-VLOOKUP(D32-1,'Card Progress data'!$Q$4:$R$17,2,0),0)</f>
        <v>178000</v>
      </c>
      <c r="Q32" s="183">
        <f>'Card Progress data'!$B$44-MAX('Card Progress data'!$R$17-VLOOKUP(D32-1,'Card Progress data'!$Q$4:$R$17,2,0),0)</f>
        <v>7625</v>
      </c>
      <c r="R32" s="183">
        <f>L32*'Card Progress data'!$V$79</f>
        <v>42630</v>
      </c>
      <c r="S32" s="173" t="str">
        <f t="shared" si="0"/>
        <v>Rascals</v>
      </c>
      <c r="T32" s="181">
        <v>12</v>
      </c>
      <c r="U32" s="181">
        <f>MAX((VLOOKUP($T32,'Card Progress data'!$A$65:$B$78,2,0))-(VLOOKUP($D32-1,'Card Progress data'!$Q$24:$R$37,2,0))-$C32,0)</f>
        <v>0</v>
      </c>
      <c r="V32" s="184">
        <f>U32/('Card Progress data'!$AE$52*$K$6)</f>
        <v>0</v>
      </c>
      <c r="W32" s="185">
        <f>U32/('Card Progress data'!$AE$52*$K$6)</f>
        <v>0</v>
      </c>
      <c r="X32" s="179">
        <f t="shared" ca="1" si="1"/>
        <v>45736.526136342596</v>
      </c>
      <c r="Y32" s="186">
        <f>MAX(P32-VLOOKUP(T32,'Card Progress data'!$A$44:$B$57,2,0),0)</f>
        <v>78000</v>
      </c>
      <c r="Z32" s="187">
        <f>MAX(VLOOKUP(T32,'Card Progress data'!$AW$24:$AX$37,2,0)-(VLOOKUP(D32,'Card Progress data'!$AW$24:$AX$37,2,0)),0)</f>
        <v>1800</v>
      </c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 t="s">
        <v>17</v>
      </c>
      <c r="AN32" s="168">
        <f ca="1">AN26*AN30-(1000*AN30)+(10000*(AN21/7))</f>
        <v>148965.593276203</v>
      </c>
      <c r="AO32" s="157"/>
      <c r="AP32" s="157" t="s">
        <v>17</v>
      </c>
      <c r="AQ32" s="168">
        <f ca="1">AQ26*AQ30-(1000*AQ30)+(10000*(AQ21/7))</f>
        <v>282470.28516690002</v>
      </c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2" ht="15.75" customHeight="1">
      <c r="A33" s="157"/>
      <c r="B33" s="173" t="s">
        <v>324</v>
      </c>
      <c r="C33" s="190">
        <v>0</v>
      </c>
      <c r="D33" s="190">
        <v>13</v>
      </c>
      <c r="E33" s="177">
        <f>MAX(VLOOKUP(D33,'Card Progress data'!$A$24:$B$37,2,0)-C33,0)</f>
        <v>0</v>
      </c>
      <c r="F33" s="177">
        <f>ROUNDUP(E33/VLOOKUP($N$6,'Card Progress data'!$AC$42:$AD$52,2,0),0)</f>
        <v>0</v>
      </c>
      <c r="G33" s="178">
        <f>E33/('Card Progress data'!$AE$52*$K$6)</f>
        <v>0</v>
      </c>
      <c r="H33" s="296" t="str">
        <f ca="1">IF(NOW()+(F33/'Card Progress data'!$AF$74*7)=NOW(),"",NOW()+(F33/'Card Progress data'!$AF$74*7))</f>
        <v/>
      </c>
      <c r="I33" s="297">
        <f>MAX(VLOOKUP(D33,'Card Progress data'!$A$4:$B$17,2,0),0)</f>
        <v>0</v>
      </c>
      <c r="J33" s="181">
        <f>VLOOKUP(VLOOKUP(D33-1,'Card Progress data'!$Q$23:$R$37,2,0)+C33,'Card Progress data'!$R$24:$S$37,2,1)</f>
        <v>13</v>
      </c>
      <c r="K33" s="180">
        <f>P33-VLOOKUP(J33,'Card Progress data'!$A$44:$B$57,2,0)</f>
        <v>0</v>
      </c>
      <c r="L33" s="182">
        <f>MAX('Generic Info'!$R$58-C33-VLOOKUP(D33,'Generic Info'!$Q$46:$R$58,2,0),0)</f>
        <v>0</v>
      </c>
      <c r="M33" s="177">
        <f>ROUNDUP(L33/'Card Progress data'!$AE$52,0)</f>
        <v>0</v>
      </c>
      <c r="N33" s="178">
        <f>L33/('Card Progress data'!$AE$52*$K$6)</f>
        <v>0</v>
      </c>
      <c r="O33" s="296" t="str">
        <f ca="1">IF(NOW()+(M33/'Card Progress data'!$AF$74*7)=NOW(),"",NOW()+(M33/'Card Progress data'!$AF$74*7))</f>
        <v/>
      </c>
      <c r="P33" s="208">
        <f>MAX('Card Progress data'!$R$17-VLOOKUP(D33-1,'Card Progress data'!$Q$4:$R$17,2,0),0)</f>
        <v>0</v>
      </c>
      <c r="Q33" s="183">
        <f>'Card Progress data'!$B$44-MAX('Card Progress data'!$R$17-VLOOKUP(D33-1,'Card Progress data'!$Q$4:$R$17,2,0),0)</f>
        <v>185625</v>
      </c>
      <c r="R33" s="183">
        <f>L33*'Card Progress data'!$V$79</f>
        <v>0</v>
      </c>
      <c r="S33" s="173" t="str">
        <f t="shared" si="0"/>
        <v>Minion Horde</v>
      </c>
      <c r="T33" s="181">
        <v>12</v>
      </c>
      <c r="U33" s="181">
        <f>MAX((VLOOKUP($T33,'Card Progress data'!$A$65:$B$78,2,0))-(VLOOKUP($D33-1,'Card Progress data'!$Q$24:$R$37,2,0))-$C33,0)</f>
        <v>0</v>
      </c>
      <c r="V33" s="184">
        <f>U33/('Card Progress data'!$AE$52*$K$6)</f>
        <v>0</v>
      </c>
      <c r="W33" s="185">
        <f>U33/('Card Progress data'!$AE$52*$K$6)</f>
        <v>0</v>
      </c>
      <c r="X33" s="179">
        <f t="shared" ca="1" si="1"/>
        <v>45736.526136342596</v>
      </c>
      <c r="Y33" s="186">
        <f>MAX(P33-VLOOKUP(T33,'Card Progress data'!$A$44:$B$57,2,0),0)</f>
        <v>0</v>
      </c>
      <c r="Z33" s="187">
        <f>MAX(VLOOKUP(T33,'Card Progress data'!$AW$24:$AX$37,2,0)-(VLOOKUP(D33,'Card Progress data'!$AW$24:$AX$37,2,0)),0)</f>
        <v>0</v>
      </c>
      <c r="AA33" s="157"/>
      <c r="AB33" s="157"/>
      <c r="AC33" s="157"/>
      <c r="AD33" s="157"/>
      <c r="AE33" s="157"/>
      <c r="AF33" s="162">
        <f ca="1">NOW()+(M13/20*7)</f>
        <v>45736.526136342596</v>
      </c>
      <c r="AG33" s="157"/>
      <c r="AH33" s="157"/>
      <c r="AI33" s="157"/>
      <c r="AJ33" s="157"/>
      <c r="AK33" s="157"/>
      <c r="AL33" s="157"/>
      <c r="AM33" s="157"/>
      <c r="AN33" s="162">
        <f ca="1">NOW()+AN30+AN21</f>
        <v>46834.352273455319</v>
      </c>
      <c r="AO33" s="157"/>
      <c r="AP33" s="157"/>
      <c r="AQ33" s="162">
        <f ca="1">NOW()+AQ30+AQ21</f>
        <v>46824.067437646852</v>
      </c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</row>
    <row r="34" spans="1:62" ht="15.75" customHeight="1">
      <c r="A34" s="157"/>
      <c r="B34" s="173" t="s">
        <v>259</v>
      </c>
      <c r="C34" s="190">
        <f ca="1">'Card Progress data'!AN28</f>
        <v>294643</v>
      </c>
      <c r="D34" s="190">
        <v>10</v>
      </c>
      <c r="E34" s="177">
        <f ca="1">MAX(VLOOKUP(D34,'Card Progress data'!$A$24:$B$37,2,0)-C34,0)</f>
        <v>0</v>
      </c>
      <c r="F34" s="177">
        <f ca="1">ROUNDUP(E34/VLOOKUP($N$6,'Card Progress data'!$AC$42:$AD$52,2,0),0)</f>
        <v>0</v>
      </c>
      <c r="G34" s="178">
        <f ca="1">E34/('Card Progress data'!$AE$52*$K$6)</f>
        <v>0</v>
      </c>
      <c r="H34" s="296" t="str">
        <f ca="1">IF(NOW()+(F34/'Card Progress data'!$AF$74*7)=NOW(),"",NOW()+(F34/'Card Progress data'!$AF$74*7))</f>
        <v/>
      </c>
      <c r="I34" s="297">
        <f>MAX(VLOOKUP(D34,'Card Progress data'!$A$4:$B$17,2,0),0)</f>
        <v>20000</v>
      </c>
      <c r="J34" s="181">
        <f ca="1">VLOOKUP(VLOOKUP(D34-1,'Card Progress data'!$Q$23:$R$37,2,0)+C34,'Card Progress data'!$R$24:$S$37,2,1)</f>
        <v>13</v>
      </c>
      <c r="K34" s="180">
        <f ca="1">P34-VLOOKUP(J34,'Card Progress data'!$A$44:$B$57,2,0)</f>
        <v>170000</v>
      </c>
      <c r="L34" s="182">
        <f ca="1">MAX('Generic Info'!$R$58-C34-VLOOKUP(D34,'Generic Info'!$Q$46:$R$58,2,0),0)</f>
        <v>0</v>
      </c>
      <c r="M34" s="177">
        <f ca="1">ROUNDUP(L34/'Card Progress data'!$AE$52,0)</f>
        <v>0</v>
      </c>
      <c r="N34" s="178">
        <f ca="1">L34/('Card Progress data'!$AE$52*$K$6)</f>
        <v>0</v>
      </c>
      <c r="O34" s="296" t="str">
        <f ca="1">IF(NOW()+(M34/'Card Progress data'!$AF$74*7)=NOW(),"",NOW()+(M34/'Card Progress data'!$AF$74*7))</f>
        <v/>
      </c>
      <c r="P34" s="208">
        <f>MAX('Card Progress data'!$R$17-VLOOKUP(D34-1,'Card Progress data'!$Q$4:$R$17,2,0),0)</f>
        <v>170000</v>
      </c>
      <c r="Q34" s="183">
        <f>'Card Progress data'!$B$44-MAX('Card Progress data'!$R$17-VLOOKUP(D34-1,'Card Progress data'!$Q$4:$R$17,2,0),0)</f>
        <v>15625</v>
      </c>
      <c r="R34" s="183">
        <f ca="1">L34*'Card Progress data'!$V$79</f>
        <v>0</v>
      </c>
      <c r="S34" s="173" t="str">
        <f t="shared" si="0"/>
        <v>Elite Barbarians</v>
      </c>
      <c r="T34" s="181">
        <v>12</v>
      </c>
      <c r="U34" s="181">
        <f ca="1">MAX((VLOOKUP($T34,'Card Progress data'!$A$65:$B$78,2,0))-(VLOOKUP($D34-1,'Card Progress data'!$Q$24:$R$37,2,0))-$C34,0)</f>
        <v>0</v>
      </c>
      <c r="V34" s="184">
        <f ca="1">U34/('Card Progress data'!$AE$52*$K$6)</f>
        <v>0</v>
      </c>
      <c r="W34" s="185">
        <f ca="1">U34/('Card Progress data'!$AE$52*$K$6)</f>
        <v>0</v>
      </c>
      <c r="X34" s="179">
        <f t="shared" ca="1" si="1"/>
        <v>45736.526136342596</v>
      </c>
      <c r="Y34" s="186">
        <f>MAX(P34-VLOOKUP(T34,'Card Progress data'!$A$44:$B$57,2,0),0)</f>
        <v>70000</v>
      </c>
      <c r="Z34" s="187">
        <f>MAX(VLOOKUP(T34,'Card Progress data'!$AW$24:$AX$37,2,0)-(VLOOKUP(D34,'Card Progress data'!$AW$24:$AX$37,2,0)),0)</f>
        <v>1400</v>
      </c>
      <c r="AA34" s="157"/>
      <c r="AB34" s="157"/>
      <c r="AC34" s="157"/>
      <c r="AD34" s="157"/>
      <c r="AE34" s="157"/>
      <c r="AF34" s="162"/>
      <c r="AG34" s="157"/>
      <c r="AH34" s="157"/>
      <c r="AI34" s="157"/>
      <c r="AJ34" s="157"/>
      <c r="AK34" s="157"/>
      <c r="AL34" s="157"/>
      <c r="AM34" s="251" t="s">
        <v>325</v>
      </c>
      <c r="AN34" s="251"/>
      <c r="AO34" s="157"/>
      <c r="AP34" s="251" t="s">
        <v>325</v>
      </c>
      <c r="AQ34" s="251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2" ht="15.75" customHeight="1">
      <c r="A35" s="157"/>
      <c r="B35" s="173" t="s">
        <v>326</v>
      </c>
      <c r="C35" s="176">
        <v>8000</v>
      </c>
      <c r="D35" s="190">
        <v>10</v>
      </c>
      <c r="E35" s="177">
        <f>MAX(VLOOKUP(D35,'Card Progress data'!$A$24:$B$37,2,0)-C35,0)</f>
        <v>0</v>
      </c>
      <c r="F35" s="177">
        <f>ROUNDUP(E35/VLOOKUP($N$6,'Card Progress data'!$AC$42:$AD$52,2,0),0)</f>
        <v>0</v>
      </c>
      <c r="G35" s="178">
        <f>E35/('Card Progress data'!$AE$52*$K$6)</f>
        <v>0</v>
      </c>
      <c r="H35" s="296" t="str">
        <f ca="1">IF(NOW()+(F35/'Card Progress data'!$AF$74*7)=NOW(),"",NOW()+(F35/'Card Progress data'!$AF$74*7))</f>
        <v/>
      </c>
      <c r="I35" s="297">
        <f>MAX(VLOOKUP(D35,'Card Progress data'!$A$4:$B$17,2,0),0)</f>
        <v>20000</v>
      </c>
      <c r="J35" s="181">
        <f>VLOOKUP(VLOOKUP(D35-1,'Card Progress data'!$Q$23:$R$37,2,0)+C35,'Card Progress data'!$R$24:$S$37,2,1)</f>
        <v>13</v>
      </c>
      <c r="K35" s="180">
        <f>P35-VLOOKUP(J35,'Card Progress data'!$A$44:$B$57,2,0)</f>
        <v>170000</v>
      </c>
      <c r="L35" s="182">
        <f>MAX('Generic Info'!$R$58-C35-VLOOKUP(D35,'Generic Info'!$Q$46:$R$58,2,0),0)</f>
        <v>0</v>
      </c>
      <c r="M35" s="177">
        <f>ROUNDUP(L35/'Card Progress data'!$AE$52,0)</f>
        <v>0</v>
      </c>
      <c r="N35" s="178">
        <f>L35/('Card Progress data'!$AE$52*$K$6)</f>
        <v>0</v>
      </c>
      <c r="O35" s="296" t="str">
        <f ca="1">IF(NOW()+(M35/'Card Progress data'!$AF$74*7)=NOW(),"",NOW()+(M35/'Card Progress data'!$AF$74*7))</f>
        <v/>
      </c>
      <c r="P35" s="208">
        <f>MAX('Card Progress data'!$R$17-VLOOKUP(D35-1,'Card Progress data'!$Q$4:$R$17,2,0),0)</f>
        <v>170000</v>
      </c>
      <c r="Q35" s="183">
        <f>'Card Progress data'!$B$44-MAX('Card Progress data'!$R$17-VLOOKUP(D35-1,'Card Progress data'!$Q$4:$R$17,2,0),0)</f>
        <v>15625</v>
      </c>
      <c r="R35" s="183">
        <f>L35*'Card Progress data'!$V$79</f>
        <v>0</v>
      </c>
      <c r="S35" s="173" t="str">
        <f t="shared" si="0"/>
        <v>Royal Giant</v>
      </c>
      <c r="T35" s="181">
        <v>13</v>
      </c>
      <c r="U35" s="181">
        <f>MAX((VLOOKUP($T35,'Card Progress data'!$A$65:$B$78,2,0))-(VLOOKUP($D35-1,'Card Progress data'!$Q$24:$R$37,2,0))-$C35,0)</f>
        <v>0</v>
      </c>
      <c r="V35" s="184">
        <f>U35/('Card Progress data'!$AE$52*$K$6)</f>
        <v>0</v>
      </c>
      <c r="W35" s="185">
        <f>U35/('Card Progress data'!$AE$52*$K$6)</f>
        <v>0</v>
      </c>
      <c r="X35" s="179">
        <f t="shared" ca="1" si="1"/>
        <v>45736.526136342596</v>
      </c>
      <c r="Y35" s="186">
        <f>MAX(P35-VLOOKUP(T35,'Card Progress data'!$A$44:$B$57,2,0),0)</f>
        <v>170000</v>
      </c>
      <c r="Z35" s="187">
        <f>MAX(VLOOKUP(T35,'Card Progress data'!$AW$24:$AX$37,2,0)-(VLOOKUP(D35,'Card Progress data'!$AW$24:$AX$37,2,0)),0)</f>
        <v>3000</v>
      </c>
      <c r="AA35" s="157"/>
      <c r="AB35" s="157"/>
      <c r="AC35" s="157"/>
      <c r="AD35" s="157"/>
      <c r="AE35" s="157"/>
      <c r="AF35" s="162"/>
      <c r="AG35" s="157"/>
      <c r="AH35" s="157"/>
      <c r="AI35" s="157"/>
      <c r="AJ35" s="157"/>
      <c r="AK35" s="157"/>
      <c r="AL35" s="157"/>
      <c r="AM35" s="161"/>
      <c r="AN35" s="193"/>
      <c r="AO35" s="157"/>
      <c r="AP35" s="161"/>
      <c r="AQ35" s="193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2" ht="15.75" customHeight="1">
      <c r="A36" s="157"/>
      <c r="B36" s="173" t="s">
        <v>327</v>
      </c>
      <c r="C36" s="176">
        <v>3960</v>
      </c>
      <c r="D36" s="190">
        <v>6</v>
      </c>
      <c r="E36" s="177">
        <f>MAX(VLOOKUP(D36,'Card Progress data'!$A$24:$B$37,2,0)-C36,0)</f>
        <v>0</v>
      </c>
      <c r="F36" s="177">
        <f>ROUNDUP(E36/VLOOKUP($N$6,'Card Progress data'!$AC$42:$AD$52,2,0),0)</f>
        <v>0</v>
      </c>
      <c r="G36" s="178">
        <f>E36/('Card Progress data'!$AE$52*$K$6)</f>
        <v>0</v>
      </c>
      <c r="H36" s="296" t="str">
        <f ca="1">IF(NOW()+(F36/'Card Progress data'!$AF$74*7)=NOW(),"",NOW()+(F36/'Card Progress data'!$AF$74*7))</f>
        <v/>
      </c>
      <c r="I36" s="297">
        <f>MAX(VLOOKUP(D36,'Card Progress data'!$A$4:$B$17,2,0),0)</f>
        <v>1000</v>
      </c>
      <c r="J36" s="181">
        <f>VLOOKUP(VLOOKUP(D36-1,'Card Progress data'!$Q$23:$R$37,2,0)+C36,'Card Progress data'!$R$24:$S$37,2,1)</f>
        <v>11</v>
      </c>
      <c r="K36" s="180">
        <f>P36-VLOOKUP(J36,'Card Progress data'!$A$44:$B$57,2,0)</f>
        <v>35000</v>
      </c>
      <c r="L36" s="182">
        <f>MAX('Generic Info'!$R$58-C36-VLOOKUP(D36,'Generic Info'!$Q$46:$R$58,2,0),0)</f>
        <v>5540</v>
      </c>
      <c r="M36" s="177">
        <f>ROUNDUP(L36/'Card Progress data'!$AE$52,0)</f>
        <v>139</v>
      </c>
      <c r="N36" s="178">
        <f>L36/('Card Progress data'!$AE$52*$K$6)</f>
        <v>46.166666666666664</v>
      </c>
      <c r="O36" s="296">
        <f ca="1">IF(NOW()+(M36/'Card Progress data'!$AF$74*7)=NOW(),"",NOW()+(M36/'Card Progress data'!$AF$74*7))</f>
        <v>45785.176136342598</v>
      </c>
      <c r="P36" s="195">
        <f>MAX('Card Progress data'!$R$17-VLOOKUP(D36-1,'Card Progress data'!$Q$4:$R$17,2,0),0)</f>
        <v>185000</v>
      </c>
      <c r="Q36" s="183">
        <f>'Card Progress data'!$B$44-MAX('Card Progress data'!$R$17-VLOOKUP(D36-1,'Card Progress data'!$Q$4:$R$17,2,0),0)</f>
        <v>625</v>
      </c>
      <c r="R36" s="183">
        <f>L36*'Card Progress data'!$V$79</f>
        <v>55400</v>
      </c>
      <c r="S36" s="173" t="str">
        <f t="shared" si="0"/>
        <v>Royal Recruits</v>
      </c>
      <c r="T36" s="181">
        <v>12</v>
      </c>
      <c r="U36" s="181">
        <f>MAX((VLOOKUP($T36,'Card Progress data'!$A$65:$B$78,2,0))-(VLOOKUP($D36-1,'Card Progress data'!$Q$24:$R$37,2,0))-$C36,0)</f>
        <v>540</v>
      </c>
      <c r="V36" s="184">
        <f>U36/('Card Progress data'!$AE$52*$K$6)</f>
        <v>4.5</v>
      </c>
      <c r="W36" s="185">
        <f>U36/('Card Progress data'!$AE$52*$K$6)</f>
        <v>4.5</v>
      </c>
      <c r="X36" s="179">
        <f t="shared" ca="1" si="1"/>
        <v>45741.026136342596</v>
      </c>
      <c r="Y36" s="195">
        <f>MAX(P36-VLOOKUP(T36,'Card Progress data'!$A$44:$B$57,2,0),0)</f>
        <v>85000</v>
      </c>
      <c r="Z36" s="187">
        <f>MAX(VLOOKUP(T36,'Card Progress data'!$AW$24:$AX$37,2,0)-(VLOOKUP(D36,'Card Progress data'!$AW$24:$AX$37,2,0)),0)</f>
        <v>2150</v>
      </c>
      <c r="AA36" s="157"/>
      <c r="AB36" s="157"/>
      <c r="AC36" s="157"/>
      <c r="AD36" s="157"/>
      <c r="AE36" s="157"/>
      <c r="AF36" s="196">
        <f ca="1">NOW()+L37/(120+39+37+37+4+16+9)</f>
        <v>45941.316212678474</v>
      </c>
      <c r="AG36" s="157"/>
      <c r="AH36" s="157"/>
      <c r="AI36" s="157"/>
      <c r="AJ36" s="157"/>
      <c r="AK36" s="157"/>
      <c r="AL36" s="157"/>
      <c r="AM36" s="157" t="s">
        <v>313</v>
      </c>
      <c r="AN36" s="157">
        <f>(AN17-120)*5</f>
        <v>880</v>
      </c>
      <c r="AO36" s="157"/>
      <c r="AP36" s="157" t="s">
        <v>313</v>
      </c>
      <c r="AQ36" s="157">
        <f>(AQ17-120)*5</f>
        <v>1055</v>
      </c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37" spans="1:62" ht="15.75" customHeight="1">
      <c r="A37" s="157"/>
      <c r="B37" s="252" t="s">
        <v>4</v>
      </c>
      <c r="C37" s="252"/>
      <c r="D37" s="197">
        <f>SUM(D10:D36)/COUNT(D10:D36)</f>
        <v>9.5555555555555554</v>
      </c>
      <c r="E37" s="198">
        <f ca="1">SUM(E10:E36)</f>
        <v>0</v>
      </c>
      <c r="F37" s="198">
        <f ca="1">SUM(F10:F36)</f>
        <v>0</v>
      </c>
      <c r="G37" s="198">
        <f ca="1">SUM(G10:G36)</f>
        <v>0</v>
      </c>
      <c r="H37" s="200">
        <f ca="1">SUM(H10:H36)</f>
        <v>0</v>
      </c>
      <c r="I37" s="198">
        <f>SUM(I10:I36)</f>
        <v>324005</v>
      </c>
      <c r="J37" s="197">
        <f ca="1">SUM(J10:J36)/COUNT(J10:J36)</f>
        <v>12.074074074074074</v>
      </c>
      <c r="K37" s="198">
        <f ca="1">SUM(K10:K36)</f>
        <v>2381625</v>
      </c>
      <c r="L37" s="198">
        <f ca="1">SUM(L10:L36)</f>
        <v>53655</v>
      </c>
      <c r="M37" s="198">
        <f ca="1">SUM(M10:M36)</f>
        <v>1348</v>
      </c>
      <c r="N37" s="198">
        <f ca="1">SUM(N10:N36)</f>
        <v>447.12500000000006</v>
      </c>
      <c r="O37" s="201">
        <f ca="1">IF(NOW()+(M37/'Card Progress data'!$AF$74*7)=NOW(),"",NOW()+(M37/'Card Progress data'!$AF$74*7))</f>
        <v>46208.326136342599</v>
      </c>
      <c r="P37" s="200">
        <f>SUM(P10:P36)</f>
        <v>3827625</v>
      </c>
      <c r="Q37" s="200">
        <f>SUM(Q10:Q36)</f>
        <v>1184250</v>
      </c>
      <c r="R37" s="200">
        <f ca="1">SUM(R10:R36)</f>
        <v>536550</v>
      </c>
      <c r="S37" s="200"/>
      <c r="T37" s="200">
        <v>12</v>
      </c>
      <c r="U37" s="200">
        <f ca="1">SUM(U10:U36)</f>
        <v>28771</v>
      </c>
      <c r="V37" s="200">
        <f ca="1">SUM(V10:V36)</f>
        <v>239.75833333333333</v>
      </c>
      <c r="W37" s="200">
        <f ca="1">SUM(W10:W36)</f>
        <v>239.75833333333333</v>
      </c>
      <c r="X37" s="201">
        <f ca="1">W37+NOW()</f>
        <v>45976.284469675928</v>
      </c>
      <c r="Y37" s="200">
        <f>SUM(Y10:Y36)</f>
        <v>2027625</v>
      </c>
      <c r="Z37" s="200">
        <f>SUM(Z10:Z36)</f>
        <v>42400</v>
      </c>
      <c r="AA37" s="157"/>
      <c r="AB37" s="157"/>
      <c r="AC37" s="157"/>
      <c r="AD37" s="157"/>
      <c r="AE37" s="157"/>
      <c r="AF37" s="202">
        <f ca="1">NOW()+L37/(120+80+39+37+37+4+16+9)</f>
        <v>45893.412101254879</v>
      </c>
      <c r="AG37" s="157"/>
      <c r="AH37" s="157"/>
      <c r="AI37" s="157"/>
      <c r="AJ37" s="157"/>
      <c r="AK37" s="157"/>
      <c r="AL37" s="157"/>
      <c r="AM37" s="157" t="s">
        <v>328</v>
      </c>
      <c r="AN37" s="157">
        <f>AN18*50</f>
        <v>950</v>
      </c>
      <c r="AO37" s="157"/>
      <c r="AP37" s="157" t="s">
        <v>328</v>
      </c>
      <c r="AQ37" s="157">
        <f>AQ18*50</f>
        <v>950</v>
      </c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88">
        <f>M22+'Card Progress'!E14</f>
        <v>0</v>
      </c>
      <c r="BI37" s="188"/>
      <c r="BJ37" s="203"/>
    </row>
    <row r="38" spans="1:62" ht="15.75" customHeight="1">
      <c r="A38" s="157"/>
      <c r="B38" s="157">
        <f>COUNTA(B10:B36)</f>
        <v>27</v>
      </c>
      <c r="C38" s="168">
        <f ca="1">SUM(C10:C36)</f>
        <v>420274</v>
      </c>
      <c r="D38" s="157"/>
      <c r="E38" s="157"/>
      <c r="F38" s="157"/>
      <c r="G38" s="157"/>
      <c r="H38" s="157"/>
      <c r="I38" s="157"/>
      <c r="J38" s="157"/>
      <c r="K38" s="188">
        <f ca="1">K37+K65+K112</f>
        <v>2828625</v>
      </c>
      <c r="L38" s="204">
        <f ca="1">L37/'Generic Info'!R77</f>
        <v>0.20728301055827916</v>
      </c>
      <c r="M38" s="157"/>
      <c r="N38" s="157"/>
      <c r="O38" s="205"/>
      <c r="P38" s="204">
        <f>P37/(P37+Q37)</f>
        <v>0.76371118593340814</v>
      </c>
      <c r="Q38" s="204">
        <f>Q37/SUM(P37+Q37)</f>
        <v>0.23628881406659186</v>
      </c>
      <c r="R38" s="157"/>
      <c r="S38" s="157"/>
      <c r="T38" s="188">
        <f>((VLOOKUP($D41-1,'Card Progress data'!$T$24:$U$35,2,0))+$C41)</f>
        <v>776</v>
      </c>
      <c r="U38" s="188">
        <f>(VLOOKUP($D41-1,'Card Progress data'!$T$24:$U$35,2,0))</f>
        <v>186</v>
      </c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62">
        <v>43902.116412037038</v>
      </c>
      <c r="AG38" s="157"/>
      <c r="AH38" s="162">
        <f ca="1">O37</f>
        <v>46208.326136342599</v>
      </c>
      <c r="AI38" s="157"/>
      <c r="AJ38" s="157"/>
      <c r="AK38" s="157"/>
      <c r="AL38" s="157"/>
      <c r="AM38" s="157" t="s">
        <v>11</v>
      </c>
      <c r="AN38" s="157">
        <v>4</v>
      </c>
      <c r="AO38" s="157"/>
      <c r="AP38" s="157" t="s">
        <v>11</v>
      </c>
      <c r="AQ38" s="157">
        <v>4</v>
      </c>
      <c r="AR38" s="157"/>
      <c r="AS38" s="157"/>
      <c r="AT38" s="157"/>
      <c r="AU38" s="157"/>
      <c r="AV38" s="157"/>
      <c r="AW38" s="157"/>
      <c r="AX38" s="157"/>
      <c r="AY38" s="157"/>
      <c r="AZ38" s="206"/>
      <c r="BA38" s="188"/>
      <c r="BB38" s="204"/>
      <c r="BC38" s="206"/>
      <c r="BD38" s="188"/>
      <c r="BE38" s="204"/>
      <c r="BF38" s="188"/>
      <c r="BG38" s="188"/>
      <c r="BH38" s="204"/>
      <c r="BI38" s="188"/>
      <c r="BJ38" s="203"/>
    </row>
    <row r="39" spans="1:62" ht="15.75" customHeight="1">
      <c r="A39" s="157"/>
      <c r="B39" s="306" t="s">
        <v>520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8"/>
      <c r="S39" s="306" t="s">
        <v>520</v>
      </c>
      <c r="T39" s="307"/>
      <c r="U39" s="307"/>
      <c r="V39" s="307"/>
      <c r="W39" s="307"/>
      <c r="X39" s="307"/>
      <c r="Y39" s="307"/>
      <c r="Z39" s="308"/>
      <c r="AA39" s="157"/>
      <c r="AB39" s="157"/>
      <c r="AC39" s="157"/>
      <c r="AD39" s="157"/>
      <c r="AE39" s="157"/>
      <c r="AF39" s="157"/>
      <c r="AG39" s="157">
        <f ca="1">COUNT(J10:J36)</f>
        <v>27</v>
      </c>
      <c r="AH39" s="162">
        <f ca="1">AH38-(10*AI39)</f>
        <v>45808.326136342599</v>
      </c>
      <c r="AI39" s="157">
        <v>40</v>
      </c>
      <c r="AJ39" s="157"/>
      <c r="AK39" s="157"/>
      <c r="AL39" s="157"/>
      <c r="AM39" s="157" t="s">
        <v>330</v>
      </c>
      <c r="AN39" s="192">
        <f ca="1">AN31/AN38</f>
        <v>486.00771023636867</v>
      </c>
      <c r="AO39" s="157"/>
      <c r="AP39" s="157" t="s">
        <v>330</v>
      </c>
      <c r="AQ39" s="192">
        <f ca="1">AQ31/AQ38</f>
        <v>497.02717717401583</v>
      </c>
      <c r="AR39" s="157"/>
      <c r="AS39" s="157"/>
      <c r="AT39" s="157"/>
      <c r="AU39" s="157"/>
      <c r="AV39" s="157"/>
      <c r="AW39" s="157"/>
      <c r="AX39" s="157"/>
      <c r="AY39" s="157"/>
      <c r="AZ39" s="206"/>
      <c r="BA39" s="188"/>
      <c r="BB39" s="204"/>
      <c r="BC39" s="206"/>
      <c r="BD39" s="188"/>
      <c r="BE39" s="204"/>
      <c r="BF39" s="188"/>
      <c r="BG39" s="188"/>
      <c r="BH39" s="204"/>
      <c r="BI39" s="188"/>
      <c r="BJ39" s="203"/>
    </row>
    <row r="40" spans="1:62" ht="15.75" customHeight="1">
      <c r="A40" s="157"/>
      <c r="B40" s="173" t="s">
        <v>265</v>
      </c>
      <c r="C40" s="173" t="s">
        <v>266</v>
      </c>
      <c r="D40" s="173" t="s">
        <v>215</v>
      </c>
      <c r="E40" s="173" t="s">
        <v>267</v>
      </c>
      <c r="F40" s="173" t="s">
        <v>268</v>
      </c>
      <c r="G40" s="173" t="s">
        <v>269</v>
      </c>
      <c r="H40" s="173" t="s">
        <v>270</v>
      </c>
      <c r="I40" s="173" t="s">
        <v>271</v>
      </c>
      <c r="J40" s="172" t="s">
        <v>272</v>
      </c>
      <c r="K40" s="172" t="s">
        <v>273</v>
      </c>
      <c r="L40" s="173" t="s">
        <v>274</v>
      </c>
      <c r="M40" s="173" t="s">
        <v>268</v>
      </c>
      <c r="N40" s="174" t="s">
        <v>269</v>
      </c>
      <c r="O40" s="174" t="s">
        <v>275</v>
      </c>
      <c r="P40" s="173" t="s">
        <v>276</v>
      </c>
      <c r="Q40" s="175" t="s">
        <v>277</v>
      </c>
      <c r="R40" s="175" t="s">
        <v>278</v>
      </c>
      <c r="S40" s="175" t="s">
        <v>265</v>
      </c>
      <c r="T40" s="175" t="s">
        <v>331</v>
      </c>
      <c r="U40" s="173" t="s">
        <v>267</v>
      </c>
      <c r="V40" s="173" t="s">
        <v>268</v>
      </c>
      <c r="W40" s="173" t="s">
        <v>269</v>
      </c>
      <c r="X40" s="173" t="s">
        <v>270</v>
      </c>
      <c r="Y40" s="173" t="s">
        <v>280</v>
      </c>
      <c r="Z40" s="173" t="s">
        <v>281</v>
      </c>
      <c r="AA40" s="157"/>
      <c r="AB40" s="157"/>
      <c r="AC40" s="157"/>
      <c r="AD40" s="157"/>
      <c r="AE40" s="157"/>
      <c r="AF40" s="157"/>
      <c r="AG40" s="157">
        <f ca="1">COUNTIF(J10:J36,13)</f>
        <v>16</v>
      </c>
      <c r="AH40" s="162">
        <f ca="1">NOW()+(7*AI39)</f>
        <v>46016.526136342596</v>
      </c>
      <c r="AI40" s="189"/>
      <c r="AJ40" s="157"/>
      <c r="AK40" s="157"/>
      <c r="AL40" s="157"/>
      <c r="AM40" s="157" t="s">
        <v>11</v>
      </c>
      <c r="AN40" s="192">
        <f ca="1">AN33-(AN38*(AN39/7))</f>
        <v>46556.633581891678</v>
      </c>
      <c r="AO40" s="157"/>
      <c r="AP40" s="157" t="s">
        <v>11</v>
      </c>
      <c r="AQ40" s="192">
        <f ca="1">AQ33-(AQ38*(AQ39/7))</f>
        <v>46540.051907833127</v>
      </c>
      <c r="AR40" s="157"/>
      <c r="AS40" s="157"/>
      <c r="AT40" s="157"/>
      <c r="AU40" s="157"/>
      <c r="AV40" s="157"/>
      <c r="AW40" s="157"/>
      <c r="AX40" s="157"/>
      <c r="AY40" s="157"/>
      <c r="AZ40" s="206"/>
      <c r="BA40" s="188"/>
      <c r="BB40" s="204"/>
      <c r="BC40" s="206"/>
      <c r="BD40" s="188"/>
      <c r="BE40" s="204"/>
      <c r="BF40" s="188"/>
      <c r="BG40" s="188"/>
      <c r="BH40" s="204"/>
      <c r="BI40" s="188"/>
      <c r="BJ40" s="203"/>
    </row>
    <row r="41" spans="1:62" ht="15.75" customHeight="1">
      <c r="A41" s="157"/>
      <c r="B41" s="173" t="s">
        <v>332</v>
      </c>
      <c r="C41" s="176">
        <v>590</v>
      </c>
      <c r="D41" s="190">
        <v>7</v>
      </c>
      <c r="E41" s="182">
        <f>MAX(VLOOKUP(D41,'Card Progress data'!$D$24:$E$35,2,0)-C41,0)</f>
        <v>0</v>
      </c>
      <c r="F41" s="207">
        <f>ROUNDUP(E41/'Card Progress data'!$AF$52,0)</f>
        <v>0</v>
      </c>
      <c r="G41" s="178">
        <f>E41/('Card Progress data'!$AF$52*$K$6)</f>
        <v>0</v>
      </c>
      <c r="H41" s="179" t="str">
        <f t="shared" ref="H41:H64" ca="1" si="2">IF(NOW()+(F41/20*7)=NOW(),"",NOW()+(F41/20*7))</f>
        <v/>
      </c>
      <c r="I41" s="180">
        <f>MAX(VLOOKUP(D41,'Card Progress data'!$D$4:$E$15,2,0),0)</f>
        <v>8000</v>
      </c>
      <c r="J41" s="181">
        <f>VLOOKUP(VLOOKUP(D41-1,'Card Progress data'!$T$23:$U$35,2,0)+C41,'Card Progress data'!$U$24:$V$35,2,1)</f>
        <v>8</v>
      </c>
      <c r="K41" s="180">
        <f>P41-VLOOKUP(J41,'Card Progress data'!$D$44:$E$55,2,0)</f>
        <v>8000</v>
      </c>
      <c r="L41" s="182">
        <f>MAX('Generic Info'!$U$56-C41-VLOOKUP(D41,'Generic Info'!$T$46:$U$56,2,0),0)</f>
        <v>1810</v>
      </c>
      <c r="M41" s="207">
        <f>ROUNDUP(L41/'Card Progress data'!$AF$52,0)</f>
        <v>453</v>
      </c>
      <c r="N41" s="178">
        <f>L41/('Card Progress data'!$AF$52*$K$6)</f>
        <v>150.83333333333334</v>
      </c>
      <c r="O41" s="179">
        <f t="shared" ref="O41:O64" ca="1" si="3">IF(NOW()+(M41/20*7)=NOW(),"",NOW()+(M41/20*7))</f>
        <v>45895.076136342599</v>
      </c>
      <c r="P41" s="208">
        <f>MAX('Card Progress data'!$U$15-VLOOKUP(D41-1,'Card Progress data'!$T$4:$U$15,2,0),0)</f>
        <v>178000</v>
      </c>
      <c r="Q41" s="208">
        <f>'Card Progress data'!$E$45-MAX('Card Progress data'!$U$15-VLOOKUP(D41-1,'Card Progress data'!$T$4:$U$15,2,0),0)</f>
        <v>7600</v>
      </c>
      <c r="R41" s="183">
        <f>L41*'Card Progress data'!$V$80</f>
        <v>181000</v>
      </c>
      <c r="S41" s="173" t="str">
        <f t="shared" ref="S41:S64" si="4">B41</f>
        <v>Ice Golem</v>
      </c>
      <c r="T41" s="181">
        <v>7</v>
      </c>
      <c r="U41" s="181">
        <f>MAX((VLOOKUP($T41,'Card Progress data'!$D$65:$E$76,2,0))-(((VLOOKUP($D41-1,'Card Progress data'!$T$24:$U$35,2,0))+C41)),0)</f>
        <v>0</v>
      </c>
      <c r="V41" s="184">
        <f>ROUNDUP(U41/'Card Progress data'!$AF$52,0)</f>
        <v>0</v>
      </c>
      <c r="W41" s="185">
        <f>U41/('Card Progress data'!$AF$52*$K$6)</f>
        <v>0</v>
      </c>
      <c r="X41" s="179">
        <f t="shared" ref="X41:X65" ca="1" si="5">NOW()+W41</f>
        <v>45736.526136342596</v>
      </c>
      <c r="Y41" s="186">
        <f>MAX(P41-VLOOKUP(T41,'Card Progress data'!$D$44:$E$55,2,0),0)</f>
        <v>0</v>
      </c>
      <c r="Z41" s="187">
        <f>MAX(VLOOKUP(T41,'Card Progress data'!$AZ$24:$BA$35,2,0)-(VLOOKUP(D41,'Card Progress data'!$AZ$24:$BA$35,2,0)),0)</f>
        <v>0</v>
      </c>
      <c r="AA41" s="157"/>
      <c r="AB41" s="157"/>
      <c r="AC41" s="157"/>
      <c r="AD41" s="157"/>
      <c r="AE41" s="157"/>
      <c r="AF41" s="157"/>
      <c r="AG41" s="209" t="str">
        <f ca="1">AG40&amp;"/"&amp;AG39&amp;" Maxed "</f>
        <v xml:space="preserve">16/27 Maxed </v>
      </c>
      <c r="AH41" s="157"/>
      <c r="AI41" s="157"/>
      <c r="AJ41" s="157"/>
      <c r="AK41" s="157"/>
      <c r="AL41" s="157"/>
      <c r="AM41" s="157" t="s">
        <v>17</v>
      </c>
      <c r="AN41" s="168">
        <f ca="1">(AN36*AN39)+(AN37*AN39)+(10000*(AN39/7))</f>
        <v>1583690.8386416528</v>
      </c>
      <c r="AO41" s="157"/>
      <c r="AP41" s="157" t="s">
        <v>17</v>
      </c>
      <c r="AQ41" s="168">
        <f ca="1">(AQ36*AQ39)+(AQ37*AQ39)+(10000*(AQ39/7))</f>
        <v>1706578.3147682101</v>
      </c>
      <c r="AR41" s="157"/>
      <c r="AS41" s="157"/>
      <c r="AT41" s="157"/>
      <c r="AU41" s="157"/>
      <c r="AV41" s="157"/>
      <c r="AW41" s="157"/>
      <c r="AX41" s="157"/>
      <c r="AY41" s="157"/>
      <c r="AZ41" s="206"/>
      <c r="BA41" s="188"/>
      <c r="BB41" s="204"/>
      <c r="BC41" s="206"/>
      <c r="BD41" s="188"/>
      <c r="BE41" s="204"/>
      <c r="BF41" s="188"/>
      <c r="BG41" s="188"/>
      <c r="BH41" s="204"/>
      <c r="BI41" s="188"/>
      <c r="BJ41" s="203"/>
    </row>
    <row r="42" spans="1:62" ht="15.75" customHeight="1">
      <c r="A42" s="157"/>
      <c r="B42" s="173" t="s">
        <v>333</v>
      </c>
      <c r="C42" s="176">
        <v>661</v>
      </c>
      <c r="D42" s="190">
        <v>3</v>
      </c>
      <c r="E42" s="182">
        <f>MAX(VLOOKUP(D42,'Card Progress data'!$D$24:$E$35,2,0)-C42,0)</f>
        <v>0</v>
      </c>
      <c r="F42" s="207">
        <f>ROUNDUP(E42/'Card Progress data'!$AF$52,0)</f>
        <v>0</v>
      </c>
      <c r="G42" s="178">
        <f>E42/('Card Progress data'!$AF$52*$K$6)</f>
        <v>0</v>
      </c>
      <c r="H42" s="179" t="str">
        <f t="shared" ca="1" si="2"/>
        <v/>
      </c>
      <c r="I42" s="180">
        <f>MAX(VLOOKUP(D42,'Card Progress data'!$D$4:$E$15,2,0),0)</f>
        <v>400</v>
      </c>
      <c r="J42" s="181">
        <f>VLOOKUP(VLOOKUP(D42-1,'Card Progress data'!$T$23:$U$35,2,0)+C42,'Card Progress data'!$U$24:$V$35,2,1)</f>
        <v>8</v>
      </c>
      <c r="K42" s="180">
        <f>P42-VLOOKUP(J42,'Card Progress data'!$D$44:$E$55,2,0)</f>
        <v>15400</v>
      </c>
      <c r="L42" s="182">
        <f>MAX('Generic Info'!$U$56-C42-VLOOKUP(D42,'Generic Info'!$T$46:$U$56,2,0),0)</f>
        <v>1919</v>
      </c>
      <c r="M42" s="207">
        <f>ROUNDUP(L42/'Card Progress data'!$AF$52,0)</f>
        <v>480</v>
      </c>
      <c r="N42" s="178">
        <f>L42/('Card Progress data'!$AF$52*$K$6)</f>
        <v>159.91666666666666</v>
      </c>
      <c r="O42" s="179">
        <f t="shared" ca="1" si="3"/>
        <v>45904.526136342596</v>
      </c>
      <c r="P42" s="208">
        <f>MAX('Card Progress data'!$U$15-VLOOKUP(D42-1,'Card Progress data'!$T$4:$U$15,2,0),0)</f>
        <v>185400</v>
      </c>
      <c r="Q42" s="208">
        <f>'Card Progress data'!$E$45-MAX('Card Progress data'!$U$15-VLOOKUP(D42-1,'Card Progress data'!$T$4:$U$15,2,0),0)</f>
        <v>200</v>
      </c>
      <c r="R42" s="183">
        <f>L42*'Card Progress data'!$V$80</f>
        <v>191900</v>
      </c>
      <c r="S42" s="173" t="str">
        <f t="shared" si="4"/>
        <v>Heal spell</v>
      </c>
      <c r="T42" s="181">
        <v>7</v>
      </c>
      <c r="U42" s="181">
        <f>MAX((VLOOKUP($T42,'Card Progress data'!$D$65:$E$76,2,0))-(((VLOOKUP($D42-1,'Card Progress data'!$T$24:$U$35,2,0))+C42)),0)</f>
        <v>0</v>
      </c>
      <c r="V42" s="184">
        <f>ROUNDUP(U42/'Card Progress data'!$AF$52,0)</f>
        <v>0</v>
      </c>
      <c r="W42" s="185">
        <f>U42/('Card Progress data'!$AF$52*$K$6)</f>
        <v>0</v>
      </c>
      <c r="X42" s="179">
        <f t="shared" ca="1" si="5"/>
        <v>45736.526136342596</v>
      </c>
      <c r="Y42" s="186">
        <f>MAX(P42-VLOOKUP(T42,'Card Progress data'!$D$44:$E$55,2,0),0)</f>
        <v>7400</v>
      </c>
      <c r="Z42" s="187">
        <f>MAX(VLOOKUP(T42,'Card Progress data'!$AZ$24:$BA$35,2,0)-(VLOOKUP(D42,'Card Progress data'!$AZ$24:$BA$35,2,0)),0)</f>
        <v>375</v>
      </c>
      <c r="AA42" s="157"/>
      <c r="AB42" s="157"/>
      <c r="AC42" s="157"/>
      <c r="AD42" s="157"/>
      <c r="AE42" s="157"/>
      <c r="AF42" s="157"/>
      <c r="AG42" s="204">
        <f ca="1">AG40/AG39</f>
        <v>0.59259259259259256</v>
      </c>
      <c r="AH42" s="188">
        <f>P37+P65+P93+P112</f>
        <v>14563625</v>
      </c>
      <c r="AI42" s="188">
        <f>Q37+Q65+Q93+Q112</f>
        <v>1953250</v>
      </c>
      <c r="AJ42" s="157"/>
      <c r="AK42" s="157"/>
      <c r="AL42" s="157"/>
      <c r="AM42" s="157"/>
      <c r="AN42" s="162">
        <f ca="1">NOW()+AN39+AN30+AN21</f>
        <v>47320.359983691691</v>
      </c>
      <c r="AO42" s="157"/>
      <c r="AP42" s="157"/>
      <c r="AQ42" s="162">
        <f ca="1">NOW()+AQ39+AQ30+AQ21</f>
        <v>47321.094614820868</v>
      </c>
      <c r="AR42" s="157"/>
      <c r="AS42" s="157"/>
      <c r="AT42" s="157"/>
      <c r="AU42" s="157"/>
      <c r="AV42" s="157"/>
      <c r="AW42" s="157"/>
      <c r="AX42" s="157"/>
      <c r="AY42" s="157"/>
      <c r="AZ42" s="206"/>
      <c r="BA42" s="188"/>
      <c r="BB42" s="204"/>
      <c r="BC42" s="206"/>
      <c r="BD42" s="188"/>
      <c r="BE42" s="204"/>
      <c r="BF42" s="188"/>
      <c r="BG42" s="188"/>
      <c r="BH42" s="204"/>
      <c r="BI42" s="188"/>
      <c r="BJ42" s="203"/>
    </row>
    <row r="43" spans="1:62" ht="15.75" customHeight="1">
      <c r="A43" s="157"/>
      <c r="B43" s="173" t="s">
        <v>334</v>
      </c>
      <c r="C43" s="176">
        <v>581</v>
      </c>
      <c r="D43" s="190">
        <v>7</v>
      </c>
      <c r="E43" s="182">
        <f>MAX(VLOOKUP(D43,'Card Progress data'!$D$24:$E$35,2,0)-C43,0)</f>
        <v>0</v>
      </c>
      <c r="F43" s="207">
        <f>ROUNDUP(E43/'Card Progress data'!$AF$52,0)</f>
        <v>0</v>
      </c>
      <c r="G43" s="178">
        <f>E43/('Card Progress data'!$AF$52*$K$6)</f>
        <v>0</v>
      </c>
      <c r="H43" s="179" t="str">
        <f t="shared" ca="1" si="2"/>
        <v/>
      </c>
      <c r="I43" s="180">
        <f>MAX(VLOOKUP(D43,'Card Progress data'!$D$4:$E$15,2,0),0)</f>
        <v>8000</v>
      </c>
      <c r="J43" s="181">
        <f>VLOOKUP(VLOOKUP(D43-1,'Card Progress data'!$T$23:$U$35,2,0)+C43,'Card Progress data'!$U$24:$V$35,2,1)</f>
        <v>8</v>
      </c>
      <c r="K43" s="180">
        <f>P43-VLOOKUP(J43,'Card Progress data'!$D$44:$E$55,2,0)</f>
        <v>8000</v>
      </c>
      <c r="L43" s="182">
        <f>MAX('Generic Info'!$U$56-C43-VLOOKUP(D43,'Generic Info'!$T$46:$U$56,2,0),0)</f>
        <v>1819</v>
      </c>
      <c r="M43" s="207">
        <f>ROUNDUP(L43/'Card Progress data'!$AF$52,0)</f>
        <v>455</v>
      </c>
      <c r="N43" s="178">
        <f>L43/('Card Progress data'!$AF$52*$K$6)</f>
        <v>151.58333333333334</v>
      </c>
      <c r="O43" s="179">
        <f t="shared" ca="1" si="3"/>
        <v>45895.776136342596</v>
      </c>
      <c r="P43" s="208">
        <f>MAX('Card Progress data'!$U$15-VLOOKUP(D43-1,'Card Progress data'!$T$4:$U$15,2,0),0)</f>
        <v>178000</v>
      </c>
      <c r="Q43" s="208">
        <f>'Card Progress data'!$E$45-MAX('Card Progress data'!$U$15-VLOOKUP(D43-1,'Card Progress data'!$T$4:$U$15,2,0),0)</f>
        <v>7600</v>
      </c>
      <c r="R43" s="183">
        <f>L43*'Card Progress data'!$V$80</f>
        <v>181900</v>
      </c>
      <c r="S43" s="173" t="str">
        <f t="shared" si="4"/>
        <v>Tombstone</v>
      </c>
      <c r="T43" s="181">
        <v>7</v>
      </c>
      <c r="U43" s="181">
        <f>MAX((VLOOKUP($T43,'Card Progress data'!$D$65:$E$76,2,0))-(((VLOOKUP($D43-1,'Card Progress data'!$T$24:$U$35,2,0))+C43)),0)</f>
        <v>0</v>
      </c>
      <c r="V43" s="184">
        <f>ROUNDUP(U43/'Card Progress data'!$AF$52,0)</f>
        <v>0</v>
      </c>
      <c r="W43" s="185">
        <f>U43/('Card Progress data'!$AF$52*$K$6)</f>
        <v>0</v>
      </c>
      <c r="X43" s="179">
        <f t="shared" ca="1" si="5"/>
        <v>45736.526136342596</v>
      </c>
      <c r="Y43" s="186">
        <f>MAX(P43-VLOOKUP(T43,'Card Progress data'!$D$44:$E$55,2,0),0)</f>
        <v>0</v>
      </c>
      <c r="Z43" s="187">
        <f>MAX(VLOOKUP(T43,'Card Progress data'!$AZ$24:$BA$35,2,0)-(VLOOKUP(D43,'Card Progress data'!$AZ$24:$BA$35,2,0)),0)</f>
        <v>0</v>
      </c>
      <c r="AA43" s="157"/>
      <c r="AB43" s="157"/>
      <c r="AC43" s="157"/>
      <c r="AD43" s="157"/>
      <c r="AE43" s="157"/>
      <c r="AF43" s="157"/>
      <c r="AG43" s="157"/>
      <c r="AH43" s="204">
        <f>ROUND(AI42/AH42,2)</f>
        <v>0.13</v>
      </c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206"/>
      <c r="BA43" s="188"/>
      <c r="BB43" s="204"/>
      <c r="BC43" s="210" t="s">
        <v>299</v>
      </c>
      <c r="BD43" s="188"/>
      <c r="BE43" s="204"/>
      <c r="BF43" s="188"/>
      <c r="BG43" s="188"/>
      <c r="BH43" s="204"/>
      <c r="BI43" s="188"/>
      <c r="BJ43" s="203"/>
    </row>
    <row r="44" spans="1:62" ht="15.75" customHeight="1">
      <c r="A44" s="157"/>
      <c r="B44" s="173" t="s">
        <v>335</v>
      </c>
      <c r="C44" s="176">
        <v>724</v>
      </c>
      <c r="D44" s="190">
        <v>7</v>
      </c>
      <c r="E44" s="182">
        <f>MAX(VLOOKUP(D44,'Card Progress data'!$D$24:$E$35,2,0)-C44,0)</f>
        <v>0</v>
      </c>
      <c r="F44" s="207">
        <f>ROUNDUP(E44/'Card Progress data'!$AF$52,0)</f>
        <v>0</v>
      </c>
      <c r="G44" s="178">
        <f>E44/('Card Progress data'!$AF$52*$K$6)</f>
        <v>0</v>
      </c>
      <c r="H44" s="179" t="str">
        <f t="shared" ca="1" si="2"/>
        <v/>
      </c>
      <c r="I44" s="180">
        <f>MAX(VLOOKUP(D44,'Card Progress data'!$D$4:$E$15,2,0),0)</f>
        <v>8000</v>
      </c>
      <c r="J44" s="181">
        <f>VLOOKUP(VLOOKUP(D44-1,'Card Progress data'!$T$23:$U$35,2,0)+C44,'Card Progress data'!$U$24:$V$35,2,1)</f>
        <v>9</v>
      </c>
      <c r="K44" s="180">
        <f>P44-VLOOKUP(J44,'Card Progress data'!$D$44:$E$55,2,0)</f>
        <v>28000</v>
      </c>
      <c r="L44" s="182">
        <f>MAX('Generic Info'!$U$56-C44-VLOOKUP(D44,'Generic Info'!$T$46:$U$56,2,0),0)</f>
        <v>1676</v>
      </c>
      <c r="M44" s="207">
        <f>ROUNDUP(L44/'Card Progress data'!$AF$52,0)</f>
        <v>419</v>
      </c>
      <c r="N44" s="178">
        <f>L44/('Card Progress data'!$AF$52*$K$6)</f>
        <v>139.66666666666666</v>
      </c>
      <c r="O44" s="179">
        <f t="shared" ca="1" si="3"/>
        <v>45883.176136342598</v>
      </c>
      <c r="P44" s="208">
        <f>MAX('Card Progress data'!$U$15-VLOOKUP(D44-1,'Card Progress data'!$T$4:$U$15,2,0),0)</f>
        <v>178000</v>
      </c>
      <c r="Q44" s="208">
        <f>'Card Progress data'!$E$45-MAX('Card Progress data'!$U$15-VLOOKUP(D44-1,'Card Progress data'!$T$4:$U$15,2,0),0)</f>
        <v>7600</v>
      </c>
      <c r="R44" s="183">
        <f>L44*'Card Progress data'!$V$80</f>
        <v>167600</v>
      </c>
      <c r="S44" s="173" t="str">
        <f t="shared" si="4"/>
        <v>Dart Goblin</v>
      </c>
      <c r="T44" s="181">
        <v>7</v>
      </c>
      <c r="U44" s="181">
        <f>MAX((VLOOKUP($T44,'Card Progress data'!$D$65:$E$76,2,0))-(((VLOOKUP($D44-1,'Card Progress data'!$T$24:$U$35,2,0))+C44)),0)</f>
        <v>0</v>
      </c>
      <c r="V44" s="184">
        <f>ROUNDUP(U44/'Card Progress data'!$AF$52,0)</f>
        <v>0</v>
      </c>
      <c r="W44" s="185">
        <f>U44/('Card Progress data'!$AF$52*$K$6)</f>
        <v>0</v>
      </c>
      <c r="X44" s="179">
        <f t="shared" ca="1" si="5"/>
        <v>45736.526136342596</v>
      </c>
      <c r="Y44" s="186">
        <f>MAX(P44-VLOOKUP(T44,'Card Progress data'!$D$44:$E$55,2,0),0)</f>
        <v>0</v>
      </c>
      <c r="Z44" s="187">
        <f>MAX(VLOOKUP(T44,'Card Progress data'!$AZ$24:$BA$35,2,0)-(VLOOKUP(D44,'Card Progress data'!$AZ$24:$BA$35,2,0)),0)</f>
        <v>0</v>
      </c>
      <c r="AA44" s="157"/>
      <c r="AB44" s="157"/>
      <c r="AC44" s="157"/>
      <c r="AD44" s="157"/>
      <c r="AE44" s="157"/>
      <c r="AF44" s="157"/>
      <c r="AG44" s="157"/>
      <c r="AH44" s="204" t="str">
        <f>AH43&amp;"Of the gold required to upgrade cards "</f>
        <v xml:space="preserve">0.13Of the gold required to upgrade cards </v>
      </c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206"/>
      <c r="BA44" s="188"/>
      <c r="BB44" s="204"/>
      <c r="BC44" s="206"/>
      <c r="BD44" s="188"/>
      <c r="BE44" s="204"/>
      <c r="BF44" s="188"/>
      <c r="BG44" s="188"/>
      <c r="BH44" s="204"/>
      <c r="BI44" s="188"/>
      <c r="BJ44" s="203"/>
    </row>
    <row r="45" spans="1:62" ht="15.75" customHeight="1">
      <c r="A45" s="157"/>
      <c r="B45" s="173" t="s">
        <v>336</v>
      </c>
      <c r="C45" s="176">
        <v>405</v>
      </c>
      <c r="D45" s="176">
        <v>8</v>
      </c>
      <c r="E45" s="182">
        <f>MAX(VLOOKUP(D45,'Card Progress data'!$D$24:$E$35,2,0)-C45,0)</f>
        <v>0</v>
      </c>
      <c r="F45" s="207">
        <f>ROUNDUP(E45/'Card Progress data'!$AF$52,0)</f>
        <v>0</v>
      </c>
      <c r="G45" s="178">
        <f>E45/('Card Progress data'!$AF$52*$K$6)</f>
        <v>0</v>
      </c>
      <c r="H45" s="179" t="str">
        <f t="shared" ca="1" si="2"/>
        <v/>
      </c>
      <c r="I45" s="180">
        <f>MAX(VLOOKUP(D45,'Card Progress data'!$D$4:$E$15,2,0),0)</f>
        <v>20000</v>
      </c>
      <c r="J45" s="181">
        <f>VLOOKUP(VLOOKUP(D45-1,'Card Progress data'!$T$23:$U$35,2,0)+C45,'Card Progress data'!$U$24:$V$35,2,1)</f>
        <v>9</v>
      </c>
      <c r="K45" s="180">
        <f>P45-VLOOKUP(J45,'Card Progress data'!$D$44:$E$55,2,0)</f>
        <v>20000</v>
      </c>
      <c r="L45" s="182">
        <f>MAX('Generic Info'!$U$56-C45-VLOOKUP(D45,'Generic Info'!$T$46:$U$56,2,0),0)</f>
        <v>1795</v>
      </c>
      <c r="M45" s="207">
        <f>ROUNDUP(L45/'Card Progress data'!$AF$52,0)</f>
        <v>449</v>
      </c>
      <c r="N45" s="178">
        <f>L45/('Card Progress data'!$AF$52*$K$6)</f>
        <v>149.58333333333334</v>
      </c>
      <c r="O45" s="179">
        <f t="shared" ca="1" si="3"/>
        <v>45893.676136342598</v>
      </c>
      <c r="P45" s="208">
        <f>MAX('Card Progress data'!$U$15-VLOOKUP(D45-1,'Card Progress data'!$T$4:$U$15,2,0),0)</f>
        <v>170000</v>
      </c>
      <c r="Q45" s="208">
        <f>'Card Progress data'!$E$45-MAX('Card Progress data'!$U$15-VLOOKUP(D45-1,'Card Progress data'!$T$4:$U$15,2,0),0)</f>
        <v>15600</v>
      </c>
      <c r="R45" s="183">
        <f>L45*'Card Progress data'!$V$80</f>
        <v>179500</v>
      </c>
      <c r="S45" s="173" t="str">
        <f t="shared" si="4"/>
        <v>Mega Minion</v>
      </c>
      <c r="T45" s="181">
        <v>7</v>
      </c>
      <c r="U45" s="181">
        <f>MAX((VLOOKUP($T45,'Card Progress data'!$D$65:$E$76,2,0))-(((VLOOKUP($D45-1,'Card Progress data'!$T$24:$U$35,2,0))+C45)),0)</f>
        <v>0</v>
      </c>
      <c r="V45" s="184">
        <f>ROUNDUP(U45/'Card Progress data'!$AF$52,0)</f>
        <v>0</v>
      </c>
      <c r="W45" s="185">
        <f>U45/('Card Progress data'!$AF$52*$K$6)</f>
        <v>0</v>
      </c>
      <c r="X45" s="179">
        <f t="shared" ca="1" si="5"/>
        <v>45736.526136342596</v>
      </c>
      <c r="Y45" s="186">
        <f>MAX(P45-VLOOKUP(T45,'Card Progress data'!$D$44:$E$55,2,0),0)</f>
        <v>0</v>
      </c>
      <c r="Z45" s="187">
        <f>MAX(VLOOKUP(T45,'Card Progress data'!$AZ$24:$BA$35,2,0)-(VLOOKUP(D45,'Card Progress data'!$AZ$24:$BA$35,2,0)),0)</f>
        <v>0</v>
      </c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69" t="s">
        <v>299</v>
      </c>
      <c r="AY45" s="157"/>
      <c r="AZ45" s="169" t="s">
        <v>260</v>
      </c>
      <c r="BA45" s="188"/>
      <c r="BB45" s="204"/>
      <c r="BC45" s="206"/>
      <c r="BD45" s="188"/>
      <c r="BE45" s="204"/>
      <c r="BF45" s="188"/>
      <c r="BG45" s="188"/>
      <c r="BH45" s="188"/>
      <c r="BI45" s="188"/>
      <c r="BJ45" s="203"/>
    </row>
    <row r="46" spans="1:62" ht="15.75" customHeight="1">
      <c r="A46" s="157"/>
      <c r="B46" s="173" t="s">
        <v>337</v>
      </c>
      <c r="C46" s="176">
        <v>190</v>
      </c>
      <c r="D46" s="190">
        <v>8</v>
      </c>
      <c r="E46" s="182">
        <f>MAX(VLOOKUP(D46,'Card Progress data'!$D$24:$E$35,2,0)-C46,0)</f>
        <v>210</v>
      </c>
      <c r="F46" s="207">
        <f>ROUNDUP(E46/'Card Progress data'!$AF$52,0)</f>
        <v>53</v>
      </c>
      <c r="G46" s="178">
        <f>E46/('Card Progress data'!$AF$52*$K$6)</f>
        <v>17.5</v>
      </c>
      <c r="H46" s="179">
        <f t="shared" ca="1" si="2"/>
        <v>45755.076136342599</v>
      </c>
      <c r="I46" s="180">
        <f>MAX(VLOOKUP(D46,'Card Progress data'!$D$4:$E$15,2,0),0)</f>
        <v>20000</v>
      </c>
      <c r="J46" s="181">
        <f>VLOOKUP(VLOOKUP(D46-1,'Card Progress data'!$T$23:$U$35,2,0)+C46,'Card Progress data'!$U$24:$V$35,2,1)</f>
        <v>8</v>
      </c>
      <c r="K46" s="180">
        <f>P46-VLOOKUP(J46,'Card Progress data'!$D$44:$E$55,2,0)</f>
        <v>0</v>
      </c>
      <c r="L46" s="182">
        <f>MAX('Generic Info'!$U$56-C46-VLOOKUP(D46,'Generic Info'!$T$46:$U$56,2,0),0)</f>
        <v>2010</v>
      </c>
      <c r="M46" s="207">
        <f>ROUNDUP(L46/'Card Progress data'!$AF$52,0)</f>
        <v>503</v>
      </c>
      <c r="N46" s="178">
        <f>L46/('Card Progress data'!$AF$52*$K$6)</f>
        <v>167.5</v>
      </c>
      <c r="O46" s="179">
        <f t="shared" ca="1" si="3"/>
        <v>45912.576136342599</v>
      </c>
      <c r="P46" s="208">
        <f>MAX('Card Progress data'!$U$15-VLOOKUP(D46-1,'Card Progress data'!$T$4:$U$15,2,0),0)</f>
        <v>170000</v>
      </c>
      <c r="Q46" s="208">
        <f>'Card Progress data'!$E$45-MAX('Card Progress data'!$U$15-VLOOKUP(D46-1,'Card Progress data'!$T$4:$U$15,2,0),0)</f>
        <v>15600</v>
      </c>
      <c r="R46" s="183">
        <f>L46*'Card Progress data'!$V$80</f>
        <v>201000</v>
      </c>
      <c r="S46" s="173" t="str">
        <f t="shared" si="4"/>
        <v>Hog Rider</v>
      </c>
      <c r="T46" s="181">
        <v>7</v>
      </c>
      <c r="U46" s="181">
        <f>MAX((VLOOKUP($T46,'Card Progress data'!$D$65:$E$76,2,0))-(((VLOOKUP($D46-1,'Card Progress data'!$T$24:$U$35,2,0))+C46)),0)</f>
        <v>0</v>
      </c>
      <c r="V46" s="184">
        <f>ROUNDUP(U46/'Card Progress data'!$AF$52,0)</f>
        <v>0</v>
      </c>
      <c r="W46" s="185">
        <f>U46/('Card Progress data'!$AF$52*$K$6)</f>
        <v>0</v>
      </c>
      <c r="X46" s="179">
        <f t="shared" ca="1" si="5"/>
        <v>45736.526136342596</v>
      </c>
      <c r="Y46" s="186">
        <f>MAX(P46-VLOOKUP(T46,'Card Progress data'!$D$44:$E$55,2,0),0)</f>
        <v>0</v>
      </c>
      <c r="Z46" s="187">
        <f>MAX(VLOOKUP(T46,'Card Progress data'!$AZ$24:$BA$35,2,0)-(VLOOKUP(D46,'Card Progress data'!$AZ$24:$BA$35,2,0)),0)</f>
        <v>0</v>
      </c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206"/>
      <c r="BA46" s="188"/>
      <c r="BB46" s="204"/>
      <c r="BC46" s="206"/>
      <c r="BD46" s="188"/>
      <c r="BE46" s="204"/>
      <c r="BF46" s="188"/>
      <c r="BG46" s="188"/>
      <c r="BH46" s="188"/>
      <c r="BI46" s="188"/>
      <c r="BJ46" s="203"/>
    </row>
    <row r="47" spans="1:62" ht="15.75" customHeight="1">
      <c r="A47" s="157"/>
      <c r="B47" s="173" t="s">
        <v>338</v>
      </c>
      <c r="C47" s="176">
        <v>393</v>
      </c>
      <c r="D47" s="190">
        <v>7</v>
      </c>
      <c r="E47" s="182">
        <f>MAX(VLOOKUP(D47,'Card Progress data'!$D$24:$E$35,2,0)-C47,0)</f>
        <v>0</v>
      </c>
      <c r="F47" s="207">
        <f>ROUNDUP(E47/'Card Progress data'!$AF$52,0)</f>
        <v>0</v>
      </c>
      <c r="G47" s="178">
        <f>E47/('Card Progress data'!$AF$52*$K$6)</f>
        <v>0</v>
      </c>
      <c r="H47" s="179" t="str">
        <f t="shared" ca="1" si="2"/>
        <v/>
      </c>
      <c r="I47" s="180">
        <f>MAX(VLOOKUP(D47,'Card Progress data'!$D$4:$E$15,2,0),0)</f>
        <v>8000</v>
      </c>
      <c r="J47" s="181">
        <f>VLOOKUP(VLOOKUP(D47-1,'Card Progress data'!$T$23:$U$35,2,0)+C47,'Card Progress data'!$U$24:$V$35,2,1)</f>
        <v>8</v>
      </c>
      <c r="K47" s="180">
        <f>P47-VLOOKUP(J47,'Card Progress data'!$D$44:$E$55,2,0)</f>
        <v>8000</v>
      </c>
      <c r="L47" s="182">
        <f>MAX('Generic Info'!$U$56-C47-VLOOKUP(D47,'Generic Info'!$T$46:$U$56,2,0),0)</f>
        <v>2007</v>
      </c>
      <c r="M47" s="207">
        <f>ROUNDUP(L47/'Card Progress data'!$AF$52,0)</f>
        <v>502</v>
      </c>
      <c r="N47" s="178">
        <f>L47/('Card Progress data'!$AF$52*$K$6)</f>
        <v>167.25</v>
      </c>
      <c r="O47" s="179">
        <f t="shared" ca="1" si="3"/>
        <v>45912.226136342593</v>
      </c>
      <c r="P47" s="208">
        <f>MAX('Card Progress data'!$U$15-VLOOKUP(D47-1,'Card Progress data'!$T$4:$U$15,2,0),0)</f>
        <v>178000</v>
      </c>
      <c r="Q47" s="208">
        <f>'Card Progress data'!$E$45-MAX('Card Progress data'!$U$15-VLOOKUP(D47-1,'Card Progress data'!$T$4:$U$15,2,0),0)</f>
        <v>7600</v>
      </c>
      <c r="R47" s="183">
        <f>L47*'Card Progress data'!$V$80</f>
        <v>200700</v>
      </c>
      <c r="S47" s="173" t="str">
        <f t="shared" si="4"/>
        <v>Fireball</v>
      </c>
      <c r="T47" s="181">
        <v>7</v>
      </c>
      <c r="U47" s="181">
        <f>MAX((VLOOKUP($T47,'Card Progress data'!$D$65:$E$76,2,0))-(((VLOOKUP($D47-1,'Card Progress data'!$T$24:$U$35,2,0))+C47)),0)</f>
        <v>0</v>
      </c>
      <c r="V47" s="184">
        <f>ROUNDUP(U47/'Card Progress data'!$AF$52,0)</f>
        <v>0</v>
      </c>
      <c r="W47" s="185">
        <f>U47/('Card Progress data'!$AF$52*$K$6)</f>
        <v>0</v>
      </c>
      <c r="X47" s="179">
        <f t="shared" ca="1" si="5"/>
        <v>45736.526136342596</v>
      </c>
      <c r="Y47" s="186">
        <f>MAX(P47-VLOOKUP(T47,'Card Progress data'!$D$44:$E$55,2,0),0)</f>
        <v>0</v>
      </c>
      <c r="Z47" s="187">
        <f>MAX(VLOOKUP(T47,'Card Progress data'!$AZ$24:$BA$35,2,0)-(VLOOKUP(D47,'Card Progress data'!$AZ$24:$BA$35,2,0)),0)</f>
        <v>0</v>
      </c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206"/>
      <c r="BA47" s="188"/>
      <c r="BB47" s="204"/>
      <c r="BC47" s="206"/>
      <c r="BD47" s="211"/>
      <c r="BE47" s="204"/>
      <c r="BF47" s="188"/>
      <c r="BG47" s="188"/>
      <c r="BH47" s="188"/>
      <c r="BI47" s="188"/>
      <c r="BJ47" s="203"/>
    </row>
    <row r="48" spans="1:62" ht="15.75" customHeight="1">
      <c r="A48" s="157"/>
      <c r="B48" s="173" t="s">
        <v>339</v>
      </c>
      <c r="C48" s="176">
        <v>576</v>
      </c>
      <c r="D48" s="190">
        <v>7</v>
      </c>
      <c r="E48" s="182">
        <f>MAX(VLOOKUP(D48,'Card Progress data'!$D$24:$E$35,2,0)-C48,0)</f>
        <v>0</v>
      </c>
      <c r="F48" s="207">
        <f>ROUNDUP(E48/'Card Progress data'!$AF$52,0)</f>
        <v>0</v>
      </c>
      <c r="G48" s="178">
        <f>E48/('Card Progress data'!$AF$52*$K$6)</f>
        <v>0</v>
      </c>
      <c r="H48" s="179" t="str">
        <f t="shared" ca="1" si="2"/>
        <v/>
      </c>
      <c r="I48" s="180">
        <f>MAX(VLOOKUP(D48,'Card Progress data'!$D$4:$E$15,2,0),0)</f>
        <v>8000</v>
      </c>
      <c r="J48" s="181">
        <f>VLOOKUP(VLOOKUP(D48-1,'Card Progress data'!$T$23:$U$35,2,0)+C48,'Card Progress data'!$U$24:$V$35,2,1)</f>
        <v>8</v>
      </c>
      <c r="K48" s="180">
        <f>P48-VLOOKUP(J48,'Card Progress data'!$D$44:$E$55,2,0)</f>
        <v>8000</v>
      </c>
      <c r="L48" s="182">
        <f>MAX('Generic Info'!$U$56-C48-VLOOKUP(D48,'Generic Info'!$T$46:$U$56,2,0),0)</f>
        <v>1824</v>
      </c>
      <c r="M48" s="207">
        <f>ROUNDUP(L48/'Card Progress data'!$AF$52,0)</f>
        <v>456</v>
      </c>
      <c r="N48" s="178">
        <f>L48/('Card Progress data'!$AF$52*$K$6)</f>
        <v>152</v>
      </c>
      <c r="O48" s="179">
        <f t="shared" ca="1" si="3"/>
        <v>45896.126136342595</v>
      </c>
      <c r="P48" s="208">
        <f>MAX('Card Progress data'!$U$15-VLOOKUP(D48-1,'Card Progress data'!$T$4:$U$15,2,0),0)</f>
        <v>178000</v>
      </c>
      <c r="Q48" s="208">
        <f>'Card Progress data'!$E$45-MAX('Card Progress data'!$U$15-VLOOKUP(D48-1,'Card Progress data'!$T$4:$U$15,2,0),0)</f>
        <v>7600</v>
      </c>
      <c r="R48" s="183">
        <f>L48*'Card Progress data'!$V$80</f>
        <v>182400</v>
      </c>
      <c r="S48" s="173" t="str">
        <f t="shared" si="4"/>
        <v>Battle Ram</v>
      </c>
      <c r="T48" s="181">
        <v>7</v>
      </c>
      <c r="U48" s="181">
        <f>MAX((VLOOKUP($T48,'Card Progress data'!$D$65:$E$76,2,0))-(((VLOOKUP($D48-1,'Card Progress data'!$T$24:$U$35,2,0))+C48)),0)</f>
        <v>0</v>
      </c>
      <c r="V48" s="184">
        <f>ROUNDUP(U48/'Card Progress data'!$AF$52,0)</f>
        <v>0</v>
      </c>
      <c r="W48" s="185">
        <f>U48/('Card Progress data'!$AF$52*$K$6)</f>
        <v>0</v>
      </c>
      <c r="X48" s="179">
        <f t="shared" ca="1" si="5"/>
        <v>45736.526136342596</v>
      </c>
      <c r="Y48" s="186">
        <f>MAX(P48-VLOOKUP(T48,'Card Progress data'!$D$44:$E$55,2,0),0)</f>
        <v>0</v>
      </c>
      <c r="Z48" s="187">
        <f>MAX(VLOOKUP(T48,'Card Progress data'!$AZ$24:$BA$35,2,0)-(VLOOKUP(D48,'Card Progress data'!$AZ$24:$BA$35,2,0)),0)</f>
        <v>0</v>
      </c>
      <c r="AA48" s="157"/>
      <c r="AB48" s="157"/>
      <c r="AC48" s="157"/>
      <c r="AD48" s="157"/>
      <c r="AE48" s="157"/>
      <c r="AF48" s="157"/>
      <c r="AG48" s="188">
        <f ca="1">K65+K37+K93+K112</f>
        <v>3232625</v>
      </c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206"/>
      <c r="BA48" s="188"/>
      <c r="BB48" s="204"/>
      <c r="BC48" s="188"/>
      <c r="BD48" s="188"/>
      <c r="BE48" s="188"/>
      <c r="BF48" s="188"/>
      <c r="BG48" s="188"/>
      <c r="BH48" s="188"/>
      <c r="BI48" s="188"/>
      <c r="BJ48" s="203"/>
    </row>
    <row r="49" spans="1:62" ht="15.75" customHeight="1">
      <c r="A49" s="157"/>
      <c r="B49" s="173" t="s">
        <v>340</v>
      </c>
      <c r="C49" s="176">
        <v>412</v>
      </c>
      <c r="D49" s="176">
        <v>8</v>
      </c>
      <c r="E49" s="182">
        <f>MAX(VLOOKUP(D49,'Card Progress data'!$D$24:$E$35,2,0)-C49,0)</f>
        <v>0</v>
      </c>
      <c r="F49" s="207">
        <f>ROUNDUP(E49/'Card Progress data'!$AF$52,0)</f>
        <v>0</v>
      </c>
      <c r="G49" s="178">
        <f>E49/('Card Progress data'!$AF$52*$K$6)</f>
        <v>0</v>
      </c>
      <c r="H49" s="179" t="str">
        <f t="shared" ca="1" si="2"/>
        <v/>
      </c>
      <c r="I49" s="180">
        <f>MAX(VLOOKUP(D49,'Card Progress data'!$D$4:$E$15,2,0),0)</f>
        <v>20000</v>
      </c>
      <c r="J49" s="181">
        <f>VLOOKUP(VLOOKUP(D49-1,'Card Progress data'!$T$23:$U$35,2,0)+C49,'Card Progress data'!$U$24:$V$35,2,1)</f>
        <v>9</v>
      </c>
      <c r="K49" s="180">
        <f>P49-VLOOKUP(J49,'Card Progress data'!$D$44:$E$55,2,0)</f>
        <v>20000</v>
      </c>
      <c r="L49" s="182">
        <f>MAX('Generic Info'!$U$56-C49-VLOOKUP(D49,'Generic Info'!$T$46:$U$56,2,0),0)</f>
        <v>1788</v>
      </c>
      <c r="M49" s="207">
        <f>ROUNDUP(L49/'Card Progress data'!$AF$52,0)</f>
        <v>447</v>
      </c>
      <c r="N49" s="178">
        <f>L49/('Card Progress data'!$AF$52*$K$6)</f>
        <v>149</v>
      </c>
      <c r="O49" s="179">
        <f t="shared" ca="1" si="3"/>
        <v>45892.976136342593</v>
      </c>
      <c r="P49" s="208">
        <f>MAX('Card Progress data'!$U$15-VLOOKUP(D49-1,'Card Progress data'!$T$4:$U$15,2,0),0)</f>
        <v>170000</v>
      </c>
      <c r="Q49" s="208">
        <f>'Card Progress data'!$E$45-MAX('Card Progress data'!$U$15-VLOOKUP(D49-1,'Card Progress data'!$T$4:$U$15,2,0),0)</f>
        <v>15600</v>
      </c>
      <c r="R49" s="183">
        <f>L49*'Card Progress data'!$V$80</f>
        <v>178800</v>
      </c>
      <c r="S49" s="173" t="str">
        <f t="shared" si="4"/>
        <v>Furnace</v>
      </c>
      <c r="T49" s="181">
        <v>7</v>
      </c>
      <c r="U49" s="181">
        <f>MAX((VLOOKUP($T49,'Card Progress data'!$D$65:$E$76,2,0))-(((VLOOKUP($D49-1,'Card Progress data'!$T$24:$U$35,2,0))+C49)),0)</f>
        <v>0</v>
      </c>
      <c r="V49" s="184">
        <f>ROUNDUP(U49/'Card Progress data'!$AF$52,0)</f>
        <v>0</v>
      </c>
      <c r="W49" s="185">
        <f>U49/('Card Progress data'!$AF$52*$K$6)</f>
        <v>0</v>
      </c>
      <c r="X49" s="179">
        <f t="shared" ca="1" si="5"/>
        <v>45736.526136342596</v>
      </c>
      <c r="Y49" s="186">
        <f>MAX(P49-VLOOKUP(T49,'Card Progress data'!$D$44:$E$55,2,0),0)</f>
        <v>0</v>
      </c>
      <c r="Z49" s="187">
        <f>MAX(VLOOKUP(T49,'Card Progress data'!$AZ$24:$BA$35,2,0)-(VLOOKUP(D49,'Card Progress data'!$AZ$24:$BA$35,2,0)),0)</f>
        <v>0</v>
      </c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206"/>
      <c r="BA49" s="188"/>
      <c r="BB49" s="204"/>
      <c r="BC49" s="188"/>
      <c r="BD49" s="188"/>
      <c r="BE49" s="188"/>
      <c r="BF49" s="188"/>
      <c r="BG49" s="188"/>
      <c r="BH49" s="188"/>
      <c r="BI49" s="206"/>
      <c r="BJ49" s="206"/>
    </row>
    <row r="50" spans="1:62" ht="15.75" customHeight="1">
      <c r="A50" s="157"/>
      <c r="B50" s="173" t="s">
        <v>341</v>
      </c>
      <c r="C50" s="176">
        <v>732</v>
      </c>
      <c r="D50" s="190">
        <v>10</v>
      </c>
      <c r="E50" s="182">
        <f>MAX(VLOOKUP(D50,'Card Progress data'!$D$24:$E$35,2,0)-C50,0)</f>
        <v>268</v>
      </c>
      <c r="F50" s="207">
        <f>ROUNDUP(E50/'Card Progress data'!$AF$52,0)</f>
        <v>67</v>
      </c>
      <c r="G50" s="178">
        <f>E50/('Card Progress data'!$AF$52*$K$6)</f>
        <v>22.333333333333332</v>
      </c>
      <c r="H50" s="179">
        <f t="shared" ca="1" si="2"/>
        <v>45759.976136342593</v>
      </c>
      <c r="I50" s="180">
        <f>MAX(VLOOKUP(D50,'Card Progress data'!$D$4:$E$15,2,0),0)</f>
        <v>100000</v>
      </c>
      <c r="J50" s="181">
        <f>VLOOKUP(VLOOKUP(D50-1,'Card Progress data'!$T$23:$U$35,2,0)+C50,'Card Progress data'!$U$24:$V$35,2,1)</f>
        <v>10</v>
      </c>
      <c r="K50" s="180">
        <f>P50-VLOOKUP(J50,'Card Progress data'!$D$44:$E$55,2,0)</f>
        <v>0</v>
      </c>
      <c r="L50" s="182">
        <f>MAX('Generic Info'!$U$56-C50-VLOOKUP(D50,'Generic Info'!$T$46:$U$56,2,0),0)</f>
        <v>268</v>
      </c>
      <c r="M50" s="207">
        <f>ROUNDUP(L50/'Card Progress data'!$AF$52,0)</f>
        <v>67</v>
      </c>
      <c r="N50" s="178">
        <f>L50/('Card Progress data'!$AF$52*$K$6)</f>
        <v>22.333333333333332</v>
      </c>
      <c r="O50" s="179">
        <f t="shared" ca="1" si="3"/>
        <v>45759.976136342593</v>
      </c>
      <c r="P50" s="208">
        <f>MAX('Card Progress data'!$U$15-VLOOKUP(D50-1,'Card Progress data'!$T$4:$U$15,2,0),0)</f>
        <v>100000</v>
      </c>
      <c r="Q50" s="208">
        <f>'Card Progress data'!$E$45-MAX('Card Progress data'!$U$15-VLOOKUP(D50-1,'Card Progress data'!$T$4:$U$15,2,0),0)</f>
        <v>85600</v>
      </c>
      <c r="R50" s="183">
        <f>L50*'Card Progress data'!$V$80</f>
        <v>26800</v>
      </c>
      <c r="S50" s="173" t="str">
        <f t="shared" si="4"/>
        <v>Mini P.E.K.K.A</v>
      </c>
      <c r="T50" s="181">
        <v>7</v>
      </c>
      <c r="U50" s="181">
        <f>MAX((VLOOKUP($T50,'Card Progress data'!$D$65:$E$76,2,0))-(((VLOOKUP($D50-1,'Card Progress data'!$T$24:$U$35,2,0))+C50)),0)</f>
        <v>0</v>
      </c>
      <c r="V50" s="184">
        <f>ROUNDUP(U50/'Card Progress data'!$AF$52,0)</f>
        <v>0</v>
      </c>
      <c r="W50" s="185">
        <f>U50/('Card Progress data'!$AF$52*$K$6)</f>
        <v>0</v>
      </c>
      <c r="X50" s="179">
        <f t="shared" ca="1" si="5"/>
        <v>45736.526136342596</v>
      </c>
      <c r="Y50" s="186">
        <f>MAX(P50-VLOOKUP(T50,'Card Progress data'!$D$44:$E$55,2,0),0)</f>
        <v>0</v>
      </c>
      <c r="Z50" s="187">
        <f>MAX(VLOOKUP(T50,'Card Progress data'!$AZ$24:$BA$35,2,0)-(VLOOKUP(D50,'Card Progress data'!$AZ$24:$BA$35,2,0)),0)</f>
        <v>0</v>
      </c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88"/>
      <c r="BA50" s="206"/>
      <c r="BB50" s="206"/>
      <c r="BC50" s="206"/>
      <c r="BD50" s="206"/>
      <c r="BE50" s="206"/>
      <c r="BF50" s="206"/>
      <c r="BG50" s="206"/>
      <c r="BH50" s="206"/>
      <c r="BI50" s="212"/>
      <c r="BJ50" s="212"/>
    </row>
    <row r="51" spans="1:62" ht="15.75" customHeight="1">
      <c r="A51" s="157"/>
      <c r="B51" s="173" t="s">
        <v>342</v>
      </c>
      <c r="C51" s="176">
        <v>563</v>
      </c>
      <c r="D51" s="190">
        <v>7</v>
      </c>
      <c r="E51" s="182">
        <f>MAX(VLOOKUP(D51,'Card Progress data'!$D$24:$E$35,2,0)-C51,0)</f>
        <v>0</v>
      </c>
      <c r="F51" s="207">
        <f>ROUNDUP(E51/'Card Progress data'!$AF$52,0)</f>
        <v>0</v>
      </c>
      <c r="G51" s="178">
        <f>E51/('Card Progress data'!$AF$52*$K$6)</f>
        <v>0</v>
      </c>
      <c r="H51" s="179" t="str">
        <f t="shared" ca="1" si="2"/>
        <v/>
      </c>
      <c r="I51" s="180">
        <f>MAX(VLOOKUP(D51,'Card Progress data'!$D$4:$E$15,2,0),0)</f>
        <v>8000</v>
      </c>
      <c r="J51" s="181">
        <f>VLOOKUP(VLOOKUP(D51-1,'Card Progress data'!$T$23:$U$35,2,0)+C51,'Card Progress data'!$U$24:$V$35,2,1)</f>
        <v>8</v>
      </c>
      <c r="K51" s="180">
        <f>P51-VLOOKUP(J51,'Card Progress data'!$D$44:$E$55,2,0)</f>
        <v>8000</v>
      </c>
      <c r="L51" s="182">
        <f>MAX('Generic Info'!$U$56-C51-VLOOKUP(D51,'Generic Info'!$T$46:$U$56,2,0),0)</f>
        <v>1837</v>
      </c>
      <c r="M51" s="207">
        <f>ROUNDUP(L51/'Card Progress data'!$AF$52,0)</f>
        <v>460</v>
      </c>
      <c r="N51" s="178">
        <f>L51/('Card Progress data'!$AF$52*$K$6)</f>
        <v>153.08333333333334</v>
      </c>
      <c r="O51" s="179">
        <f t="shared" ca="1" si="3"/>
        <v>45897.526136342596</v>
      </c>
      <c r="P51" s="208">
        <f>MAX('Card Progress data'!$U$15-VLOOKUP(D51-1,'Card Progress data'!$T$4:$U$15,2,0),0)</f>
        <v>178000</v>
      </c>
      <c r="Q51" s="208">
        <f>'Card Progress data'!$E$45-MAX('Card Progress data'!$U$15-VLOOKUP(D51-1,'Card Progress data'!$T$4:$U$15,2,0),0)</f>
        <v>7600</v>
      </c>
      <c r="R51" s="183">
        <f>L51*'Card Progress data'!$V$80</f>
        <v>183700</v>
      </c>
      <c r="S51" s="173" t="str">
        <f t="shared" si="4"/>
        <v>Flying Machine</v>
      </c>
      <c r="T51" s="181">
        <v>7</v>
      </c>
      <c r="U51" s="181">
        <f>MAX((VLOOKUP($T51,'Card Progress data'!$D$65:$E$76,2,0))-(((VLOOKUP($D51-1,'Card Progress data'!$T$24:$U$35,2,0))+C51)),0)</f>
        <v>0</v>
      </c>
      <c r="V51" s="184">
        <f>ROUNDUP(U51/'Card Progress data'!$AF$52,0)</f>
        <v>0</v>
      </c>
      <c r="W51" s="185">
        <f>U51/('Card Progress data'!$AF$52*$K$6)</f>
        <v>0</v>
      </c>
      <c r="X51" s="179">
        <f t="shared" ca="1" si="5"/>
        <v>45736.526136342596</v>
      </c>
      <c r="Y51" s="186">
        <f>MAX(P51-VLOOKUP(T51,'Card Progress data'!$D$44:$E$55,2,0),0)</f>
        <v>0</v>
      </c>
      <c r="Z51" s="187">
        <f>MAX(VLOOKUP(T51,'Card Progress data'!$AZ$24:$BA$35,2,0)-(VLOOKUP(D51,'Card Progress data'!$AZ$24:$BA$35,2,0)),0)</f>
        <v>0</v>
      </c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69" t="s">
        <v>299</v>
      </c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</row>
    <row r="52" spans="1:62" ht="15.75" customHeight="1">
      <c r="A52" s="157"/>
      <c r="B52" s="173" t="s">
        <v>343</v>
      </c>
      <c r="C52" s="176">
        <v>411</v>
      </c>
      <c r="D52" s="190">
        <v>7</v>
      </c>
      <c r="E52" s="182">
        <f>MAX(VLOOKUP(D52,'Card Progress data'!$D$24:$E$35,2,0)-C52,0)</f>
        <v>0</v>
      </c>
      <c r="F52" s="207">
        <f>ROUNDUP(E52/'Card Progress data'!$AF$52,0)</f>
        <v>0</v>
      </c>
      <c r="G52" s="178">
        <f>E52/('Card Progress data'!$AF$52*$K$6)</f>
        <v>0</v>
      </c>
      <c r="H52" s="179" t="str">
        <f t="shared" ca="1" si="2"/>
        <v/>
      </c>
      <c r="I52" s="180">
        <f>MAX(VLOOKUP(D52,'Card Progress data'!$D$4:$E$15,2,0),0)</f>
        <v>8000</v>
      </c>
      <c r="J52" s="181">
        <f>VLOOKUP(VLOOKUP(D52-1,'Card Progress data'!$T$23:$U$35,2,0)+C52,'Card Progress data'!$U$24:$V$35,2,1)</f>
        <v>8</v>
      </c>
      <c r="K52" s="180">
        <f>P52-VLOOKUP(J52,'Card Progress data'!$D$44:$E$55,2,0)</f>
        <v>8000</v>
      </c>
      <c r="L52" s="182">
        <f>MAX('Generic Info'!$U$56-C52-VLOOKUP(D52,'Generic Info'!$T$46:$U$56,2,0),0)</f>
        <v>1989</v>
      </c>
      <c r="M52" s="207">
        <f>ROUNDUP(L52/'Card Progress data'!$AF$52,0)</f>
        <v>498</v>
      </c>
      <c r="N52" s="178">
        <f>L52/('Card Progress data'!$AF$52*$K$6)</f>
        <v>165.75</v>
      </c>
      <c r="O52" s="179">
        <f t="shared" ca="1" si="3"/>
        <v>45910.826136342599</v>
      </c>
      <c r="P52" s="208">
        <f>MAX('Card Progress data'!$U$15-VLOOKUP(D52-1,'Card Progress data'!$T$4:$U$15,2,0),0)</f>
        <v>178000</v>
      </c>
      <c r="Q52" s="208">
        <f>'Card Progress data'!$E$45-MAX('Card Progress data'!$U$15-VLOOKUP(D52-1,'Card Progress data'!$T$4:$U$15,2,0),0)</f>
        <v>7600</v>
      </c>
      <c r="R52" s="183">
        <f>L52*'Card Progress data'!$V$80</f>
        <v>198900</v>
      </c>
      <c r="S52" s="173" t="str">
        <f t="shared" si="4"/>
        <v>Zappies</v>
      </c>
      <c r="T52" s="181">
        <v>7</v>
      </c>
      <c r="U52" s="181">
        <f>MAX((VLOOKUP($T52,'Card Progress data'!$D$65:$E$76,2,0))-(((VLOOKUP($D52-1,'Card Progress data'!$T$24:$U$35,2,0))+C52)),0)</f>
        <v>0</v>
      </c>
      <c r="V52" s="184">
        <f>ROUNDUP(U52/'Card Progress data'!$AF$52,0)</f>
        <v>0</v>
      </c>
      <c r="W52" s="185">
        <f>U52/('Card Progress data'!$AF$52*$K$6)</f>
        <v>0</v>
      </c>
      <c r="X52" s="179">
        <f t="shared" ca="1" si="5"/>
        <v>45736.526136342596</v>
      </c>
      <c r="Y52" s="186">
        <f>MAX(P52-VLOOKUP(T52,'Card Progress data'!$D$44:$E$55,2,0),0)</f>
        <v>0</v>
      </c>
      <c r="Z52" s="187">
        <f>MAX(VLOOKUP(T52,'Card Progress data'!$AZ$24:$BA$35,2,0)-(VLOOKUP(D52,'Card Progress data'!$AZ$24:$BA$35,2,0)),0)</f>
        <v>0</v>
      </c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  <c r="BJ52" s="157"/>
    </row>
    <row r="53" spans="1:62" ht="15.75" customHeight="1">
      <c r="A53" s="157"/>
      <c r="B53" s="173" t="s">
        <v>344</v>
      </c>
      <c r="C53" s="176">
        <v>847</v>
      </c>
      <c r="D53" s="176">
        <v>8</v>
      </c>
      <c r="E53" s="182">
        <f>MAX(VLOOKUP(D53,'Card Progress data'!$D$24:$E$35,2,0)-C53,0)</f>
        <v>0</v>
      </c>
      <c r="F53" s="207">
        <f>ROUNDUP(E53/'Card Progress data'!$AF$52,0)</f>
        <v>0</v>
      </c>
      <c r="G53" s="178">
        <f>E53/('Card Progress data'!$AF$52*$K$6)</f>
        <v>0</v>
      </c>
      <c r="H53" s="179" t="str">
        <f t="shared" ca="1" si="2"/>
        <v/>
      </c>
      <c r="I53" s="180">
        <f>MAX(VLOOKUP(D53,'Card Progress data'!$D$4:$E$15,2,0),0)</f>
        <v>20000</v>
      </c>
      <c r="J53" s="181">
        <f>VLOOKUP(VLOOKUP(D53-1,'Card Progress data'!$T$23:$U$35,2,0)+C53,'Card Progress data'!$U$24:$V$35,2,1)</f>
        <v>9</v>
      </c>
      <c r="K53" s="180">
        <f>P53-VLOOKUP(J53,'Card Progress data'!$D$44:$E$55,2,0)</f>
        <v>20000</v>
      </c>
      <c r="L53" s="182">
        <f>MAX('Generic Info'!$U$56-C53-VLOOKUP(D53,'Generic Info'!$T$46:$U$56,2,0),0)</f>
        <v>1353</v>
      </c>
      <c r="M53" s="207">
        <f>ROUNDUP(L53/'Card Progress data'!$AF$52,0)</f>
        <v>339</v>
      </c>
      <c r="N53" s="178">
        <f>L53/('Card Progress data'!$AF$52*$K$6)</f>
        <v>112.75</v>
      </c>
      <c r="O53" s="179">
        <f t="shared" ca="1" si="3"/>
        <v>45855.176136342598</v>
      </c>
      <c r="P53" s="208">
        <f>MAX('Card Progress data'!$U$15-VLOOKUP(D53-1,'Card Progress data'!$T$4:$U$15,2,0),0)</f>
        <v>170000</v>
      </c>
      <c r="Q53" s="208">
        <f>'Card Progress data'!$E$45-MAX('Card Progress data'!$U$15-VLOOKUP(D53-1,'Card Progress data'!$T$4:$U$15,2,0),0)</f>
        <v>15600</v>
      </c>
      <c r="R53" s="183">
        <f>L53*'Card Progress data'!$V$80</f>
        <v>135300</v>
      </c>
      <c r="S53" s="173" t="str">
        <f t="shared" si="4"/>
        <v>Musketeer</v>
      </c>
      <c r="T53" s="181">
        <v>7</v>
      </c>
      <c r="U53" s="181">
        <f>MAX((VLOOKUP($T53,'Card Progress data'!$D$65:$E$76,2,0))-(((VLOOKUP($D53-1,'Card Progress data'!$T$24:$U$35,2,0))+C53)),0)</f>
        <v>0</v>
      </c>
      <c r="V53" s="184">
        <f>ROUNDUP(U53/'Card Progress data'!$AF$52,0)</f>
        <v>0</v>
      </c>
      <c r="W53" s="185">
        <f>U53/('Card Progress data'!$AF$52*$K$6)</f>
        <v>0</v>
      </c>
      <c r="X53" s="179">
        <f t="shared" ca="1" si="5"/>
        <v>45736.526136342596</v>
      </c>
      <c r="Y53" s="186">
        <f>MAX(P53-VLOOKUP(T53,'Card Progress data'!$D$44:$E$55,2,0),0)</f>
        <v>0</v>
      </c>
      <c r="Z53" s="187">
        <f>MAX(VLOOKUP(T53,'Card Progress data'!$AZ$24:$BA$35,2,0)-(VLOOKUP(D53,'Card Progress data'!$AZ$24:$BA$35,2,0)),0)</f>
        <v>0</v>
      </c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  <c r="BJ53" s="157"/>
    </row>
    <row r="54" spans="1:62" ht="15.75" customHeight="1">
      <c r="A54" s="157"/>
      <c r="B54" s="173" t="s">
        <v>345</v>
      </c>
      <c r="C54" s="176">
        <v>316</v>
      </c>
      <c r="D54" s="176">
        <v>8</v>
      </c>
      <c r="E54" s="182">
        <f>MAX(VLOOKUP(D54,'Card Progress data'!$D$24:$E$35,2,0)-C54,0)</f>
        <v>84</v>
      </c>
      <c r="F54" s="207">
        <f>ROUNDUP(E54/'Card Progress data'!$AF$52,0)</f>
        <v>21</v>
      </c>
      <c r="G54" s="178">
        <f>E54/('Card Progress data'!$AF$52*$K$6)</f>
        <v>7</v>
      </c>
      <c r="H54" s="179">
        <f t="shared" ca="1" si="2"/>
        <v>45743.876136342595</v>
      </c>
      <c r="I54" s="180">
        <f>MAX(VLOOKUP(D54,'Card Progress data'!$D$4:$E$15,2,0),0)</f>
        <v>20000</v>
      </c>
      <c r="J54" s="181">
        <f>VLOOKUP(VLOOKUP(D54-1,'Card Progress data'!$T$23:$U$35,2,0)+C54,'Card Progress data'!$U$24:$V$35,2,1)</f>
        <v>8</v>
      </c>
      <c r="K54" s="180">
        <f>P54-VLOOKUP(J54,'Card Progress data'!$D$44:$E$55,2,0)</f>
        <v>0</v>
      </c>
      <c r="L54" s="182">
        <f>MAX('Generic Info'!$U$56-C54-VLOOKUP(D54,'Generic Info'!$T$46:$U$56,2,0),0)</f>
        <v>1884</v>
      </c>
      <c r="M54" s="207">
        <f>ROUNDUP(L54/'Card Progress data'!$AF$52,0)</f>
        <v>471</v>
      </c>
      <c r="N54" s="178">
        <f>L54/('Card Progress data'!$AF$52*$K$6)</f>
        <v>157</v>
      </c>
      <c r="O54" s="179">
        <f t="shared" ca="1" si="3"/>
        <v>45901.376136342595</v>
      </c>
      <c r="P54" s="208">
        <f>MAX('Card Progress data'!$U$15-VLOOKUP(D54-1,'Card Progress data'!$T$4:$U$15,2,0),0)</f>
        <v>170000</v>
      </c>
      <c r="Q54" s="208">
        <f>'Card Progress data'!$E$45-MAX('Card Progress data'!$U$15-VLOOKUP(D54-1,'Card Progress data'!$T$4:$U$15,2,0),0)</f>
        <v>15600</v>
      </c>
      <c r="R54" s="183">
        <f>L54*'Card Progress data'!$V$80</f>
        <v>188400</v>
      </c>
      <c r="S54" s="173" t="str">
        <f t="shared" si="4"/>
        <v>Valkyrie</v>
      </c>
      <c r="T54" s="181">
        <v>7</v>
      </c>
      <c r="U54" s="181">
        <f>MAX((VLOOKUP($T54,'Card Progress data'!$D$65:$E$76,2,0))-(((VLOOKUP($D54-1,'Card Progress data'!$T$24:$U$35,2,0))+C54)),0)</f>
        <v>0</v>
      </c>
      <c r="V54" s="184">
        <f>ROUNDUP(U54/'Card Progress data'!$AF$52,0)</f>
        <v>0</v>
      </c>
      <c r="W54" s="185">
        <f>U54/('Card Progress data'!$AF$52*$K$6)</f>
        <v>0</v>
      </c>
      <c r="X54" s="179">
        <f t="shared" ca="1" si="5"/>
        <v>45736.526136342596</v>
      </c>
      <c r="Y54" s="186">
        <f>MAX(P54-VLOOKUP(T54,'Card Progress data'!$D$44:$E$55,2,0),0)</f>
        <v>0</v>
      </c>
      <c r="Z54" s="187">
        <f>MAX(VLOOKUP(T54,'Card Progress data'!$AZ$24:$BA$35,2,0)-(VLOOKUP(D54,'Card Progress data'!$AZ$24:$BA$35,2,0)),0)</f>
        <v>0</v>
      </c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  <c r="BJ54" s="157"/>
    </row>
    <row r="55" spans="1:62" ht="15.75" customHeight="1">
      <c r="A55" s="157"/>
      <c r="B55" s="173" t="s">
        <v>346</v>
      </c>
      <c r="C55" s="176">
        <v>874</v>
      </c>
      <c r="D55" s="190">
        <v>6</v>
      </c>
      <c r="E55" s="182">
        <f>MAX(VLOOKUP(D55,'Card Progress data'!$D$24:$E$35,2,0)-C55,0)</f>
        <v>0</v>
      </c>
      <c r="F55" s="207">
        <f>ROUNDUP(E55/'Card Progress data'!$AF$52,0)</f>
        <v>0</v>
      </c>
      <c r="G55" s="178">
        <f>E55/('Card Progress data'!$AF$52*$K$6)</f>
        <v>0</v>
      </c>
      <c r="H55" s="179" t="str">
        <f t="shared" ca="1" si="2"/>
        <v/>
      </c>
      <c r="I55" s="180">
        <f>MAX(VLOOKUP(D55,'Card Progress data'!$D$4:$E$15,2,0),0)</f>
        <v>4000</v>
      </c>
      <c r="J55" s="181">
        <f>VLOOKUP(VLOOKUP(D55-1,'Card Progress data'!$T$23:$U$35,2,0)+C55,'Card Progress data'!$U$24:$V$35,2,1)</f>
        <v>9</v>
      </c>
      <c r="K55" s="180">
        <f>P55-VLOOKUP(J55,'Card Progress data'!$D$44:$E$55,2,0)</f>
        <v>32000</v>
      </c>
      <c r="L55" s="182">
        <f>MAX('Generic Info'!$U$56-C55-VLOOKUP(D55,'Generic Info'!$T$46:$U$56,2,0),0)</f>
        <v>1626</v>
      </c>
      <c r="M55" s="207">
        <f>ROUNDUP(L55/'Card Progress data'!$AF$52,0)</f>
        <v>407</v>
      </c>
      <c r="N55" s="178">
        <f>L55/('Card Progress data'!$AF$52*$K$6)</f>
        <v>135.5</v>
      </c>
      <c r="O55" s="179">
        <f t="shared" ca="1" si="3"/>
        <v>45878.976136342593</v>
      </c>
      <c r="P55" s="208">
        <f>MAX('Card Progress data'!$U$15-VLOOKUP(D55-1,'Card Progress data'!$T$4:$U$15,2,0),0)</f>
        <v>182000</v>
      </c>
      <c r="Q55" s="208">
        <f>'Card Progress data'!$E$45-MAX('Card Progress data'!$U$15-VLOOKUP(D55-1,'Card Progress data'!$T$4:$U$15,2,0),0)</f>
        <v>3600</v>
      </c>
      <c r="R55" s="183">
        <f>L55*'Card Progress data'!$V$80</f>
        <v>162600</v>
      </c>
      <c r="S55" s="173" t="str">
        <f t="shared" si="4"/>
        <v>Inferno Tower</v>
      </c>
      <c r="T55" s="181">
        <v>7</v>
      </c>
      <c r="U55" s="181">
        <f>MAX((VLOOKUP($T55,'Card Progress data'!$D$65:$E$76,2,0))-(((VLOOKUP($D55-1,'Card Progress data'!$T$24:$U$35,2,0))+C55)),0)</f>
        <v>0</v>
      </c>
      <c r="V55" s="184">
        <f>ROUNDUP(U55/'Card Progress data'!$AF$52,0)</f>
        <v>0</v>
      </c>
      <c r="W55" s="185">
        <f>U55/('Card Progress data'!$AF$52*$K$6)</f>
        <v>0</v>
      </c>
      <c r="X55" s="179">
        <f t="shared" ca="1" si="5"/>
        <v>45736.526136342596</v>
      </c>
      <c r="Y55" s="186">
        <f>MAX(P55-VLOOKUP(T55,'Card Progress data'!$D$44:$E$55,2,0),0)</f>
        <v>4000</v>
      </c>
      <c r="Z55" s="187">
        <f>MAX(VLOOKUP(T55,'Card Progress data'!$AZ$24:$BA$35,2,0)-(VLOOKUP(D55,'Card Progress data'!$AZ$24:$BA$35,2,0)),0)</f>
        <v>200</v>
      </c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</row>
    <row r="56" spans="1:62" ht="15.75" customHeight="1">
      <c r="A56" s="157"/>
      <c r="B56" s="173" t="s">
        <v>15</v>
      </c>
      <c r="C56" s="176">
        <v>443</v>
      </c>
      <c r="D56" s="190">
        <v>9</v>
      </c>
      <c r="E56" s="182">
        <f>MAX(VLOOKUP(D56,'Card Progress data'!$D$24:$E$35,2,0)-C56,0)</f>
        <v>357</v>
      </c>
      <c r="F56" s="207">
        <f>ROUNDUP(E56/'Card Progress data'!$AF$52,0)</f>
        <v>90</v>
      </c>
      <c r="G56" s="178">
        <f>E56/('Card Progress data'!$AF$52*$K$6)</f>
        <v>29.75</v>
      </c>
      <c r="H56" s="179">
        <f t="shared" ca="1" si="2"/>
        <v>45768.026136342596</v>
      </c>
      <c r="I56" s="180">
        <f>MAX(VLOOKUP(D56,'Card Progress data'!$D$4:$E$15,2,0),0)</f>
        <v>50000</v>
      </c>
      <c r="J56" s="184">
        <f>VLOOKUP(VLOOKUP(D56-1,'Card Progress data'!$T$23:$U$35,2,0)+C56,'Card Progress data'!$U$24:$V$35,2,1)</f>
        <v>9</v>
      </c>
      <c r="K56" s="180">
        <f>P56-VLOOKUP(J56,'Card Progress data'!$D$44:$E$55,2,0)</f>
        <v>0</v>
      </c>
      <c r="L56" s="182">
        <f>MAX('Generic Info'!$U$56-C56-VLOOKUP(D56,'Generic Info'!$T$46:$U$56,2,0),0)</f>
        <v>1357</v>
      </c>
      <c r="M56" s="207">
        <f>ROUNDUP(L56/'Card Progress data'!$AF$52,0)</f>
        <v>340</v>
      </c>
      <c r="N56" s="178">
        <f>L56/('Card Progress data'!$AF$52*$K$6)</f>
        <v>113.08333333333333</v>
      </c>
      <c r="O56" s="179">
        <f t="shared" ca="1" si="3"/>
        <v>45855.526136342596</v>
      </c>
      <c r="P56" s="208">
        <f>MAX('Card Progress data'!$U$15-VLOOKUP(D56-1,'Card Progress data'!$T$4:$U$15,2,0),0)</f>
        <v>150000</v>
      </c>
      <c r="Q56" s="208">
        <f>'Card Progress data'!$E$45-MAX('Card Progress data'!$U$15-VLOOKUP(D56-1,'Card Progress data'!$T$4:$U$15,2,0),0)</f>
        <v>35600</v>
      </c>
      <c r="R56" s="183">
        <f>L56*'Card Progress data'!$V$80</f>
        <v>135700</v>
      </c>
      <c r="S56" s="173" t="str">
        <f t="shared" si="4"/>
        <v>Giant</v>
      </c>
      <c r="T56" s="181">
        <v>7</v>
      </c>
      <c r="U56" s="181">
        <f>MAX((VLOOKUP($T56,'Card Progress data'!$D$65:$E$76,2,0))-(((VLOOKUP($D56-1,'Card Progress data'!$T$24:$U$35,2,0))+C56)),0)</f>
        <v>0</v>
      </c>
      <c r="V56" s="184">
        <f>ROUNDUP(U56/'Card Progress data'!$AF$52,0)</f>
        <v>0</v>
      </c>
      <c r="W56" s="185">
        <f>U56/('Card Progress data'!$AF$52*$K$6)</f>
        <v>0</v>
      </c>
      <c r="X56" s="179">
        <f t="shared" ca="1" si="5"/>
        <v>45736.526136342596</v>
      </c>
      <c r="Y56" s="186">
        <f>MAX(P56-VLOOKUP(T56,'Card Progress data'!$D$44:$E$55,2,0),0)</f>
        <v>0</v>
      </c>
      <c r="Z56" s="187">
        <f>MAX(VLOOKUP(T56,'Card Progress data'!$AZ$24:$BA$35,2,0)-(VLOOKUP(D56,'Card Progress data'!$AZ$24:$BA$35,2,0)),0)</f>
        <v>0</v>
      </c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  <c r="BJ56" s="157"/>
    </row>
    <row r="57" spans="1:62" ht="15.75" customHeight="1">
      <c r="A57" s="157"/>
      <c r="B57" s="173" t="s">
        <v>347</v>
      </c>
      <c r="C57" s="176">
        <v>688</v>
      </c>
      <c r="D57" s="190">
        <v>7</v>
      </c>
      <c r="E57" s="182">
        <f>MAX(VLOOKUP(D57,'Card Progress data'!$D$24:$E$35,2,0)-C57,0)</f>
        <v>0</v>
      </c>
      <c r="F57" s="207">
        <f>ROUNDUP(E57/'Card Progress data'!$AF$52,0)</f>
        <v>0</v>
      </c>
      <c r="G57" s="178">
        <f>E57/('Card Progress data'!$AF$52*$K$6)</f>
        <v>0</v>
      </c>
      <c r="H57" s="179" t="str">
        <f t="shared" ca="1" si="2"/>
        <v/>
      </c>
      <c r="I57" s="180">
        <f>MAX(VLOOKUP(D57,'Card Progress data'!$D$4:$E$15,2,0),0)</f>
        <v>8000</v>
      </c>
      <c r="J57" s="181">
        <f>VLOOKUP(VLOOKUP(D57-1,'Card Progress data'!$T$23:$U$35,2,0)+C57,'Card Progress data'!$U$24:$V$35,2,1)</f>
        <v>9</v>
      </c>
      <c r="K57" s="180">
        <f>P57-VLOOKUP(J57,'Card Progress data'!$D$44:$E$55,2,0)</f>
        <v>28000</v>
      </c>
      <c r="L57" s="182">
        <f>MAX('Generic Info'!$U$56-C57-VLOOKUP(D57,'Generic Info'!$T$46:$U$56,2,0),0)</f>
        <v>1712</v>
      </c>
      <c r="M57" s="207">
        <f>ROUNDUP(L57/'Card Progress data'!$AF$52,0)</f>
        <v>428</v>
      </c>
      <c r="N57" s="178">
        <f>L57/('Card Progress data'!$AF$52*$K$6)</f>
        <v>142.66666666666666</v>
      </c>
      <c r="O57" s="179">
        <f t="shared" ca="1" si="3"/>
        <v>45886.326136342599</v>
      </c>
      <c r="P57" s="208">
        <f>MAX('Card Progress data'!$U$15-VLOOKUP(D57-1,'Card Progress data'!$T$4:$U$15,2,0),0)</f>
        <v>178000</v>
      </c>
      <c r="Q57" s="208">
        <f>'Card Progress data'!$E$45-MAX('Card Progress data'!$U$15-VLOOKUP(D57-1,'Card Progress data'!$T$4:$U$15,2,0),0)</f>
        <v>7600</v>
      </c>
      <c r="R57" s="183">
        <f>L57*'Card Progress data'!$V$80</f>
        <v>171200</v>
      </c>
      <c r="S57" s="173" t="str">
        <f t="shared" si="4"/>
        <v>Wizard</v>
      </c>
      <c r="T57" s="181">
        <v>7</v>
      </c>
      <c r="U57" s="181">
        <f>MAX((VLOOKUP($T57,'Card Progress data'!$D$65:$E$76,2,0))-(((VLOOKUP($D57-1,'Card Progress data'!$T$24:$U$35,2,0))+C57)),0)</f>
        <v>0</v>
      </c>
      <c r="V57" s="184">
        <f>ROUNDUP(U57/'Card Progress data'!$AF$52,0)</f>
        <v>0</v>
      </c>
      <c r="W57" s="185">
        <f>U57/('Card Progress data'!$AF$52*$K$6)</f>
        <v>0</v>
      </c>
      <c r="X57" s="179">
        <f t="shared" ca="1" si="5"/>
        <v>45736.526136342596</v>
      </c>
      <c r="Y57" s="186">
        <f>MAX(P57-VLOOKUP(T57,'Card Progress data'!$D$44:$E$55,2,0),0)</f>
        <v>0</v>
      </c>
      <c r="Z57" s="187">
        <f>MAX(VLOOKUP(T57,'Card Progress data'!$AZ$24:$BA$35,2,0)-(VLOOKUP(D57,'Card Progress data'!$AZ$24:$BA$35,2,0)),0)</f>
        <v>0</v>
      </c>
      <c r="AA57" s="157"/>
      <c r="AB57" s="157"/>
      <c r="AC57" s="157"/>
      <c r="AD57" s="157"/>
      <c r="AE57" s="157"/>
      <c r="AF57" s="204">
        <f>(P38+P66+P94+P113)/4</f>
        <v>0.8972157984831366</v>
      </c>
      <c r="AG57" s="204">
        <f>(Q66+Q38+Q94+Q113)/4</f>
        <v>0.10278420151686346</v>
      </c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  <c r="BJ57" s="157"/>
    </row>
    <row r="58" spans="1:62" ht="15.75" customHeight="1">
      <c r="A58" s="157"/>
      <c r="B58" s="173" t="s">
        <v>348</v>
      </c>
      <c r="C58" s="176">
        <v>423</v>
      </c>
      <c r="D58" s="190">
        <v>1</v>
      </c>
      <c r="E58" s="182">
        <f>MAX(VLOOKUP(D58,'Card Progress data'!$D$24:$E$35,2,0)-C58,0)</f>
        <v>0</v>
      </c>
      <c r="F58" s="207">
        <f>ROUNDUP(E58/'Card Progress data'!$AF$52,0)</f>
        <v>0</v>
      </c>
      <c r="G58" s="178">
        <f>E58/('Card Progress data'!$AF$52*$K$6)</f>
        <v>0</v>
      </c>
      <c r="H58" s="179" t="str">
        <f t="shared" ca="1" si="2"/>
        <v/>
      </c>
      <c r="I58" s="180">
        <f>MAX(VLOOKUP(D58,'Card Progress data'!$D$4:$E$15,2,0),0)</f>
        <v>50</v>
      </c>
      <c r="J58" s="181">
        <f>VLOOKUP(VLOOKUP(D58-1,'Card Progress data'!$T$23:$U$35,2,0)+C58,'Card Progress data'!$U$24:$V$35,2,1)</f>
        <v>8</v>
      </c>
      <c r="K58" s="180">
        <f>P58-VLOOKUP(J58,'Card Progress data'!$D$44:$E$55,2,0)</f>
        <v>15600</v>
      </c>
      <c r="L58" s="182">
        <f>MAX('Generic Info'!$U$56-C58-VLOOKUP(D58,'Generic Info'!$T$46:$U$56,2,0),0)</f>
        <v>2163</v>
      </c>
      <c r="M58" s="207">
        <f>ROUNDUP(L58/'Card Progress data'!$AF$52,0)</f>
        <v>541</v>
      </c>
      <c r="N58" s="178">
        <f>L58/('Card Progress data'!$AF$52*$K$6)</f>
        <v>180.25</v>
      </c>
      <c r="O58" s="179">
        <f t="shared" ca="1" si="3"/>
        <v>45925.876136342595</v>
      </c>
      <c r="P58" s="208">
        <f>MAX('Card Progress data'!$U$15-VLOOKUP(D58-1,'Card Progress data'!$T$4:$U$15,2,0),0)</f>
        <v>185600</v>
      </c>
      <c r="Q58" s="208">
        <f>'Card Progress data'!$E$45-MAX('Card Progress data'!$U$15-VLOOKUP(D58-1,'Card Progress data'!$T$4:$U$15,2,0),0)</f>
        <v>0</v>
      </c>
      <c r="R58" s="183">
        <f>L58*'Card Progress data'!$V$80</f>
        <v>216300</v>
      </c>
      <c r="S58" s="173" t="str">
        <f t="shared" si="4"/>
        <v>Royal Hogs</v>
      </c>
      <c r="T58" s="181">
        <v>7</v>
      </c>
      <c r="U58" s="181">
        <f>MAX((VLOOKUP($T58,'Card Progress data'!$D$65:$E$76,2,0))-(((VLOOKUP($D58-1,'Card Progress data'!$T$24:$U$35,2,0))+C58)),0)</f>
        <v>0</v>
      </c>
      <c r="V58" s="184">
        <f>ROUNDUP(U58/'Card Progress data'!$AF$52,0)</f>
        <v>0</v>
      </c>
      <c r="W58" s="185">
        <f>U58/('Card Progress data'!$AF$52*$K$6)</f>
        <v>0</v>
      </c>
      <c r="X58" s="179">
        <f t="shared" ca="1" si="5"/>
        <v>45736.526136342596</v>
      </c>
      <c r="Y58" s="186">
        <f>MAX(P58-VLOOKUP(T58,'Card Progress data'!$D$44:$E$55,2,0),0)</f>
        <v>7600</v>
      </c>
      <c r="Z58" s="187">
        <f>MAX(VLOOKUP(T58,'Card Progress data'!$AZ$24:$BA$35,2,0)-(VLOOKUP(D58,'Card Progress data'!$AZ$24:$BA$35,2,0)),0)</f>
        <v>391</v>
      </c>
      <c r="AA58" s="157"/>
      <c r="AB58" s="157"/>
      <c r="AC58" s="157"/>
      <c r="AD58" s="157"/>
      <c r="AE58" s="157"/>
      <c r="AF58" s="204"/>
      <c r="AG58" s="204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  <c r="BJ58" s="157"/>
    </row>
    <row r="59" spans="1:62" ht="15.75" customHeight="1">
      <c r="A59" s="157"/>
      <c r="B59" s="173" t="s">
        <v>349</v>
      </c>
      <c r="C59" s="176">
        <v>700</v>
      </c>
      <c r="D59" s="190">
        <v>7</v>
      </c>
      <c r="E59" s="182">
        <f>MAX(VLOOKUP(D59,'Card Progress data'!$D$24:$E$35,2,0)-C59,0)</f>
        <v>0</v>
      </c>
      <c r="F59" s="207">
        <f>ROUNDUP(E59/'Card Progress data'!$AF$52,0)</f>
        <v>0</v>
      </c>
      <c r="G59" s="178">
        <f>E59/('Card Progress data'!$AF$52*$K$6)</f>
        <v>0</v>
      </c>
      <c r="H59" s="179" t="str">
        <f t="shared" ca="1" si="2"/>
        <v/>
      </c>
      <c r="I59" s="180">
        <f>MAX(VLOOKUP(D59,'Card Progress data'!$D$4:$E$15,2,0),0)</f>
        <v>8000</v>
      </c>
      <c r="J59" s="181">
        <f>VLOOKUP(VLOOKUP(D59-1,'Card Progress data'!$T$23:$U$35,2,0)+C59,'Card Progress data'!$U$24:$V$35,2,1)</f>
        <v>9</v>
      </c>
      <c r="K59" s="180">
        <f>P59-VLOOKUP(J59,'Card Progress data'!$D$44:$E$55,2,0)</f>
        <v>28000</v>
      </c>
      <c r="L59" s="182">
        <f>MAX('Generic Info'!$U$56-C59-VLOOKUP(D59,'Generic Info'!$T$46:$U$56,2,0),0)</f>
        <v>1700</v>
      </c>
      <c r="M59" s="207">
        <f>ROUNDUP(L59/'Card Progress data'!$AF$52,0)</f>
        <v>425</v>
      </c>
      <c r="N59" s="178">
        <f>L59/('Card Progress data'!$AF$52*$K$6)</f>
        <v>141.66666666666666</v>
      </c>
      <c r="O59" s="179">
        <f t="shared" ca="1" si="3"/>
        <v>45885.276136342596</v>
      </c>
      <c r="P59" s="208">
        <f>MAX('Card Progress data'!$U$15-VLOOKUP(D59-1,'Card Progress data'!$T$4:$U$15,2,0),0)</f>
        <v>178000</v>
      </c>
      <c r="Q59" s="208">
        <f>'Card Progress data'!$E$45-MAX('Card Progress data'!$U$15-VLOOKUP(D59-1,'Card Progress data'!$T$4:$U$15,2,0),0)</f>
        <v>7600</v>
      </c>
      <c r="R59" s="183">
        <f>L59*'Card Progress data'!$V$80</f>
        <v>170000</v>
      </c>
      <c r="S59" s="173" t="str">
        <f t="shared" si="4"/>
        <v>Bomb Tower</v>
      </c>
      <c r="T59" s="181">
        <v>7</v>
      </c>
      <c r="U59" s="181">
        <f>MAX((VLOOKUP($T59,'Card Progress data'!$D$65:$E$76,2,0))-(((VLOOKUP($D59-1,'Card Progress data'!$T$24:$U$35,2,0))+C59)),0)</f>
        <v>0</v>
      </c>
      <c r="V59" s="184">
        <f>ROUNDUP(U59/'Card Progress data'!$AF$52,0)</f>
        <v>0</v>
      </c>
      <c r="W59" s="185">
        <f>U59/('Card Progress data'!$AF$52*$K$6)</f>
        <v>0</v>
      </c>
      <c r="X59" s="179">
        <f t="shared" ca="1" si="5"/>
        <v>45736.526136342596</v>
      </c>
      <c r="Y59" s="186">
        <f>MAX(P59-VLOOKUP(T59,'Card Progress data'!$D$44:$E$55,2,0),0)</f>
        <v>0</v>
      </c>
      <c r="Z59" s="187">
        <f>MAX(VLOOKUP(T59,'Card Progress data'!$AZ$24:$BA$35,2,0)-(VLOOKUP(D59,'Card Progress data'!$AZ$24:$BA$35,2,0)),0)</f>
        <v>0</v>
      </c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  <c r="BJ59" s="157"/>
    </row>
    <row r="60" spans="1:62" ht="15.75" customHeight="1">
      <c r="A60" s="157"/>
      <c r="B60" s="173" t="s">
        <v>350</v>
      </c>
      <c r="C60" s="176">
        <v>655</v>
      </c>
      <c r="D60" s="190">
        <v>7</v>
      </c>
      <c r="E60" s="182">
        <f>MAX(VLOOKUP(D60,'Card Progress data'!$D$24:$E$35,2,0)-C60,0)</f>
        <v>0</v>
      </c>
      <c r="F60" s="207">
        <f>ROUNDUP(E60/'Card Progress data'!$AF$52,0)</f>
        <v>0</v>
      </c>
      <c r="G60" s="178">
        <f>E60/('Card Progress data'!$AF$52*$K$6)</f>
        <v>0</v>
      </c>
      <c r="H60" s="179" t="str">
        <f t="shared" ca="1" si="2"/>
        <v/>
      </c>
      <c r="I60" s="180">
        <f>MAX(VLOOKUP(D60,'Card Progress data'!$D$4:$E$15,2,0),0)</f>
        <v>8000</v>
      </c>
      <c r="J60" s="181">
        <f>VLOOKUP(VLOOKUP(D60-1,'Card Progress data'!$T$23:$U$35,2,0)+C60,'Card Progress data'!$U$24:$V$35,2,1)</f>
        <v>9</v>
      </c>
      <c r="K60" s="180">
        <f>P60-VLOOKUP(J60,'Card Progress data'!$D$44:$E$55,2,0)</f>
        <v>28000</v>
      </c>
      <c r="L60" s="182">
        <f>MAX('Generic Info'!$U$56-C60-VLOOKUP(D60,'Generic Info'!$T$46:$U$56,2,0),0)</f>
        <v>1745</v>
      </c>
      <c r="M60" s="207">
        <f>ROUNDUP(L60/'Card Progress data'!$AF$52,0)</f>
        <v>437</v>
      </c>
      <c r="N60" s="178">
        <f>L60/('Card Progress data'!$AF$52*$K$6)</f>
        <v>145.41666666666666</v>
      </c>
      <c r="O60" s="179">
        <f t="shared" ca="1" si="3"/>
        <v>45889.476136342593</v>
      </c>
      <c r="P60" s="208">
        <f>MAX('Card Progress data'!$U$15-VLOOKUP(D60-1,'Card Progress data'!$T$4:$U$15,2,0),0)</f>
        <v>178000</v>
      </c>
      <c r="Q60" s="208">
        <f>'Card Progress data'!$E$45-MAX('Card Progress data'!$U$15-VLOOKUP(D60-1,'Card Progress data'!$T$4:$U$15,2,0),0)</f>
        <v>7600</v>
      </c>
      <c r="R60" s="183">
        <f>L60*'Card Progress data'!$V$80</f>
        <v>174500</v>
      </c>
      <c r="S60" s="173" t="str">
        <f t="shared" si="4"/>
        <v>Goblin Hut</v>
      </c>
      <c r="T60" s="181">
        <v>7</v>
      </c>
      <c r="U60" s="181">
        <f>MAX((VLOOKUP($T60,'Card Progress data'!$D$65:$E$76,2,0))-(((VLOOKUP($D60-1,'Card Progress data'!$T$24:$U$35,2,0))+C60)),0)</f>
        <v>0</v>
      </c>
      <c r="V60" s="184">
        <f>ROUNDUP(U60/'Card Progress data'!$AF$52,0)</f>
        <v>0</v>
      </c>
      <c r="W60" s="185">
        <f>U60/('Card Progress data'!$AF$52*$K$6)</f>
        <v>0</v>
      </c>
      <c r="X60" s="179">
        <f t="shared" ca="1" si="5"/>
        <v>45736.526136342596</v>
      </c>
      <c r="Y60" s="186">
        <f>MAX(P60-VLOOKUP(T60,'Card Progress data'!$D$44:$E$55,2,0),0)</f>
        <v>0</v>
      </c>
      <c r="Z60" s="187">
        <f>MAX(VLOOKUP(T60,'Card Progress data'!$AZ$24:$BA$35,2,0)-(VLOOKUP(D60,'Card Progress data'!$AZ$24:$BA$35,2,0)),0)</f>
        <v>0</v>
      </c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  <c r="BJ60" s="157"/>
    </row>
    <row r="61" spans="1:62" ht="15.75" customHeight="1">
      <c r="A61" s="157"/>
      <c r="B61" s="173" t="s">
        <v>351</v>
      </c>
      <c r="C61" s="176">
        <v>630</v>
      </c>
      <c r="D61" s="190">
        <v>7</v>
      </c>
      <c r="E61" s="182">
        <f>MAX(VLOOKUP(D61,'Card Progress data'!$D$24:$E$35,2,0)-C61,0)</f>
        <v>0</v>
      </c>
      <c r="F61" s="207">
        <f>ROUNDUP(E61/'Card Progress data'!$AF$52,0)</f>
        <v>0</v>
      </c>
      <c r="G61" s="178">
        <f>E61/('Card Progress data'!$AF$52*$K$6)</f>
        <v>0</v>
      </c>
      <c r="H61" s="179" t="str">
        <f t="shared" ca="1" si="2"/>
        <v/>
      </c>
      <c r="I61" s="180">
        <f>MAX(VLOOKUP(D61,'Card Progress data'!$D$4:$E$15,2,0),0)</f>
        <v>8000</v>
      </c>
      <c r="J61" s="181">
        <f>VLOOKUP(VLOOKUP(D61-1,'Card Progress data'!$T$23:$U$35,2,0)+C61,'Card Progress data'!$U$24:$V$35,2,1)</f>
        <v>9</v>
      </c>
      <c r="K61" s="180">
        <f>P61-VLOOKUP(J61,'Card Progress data'!$D$44:$E$55,2,0)</f>
        <v>28000</v>
      </c>
      <c r="L61" s="182">
        <f>MAX('Generic Info'!$U$56-C61-VLOOKUP(D61,'Generic Info'!$T$46:$U$56,2,0),0)</f>
        <v>1770</v>
      </c>
      <c r="M61" s="207">
        <f>ROUNDUP(L61/'Card Progress data'!$AF$52,0)</f>
        <v>443</v>
      </c>
      <c r="N61" s="178">
        <f>L61/('Card Progress data'!$AF$52*$K$6)</f>
        <v>147.5</v>
      </c>
      <c r="O61" s="179">
        <f t="shared" ca="1" si="3"/>
        <v>45891.576136342599</v>
      </c>
      <c r="P61" s="208">
        <f>MAX('Card Progress data'!$U$15-VLOOKUP(D61-1,'Card Progress data'!$T$4:$U$15,2,0),0)</f>
        <v>178000</v>
      </c>
      <c r="Q61" s="208">
        <f>'Card Progress data'!$E$45-MAX('Card Progress data'!$U$15-VLOOKUP(D61-1,'Card Progress data'!$T$4:$U$15,2,0),0)</f>
        <v>7600</v>
      </c>
      <c r="R61" s="183">
        <f>L61*'Card Progress data'!$V$80</f>
        <v>177000</v>
      </c>
      <c r="S61" s="173" t="str">
        <f t="shared" si="4"/>
        <v>Rocket</v>
      </c>
      <c r="T61" s="181">
        <v>7</v>
      </c>
      <c r="U61" s="181">
        <f>MAX((VLOOKUP($T61,'Card Progress data'!$D$65:$E$76,2,0))-(((VLOOKUP($D61-1,'Card Progress data'!$T$24:$U$35,2,0))+C61)),0)</f>
        <v>0</v>
      </c>
      <c r="V61" s="184">
        <f>ROUNDUP(U61/'Card Progress data'!$AF$52,0)</f>
        <v>0</v>
      </c>
      <c r="W61" s="185">
        <f>U61/('Card Progress data'!$AF$52*$K$6)</f>
        <v>0</v>
      </c>
      <c r="X61" s="179">
        <f t="shared" ca="1" si="5"/>
        <v>45736.526136342596</v>
      </c>
      <c r="Y61" s="186">
        <f>MAX(P61-VLOOKUP(T61,'Card Progress data'!$D$44:$E$55,2,0),0)</f>
        <v>0</v>
      </c>
      <c r="Z61" s="187">
        <f>MAX(VLOOKUP(T61,'Card Progress data'!$AZ$24:$BA$35,2,0)-(VLOOKUP(D61,'Card Progress data'!$AZ$24:$BA$35,2,0)),0)</f>
        <v>0</v>
      </c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  <c r="BJ61" s="157"/>
    </row>
    <row r="62" spans="1:62" ht="15.75" customHeight="1">
      <c r="A62" s="157"/>
      <c r="B62" s="173" t="s">
        <v>352</v>
      </c>
      <c r="C62" s="176">
        <v>890</v>
      </c>
      <c r="D62" s="190">
        <v>7</v>
      </c>
      <c r="E62" s="182">
        <f>MAX(VLOOKUP(D62,'Card Progress data'!$D$24:$E$35,2,0)-C62,0)</f>
        <v>0</v>
      </c>
      <c r="F62" s="207">
        <f>ROUNDUP(E62/'Card Progress data'!$AF$52,0)</f>
        <v>0</v>
      </c>
      <c r="G62" s="178">
        <f>E62/('Card Progress data'!$AF$52*$K$6)</f>
        <v>0</v>
      </c>
      <c r="H62" s="179" t="str">
        <f t="shared" ca="1" si="2"/>
        <v/>
      </c>
      <c r="I62" s="180">
        <f>MAX(VLOOKUP(D62,'Card Progress data'!$D$4:$E$15,2,0),0)</f>
        <v>8000</v>
      </c>
      <c r="J62" s="181">
        <f>VLOOKUP(VLOOKUP(D62-1,'Card Progress data'!$T$23:$U$35,2,0)+C62,'Card Progress data'!$U$24:$V$35,2,1)</f>
        <v>9</v>
      </c>
      <c r="K62" s="180">
        <f>P62-VLOOKUP(J62,'Card Progress data'!$D$44:$E$55,2,0)</f>
        <v>28000</v>
      </c>
      <c r="L62" s="182">
        <f>MAX('Generic Info'!$U$56-C62-VLOOKUP(D62,'Generic Info'!$T$46:$U$56,2,0),0)</f>
        <v>1510</v>
      </c>
      <c r="M62" s="207">
        <f>ROUNDUP(L62/'Card Progress data'!$AF$52,0)</f>
        <v>378</v>
      </c>
      <c r="N62" s="178">
        <f>L62/('Card Progress data'!$AF$52*$K$6)</f>
        <v>125.83333333333333</v>
      </c>
      <c r="O62" s="179">
        <f t="shared" ca="1" si="3"/>
        <v>45868.826136342599</v>
      </c>
      <c r="P62" s="208">
        <f>MAX('Card Progress data'!$U$15-VLOOKUP(D62-1,'Card Progress data'!$T$4:$U$15,2,0),0)</f>
        <v>178000</v>
      </c>
      <c r="Q62" s="208">
        <f>'Card Progress data'!$E$45-MAX('Card Progress data'!$U$15-VLOOKUP(D62-1,'Card Progress data'!$T$4:$U$15,2,0),0)</f>
        <v>7600</v>
      </c>
      <c r="R62" s="183">
        <f>L62*'Card Progress data'!$V$80</f>
        <v>151000</v>
      </c>
      <c r="S62" s="173" t="str">
        <f t="shared" si="4"/>
        <v>Elixir Collector</v>
      </c>
      <c r="T62" s="181">
        <v>7</v>
      </c>
      <c r="U62" s="181">
        <f>MAX((VLOOKUP($T62,'Card Progress data'!$D$65:$E$76,2,0))-(((VLOOKUP($D62-1,'Card Progress data'!$T$24:$U$35,2,0))+C62)),0)</f>
        <v>0</v>
      </c>
      <c r="V62" s="184">
        <f>ROUNDUP(U62/'Card Progress data'!$AF$52,0)</f>
        <v>0</v>
      </c>
      <c r="W62" s="185">
        <f>U62/('Card Progress data'!$AF$52*$K$6)</f>
        <v>0</v>
      </c>
      <c r="X62" s="179">
        <f t="shared" ca="1" si="5"/>
        <v>45736.526136342596</v>
      </c>
      <c r="Y62" s="186">
        <f>MAX(P62-VLOOKUP(T62,'Card Progress data'!$D$44:$E$55,2,0),0)</f>
        <v>0</v>
      </c>
      <c r="Z62" s="187">
        <f>MAX(VLOOKUP(T62,'Card Progress data'!$AZ$24:$BA$35,2,0)-(VLOOKUP(D62,'Card Progress data'!$AZ$24:$BA$35,2,0)),0)</f>
        <v>0</v>
      </c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  <c r="BJ62" s="157"/>
    </row>
    <row r="63" spans="1:62" ht="15.75" customHeight="1">
      <c r="A63" s="157"/>
      <c r="B63" s="173" t="s">
        <v>353</v>
      </c>
      <c r="C63" s="176">
        <v>701</v>
      </c>
      <c r="D63" s="190">
        <v>7</v>
      </c>
      <c r="E63" s="182">
        <f>MAX(VLOOKUP(D63,'Card Progress data'!$D$24:$E$35,2,0)-C63,0)</f>
        <v>0</v>
      </c>
      <c r="F63" s="207">
        <f>ROUNDUP(E63/'Card Progress data'!$AF$52,0)</f>
        <v>0</v>
      </c>
      <c r="G63" s="178">
        <f>E63/('Card Progress data'!$AF$52*$K$6)</f>
        <v>0</v>
      </c>
      <c r="H63" s="179" t="str">
        <f t="shared" ca="1" si="2"/>
        <v/>
      </c>
      <c r="I63" s="180">
        <f>MAX(VLOOKUP(D63,'Card Progress data'!$D$4:$E$15,2,0),0)</f>
        <v>8000</v>
      </c>
      <c r="J63" s="181">
        <f>VLOOKUP(VLOOKUP(D63-1,'Card Progress data'!$T$23:$U$35,2,0)+C63,'Card Progress data'!$U$24:$V$35,2,1)</f>
        <v>9</v>
      </c>
      <c r="K63" s="180">
        <f>P63-VLOOKUP(J63,'Card Progress data'!$D$44:$E$55,2,0)</f>
        <v>28000</v>
      </c>
      <c r="L63" s="182">
        <f>MAX('Generic Info'!$U$56-C63-VLOOKUP(D63,'Generic Info'!$T$46:$U$56,2,0),0)</f>
        <v>1699</v>
      </c>
      <c r="M63" s="207">
        <f>ROUNDUP(L63/'Card Progress data'!$AF$52,0)</f>
        <v>425</v>
      </c>
      <c r="N63" s="178">
        <f>L63/('Card Progress data'!$AF$52*$K$6)</f>
        <v>141.58333333333334</v>
      </c>
      <c r="O63" s="179">
        <f t="shared" ca="1" si="3"/>
        <v>45885.276136342596</v>
      </c>
      <c r="P63" s="208">
        <f>MAX('Card Progress data'!$U$15-VLOOKUP(D63-1,'Card Progress data'!$T$4:$U$15,2,0),0)</f>
        <v>178000</v>
      </c>
      <c r="Q63" s="208">
        <f>'Card Progress data'!$E$45-MAX('Card Progress data'!$U$15-VLOOKUP(D63-1,'Card Progress data'!$T$4:$U$15,2,0),0)</f>
        <v>7600</v>
      </c>
      <c r="R63" s="183">
        <f>L63*'Card Progress data'!$V$80</f>
        <v>169900</v>
      </c>
      <c r="S63" s="173" t="str">
        <f t="shared" si="4"/>
        <v>Barbarian Hut</v>
      </c>
      <c r="T63" s="181">
        <v>7</v>
      </c>
      <c r="U63" s="181">
        <f>MAX((VLOOKUP($T63,'Card Progress data'!$D$65:$E$76,2,0))-(((VLOOKUP($D63-1,'Card Progress data'!$T$24:$U$35,2,0))+C63)),0)</f>
        <v>0</v>
      </c>
      <c r="V63" s="184">
        <f>ROUNDUP(U63/'Card Progress data'!$AF$52,0)</f>
        <v>0</v>
      </c>
      <c r="W63" s="185">
        <f>U63/('Card Progress data'!$AF$52*$K$6)</f>
        <v>0</v>
      </c>
      <c r="X63" s="179">
        <f t="shared" ca="1" si="5"/>
        <v>45736.526136342596</v>
      </c>
      <c r="Y63" s="186">
        <f>MAX(P63-VLOOKUP(T63,'Card Progress data'!$D$44:$E$55,2,0),0)</f>
        <v>0</v>
      </c>
      <c r="Z63" s="187">
        <f>MAX(VLOOKUP(T63,'Card Progress data'!$AZ$24:$BA$35,2,0)-(VLOOKUP(D63,'Card Progress data'!$AZ$24:$BA$35,2,0)),0)</f>
        <v>0</v>
      </c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  <c r="BJ63" s="157"/>
    </row>
    <row r="64" spans="1:62" ht="15.75" customHeight="1">
      <c r="A64" s="157"/>
      <c r="B64" s="173" t="s">
        <v>354</v>
      </c>
      <c r="C64" s="176">
        <v>438</v>
      </c>
      <c r="D64" s="190">
        <v>8</v>
      </c>
      <c r="E64" s="182">
        <f>MAX(VLOOKUP(D64,'Card Progress data'!$D$24:$E$35,2,0)-C64,0)</f>
        <v>0</v>
      </c>
      <c r="F64" s="207">
        <f>ROUNDUP(E64/'Card Progress data'!$AF$52,0)</f>
        <v>0</v>
      </c>
      <c r="G64" s="178">
        <f>E64/('Card Progress data'!$AF$52*$K$6)</f>
        <v>0</v>
      </c>
      <c r="H64" s="179" t="str">
        <f t="shared" ca="1" si="2"/>
        <v/>
      </c>
      <c r="I64" s="180">
        <f>MAX(VLOOKUP(D64,'Card Progress data'!$D$4:$E$15,2,0),0)</f>
        <v>20000</v>
      </c>
      <c r="J64" s="181">
        <f>VLOOKUP(VLOOKUP(D64-1,'Card Progress data'!$T$23:$U$35,2,0)+C64,'Card Progress data'!$U$24:$V$35,2,1)</f>
        <v>9</v>
      </c>
      <c r="K64" s="180">
        <f>P64-VLOOKUP(J64,'Card Progress data'!$D$44:$E$55,2,0)</f>
        <v>20000</v>
      </c>
      <c r="L64" s="182">
        <f>MAX('Generic Info'!$U$56-C64-VLOOKUP(D64,'Generic Info'!$T$46:$U$56,2,0),0)</f>
        <v>1762</v>
      </c>
      <c r="M64" s="207">
        <f>ROUNDUP(L64/'Card Progress data'!$AF$52,0)</f>
        <v>441</v>
      </c>
      <c r="N64" s="178">
        <f>L64/('Card Progress data'!$AF$52*$K$6)</f>
        <v>146.83333333333334</v>
      </c>
      <c r="O64" s="179">
        <f t="shared" ca="1" si="3"/>
        <v>45890.876136342595</v>
      </c>
      <c r="P64" s="208">
        <f>MAX('Card Progress data'!$U$15-VLOOKUP(D64-1,'Card Progress data'!$T$4:$U$15,2,0),0)</f>
        <v>170000</v>
      </c>
      <c r="Q64" s="208">
        <f>'Card Progress data'!$E$45-MAX('Card Progress data'!$U$15-VLOOKUP(D64-1,'Card Progress data'!$T$4:$U$15,2,0),0)</f>
        <v>15600</v>
      </c>
      <c r="R64" s="183">
        <f>L64*'Card Progress data'!$V$80</f>
        <v>176200</v>
      </c>
      <c r="S64" s="173" t="str">
        <f t="shared" si="4"/>
        <v>Three Musketeers</v>
      </c>
      <c r="T64" s="181">
        <v>7</v>
      </c>
      <c r="U64" s="181">
        <f>MAX((VLOOKUP($T64,'Card Progress data'!$D$65:$E$76,2,0))-(((VLOOKUP($D64-1,'Card Progress data'!$T$24:$U$35,2,0))+C64)),0)</f>
        <v>0</v>
      </c>
      <c r="V64" s="184">
        <f>ROUNDUP(U64/'Card Progress data'!$AF$52,0)</f>
        <v>0</v>
      </c>
      <c r="W64" s="185">
        <f>U64/('Card Progress data'!$AF$52*$K$6)</f>
        <v>0</v>
      </c>
      <c r="X64" s="179">
        <f t="shared" ca="1" si="5"/>
        <v>45736.526136342596</v>
      </c>
      <c r="Y64" s="186">
        <f>MAX(P64-VLOOKUP(T64,'Card Progress data'!$D$44:$E$55,2,0),0)</f>
        <v>0</v>
      </c>
      <c r="Z64" s="187">
        <f>MAX(VLOOKUP(T64,'Card Progress data'!$AZ$24:$BA$35,2,0)-(VLOOKUP(D64,'Card Progress data'!$AZ$24:$BA$35,2,0)),0)</f>
        <v>0</v>
      </c>
      <c r="AA64" s="157"/>
      <c r="AB64" s="157"/>
      <c r="AC64" s="157"/>
      <c r="AD64" s="157"/>
      <c r="AE64" s="157"/>
      <c r="AF64" s="213">
        <f ca="1">TODAY()-WEEKDAY(TODAY())+1+7</f>
        <v>45739</v>
      </c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</row>
    <row r="65" spans="1:62" ht="15.75" customHeight="1">
      <c r="A65" s="157"/>
      <c r="B65" s="252" t="s">
        <v>4</v>
      </c>
      <c r="C65" s="252"/>
      <c r="D65" s="197">
        <f>SUM(D41:D64)/COUNT(D41:D64)</f>
        <v>7</v>
      </c>
      <c r="E65" s="198">
        <f>SUM(E41:E64)</f>
        <v>919</v>
      </c>
      <c r="F65" s="198">
        <f>SUM(F41:F64)</f>
        <v>231</v>
      </c>
      <c r="G65" s="198">
        <f>SUM(G41:G64)</f>
        <v>76.583333333333329</v>
      </c>
      <c r="H65" s="199">
        <f ca="1">(F65/20*7)+NOW()</f>
        <v>45817.376136342595</v>
      </c>
      <c r="I65" s="198">
        <f>SUM(I41:I64)</f>
        <v>378450</v>
      </c>
      <c r="J65" s="197">
        <f>SUM(J41:J64)/COUNT(J41:J64)</f>
        <v>8.625</v>
      </c>
      <c r="K65" s="198">
        <f>SUM(K41:K64)</f>
        <v>387000</v>
      </c>
      <c r="L65" s="198">
        <f>SUM(L41:L64)</f>
        <v>41023</v>
      </c>
      <c r="M65" s="198">
        <f>SUM(M41:M64)</f>
        <v>10264</v>
      </c>
      <c r="N65" s="198">
        <f>SUM(N41:N64)</f>
        <v>3418.5833333333335</v>
      </c>
      <c r="O65" s="199">
        <f ca="1">(M65/20*7)+NOW()</f>
        <v>49328.926136342598</v>
      </c>
      <c r="P65" s="200">
        <f>SUM(P41:P64)</f>
        <v>4137000</v>
      </c>
      <c r="Q65" s="200">
        <f>SUM(Q41:Q64)</f>
        <v>317400</v>
      </c>
      <c r="R65" s="200">
        <f>SUM(R41:R64)</f>
        <v>4102300</v>
      </c>
      <c r="S65" s="200"/>
      <c r="T65" s="200">
        <v>9</v>
      </c>
      <c r="U65" s="200">
        <f>SUM(U41:U64)</f>
        <v>0</v>
      </c>
      <c r="V65" s="200">
        <f>SUM(V41:V64)</f>
        <v>0</v>
      </c>
      <c r="W65" s="200">
        <f>SUM(W41:W64)</f>
        <v>0</v>
      </c>
      <c r="X65" s="201">
        <f t="shared" ca="1" si="5"/>
        <v>45736.526136342596</v>
      </c>
      <c r="Y65" s="200">
        <f>SUM(Y41:Y64)</f>
        <v>19000</v>
      </c>
      <c r="Z65" s="200">
        <f>SUM(Z41:Z64)</f>
        <v>966</v>
      </c>
      <c r="AA65" s="157"/>
      <c r="AB65" s="157"/>
      <c r="AC65" s="157"/>
      <c r="AD65" s="157"/>
      <c r="AE65" s="157"/>
      <c r="AF65" s="157"/>
      <c r="AG65" s="162">
        <f ca="1">O65</f>
        <v>49328.926136342598</v>
      </c>
      <c r="AH65" s="157"/>
      <c r="AI65" s="162">
        <v>45994.47576666667</v>
      </c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</row>
    <row r="66" spans="1:62" ht="15.75" customHeight="1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204">
        <f>L65/'Generic Info'!U75</f>
        <v>0.66072348924107716</v>
      </c>
      <c r="M66" s="157"/>
      <c r="N66" s="157"/>
      <c r="O66" s="169" t="s">
        <v>260</v>
      </c>
      <c r="P66" s="204">
        <f>P65/(P65+Q65)</f>
        <v>0.92874461206896552</v>
      </c>
      <c r="Q66" s="204">
        <f>Q65/SUM(P65+Q65)</f>
        <v>7.1255387931034489E-2</v>
      </c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62">
        <f ca="1">AG65-(31*AH66)</f>
        <v>48088.926136342598</v>
      </c>
      <c r="AH66" s="157">
        <v>40</v>
      </c>
      <c r="AI66" s="157"/>
      <c r="AJ66" s="162">
        <f>AI65-(38*AK66)</f>
        <v>43828.47576666667</v>
      </c>
      <c r="AK66" s="157">
        <v>57</v>
      </c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</row>
    <row r="67" spans="1:62" ht="15.75" customHeight="1">
      <c r="A67" s="157"/>
      <c r="B67" s="253" t="s">
        <v>519</v>
      </c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302"/>
      <c r="S67" s="305" t="s">
        <v>519</v>
      </c>
      <c r="T67" s="305"/>
      <c r="U67" s="305"/>
      <c r="V67" s="305"/>
      <c r="W67" s="305"/>
      <c r="X67" s="305"/>
      <c r="Y67" s="305"/>
      <c r="Z67" s="305"/>
      <c r="AA67" s="157"/>
      <c r="AB67" s="157"/>
      <c r="AC67" s="157"/>
      <c r="AD67" s="157"/>
      <c r="AE67" s="157"/>
      <c r="AF67" s="157"/>
      <c r="AG67" s="162">
        <f ca="1">NOW()+(7*AH66)</f>
        <v>46016.526136342596</v>
      </c>
      <c r="AH67" s="189"/>
      <c r="AI67" s="157"/>
      <c r="AJ67" s="162">
        <f ca="1">AG67+(7*AK66)</f>
        <v>46415.526136342596</v>
      </c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</row>
    <row r="68" spans="1:62" ht="15.75" customHeight="1">
      <c r="A68" s="157"/>
      <c r="B68" s="173" t="s">
        <v>265</v>
      </c>
      <c r="C68" s="173" t="s">
        <v>266</v>
      </c>
      <c r="D68" s="173" t="s">
        <v>215</v>
      </c>
      <c r="E68" s="173" t="s">
        <v>267</v>
      </c>
      <c r="F68" s="173" t="s">
        <v>268</v>
      </c>
      <c r="G68" s="173" t="s">
        <v>356</v>
      </c>
      <c r="H68" s="173" t="s">
        <v>270</v>
      </c>
      <c r="I68" s="173" t="s">
        <v>271</v>
      </c>
      <c r="J68" s="172" t="s">
        <v>272</v>
      </c>
      <c r="K68" s="172" t="s">
        <v>273</v>
      </c>
      <c r="L68" s="173" t="s">
        <v>274</v>
      </c>
      <c r="M68" s="173" t="s">
        <v>268</v>
      </c>
      <c r="N68" s="174" t="s">
        <v>356</v>
      </c>
      <c r="O68" s="174" t="s">
        <v>275</v>
      </c>
      <c r="P68" s="173" t="s">
        <v>276</v>
      </c>
      <c r="Q68" s="175" t="s">
        <v>277</v>
      </c>
      <c r="R68" s="175" t="s">
        <v>278</v>
      </c>
      <c r="S68" s="303" t="s">
        <v>265</v>
      </c>
      <c r="T68" s="303" t="s">
        <v>331</v>
      </c>
      <c r="U68" s="304" t="s">
        <v>267</v>
      </c>
      <c r="V68" s="304" t="s">
        <v>268</v>
      </c>
      <c r="W68" s="304" t="s">
        <v>356</v>
      </c>
      <c r="X68" s="304" t="s">
        <v>270</v>
      </c>
      <c r="Y68" s="304" t="s">
        <v>280</v>
      </c>
      <c r="Z68" s="304" t="s">
        <v>281</v>
      </c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</row>
    <row r="69" spans="1:62" ht="15.75" customHeight="1">
      <c r="A69" s="157"/>
      <c r="B69" s="173" t="s">
        <v>357</v>
      </c>
      <c r="C69" s="176">
        <v>52</v>
      </c>
      <c r="D69" s="190">
        <v>5</v>
      </c>
      <c r="E69" s="182">
        <f>MAX(VLOOKUP(D69,'Card Progress data'!$G$24:$H$32,2,0)-C69,0)</f>
        <v>0</v>
      </c>
      <c r="F69" s="177">
        <f>ROUNDUP(E69/'Card Progress data'!$AE$54,0)</f>
        <v>0</v>
      </c>
      <c r="G69" s="177">
        <f>ROUNDUP(E69/'Card Progress data'!$AE$54,0)</f>
        <v>0</v>
      </c>
      <c r="H69" s="179" t="str">
        <f ca="1">IF(INT((TODAY()-1)/7)*7+1+(+(G69*7))=INT((TODAY()-1)/7)*7+1,"",INT((TODAY()-1)/7)*7+1*(G69*7))</f>
        <v/>
      </c>
      <c r="I69" s="180">
        <f>MAX(VLOOKUP(D69,'Card Progress data'!$G$4:$H$15,2,0),0)</f>
        <v>20000</v>
      </c>
      <c r="J69" s="181">
        <f>VLOOKUP(VLOOKUP(D69-1,'Card Progress data'!$W$23:$X$31,2,0)+C69,'Card Progress data'!$X$24:$Y$31,2,1)</f>
        <v>6</v>
      </c>
      <c r="K69" s="180">
        <f>P69-VLOOKUP(J69,'Card Progress data'!$G$44:$H$52,2,0)</f>
        <v>20000</v>
      </c>
      <c r="L69" s="182">
        <f>MAX('Generic Info'!$X$53-C69-VLOOKUP(D69,'Generic Info'!$W$46:$X$53,2,0),0)</f>
        <v>298</v>
      </c>
      <c r="M69" s="207">
        <f t="shared" ref="M69:M92" si="6">ROUNDUP(L69/4,0)</f>
        <v>75</v>
      </c>
      <c r="N69" s="214">
        <f t="shared" ref="N69:N92" si="7">ROUNDUP(L69/4,0)</f>
        <v>75</v>
      </c>
      <c r="O69" s="179">
        <f t="shared" ref="O69:O93" ca="1" si="8">IF(INT((TODAY()-1)/7)*7+1+(+(N69*7))=INT((TODAY()-1)/7)*7+1,"",INT((TODAY()-1)/7)*7+1*(N69*7))</f>
        <v>46256</v>
      </c>
      <c r="P69" s="208">
        <f>MAX('Card Progress data'!$X$12-VLOOKUP(D69-1,'Card Progress data'!$W$4:$X$12,2,0),0)</f>
        <v>170000</v>
      </c>
      <c r="Q69" s="208">
        <f>'Card Progress data'!$H$45-MAX('Card Progress data'!$X$12-VLOOKUP(D69-1,'Card Progress data'!$W$4:$X$12,2,0),0)</f>
        <v>14400</v>
      </c>
      <c r="R69" s="183">
        <f>L69*'Card Progress data'!$V$81</f>
        <v>298000</v>
      </c>
      <c r="S69" s="173" t="str">
        <f t="shared" ref="S69:S92" si="9">B69</f>
        <v>Mirror</v>
      </c>
      <c r="T69" s="181">
        <v>5</v>
      </c>
      <c r="U69" s="181">
        <f>MAX((VLOOKUP($T69,'Card Progress data'!$G$65:$H$73,2,0))-(((VLOOKUP($D69-1,'Card Progress data'!$W$24:$X$32,2,0))+C69)),0)</f>
        <v>0</v>
      </c>
      <c r="V69" s="184">
        <f>ROUNDUP(U69/'Card Progress data'!$AE$54,0)</f>
        <v>0</v>
      </c>
      <c r="W69" s="184">
        <f>ROUNDUP(U69/('Card Progress data'!$AF$52),0)</f>
        <v>0</v>
      </c>
      <c r="X69" s="179" t="str">
        <f t="shared" ref="X69:X93" ca="1" si="10">IF(INT((TODAY()-1)/7)*7+1+(+(W69*7))=INT((TODAY()-1)/7)*7+1,"",INT((TODAY()-1)/7)*7+1*(W69*7))</f>
        <v/>
      </c>
      <c r="Y69" s="186">
        <f>MAX(P69-VLOOKUP(T69,'Card Progress data'!$G$44:$H$52,2,0),0)</f>
        <v>0</v>
      </c>
      <c r="Z69" s="187">
        <f>MAX(VLOOKUP(T69,'Card Progress data'!$BC$24:$BD$32,2,0)-(VLOOKUP(D69,'Card Progress data'!$BC$24:$BD$32,2,0)),0)</f>
        <v>0</v>
      </c>
      <c r="AA69" s="157"/>
      <c r="AB69" s="157"/>
      <c r="AC69" s="157"/>
      <c r="AD69" s="157"/>
      <c r="AE69" s="157"/>
      <c r="AF69" s="157"/>
      <c r="AG69" s="188">
        <f>F69*7</f>
        <v>0</v>
      </c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</row>
    <row r="70" spans="1:62" ht="15.75" customHeight="1">
      <c r="A70" s="157"/>
      <c r="B70" s="173" t="s">
        <v>358</v>
      </c>
      <c r="C70" s="176">
        <v>74</v>
      </c>
      <c r="D70" s="190">
        <v>5</v>
      </c>
      <c r="E70" s="182">
        <f>MAX(VLOOKUP(D70,'Card Progress data'!$G$24:$H$32,2,0)-C70,0)</f>
        <v>0</v>
      </c>
      <c r="F70" s="177">
        <f>ROUNDUP(E70/'Card Progress data'!$AE$54,0)</f>
        <v>0</v>
      </c>
      <c r="G70" s="177">
        <f>ROUNDUP(E70/'Card Progress data'!$AE$54,0)</f>
        <v>0</v>
      </c>
      <c r="H70" s="179" t="str">
        <f t="shared" ref="H70:H92" ca="1" si="11">IF(INT((TODAY()-1)/7)*7+1+(+(F70*7))=INT((TODAY()-1)/7)*7+1,"",INT((TODAY()-1)/7)*7+1*(F70*7))</f>
        <v/>
      </c>
      <c r="I70" s="180">
        <f>MAX(VLOOKUP(D70,'Card Progress data'!$G$4:$H$15,2,0),0)</f>
        <v>20000</v>
      </c>
      <c r="J70" s="181">
        <f>VLOOKUP(VLOOKUP(D70-1,'Card Progress data'!$W$23:$X$31,2,0)+C70,'Card Progress data'!$X$24:$Y$31,2,1)</f>
        <v>6</v>
      </c>
      <c r="K70" s="180">
        <f>P70-VLOOKUP(J70,'Card Progress data'!$G$44:$H$52,2,0)</f>
        <v>20000</v>
      </c>
      <c r="L70" s="182">
        <f>MAX('Generic Info'!$X$53-C70-VLOOKUP(D70,'Generic Info'!$W$46:$X$53,2,0),0)</f>
        <v>276</v>
      </c>
      <c r="M70" s="207">
        <f t="shared" si="6"/>
        <v>69</v>
      </c>
      <c r="N70" s="214">
        <f t="shared" si="7"/>
        <v>69</v>
      </c>
      <c r="O70" s="179">
        <f t="shared" ca="1" si="8"/>
        <v>46214</v>
      </c>
      <c r="P70" s="208">
        <f>MAX('Card Progress data'!$X$12-VLOOKUP(D70-1,'Card Progress data'!$W$4:$X$12,2,0),0)</f>
        <v>170000</v>
      </c>
      <c r="Q70" s="208">
        <f>'Card Progress data'!$H$45-MAX('Card Progress data'!$X$12-VLOOKUP(D70-1,'Card Progress data'!$W$4:$X$12,2,0),0)</f>
        <v>14400</v>
      </c>
      <c r="R70" s="183">
        <f>L70*'Card Progress data'!$V$81</f>
        <v>276000</v>
      </c>
      <c r="S70" s="173" t="str">
        <f t="shared" si="9"/>
        <v>Rage</v>
      </c>
      <c r="T70" s="181">
        <v>5</v>
      </c>
      <c r="U70" s="181">
        <f>MAX((VLOOKUP($T70,'Card Progress data'!$G$65:$H$73,2,0))-(((VLOOKUP($D70-1,'Card Progress data'!$W$24:$X$32,2,0))+C70)),0)</f>
        <v>0</v>
      </c>
      <c r="V70" s="184">
        <f>ROUNDUP(U70/'Card Progress data'!$AE$54,0)</f>
        <v>0</v>
      </c>
      <c r="W70" s="184">
        <f>ROUNDUP(U70/('Card Progress data'!$AF$52),0)</f>
        <v>0</v>
      </c>
      <c r="X70" s="179" t="str">
        <f t="shared" ca="1" si="10"/>
        <v/>
      </c>
      <c r="Y70" s="186">
        <f>MAX(P70-VLOOKUP(T70,'Card Progress data'!$G$44:$H$52,2,0),0)</f>
        <v>0</v>
      </c>
      <c r="Z70" s="187">
        <f>MAX(VLOOKUP(T70,'Card Progress data'!$BC$24:$BD$32,2,0)-(VLOOKUP(D70,'Card Progress data'!$BC$24:$BD$32,2,0)),0)</f>
        <v>0</v>
      </c>
      <c r="AA70" s="157"/>
      <c r="AB70" s="157"/>
      <c r="AC70" s="157"/>
      <c r="AD70" s="157"/>
      <c r="AE70" s="157"/>
      <c r="AF70" s="157"/>
      <c r="AG70" s="162">
        <f ca="1">NOW()+AG69</f>
        <v>45736.526136342596</v>
      </c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</row>
    <row r="71" spans="1:62" ht="15.75" customHeight="1">
      <c r="A71" s="157"/>
      <c r="B71" s="173" t="s">
        <v>359</v>
      </c>
      <c r="C71" s="176">
        <v>47</v>
      </c>
      <c r="D71" s="190">
        <v>4</v>
      </c>
      <c r="E71" s="182">
        <f>MAX(VLOOKUP(D71,'Card Progress data'!$G$24:$H$32,2,0)-C71,0)</f>
        <v>0</v>
      </c>
      <c r="F71" s="177">
        <f>ROUNDUP(E71/'Card Progress data'!$AE$54,0)</f>
        <v>0</v>
      </c>
      <c r="G71" s="177">
        <f>ROUNDUP(E71/'Card Progress data'!$AE$54,0)</f>
        <v>0</v>
      </c>
      <c r="H71" s="179" t="str">
        <f t="shared" ca="1" si="11"/>
        <v/>
      </c>
      <c r="I71" s="180">
        <f>MAX(VLOOKUP(D71,'Card Progress data'!$G$4:$H$15,2,0),0)</f>
        <v>8000</v>
      </c>
      <c r="J71" s="181">
        <f>VLOOKUP(VLOOKUP(D71-1,'Card Progress data'!$W$23:$X$31,2,0)+C71,'Card Progress data'!$X$24:$Y$31,2,1)</f>
        <v>5</v>
      </c>
      <c r="K71" s="180">
        <f>P71-VLOOKUP(J71,'Card Progress data'!$G$44:$H$52,2,0)</f>
        <v>8000</v>
      </c>
      <c r="L71" s="182">
        <f>MAX('Generic Info'!$X$53-C71-VLOOKUP(D71,'Generic Info'!$W$46:$X$53,2,0),0)</f>
        <v>323</v>
      </c>
      <c r="M71" s="207">
        <f t="shared" si="6"/>
        <v>81</v>
      </c>
      <c r="N71" s="214">
        <f t="shared" si="7"/>
        <v>81</v>
      </c>
      <c r="O71" s="179">
        <f t="shared" ca="1" si="8"/>
        <v>46298</v>
      </c>
      <c r="P71" s="208">
        <f>MAX('Card Progress data'!$X$12-VLOOKUP(D71-1,'Card Progress data'!$W$4:$X$12,2,0),0)</f>
        <v>178000</v>
      </c>
      <c r="Q71" s="208">
        <f>'Card Progress data'!$H$45-MAX('Card Progress data'!$X$12-VLOOKUP(D71-1,'Card Progress data'!$W$4:$X$12,2,0),0)</f>
        <v>6400</v>
      </c>
      <c r="R71" s="183">
        <f>L71*'Card Progress data'!$V$81</f>
        <v>323000</v>
      </c>
      <c r="S71" s="173" t="str">
        <f t="shared" si="9"/>
        <v>Skeleton Army</v>
      </c>
      <c r="T71" s="181">
        <v>5</v>
      </c>
      <c r="U71" s="181">
        <f>MAX((VLOOKUP($T71,'Card Progress data'!$G$65:$H$73,2,0))-(((VLOOKUP($D71-1,'Card Progress data'!$W$24:$X$32,2,0))+C71)),0)</f>
        <v>0</v>
      </c>
      <c r="V71" s="184">
        <f>ROUNDUP(U71/'Card Progress data'!$AE$54,0)</f>
        <v>0</v>
      </c>
      <c r="W71" s="184">
        <f>ROUNDUP(U71/('Card Progress data'!$AF$52),0)</f>
        <v>0</v>
      </c>
      <c r="X71" s="179" t="str">
        <f t="shared" ca="1" si="10"/>
        <v/>
      </c>
      <c r="Y71" s="186">
        <f>MAX(P71-VLOOKUP(T71,'Card Progress data'!$G$44:$H$52,2,0),0)</f>
        <v>8000</v>
      </c>
      <c r="Z71" s="187">
        <f>MAX(VLOOKUP(T71,'Card Progress data'!$BC$24:$BD$32,2,0)-(VLOOKUP(D71,'Card Progress data'!$BC$24:$BD$32,2,0)),0)</f>
        <v>400</v>
      </c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</row>
    <row r="72" spans="1:62" ht="15.75" customHeight="1">
      <c r="A72" s="157"/>
      <c r="B72" s="173" t="s">
        <v>360</v>
      </c>
      <c r="C72" s="176">
        <v>60</v>
      </c>
      <c r="D72" s="190">
        <v>5</v>
      </c>
      <c r="E72" s="182">
        <f>MAX(VLOOKUP(D72,'Card Progress data'!$G$24:$H$32,2,0)-C72,0)</f>
        <v>0</v>
      </c>
      <c r="F72" s="177">
        <f>ROUNDUP(E72/'Card Progress data'!$AE$54,0)</f>
        <v>0</v>
      </c>
      <c r="G72" s="177">
        <f>ROUNDUP(E72/'Card Progress data'!$AE$54,0)</f>
        <v>0</v>
      </c>
      <c r="H72" s="179" t="str">
        <f t="shared" ca="1" si="11"/>
        <v/>
      </c>
      <c r="I72" s="180">
        <f>MAX(VLOOKUP(D72,'Card Progress data'!$G$4:$H$15,2,0),0)</f>
        <v>20000</v>
      </c>
      <c r="J72" s="181">
        <f>VLOOKUP(VLOOKUP(D72-1,'Card Progress data'!$W$23:$X$31,2,0)+C72,'Card Progress data'!$X$24:$Y$31,2,1)</f>
        <v>6</v>
      </c>
      <c r="K72" s="180">
        <f>P72-VLOOKUP(J72,'Card Progress data'!$G$44:$H$52,2,0)</f>
        <v>20000</v>
      </c>
      <c r="L72" s="182">
        <f>MAX('Generic Info'!$X$53-C72-VLOOKUP(D72,'Generic Info'!$W$46:$X$53,2,0),0)</f>
        <v>290</v>
      </c>
      <c r="M72" s="207">
        <f t="shared" si="6"/>
        <v>73</v>
      </c>
      <c r="N72" s="214">
        <f t="shared" si="7"/>
        <v>73</v>
      </c>
      <c r="O72" s="179">
        <f t="shared" ca="1" si="8"/>
        <v>46242</v>
      </c>
      <c r="P72" s="208">
        <f>MAX('Card Progress data'!$X$12-VLOOKUP(D72-1,'Card Progress data'!$W$4:$X$12,2,0),0)</f>
        <v>170000</v>
      </c>
      <c r="Q72" s="208">
        <f>'Card Progress data'!$H$45-MAX('Card Progress data'!$X$12-VLOOKUP(D72-1,'Card Progress data'!$W$4:$X$12,2,0),0)</f>
        <v>14400</v>
      </c>
      <c r="R72" s="183">
        <f>L72*'Card Progress data'!$V$81</f>
        <v>290000</v>
      </c>
      <c r="S72" s="173" t="str">
        <f t="shared" si="9"/>
        <v>Barbarian Barrel</v>
      </c>
      <c r="T72" s="181">
        <v>5</v>
      </c>
      <c r="U72" s="181">
        <f>MAX((VLOOKUP($T72,'Card Progress data'!$G$65:$H$73,2,0))-(((VLOOKUP($D72-1,'Card Progress data'!$W$24:$X$32,2,0))+C72)),0)</f>
        <v>0</v>
      </c>
      <c r="V72" s="184">
        <f>ROUNDUP(U72/'Card Progress data'!$AE$54,0)</f>
        <v>0</v>
      </c>
      <c r="W72" s="184">
        <f>ROUNDUP(U72/('Card Progress data'!$AF$52),0)</f>
        <v>0</v>
      </c>
      <c r="X72" s="179" t="str">
        <f t="shared" ca="1" si="10"/>
        <v/>
      </c>
      <c r="Y72" s="186">
        <f>MAX(P72-VLOOKUP(T72,'Card Progress data'!$G$44:$H$52,2,0),0)</f>
        <v>0</v>
      </c>
      <c r="Z72" s="187">
        <f>MAX(VLOOKUP(T72,'Card Progress data'!$BC$24:$BD$32,2,0)-(VLOOKUP(D72,'Card Progress data'!$BC$24:$BD$32,2,0)),0)</f>
        <v>0</v>
      </c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</row>
    <row r="73" spans="1:62" ht="15.75" customHeight="1">
      <c r="A73" s="157"/>
      <c r="B73" s="173" t="s">
        <v>361</v>
      </c>
      <c r="C73" s="176">
        <v>47</v>
      </c>
      <c r="D73" s="190">
        <v>5</v>
      </c>
      <c r="E73" s="182">
        <f>MAX(VLOOKUP(D73,'Card Progress data'!$G$24:$H$32,2,0)-C73,0)</f>
        <v>3</v>
      </c>
      <c r="F73" s="177">
        <f>ROUNDUP(E73/'Card Progress data'!$AE$54,0)</f>
        <v>1</v>
      </c>
      <c r="G73" s="177">
        <f>ROUNDUP(E73/'Card Progress data'!$AE$54,0)</f>
        <v>1</v>
      </c>
      <c r="H73" s="179">
        <f t="shared" ca="1" si="11"/>
        <v>45738</v>
      </c>
      <c r="I73" s="180">
        <f>MAX(VLOOKUP(D73,'Card Progress data'!$G$4:$H$15,2,0),0)</f>
        <v>20000</v>
      </c>
      <c r="J73" s="181">
        <f>VLOOKUP(VLOOKUP(D73-1,'Card Progress data'!$W$23:$X$31,2,0)+C73,'Card Progress data'!$X$24:$Y$31,2,1)</f>
        <v>5</v>
      </c>
      <c r="K73" s="180">
        <f>P73-VLOOKUP(J73,'Card Progress data'!$G$44:$H$52,2,0)</f>
        <v>0</v>
      </c>
      <c r="L73" s="182">
        <f>MAX('Generic Info'!$X$53-C73-VLOOKUP(D73,'Generic Info'!$W$46:$X$53,2,0),0)</f>
        <v>303</v>
      </c>
      <c r="M73" s="207">
        <f t="shared" si="6"/>
        <v>76</v>
      </c>
      <c r="N73" s="214">
        <f t="shared" si="7"/>
        <v>76</v>
      </c>
      <c r="O73" s="179">
        <f t="shared" ca="1" si="8"/>
        <v>46263</v>
      </c>
      <c r="P73" s="208">
        <f>MAX('Card Progress data'!$X$12-VLOOKUP(D73-1,'Card Progress data'!$W$4:$X$12,2,0),0)</f>
        <v>170000</v>
      </c>
      <c r="Q73" s="208">
        <f>'Card Progress data'!$H$45-MAX('Card Progress data'!$X$12-VLOOKUP(D73-1,'Card Progress data'!$W$4:$X$12,2,0),0)</f>
        <v>14400</v>
      </c>
      <c r="R73" s="183">
        <f>L73*'Card Progress data'!$V$81</f>
        <v>303000</v>
      </c>
      <c r="S73" s="173" t="str">
        <f t="shared" si="9"/>
        <v>Guards</v>
      </c>
      <c r="T73" s="181">
        <v>5</v>
      </c>
      <c r="U73" s="181">
        <f>MAX((VLOOKUP($T73,'Card Progress data'!$G$65:$H$73,2,0))-(((VLOOKUP($D73-1,'Card Progress data'!$W$24:$X$32,2,0))+C73)),0)</f>
        <v>0</v>
      </c>
      <c r="V73" s="184">
        <f>ROUNDUP(U73/'Card Progress data'!$AE$54,0)</f>
        <v>0</v>
      </c>
      <c r="W73" s="184">
        <f>ROUNDUP(U73/('Card Progress data'!$AF$52),0)</f>
        <v>0</v>
      </c>
      <c r="X73" s="179" t="str">
        <f t="shared" ca="1" si="10"/>
        <v/>
      </c>
      <c r="Y73" s="186">
        <f>MAX(P73-VLOOKUP(T73,'Card Progress data'!$G$44:$H$52,2,0),0)</f>
        <v>0</v>
      </c>
      <c r="Z73" s="187">
        <f>MAX(VLOOKUP(T73,'Card Progress data'!$BC$24:$BD$32,2,0)-(VLOOKUP(D73,'Card Progress data'!$BC$24:$BD$32,2,0)),0)</f>
        <v>0</v>
      </c>
      <c r="AA73" s="157"/>
      <c r="AB73" s="157"/>
      <c r="AC73" s="157"/>
      <c r="AD73" s="157"/>
      <c r="AE73" s="157"/>
      <c r="AF73" s="157"/>
      <c r="AG73" s="157" t="s">
        <v>362</v>
      </c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</row>
    <row r="74" spans="1:62" ht="15.75" customHeight="1">
      <c r="A74" s="157"/>
      <c r="B74" s="173" t="s">
        <v>363</v>
      </c>
      <c r="C74" s="176">
        <v>44</v>
      </c>
      <c r="D74" s="190">
        <v>6</v>
      </c>
      <c r="E74" s="182">
        <f>MAX(VLOOKUP(D74,'Card Progress data'!$G$24:$H$32,2,0)-C74,0)</f>
        <v>56</v>
      </c>
      <c r="F74" s="177">
        <f>ROUNDUP(E74/'Card Progress data'!$AE$54,0)</f>
        <v>14</v>
      </c>
      <c r="G74" s="177">
        <f>ROUNDUP(E74/'Card Progress data'!$AE$54,0)</f>
        <v>14</v>
      </c>
      <c r="H74" s="179">
        <f t="shared" ca="1" si="11"/>
        <v>45829</v>
      </c>
      <c r="I74" s="180">
        <f>MAX(VLOOKUP(D74,'Card Progress data'!$G$4:$H$15,2,0),0)</f>
        <v>50000</v>
      </c>
      <c r="J74" s="181">
        <f>VLOOKUP(VLOOKUP(D74-1,'Card Progress data'!$W$23:$X$31,2,0)+C74,'Card Progress data'!$X$24:$Y$31,2,1)</f>
        <v>6</v>
      </c>
      <c r="K74" s="180">
        <f>P74-VLOOKUP(J74,'Card Progress data'!$G$44:$H$52,2,0)</f>
        <v>0</v>
      </c>
      <c r="L74" s="182">
        <f>MAX('Generic Info'!$X$53-C74-VLOOKUP(D74,'Generic Info'!$W$46:$X$53,2,0),0)</f>
        <v>256</v>
      </c>
      <c r="M74" s="207">
        <f t="shared" si="6"/>
        <v>64</v>
      </c>
      <c r="N74" s="214">
        <f t="shared" si="7"/>
        <v>64</v>
      </c>
      <c r="O74" s="179">
        <f t="shared" ca="1" si="8"/>
        <v>46179</v>
      </c>
      <c r="P74" s="208">
        <f>MAX('Card Progress data'!$X$12-VLOOKUP(D74-1,'Card Progress data'!$W$4:$X$12,2,0),0)</f>
        <v>150000</v>
      </c>
      <c r="Q74" s="208">
        <f>'Card Progress data'!$H$45-MAX('Card Progress data'!$X$12-VLOOKUP(D74-1,'Card Progress data'!$W$4:$X$12,2,0),0)</f>
        <v>34400</v>
      </c>
      <c r="R74" s="183">
        <f>L74*'Card Progress data'!$V$81</f>
        <v>256000</v>
      </c>
      <c r="S74" s="173" t="str">
        <f t="shared" si="9"/>
        <v>Goblin Barrel</v>
      </c>
      <c r="T74" s="181">
        <v>6</v>
      </c>
      <c r="U74" s="181">
        <f>MAX((VLOOKUP($T74,'Card Progress data'!$G$65:$H$73,2,0))-(((VLOOKUP($D74-1,'Card Progress data'!$W$24:$X$32,2,0))+C74)),0)</f>
        <v>0</v>
      </c>
      <c r="V74" s="184">
        <f>ROUNDUP(U74/'Card Progress data'!$AE$54,0)</f>
        <v>0</v>
      </c>
      <c r="W74" s="184">
        <f>ROUNDUP(U74/('Card Progress data'!$AF$52),0)</f>
        <v>0</v>
      </c>
      <c r="X74" s="179" t="str">
        <f t="shared" ca="1" si="10"/>
        <v/>
      </c>
      <c r="Y74" s="186">
        <f>MAX(P74-VLOOKUP(T74,'Card Progress data'!$G$44:$H$52,2,0),0)</f>
        <v>0</v>
      </c>
      <c r="Z74" s="187">
        <f>MAX(VLOOKUP(T74,'Card Progress data'!$BC$24:$BD$32,2,0)-(VLOOKUP(D74,'Card Progress data'!$BC$24:$BD$32,2,0)),0)</f>
        <v>0</v>
      </c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</row>
    <row r="75" spans="1:62" ht="15.75" customHeight="1">
      <c r="A75" s="157"/>
      <c r="B75" s="173" t="s">
        <v>364</v>
      </c>
      <c r="C75" s="176">
        <v>81</v>
      </c>
      <c r="D75" s="190">
        <v>5</v>
      </c>
      <c r="E75" s="182">
        <f>MAX(VLOOKUP(D75,'Card Progress data'!$G$24:$H$32,2,0)-C75,0)</f>
        <v>0</v>
      </c>
      <c r="F75" s="177">
        <f>ROUNDUP(E75/'Card Progress data'!$AE$54,0)</f>
        <v>0</v>
      </c>
      <c r="G75" s="177">
        <f>ROUNDUP(E75/'Card Progress data'!$AE$54,0)</f>
        <v>0</v>
      </c>
      <c r="H75" s="179" t="str">
        <f t="shared" ca="1" si="11"/>
        <v/>
      </c>
      <c r="I75" s="180">
        <f>MAX(VLOOKUP(D75,'Card Progress data'!$G$4:$H$15,2,0),0)</f>
        <v>20000</v>
      </c>
      <c r="J75" s="181">
        <f>VLOOKUP(VLOOKUP(D75-1,'Card Progress data'!$W$23:$X$31,2,0)+C75,'Card Progress data'!$X$24:$Y$31,2,1)</f>
        <v>6</v>
      </c>
      <c r="K75" s="180">
        <f>P75-VLOOKUP(J75,'Card Progress data'!$G$44:$H$52,2,0)</f>
        <v>20000</v>
      </c>
      <c r="L75" s="182">
        <f>MAX('Generic Info'!$X$53-C75-VLOOKUP(D75,'Generic Info'!$W$46:$X$53,2,0),0)</f>
        <v>269</v>
      </c>
      <c r="M75" s="207">
        <f t="shared" si="6"/>
        <v>68</v>
      </c>
      <c r="N75" s="214">
        <f t="shared" si="7"/>
        <v>68</v>
      </c>
      <c r="O75" s="179">
        <f t="shared" ca="1" si="8"/>
        <v>46207</v>
      </c>
      <c r="P75" s="208">
        <f>MAX('Card Progress data'!$X$12-VLOOKUP(D75-1,'Card Progress data'!$W$4:$X$12,2,0),0)</f>
        <v>170000</v>
      </c>
      <c r="Q75" s="208">
        <f>'Card Progress data'!$H$45-MAX('Card Progress data'!$X$12-VLOOKUP(D75-1,'Card Progress data'!$W$4:$X$12,2,0),0)</f>
        <v>14400</v>
      </c>
      <c r="R75" s="183">
        <f>L75*'Card Progress data'!$V$81</f>
        <v>269000</v>
      </c>
      <c r="S75" s="173" t="str">
        <f t="shared" si="9"/>
        <v>Tornado</v>
      </c>
      <c r="T75" s="181">
        <v>5</v>
      </c>
      <c r="U75" s="181">
        <f>MAX((VLOOKUP($T75,'Card Progress data'!$G$65:$H$73,2,0))-(((VLOOKUP($D75-1,'Card Progress data'!$W$24:$X$32,2,0))+C75)),0)</f>
        <v>0</v>
      </c>
      <c r="V75" s="184">
        <f>ROUNDUP(U75/'Card Progress data'!$AE$54,0)</f>
        <v>0</v>
      </c>
      <c r="W75" s="184">
        <f>ROUNDUP(U75/('Card Progress data'!$AF$52),0)</f>
        <v>0</v>
      </c>
      <c r="X75" s="179" t="str">
        <f t="shared" ca="1" si="10"/>
        <v/>
      </c>
      <c r="Y75" s="186">
        <f>MAX(P75-VLOOKUP(T75,'Card Progress data'!$G$44:$H$52,2,0),0)</f>
        <v>0</v>
      </c>
      <c r="Z75" s="187">
        <f>MAX(VLOOKUP(T75,'Card Progress data'!$BC$24:$BD$32,2,0)-(VLOOKUP(D75,'Card Progress data'!$BC$24:$BD$32,2,0)),0)</f>
        <v>0</v>
      </c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J75" s="157"/>
    </row>
    <row r="76" spans="1:62" ht="15.75" customHeight="1">
      <c r="A76" s="157"/>
      <c r="B76" s="173" t="s">
        <v>365</v>
      </c>
      <c r="C76" s="176">
        <v>118</v>
      </c>
      <c r="D76" s="190">
        <v>5</v>
      </c>
      <c r="E76" s="182">
        <f>MAX(VLOOKUP(D76,'Card Progress data'!$G$24:$H$32,2,0)-C76,0)</f>
        <v>0</v>
      </c>
      <c r="F76" s="177">
        <f>ROUNDUP(E76/'Card Progress data'!$AE$54,0)</f>
        <v>0</v>
      </c>
      <c r="G76" s="177">
        <f>ROUNDUP(E76/'Card Progress data'!$AE$54,0)</f>
        <v>0</v>
      </c>
      <c r="H76" s="179" t="str">
        <f t="shared" ca="1" si="11"/>
        <v/>
      </c>
      <c r="I76" s="180">
        <f>MAX(VLOOKUP(D76,'Card Progress data'!$G$4:$H$15,2,0),0)</f>
        <v>20000</v>
      </c>
      <c r="J76" s="181">
        <f>VLOOKUP(VLOOKUP(D76-1,'Card Progress data'!$W$23:$X$31,2,0)+C76,'Card Progress data'!$X$24:$Y$31,2,1)</f>
        <v>6</v>
      </c>
      <c r="K76" s="180">
        <f>P76-VLOOKUP(J76,'Card Progress data'!$G$44:$H$52,2,0)</f>
        <v>20000</v>
      </c>
      <c r="L76" s="182">
        <f>MAX('Generic Info'!$X$53-C76-VLOOKUP(D76,'Generic Info'!$W$46:$X$53,2,0),0)</f>
        <v>232</v>
      </c>
      <c r="M76" s="207">
        <f t="shared" si="6"/>
        <v>58</v>
      </c>
      <c r="N76" s="214">
        <f t="shared" si="7"/>
        <v>58</v>
      </c>
      <c r="O76" s="179">
        <f t="shared" ca="1" si="8"/>
        <v>46137</v>
      </c>
      <c r="P76" s="208">
        <f>MAX('Card Progress data'!$X$12-VLOOKUP(D76-1,'Card Progress data'!$W$4:$X$12,2,0),0)</f>
        <v>170000</v>
      </c>
      <c r="Q76" s="208">
        <f>'Card Progress data'!$H$45-MAX('Card Progress data'!$X$12-VLOOKUP(D76-1,'Card Progress data'!$W$4:$X$12,2,0),0)</f>
        <v>14400</v>
      </c>
      <c r="R76" s="183">
        <f>L76*'Card Progress data'!$V$81</f>
        <v>232000</v>
      </c>
      <c r="S76" s="173" t="str">
        <f t="shared" si="9"/>
        <v>Clone</v>
      </c>
      <c r="T76" s="181">
        <v>6</v>
      </c>
      <c r="U76" s="181">
        <f>MAX((VLOOKUP($T76,'Card Progress data'!$G$65:$H$73,2,0))-(((VLOOKUP($D76-1,'Card Progress data'!$W$24:$X$32,2,0))+C76)),0)</f>
        <v>0</v>
      </c>
      <c r="V76" s="184">
        <f>ROUNDUP(U76/'Card Progress data'!$AE$54,0)</f>
        <v>0</v>
      </c>
      <c r="W76" s="184">
        <f>ROUNDUP(U76/('Card Progress data'!$AF$52),0)</f>
        <v>0</v>
      </c>
      <c r="X76" s="179" t="str">
        <f t="shared" ca="1" si="10"/>
        <v/>
      </c>
      <c r="Y76" s="186">
        <f>MAX(P76-VLOOKUP(T76,'Card Progress data'!$G$44:$H$52,2,0),0)</f>
        <v>20000</v>
      </c>
      <c r="Z76" s="187">
        <f>MAX(VLOOKUP(T76,'Card Progress data'!$BC$24:$BD$32,2,0)-(VLOOKUP(D76,'Card Progress data'!$BC$24:$BD$32,2,0)),0)</f>
        <v>600</v>
      </c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</row>
    <row r="77" spans="1:62" ht="15.75" customHeight="1">
      <c r="A77" s="157"/>
      <c r="B77" s="173" t="s">
        <v>366</v>
      </c>
      <c r="C77" s="176">
        <v>47</v>
      </c>
      <c r="D77" s="190">
        <v>4</v>
      </c>
      <c r="E77" s="182">
        <f>MAX(VLOOKUP(D77,'Card Progress data'!$G$24:$H$32,2,0)-C77,0)</f>
        <v>0</v>
      </c>
      <c r="F77" s="177">
        <f>ROUNDUP(E77/'Card Progress data'!$AE$54,0)</f>
        <v>0</v>
      </c>
      <c r="G77" s="177">
        <f>ROUNDUP(E77/'Card Progress data'!$AE$54,0)</f>
        <v>0</v>
      </c>
      <c r="H77" s="179" t="str">
        <f t="shared" ca="1" si="11"/>
        <v/>
      </c>
      <c r="I77" s="180">
        <f>MAX(VLOOKUP(D77,'Card Progress data'!$G$4:$H$15,2,0),0)</f>
        <v>8000</v>
      </c>
      <c r="J77" s="181">
        <f>VLOOKUP(VLOOKUP(D77-1,'Card Progress data'!$W$23:$X$31,2,0)+C77,'Card Progress data'!$X$24:$Y$31,2,1)</f>
        <v>5</v>
      </c>
      <c r="K77" s="180">
        <f>P77-VLOOKUP(J77,'Card Progress data'!$G$44:$H$52,2,0)</f>
        <v>8000</v>
      </c>
      <c r="L77" s="182">
        <f>MAX('Generic Info'!$X$53-C77-VLOOKUP(D77,'Generic Info'!$W$46:$X$53,2,0),0)</f>
        <v>323</v>
      </c>
      <c r="M77" s="207">
        <f t="shared" si="6"/>
        <v>81</v>
      </c>
      <c r="N77" s="214">
        <f t="shared" si="7"/>
        <v>81</v>
      </c>
      <c r="O77" s="179">
        <f t="shared" ca="1" si="8"/>
        <v>46298</v>
      </c>
      <c r="P77" s="208">
        <f>MAX('Card Progress data'!$X$12-VLOOKUP(D77-1,'Card Progress data'!$W$4:$X$12,2,0),0)</f>
        <v>178000</v>
      </c>
      <c r="Q77" s="208">
        <f>'Card Progress data'!$H$45-MAX('Card Progress data'!$X$12-VLOOKUP(D77-1,'Card Progress data'!$W$4:$X$12,2,0),0)</f>
        <v>6400</v>
      </c>
      <c r="R77" s="183">
        <f>L77*'Card Progress data'!$V$81</f>
        <v>323000</v>
      </c>
      <c r="S77" s="173" t="str">
        <f t="shared" si="9"/>
        <v>Dark Prince</v>
      </c>
      <c r="T77" s="181">
        <v>5</v>
      </c>
      <c r="U77" s="181">
        <f>MAX((VLOOKUP($T77,'Card Progress data'!$G$65:$H$73,2,0))-(((VLOOKUP($D77-1,'Card Progress data'!$W$24:$X$32,2,0))+C77)),0)</f>
        <v>0</v>
      </c>
      <c r="V77" s="184">
        <f>ROUNDUP(U77/'Card Progress data'!$AE$54,0)</f>
        <v>0</v>
      </c>
      <c r="W77" s="184">
        <f>ROUNDUP(U77/('Card Progress data'!$AF$52),0)</f>
        <v>0</v>
      </c>
      <c r="X77" s="179" t="str">
        <f t="shared" ca="1" si="10"/>
        <v/>
      </c>
      <c r="Y77" s="186">
        <f>MAX(P77-VLOOKUP(T77,'Card Progress data'!$G$44:$H$52,2,0),0)</f>
        <v>8000</v>
      </c>
      <c r="Z77" s="187">
        <f>MAX(VLOOKUP(T77,'Card Progress data'!$BC$24:$BD$32,2,0)-(VLOOKUP(D77,'Card Progress data'!$BC$24:$BD$32,2,0)),0)</f>
        <v>400</v>
      </c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157"/>
    </row>
    <row r="78" spans="1:62" ht="15.75" customHeight="1">
      <c r="A78" s="157"/>
      <c r="B78" s="173" t="s">
        <v>367</v>
      </c>
      <c r="C78" s="176">
        <v>25</v>
      </c>
      <c r="D78" s="190">
        <v>6</v>
      </c>
      <c r="E78" s="182">
        <f>MAX(VLOOKUP(D78,'Card Progress data'!$G$24:$H$32,2,0)-C78,0)</f>
        <v>75</v>
      </c>
      <c r="F78" s="177">
        <f>ROUNDUP(E78/'Card Progress data'!$AE$54,0)</f>
        <v>19</v>
      </c>
      <c r="G78" s="177">
        <f>ROUNDUP(E78/'Card Progress data'!$AE$54,0)</f>
        <v>19</v>
      </c>
      <c r="H78" s="179">
        <f t="shared" ca="1" si="11"/>
        <v>45864</v>
      </c>
      <c r="I78" s="180">
        <f>MAX(VLOOKUP(D78,'Card Progress data'!$G$4:$H$15,2,0),0)</f>
        <v>50000</v>
      </c>
      <c r="J78" s="181">
        <f>VLOOKUP(VLOOKUP(D78-1,'Card Progress data'!$W$23:$X$31,2,0)+C78,'Card Progress data'!$X$24:$Y$31,2,1)</f>
        <v>6</v>
      </c>
      <c r="K78" s="180">
        <f>P78-VLOOKUP(J78,'Card Progress data'!$G$44:$H$52,2,0)</f>
        <v>0</v>
      </c>
      <c r="L78" s="182">
        <f>MAX('Generic Info'!$X$53-C78-VLOOKUP(D78,'Generic Info'!$W$46:$X$53,2,0),0)</f>
        <v>275</v>
      </c>
      <c r="M78" s="207">
        <f t="shared" si="6"/>
        <v>69</v>
      </c>
      <c r="N78" s="214">
        <f t="shared" si="7"/>
        <v>69</v>
      </c>
      <c r="O78" s="179">
        <f t="shared" ca="1" si="8"/>
        <v>46214</v>
      </c>
      <c r="P78" s="208">
        <f>MAX('Card Progress data'!$X$12-VLOOKUP(D78-1,'Card Progress data'!$W$4:$X$12,2,0),0)</f>
        <v>150000</v>
      </c>
      <c r="Q78" s="208">
        <f>'Card Progress data'!$H$45-MAX('Card Progress data'!$X$12-VLOOKUP(D78-1,'Card Progress data'!$W$4:$X$12,2,0),0)</f>
        <v>34400</v>
      </c>
      <c r="R78" s="183">
        <f>L78*'Card Progress data'!$V$81</f>
        <v>275000</v>
      </c>
      <c r="S78" s="173" t="str">
        <f t="shared" si="9"/>
        <v>Baby Dragon</v>
      </c>
      <c r="T78" s="181">
        <v>6</v>
      </c>
      <c r="U78" s="181">
        <f>MAX((VLOOKUP($T78,'Card Progress data'!$G$65:$H$73,2,0))-(((VLOOKUP($D78-1,'Card Progress data'!$W$24:$X$32,2,0))+C78)),0)</f>
        <v>0</v>
      </c>
      <c r="V78" s="184">
        <f>ROUNDUP(U78/'Card Progress data'!$AE$54,0)</f>
        <v>0</v>
      </c>
      <c r="W78" s="184">
        <f>ROUNDUP(U78/('Card Progress data'!$AF$52),0)</f>
        <v>0</v>
      </c>
      <c r="X78" s="179" t="str">
        <f t="shared" ca="1" si="10"/>
        <v/>
      </c>
      <c r="Y78" s="186">
        <f>MAX(P78-VLOOKUP(T78,'Card Progress data'!$G$44:$H$52,2,0),0)</f>
        <v>0</v>
      </c>
      <c r="Z78" s="187">
        <f>MAX(VLOOKUP(T78,'Card Progress data'!$BC$24:$BD$32,2,0)-(VLOOKUP(D78,'Card Progress data'!$BC$24:$BD$32,2,0)),0)</f>
        <v>0</v>
      </c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</row>
    <row r="79" spans="1:62" ht="15.75" customHeight="1">
      <c r="A79" s="157"/>
      <c r="B79" s="173" t="s">
        <v>368</v>
      </c>
      <c r="C79" s="176">
        <v>73</v>
      </c>
      <c r="D79" s="190">
        <v>4</v>
      </c>
      <c r="E79" s="182">
        <f>MAX(VLOOKUP(D79,'Card Progress data'!$G$24:$H$32,2,0)-C79,0)</f>
        <v>0</v>
      </c>
      <c r="F79" s="177">
        <f>ROUNDUP(E79/'Card Progress data'!$AE$54,0)</f>
        <v>0</v>
      </c>
      <c r="G79" s="177">
        <f>ROUNDUP(E79/'Card Progress data'!$AE$54,0)</f>
        <v>0</v>
      </c>
      <c r="H79" s="179" t="str">
        <f t="shared" ca="1" si="11"/>
        <v/>
      </c>
      <c r="I79" s="180">
        <f>MAX(VLOOKUP(D79,'Card Progress data'!$G$4:$H$15,2,0),0)</f>
        <v>8000</v>
      </c>
      <c r="J79" s="181">
        <f>VLOOKUP(VLOOKUP(D79-1,'Card Progress data'!$W$23:$X$31,2,0)+C79,'Card Progress data'!$X$24:$Y$31,2,1)</f>
        <v>6</v>
      </c>
      <c r="K79" s="180">
        <f>P79-VLOOKUP(J79,'Card Progress data'!$G$44:$H$52,2,0)</f>
        <v>28000</v>
      </c>
      <c r="L79" s="182">
        <f>MAX('Generic Info'!$X$53-C79-VLOOKUP(D79,'Generic Info'!$W$46:$X$53,2,0),0)</f>
        <v>297</v>
      </c>
      <c r="M79" s="207">
        <f t="shared" si="6"/>
        <v>75</v>
      </c>
      <c r="N79" s="214">
        <f t="shared" si="7"/>
        <v>75</v>
      </c>
      <c r="O79" s="179">
        <f t="shared" ca="1" si="8"/>
        <v>46256</v>
      </c>
      <c r="P79" s="208">
        <f>MAX('Card Progress data'!$X$12-VLOOKUP(D79-1,'Card Progress data'!$W$4:$X$12,2,0),0)</f>
        <v>178000</v>
      </c>
      <c r="Q79" s="208">
        <f>'Card Progress data'!$H$45-MAX('Card Progress data'!$X$12-VLOOKUP(D79-1,'Card Progress data'!$W$4:$X$12,2,0),0)</f>
        <v>6400</v>
      </c>
      <c r="R79" s="183">
        <f>L79*'Card Progress data'!$V$81</f>
        <v>297000</v>
      </c>
      <c r="S79" s="173" t="str">
        <f t="shared" si="9"/>
        <v>Hunter</v>
      </c>
      <c r="T79" s="181">
        <v>5</v>
      </c>
      <c r="U79" s="181">
        <f>MAX((VLOOKUP($T79,'Card Progress data'!$G$65:$H$73,2,0))-(((VLOOKUP($D79-1,'Card Progress data'!$W$24:$X$32,2,0))+C79)),0)</f>
        <v>0</v>
      </c>
      <c r="V79" s="184">
        <f>ROUNDUP(U79/'Card Progress data'!$AE$54,0)</f>
        <v>0</v>
      </c>
      <c r="W79" s="184">
        <f>ROUNDUP(U79/('Card Progress data'!$AF$52),0)</f>
        <v>0</v>
      </c>
      <c r="X79" s="179" t="str">
        <f t="shared" ca="1" si="10"/>
        <v/>
      </c>
      <c r="Y79" s="186">
        <f>MAX(P79-VLOOKUP(T79,'Card Progress data'!$G$44:$H$52,2,0),0)</f>
        <v>8000</v>
      </c>
      <c r="Z79" s="187">
        <f>MAX(VLOOKUP(T79,'Card Progress data'!$BC$24:$BD$32,2,0)-(VLOOKUP(D79,'Card Progress data'!$BC$24:$BD$32,2,0)),0)</f>
        <v>400</v>
      </c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</row>
    <row r="80" spans="1:62" ht="15.75" customHeight="1">
      <c r="A80" s="157"/>
      <c r="B80" s="173" t="s">
        <v>369</v>
      </c>
      <c r="C80" s="176">
        <v>71</v>
      </c>
      <c r="D80" s="190">
        <v>5</v>
      </c>
      <c r="E80" s="182">
        <f>MAX(VLOOKUP(D80,'Card Progress data'!$G$24:$H$32,2,0)-C80,0)</f>
        <v>0</v>
      </c>
      <c r="F80" s="177">
        <f>ROUNDUP(E80/'Card Progress data'!$AE$54,0)</f>
        <v>0</v>
      </c>
      <c r="G80" s="177">
        <f>ROUNDUP(E80/'Card Progress data'!$AE$54,0)</f>
        <v>0</v>
      </c>
      <c r="H80" s="179" t="str">
        <f t="shared" ca="1" si="11"/>
        <v/>
      </c>
      <c r="I80" s="180">
        <f>MAX(VLOOKUP(D80,'Card Progress data'!$G$4:$H$15,2,0),0)</f>
        <v>20000</v>
      </c>
      <c r="J80" s="181">
        <f>VLOOKUP(VLOOKUP(D80-1,'Card Progress data'!$W$23:$X$31,2,0)+C80,'Card Progress data'!$X$24:$Y$31,2,1)</f>
        <v>6</v>
      </c>
      <c r="K80" s="180">
        <f>P80-VLOOKUP(J80,'Card Progress data'!$G$44:$H$52,2,0)</f>
        <v>20000</v>
      </c>
      <c r="L80" s="182">
        <f>MAX('Generic Info'!$X$53-C80-VLOOKUP(D80,'Generic Info'!$W$46:$X$53,2,0),0)</f>
        <v>279</v>
      </c>
      <c r="M80" s="207">
        <f t="shared" si="6"/>
        <v>70</v>
      </c>
      <c r="N80" s="214">
        <f t="shared" si="7"/>
        <v>70</v>
      </c>
      <c r="O80" s="179">
        <f t="shared" ca="1" si="8"/>
        <v>46221</v>
      </c>
      <c r="P80" s="208">
        <f>MAX('Card Progress data'!$X$12-VLOOKUP(D80-1,'Card Progress data'!$W$4:$X$12,2,0),0)</f>
        <v>170000</v>
      </c>
      <c r="Q80" s="208">
        <f>'Card Progress data'!$H$45-MAX('Card Progress data'!$X$12-VLOOKUP(D80-1,'Card Progress data'!$W$4:$X$12,2,0),0)</f>
        <v>14400</v>
      </c>
      <c r="R80" s="183">
        <f>L80*'Card Progress data'!$V$81</f>
        <v>279000</v>
      </c>
      <c r="S80" s="173" t="str">
        <f t="shared" si="9"/>
        <v>Freeze</v>
      </c>
      <c r="T80" s="181">
        <v>5</v>
      </c>
      <c r="U80" s="181">
        <f>MAX((VLOOKUP($T80,'Card Progress data'!$G$65:$H$73,2,0))-(((VLOOKUP($D80-1,'Card Progress data'!$W$24:$X$32,2,0))+C80)),0)</f>
        <v>0</v>
      </c>
      <c r="V80" s="184">
        <f>ROUNDUP(U80/'Card Progress data'!$AE$54,0)</f>
        <v>0</v>
      </c>
      <c r="W80" s="184">
        <f>ROUNDUP(U80/('Card Progress data'!$AF$52),0)</f>
        <v>0</v>
      </c>
      <c r="X80" s="179" t="str">
        <f t="shared" ca="1" si="10"/>
        <v/>
      </c>
      <c r="Y80" s="186">
        <f>MAX(P80-VLOOKUP(T80,'Card Progress data'!$G$44:$H$52,2,0),0)</f>
        <v>0</v>
      </c>
      <c r="Z80" s="187">
        <f>MAX(VLOOKUP(T80,'Card Progress data'!$BC$24:$BD$32,2,0)-(VLOOKUP(D80,'Card Progress data'!$BC$24:$BD$32,2,0)),0)</f>
        <v>0</v>
      </c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</row>
    <row r="81" spans="1:62" ht="15.75" customHeight="1">
      <c r="A81" s="157"/>
      <c r="B81" s="173" t="s">
        <v>370</v>
      </c>
      <c r="C81" s="176">
        <v>66</v>
      </c>
      <c r="D81" s="190">
        <v>5</v>
      </c>
      <c r="E81" s="182">
        <f>MAX(VLOOKUP(D81,'Card Progress data'!$G$24:$H$32,2,0)-C81,0)</f>
        <v>0</v>
      </c>
      <c r="F81" s="177">
        <f>ROUNDUP(E81/'Card Progress data'!$AE$54,0)</f>
        <v>0</v>
      </c>
      <c r="G81" s="177">
        <f>ROUNDUP(E81/'Card Progress data'!$AE$54,0)</f>
        <v>0</v>
      </c>
      <c r="H81" s="179" t="str">
        <f t="shared" ca="1" si="11"/>
        <v/>
      </c>
      <c r="I81" s="180">
        <f>MAX(VLOOKUP(D81,'Card Progress data'!$G$4:$H$15,2,0),0)</f>
        <v>20000</v>
      </c>
      <c r="J81" s="181">
        <f>VLOOKUP(VLOOKUP(D81-1,'Card Progress data'!$W$23:$X$31,2,0)+C81,'Card Progress data'!$X$24:$Y$31,2,1)</f>
        <v>6</v>
      </c>
      <c r="K81" s="180">
        <f>P81-VLOOKUP(J81,'Card Progress data'!$G$44:$H$52,2,0)</f>
        <v>20000</v>
      </c>
      <c r="L81" s="182">
        <f>MAX('Generic Info'!$X$53-C81-VLOOKUP(D81,'Generic Info'!$W$46:$X$53,2,0),0)</f>
        <v>284</v>
      </c>
      <c r="M81" s="207">
        <f t="shared" si="6"/>
        <v>71</v>
      </c>
      <c r="N81" s="214">
        <f t="shared" si="7"/>
        <v>71</v>
      </c>
      <c r="O81" s="179">
        <f t="shared" ca="1" si="8"/>
        <v>46228</v>
      </c>
      <c r="P81" s="208">
        <f>MAX('Card Progress data'!$X$12-VLOOKUP(D81-1,'Card Progress data'!$W$4:$X$12,2,0),0)</f>
        <v>170000</v>
      </c>
      <c r="Q81" s="208">
        <f>'Card Progress data'!$H$45-MAX('Card Progress data'!$X$12-VLOOKUP(D81-1,'Card Progress data'!$W$4:$X$12,2,0),0)</f>
        <v>14400</v>
      </c>
      <c r="R81" s="183">
        <f>L81*'Card Progress data'!$V$81</f>
        <v>284000</v>
      </c>
      <c r="S81" s="173" t="str">
        <f t="shared" si="9"/>
        <v>Posion</v>
      </c>
      <c r="T81" s="181">
        <v>5</v>
      </c>
      <c r="U81" s="181">
        <f>MAX((VLOOKUP($T81,'Card Progress data'!$G$65:$H$73,2,0))-(((VLOOKUP($D81-1,'Card Progress data'!$W$24:$X$32,2,0))+C81)),0)</f>
        <v>0</v>
      </c>
      <c r="V81" s="184">
        <f>ROUNDUP(U81/'Card Progress data'!$AE$54,0)</f>
        <v>0</v>
      </c>
      <c r="W81" s="184">
        <f>ROUNDUP(U81/('Card Progress data'!$AF$52),0)</f>
        <v>0</v>
      </c>
      <c r="X81" s="179" t="str">
        <f t="shared" ca="1" si="10"/>
        <v/>
      </c>
      <c r="Y81" s="186">
        <f>MAX(P81-VLOOKUP(T81,'Card Progress data'!$G$44:$H$52,2,0),0)</f>
        <v>0</v>
      </c>
      <c r="Z81" s="187">
        <f>MAX(VLOOKUP(T81,'Card Progress data'!$BC$24:$BD$32,2,0)-(VLOOKUP(D81,'Card Progress data'!$BC$24:$BD$32,2,0)),0)</f>
        <v>0</v>
      </c>
      <c r="AA81" s="157"/>
      <c r="AB81" s="157"/>
      <c r="AC81" s="157"/>
      <c r="AD81" s="157"/>
      <c r="AE81" s="157"/>
      <c r="AF81" s="157"/>
      <c r="AG81" s="215">
        <f ca="1">INT((TODAY()-1)/7)*7+1+(+(F69*7))</f>
        <v>45732</v>
      </c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</row>
    <row r="82" spans="1:62" ht="15.75" customHeight="1">
      <c r="A82" s="157"/>
      <c r="B82" s="173" t="s">
        <v>371</v>
      </c>
      <c r="C82" s="176">
        <v>70</v>
      </c>
      <c r="D82" s="190">
        <v>5</v>
      </c>
      <c r="E82" s="182">
        <f>MAX(VLOOKUP(D82,'Card Progress data'!$G$24:$H$32,2,0)-C82,0)</f>
        <v>0</v>
      </c>
      <c r="F82" s="177">
        <f>ROUNDUP(E82/'Card Progress data'!$AE$54,0)</f>
        <v>0</v>
      </c>
      <c r="G82" s="177">
        <f>ROUNDUP(E82/'Card Progress data'!$AE$54,0)</f>
        <v>0</v>
      </c>
      <c r="H82" s="179" t="str">
        <f t="shared" ca="1" si="11"/>
        <v/>
      </c>
      <c r="I82" s="180">
        <f>MAX(VLOOKUP(D82,'Card Progress data'!$G$4:$H$15,2,0),0)</f>
        <v>20000</v>
      </c>
      <c r="J82" s="181">
        <f>VLOOKUP(VLOOKUP(D82-1,'Card Progress data'!$W$23:$X$31,2,0)+C82,'Card Progress data'!$X$24:$Y$31,2,1)</f>
        <v>6</v>
      </c>
      <c r="K82" s="180">
        <f>P82-VLOOKUP(J82,'Card Progress data'!$G$44:$H$52,2,0)</f>
        <v>20000</v>
      </c>
      <c r="L82" s="182">
        <f>MAX('Generic Info'!$X$53-C82-VLOOKUP(D82,'Generic Info'!$W$46:$X$53,2,0),0)</f>
        <v>280</v>
      </c>
      <c r="M82" s="207">
        <f t="shared" si="6"/>
        <v>70</v>
      </c>
      <c r="N82" s="214">
        <f t="shared" si="7"/>
        <v>70</v>
      </c>
      <c r="O82" s="179">
        <f t="shared" ca="1" si="8"/>
        <v>46221</v>
      </c>
      <c r="P82" s="208">
        <f>MAX('Card Progress data'!$X$12-VLOOKUP(D82-1,'Card Progress data'!$W$4:$X$12,2,0),0)</f>
        <v>170000</v>
      </c>
      <c r="Q82" s="208">
        <f>'Card Progress data'!$H$45-MAX('Card Progress data'!$X$12-VLOOKUP(D82-1,'Card Progress data'!$W$4:$X$12,2,0),0)</f>
        <v>14400</v>
      </c>
      <c r="R82" s="183">
        <f>L82*'Card Progress data'!$V$81</f>
        <v>280000</v>
      </c>
      <c r="S82" s="173" t="str">
        <f t="shared" si="9"/>
        <v>Cannon Cart</v>
      </c>
      <c r="T82" s="181">
        <v>5</v>
      </c>
      <c r="U82" s="181">
        <f>MAX((VLOOKUP($T82,'Card Progress data'!$G$65:$H$73,2,0))-(((VLOOKUP($D82-1,'Card Progress data'!$W$24:$X$32,2,0))+C82)),0)</f>
        <v>0</v>
      </c>
      <c r="V82" s="184">
        <f>ROUNDUP(U82/'Card Progress data'!$AE$54,0)</f>
        <v>0</v>
      </c>
      <c r="W82" s="184">
        <f>ROUNDUP(U82/('Card Progress data'!$AF$52),0)</f>
        <v>0</v>
      </c>
      <c r="X82" s="179" t="str">
        <f t="shared" ca="1" si="10"/>
        <v/>
      </c>
      <c r="Y82" s="186">
        <f>MAX(P82-VLOOKUP(T82,'Card Progress data'!$G$44:$H$52,2,0),0)</f>
        <v>0</v>
      </c>
      <c r="Z82" s="187">
        <f>MAX(VLOOKUP(T82,'Card Progress data'!$BC$24:$BD$32,2,0)-(VLOOKUP(D82,'Card Progress data'!$BC$24:$BD$32,2,0)),0)</f>
        <v>0</v>
      </c>
      <c r="AA82" s="157"/>
      <c r="AB82" s="157"/>
      <c r="AC82" s="157"/>
      <c r="AD82" s="157"/>
      <c r="AE82" s="157"/>
      <c r="AF82" s="157"/>
      <c r="AG82" s="215">
        <f ca="1">INT((TODAY()-1)/7)*7+1+(+(M69*7))</f>
        <v>46257</v>
      </c>
      <c r="AH82" s="157"/>
      <c r="AI82" s="157"/>
      <c r="AJ82" s="188">
        <f>Q93+Q112+Q65+Q37</f>
        <v>1953250</v>
      </c>
      <c r="AK82" s="188">
        <f>P112+P93+P65+P37</f>
        <v>14563625</v>
      </c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</row>
    <row r="83" spans="1:62" ht="15.75" customHeight="1">
      <c r="A83" s="157"/>
      <c r="B83" s="173" t="s">
        <v>372</v>
      </c>
      <c r="C83" s="176">
        <v>107</v>
      </c>
      <c r="D83" s="190">
        <v>6</v>
      </c>
      <c r="E83" s="182">
        <f>MAX(VLOOKUP(D83,'Card Progress data'!$G$24:$H$32,2,0)-C83,0)</f>
        <v>0</v>
      </c>
      <c r="F83" s="177">
        <f>ROUNDUP(E83/'Card Progress data'!$AE$54,0)</f>
        <v>0</v>
      </c>
      <c r="G83" s="177">
        <f>ROUNDUP(E83/'Card Progress data'!$AE$54,0)</f>
        <v>0</v>
      </c>
      <c r="H83" s="179" t="str">
        <f t="shared" ca="1" si="11"/>
        <v/>
      </c>
      <c r="I83" s="180">
        <f>MAX(VLOOKUP(D83,'Card Progress data'!$G$4:$H$15,2,0),0)</f>
        <v>50000</v>
      </c>
      <c r="J83" s="181">
        <f>VLOOKUP(VLOOKUP(D83-1,'Card Progress data'!$W$23:$X$31,2,0)+C83,'Card Progress data'!$X$24:$Y$31,2,1)</f>
        <v>7</v>
      </c>
      <c r="K83" s="180">
        <f>P83-VLOOKUP(J83,'Card Progress data'!$G$44:$H$52,2,0)</f>
        <v>50000</v>
      </c>
      <c r="L83" s="182">
        <f>MAX('Generic Info'!$X$53-C83-VLOOKUP(D83,'Generic Info'!$W$46:$X$53,2,0),0)</f>
        <v>193</v>
      </c>
      <c r="M83" s="207">
        <f t="shared" si="6"/>
        <v>49</v>
      </c>
      <c r="N83" s="214">
        <f t="shared" si="7"/>
        <v>49</v>
      </c>
      <c r="O83" s="179">
        <f t="shared" ca="1" si="8"/>
        <v>46074</v>
      </c>
      <c r="P83" s="208">
        <f>MAX('Card Progress data'!$X$12-VLOOKUP(D83-1,'Card Progress data'!$W$4:$X$12,2,0),0)</f>
        <v>150000</v>
      </c>
      <c r="Q83" s="208">
        <f>'Card Progress data'!$H$45-MAX('Card Progress data'!$X$12-VLOOKUP(D83-1,'Card Progress data'!$W$4:$X$12,2,0),0)</f>
        <v>34400</v>
      </c>
      <c r="R83" s="183">
        <f>L83*'Card Progress data'!$V$81</f>
        <v>193000</v>
      </c>
      <c r="S83" s="173" t="str">
        <f t="shared" si="9"/>
        <v>Witch</v>
      </c>
      <c r="T83" s="181">
        <v>6</v>
      </c>
      <c r="U83" s="181">
        <f>MAX((VLOOKUP($T83,'Card Progress data'!$G$65:$H$73,2,0))-(((VLOOKUP($D83-1,'Card Progress data'!$W$24:$X$32,2,0))+C83)),0)</f>
        <v>0</v>
      </c>
      <c r="V83" s="184">
        <f>ROUNDUP(U83/'Card Progress data'!$AE$54,0)</f>
        <v>0</v>
      </c>
      <c r="W83" s="184">
        <f>ROUNDUP(U83/('Card Progress data'!$AF$52),0)</f>
        <v>0</v>
      </c>
      <c r="X83" s="179" t="str">
        <f t="shared" ca="1" si="10"/>
        <v/>
      </c>
      <c r="Y83" s="186">
        <f>MAX(P83-VLOOKUP(T83,'Card Progress data'!$G$44:$H$52,2,0),0)</f>
        <v>0</v>
      </c>
      <c r="Z83" s="187">
        <f>MAX(VLOOKUP(T83,'Card Progress data'!$BC$24:$BD$32,2,0)-(VLOOKUP(D83,'Card Progress data'!$BC$24:$BD$32,2,0)),0)</f>
        <v>0</v>
      </c>
      <c r="AA83" s="157"/>
      <c r="AB83" s="157"/>
      <c r="AC83" s="157"/>
      <c r="AD83" s="157"/>
      <c r="AE83" s="157"/>
      <c r="AF83" s="157"/>
      <c r="AG83" s="157"/>
      <c r="AH83" s="157"/>
      <c r="AI83" s="157"/>
      <c r="AJ83" s="188">
        <f>AJ82+AK82</f>
        <v>16516875</v>
      </c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</row>
    <row r="84" spans="1:62" ht="15.75" customHeight="1">
      <c r="A84" s="157"/>
      <c r="B84" s="173" t="s">
        <v>373</v>
      </c>
      <c r="C84" s="176">
        <v>50</v>
      </c>
      <c r="D84" s="190">
        <v>5</v>
      </c>
      <c r="E84" s="182">
        <f>MAX(VLOOKUP(D84,'Card Progress data'!$G$24:$H$32,2,0)-C84,0)</f>
        <v>0</v>
      </c>
      <c r="F84" s="177">
        <f>ROUNDUP(E84/'Card Progress data'!$AE$54,0)</f>
        <v>0</v>
      </c>
      <c r="G84" s="177">
        <f>ROUNDUP(E84/'Card Progress data'!$AE$54,0)</f>
        <v>0</v>
      </c>
      <c r="H84" s="179" t="str">
        <f t="shared" ca="1" si="11"/>
        <v/>
      </c>
      <c r="I84" s="180">
        <f>MAX(VLOOKUP(D84,'Card Progress data'!$G$4:$H$15,2,0),0)</f>
        <v>20000</v>
      </c>
      <c r="J84" s="181">
        <f>VLOOKUP(VLOOKUP(D84-1,'Card Progress data'!$W$23:$X$31,2,0)+C84,'Card Progress data'!$X$24:$Y$31,2,1)</f>
        <v>6</v>
      </c>
      <c r="K84" s="180">
        <f>P84-VLOOKUP(J84,'Card Progress data'!$G$44:$H$52,2,0)</f>
        <v>20000</v>
      </c>
      <c r="L84" s="182">
        <f>MAX('Generic Info'!$X$53-C84-VLOOKUP(D84,'Generic Info'!$W$46:$X$53,2,0),0)</f>
        <v>300</v>
      </c>
      <c r="M84" s="207">
        <f t="shared" si="6"/>
        <v>75</v>
      </c>
      <c r="N84" s="214">
        <f t="shared" si="7"/>
        <v>75</v>
      </c>
      <c r="O84" s="179">
        <f t="shared" ca="1" si="8"/>
        <v>46256</v>
      </c>
      <c r="P84" s="208">
        <f>MAX('Card Progress data'!$X$12-VLOOKUP(D84-1,'Card Progress data'!$W$4:$X$12,2,0),0)</f>
        <v>170000</v>
      </c>
      <c r="Q84" s="208">
        <f>'Card Progress data'!$H$45-MAX('Card Progress data'!$X$12-VLOOKUP(D84-1,'Card Progress data'!$W$4:$X$12,2,0),0)</f>
        <v>14400</v>
      </c>
      <c r="R84" s="183">
        <f>L84*'Card Progress data'!$V$81</f>
        <v>300000</v>
      </c>
      <c r="S84" s="173" t="str">
        <f t="shared" si="9"/>
        <v>Executioner</v>
      </c>
      <c r="T84" s="181">
        <v>5</v>
      </c>
      <c r="U84" s="181">
        <f>MAX((VLOOKUP($T84,'Card Progress data'!$G$65:$H$73,2,0))-(((VLOOKUP($D84-1,'Card Progress data'!$W$24:$X$32,2,0))+C84)),0)</f>
        <v>0</v>
      </c>
      <c r="V84" s="184">
        <f>ROUNDUP(U84/'Card Progress data'!$AE$54,0)</f>
        <v>0</v>
      </c>
      <c r="W84" s="184">
        <f>ROUNDUP(U84/('Card Progress data'!$AF$52),0)</f>
        <v>0</v>
      </c>
      <c r="X84" s="179" t="str">
        <f t="shared" ca="1" si="10"/>
        <v/>
      </c>
      <c r="Y84" s="186">
        <f>MAX(P84-VLOOKUP(T84,'Card Progress data'!$G$44:$H$52,2,0),0)</f>
        <v>0</v>
      </c>
      <c r="Z84" s="187">
        <f>MAX(VLOOKUP(T84,'Card Progress data'!$BC$24:$BD$32,2,0)-(VLOOKUP(D84,'Card Progress data'!$BC$24:$BD$32,2,0)),0)</f>
        <v>0</v>
      </c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</row>
    <row r="85" spans="1:62" ht="15.75" customHeight="1">
      <c r="A85" s="157"/>
      <c r="B85" s="173" t="s">
        <v>374</v>
      </c>
      <c r="C85" s="176">
        <v>43</v>
      </c>
      <c r="D85" s="190">
        <v>6</v>
      </c>
      <c r="E85" s="182">
        <f>MAX(VLOOKUP(D85,'Card Progress data'!$G$24:$H$32,2,0)-C85,0)</f>
        <v>57</v>
      </c>
      <c r="F85" s="177">
        <f>ROUNDUP(E85/'Card Progress data'!$AE$54,0)</f>
        <v>15</v>
      </c>
      <c r="G85" s="177">
        <f>ROUNDUP(E85/'Card Progress data'!$AE$54,0)</f>
        <v>15</v>
      </c>
      <c r="H85" s="179">
        <f t="shared" ca="1" si="11"/>
        <v>45836</v>
      </c>
      <c r="I85" s="180">
        <f>MAX(VLOOKUP(D85,'Card Progress data'!$G$4:$H$15,2,0),0)</f>
        <v>50000</v>
      </c>
      <c r="J85" s="181">
        <f>VLOOKUP(VLOOKUP(D85-1,'Card Progress data'!$W$23:$X$31,2,0)+C85,'Card Progress data'!$X$24:$Y$31,2,1)</f>
        <v>6</v>
      </c>
      <c r="K85" s="180">
        <f>P85-VLOOKUP(J85,'Card Progress data'!$G$44:$H$52,2,0)</f>
        <v>0</v>
      </c>
      <c r="L85" s="182">
        <f>MAX('Generic Info'!$X$53-C85-VLOOKUP(D85,'Generic Info'!$W$46:$X$53,2,0),0)</f>
        <v>257</v>
      </c>
      <c r="M85" s="207">
        <f t="shared" si="6"/>
        <v>65</v>
      </c>
      <c r="N85" s="214">
        <f t="shared" si="7"/>
        <v>65</v>
      </c>
      <c r="O85" s="179">
        <f t="shared" ca="1" si="8"/>
        <v>46186</v>
      </c>
      <c r="P85" s="208">
        <f>MAX('Card Progress data'!$X$12-VLOOKUP(D85-1,'Card Progress data'!$W$4:$X$12,2,0),0)</f>
        <v>150000</v>
      </c>
      <c r="Q85" s="208">
        <f>'Card Progress data'!$H$45-MAX('Card Progress data'!$X$12-VLOOKUP(D85-1,'Card Progress data'!$W$4:$X$12,2,0),0)</f>
        <v>34400</v>
      </c>
      <c r="R85" s="183">
        <f>L85*'Card Progress data'!$V$81</f>
        <v>257000</v>
      </c>
      <c r="S85" s="173" t="str">
        <f t="shared" si="9"/>
        <v>Ballon</v>
      </c>
      <c r="T85" s="181">
        <v>6</v>
      </c>
      <c r="U85" s="181">
        <f>MAX((VLOOKUP($T85,'Card Progress data'!$G$65:$H$73,2,0))-(((VLOOKUP($D85-1,'Card Progress data'!$W$24:$X$32,2,0))+C85)),0)</f>
        <v>0</v>
      </c>
      <c r="V85" s="184">
        <f>ROUNDUP(U85/'Card Progress data'!$AE$54,0)</f>
        <v>0</v>
      </c>
      <c r="W85" s="184">
        <f>ROUNDUP(U85/('Card Progress data'!$AF$52),0)</f>
        <v>0</v>
      </c>
      <c r="X85" s="179" t="str">
        <f t="shared" ca="1" si="10"/>
        <v/>
      </c>
      <c r="Y85" s="186">
        <f>MAX(P85-VLOOKUP(T85,'Card Progress data'!$G$44:$H$52,2,0),0)</f>
        <v>0</v>
      </c>
      <c r="Z85" s="187">
        <f>MAX(VLOOKUP(T85,'Card Progress data'!$BC$24:$BD$32,2,0)-(VLOOKUP(D85,'Card Progress data'!$BC$24:$BD$32,2,0)),0)</f>
        <v>0</v>
      </c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</row>
    <row r="86" spans="1:62" ht="15.75" customHeight="1">
      <c r="A86" s="157"/>
      <c r="B86" s="173" t="s">
        <v>375</v>
      </c>
      <c r="C86" s="176">
        <v>64</v>
      </c>
      <c r="D86" s="190">
        <v>5</v>
      </c>
      <c r="E86" s="182">
        <f>MAX(VLOOKUP(D86,'Card Progress data'!$G$24:$H$32,2,0)-C86,0)</f>
        <v>0</v>
      </c>
      <c r="F86" s="177">
        <f>ROUNDUP(E86/'Card Progress data'!$AE$54,0)</f>
        <v>0</v>
      </c>
      <c r="G86" s="177">
        <f>ROUNDUP(E86/'Card Progress data'!$AE$54,0)</f>
        <v>0</v>
      </c>
      <c r="H86" s="179" t="str">
        <f t="shared" ca="1" si="11"/>
        <v/>
      </c>
      <c r="I86" s="180">
        <f>MAX(VLOOKUP(D86,'Card Progress data'!$G$4:$H$15,2,0),0)</f>
        <v>20000</v>
      </c>
      <c r="J86" s="181">
        <f>VLOOKUP(VLOOKUP(D86-1,'Card Progress data'!$W$23:$X$31,2,0)+C86,'Card Progress data'!$X$24:$Y$31,2,1)</f>
        <v>6</v>
      </c>
      <c r="K86" s="180">
        <f>P86-VLOOKUP(J86,'Card Progress data'!$G$44:$H$52,2,0)</f>
        <v>20000</v>
      </c>
      <c r="L86" s="182">
        <f>MAX('Generic Info'!$X$53-C86-VLOOKUP(D86,'Generic Info'!$W$46:$X$53,2,0),0)</f>
        <v>286</v>
      </c>
      <c r="M86" s="207">
        <f t="shared" si="6"/>
        <v>72</v>
      </c>
      <c r="N86" s="214">
        <f t="shared" si="7"/>
        <v>72</v>
      </c>
      <c r="O86" s="179">
        <f t="shared" ca="1" si="8"/>
        <v>46235</v>
      </c>
      <c r="P86" s="208">
        <f>MAX('Card Progress data'!$X$12-VLOOKUP(D86-1,'Card Progress data'!$W$4:$X$12,2,0),0)</f>
        <v>170000</v>
      </c>
      <c r="Q86" s="208">
        <f>'Card Progress data'!$H$45-MAX('Card Progress data'!$X$12-VLOOKUP(D86-1,'Card Progress data'!$W$4:$X$12,2,0),0)</f>
        <v>14400</v>
      </c>
      <c r="R86" s="183">
        <f>L86*'Card Progress data'!$V$81</f>
        <v>286000</v>
      </c>
      <c r="S86" s="173" t="str">
        <f t="shared" si="9"/>
        <v>Bowler</v>
      </c>
      <c r="T86" s="181">
        <v>5</v>
      </c>
      <c r="U86" s="181">
        <f>MAX((VLOOKUP($T86,'Card Progress data'!$G$65:$H$73,2,0))-(((VLOOKUP($D86-1,'Card Progress data'!$W$24:$X$32,2,0))+C86)),0)</f>
        <v>0</v>
      </c>
      <c r="V86" s="184">
        <f>ROUNDUP(U86/'Card Progress data'!$AE$54,0)</f>
        <v>0</v>
      </c>
      <c r="W86" s="184">
        <f>ROUNDUP(U86/('Card Progress data'!$AF$52),0)</f>
        <v>0</v>
      </c>
      <c r="X86" s="179" t="str">
        <f t="shared" ca="1" si="10"/>
        <v/>
      </c>
      <c r="Y86" s="186">
        <f>MAX(P86-VLOOKUP(T86,'Card Progress data'!$G$44:$H$52,2,0),0)</f>
        <v>0</v>
      </c>
      <c r="Z86" s="187">
        <f>MAX(VLOOKUP(T86,'Card Progress data'!$BC$24:$BD$32,2,0)-(VLOOKUP(D86,'Card Progress data'!$BC$24:$BD$32,2,0)),0)</f>
        <v>0</v>
      </c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</row>
    <row r="87" spans="1:62" ht="15.75" customHeight="1">
      <c r="A87" s="157"/>
      <c r="B87" s="173" t="s">
        <v>376</v>
      </c>
      <c r="C87" s="176">
        <v>15</v>
      </c>
      <c r="D87" s="190">
        <v>6</v>
      </c>
      <c r="E87" s="182">
        <f>MAX(VLOOKUP(D87,'Card Progress data'!$G$24:$H$32,2,0)-C87,0)</f>
        <v>85</v>
      </c>
      <c r="F87" s="177">
        <f>ROUNDUP(E87/'Card Progress data'!$AE$54,0)</f>
        <v>22</v>
      </c>
      <c r="G87" s="177">
        <f>ROUNDUP(E87/'Card Progress data'!$AE$54,0)</f>
        <v>22</v>
      </c>
      <c r="H87" s="179">
        <f t="shared" ca="1" si="11"/>
        <v>45885</v>
      </c>
      <c r="I87" s="180">
        <f>MAX(VLOOKUP(D87,'Card Progress data'!$G$4:$H$15,2,0),0)</f>
        <v>50000</v>
      </c>
      <c r="J87" s="181">
        <f>VLOOKUP(VLOOKUP(D87-1,'Card Progress data'!$W$23:$X$31,2,0)+C87,'Card Progress data'!$X$24:$Y$31,2,1)</f>
        <v>6</v>
      </c>
      <c r="K87" s="180">
        <f>P87-VLOOKUP(J87,'Card Progress data'!$G$44:$H$52,2,0)</f>
        <v>0</v>
      </c>
      <c r="L87" s="182">
        <f>MAX('Generic Info'!$X$53-C87-VLOOKUP(D87,'Generic Info'!$W$46:$X$53,2,0),0)</f>
        <v>285</v>
      </c>
      <c r="M87" s="207">
        <f t="shared" si="6"/>
        <v>72</v>
      </c>
      <c r="N87" s="214">
        <f t="shared" si="7"/>
        <v>72</v>
      </c>
      <c r="O87" s="179">
        <f t="shared" ca="1" si="8"/>
        <v>46235</v>
      </c>
      <c r="P87" s="208">
        <f>MAX('Card Progress data'!$X$12-VLOOKUP(D87-1,'Card Progress data'!$W$4:$X$12,2,0),0)</f>
        <v>150000</v>
      </c>
      <c r="Q87" s="208">
        <f>'Card Progress data'!$H$45-MAX('Card Progress data'!$X$12-VLOOKUP(D87-1,'Card Progress data'!$W$4:$X$12,2,0),0)</f>
        <v>34400</v>
      </c>
      <c r="R87" s="183">
        <f>L87*'Card Progress data'!$V$81</f>
        <v>285000</v>
      </c>
      <c r="S87" s="173" t="str">
        <f t="shared" si="9"/>
        <v>Prince</v>
      </c>
      <c r="T87" s="181">
        <v>6</v>
      </c>
      <c r="U87" s="181">
        <f>MAX((VLOOKUP($T87,'Card Progress data'!$G$65:$H$73,2,0))-(((VLOOKUP($D87-1,'Card Progress data'!$W$24:$X$32,2,0))+C87)),0)</f>
        <v>0</v>
      </c>
      <c r="V87" s="184">
        <f>ROUNDUP(U87/'Card Progress data'!$AE$54,0)</f>
        <v>0</v>
      </c>
      <c r="W87" s="184">
        <f>ROUNDUP(U87/('Card Progress data'!$AF$52),0)</f>
        <v>0</v>
      </c>
      <c r="X87" s="179" t="str">
        <f t="shared" ca="1" si="10"/>
        <v/>
      </c>
      <c r="Y87" s="186">
        <f>MAX(P87-VLOOKUP(T87,'Card Progress data'!$G$44:$H$52,2,0),0)</f>
        <v>0</v>
      </c>
      <c r="Z87" s="187">
        <f>MAX(VLOOKUP(T87,'Card Progress data'!$BC$24:$BD$32,2,0)-(VLOOKUP(D87,'Card Progress data'!$BC$24:$BD$32,2,0)),0)</f>
        <v>0</v>
      </c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</row>
    <row r="88" spans="1:62" ht="15.75" customHeight="1">
      <c r="A88" s="157"/>
      <c r="B88" s="173" t="s">
        <v>377</v>
      </c>
      <c r="C88" s="176">
        <v>69</v>
      </c>
      <c r="D88" s="190">
        <v>5</v>
      </c>
      <c r="E88" s="182">
        <f>MAX(VLOOKUP(D88,'Card Progress data'!$G$24:$H$32,2,0)-C88,0)</f>
        <v>0</v>
      </c>
      <c r="F88" s="177">
        <f>ROUNDUP(E88/'Card Progress data'!$AE$54,0)</f>
        <v>0</v>
      </c>
      <c r="G88" s="177">
        <f>ROUNDUP(E88/'Card Progress data'!$AE$54,0)</f>
        <v>0</v>
      </c>
      <c r="H88" s="179" t="str">
        <f t="shared" ca="1" si="11"/>
        <v/>
      </c>
      <c r="I88" s="180">
        <f>MAX(VLOOKUP(D88,'Card Progress data'!$G$4:$H$15,2,0),0)</f>
        <v>20000</v>
      </c>
      <c r="J88" s="181">
        <f>VLOOKUP(VLOOKUP(D88-1,'Card Progress data'!$W$23:$X$31,2,0)+C88,'Card Progress data'!$X$24:$Y$31,2,1)</f>
        <v>6</v>
      </c>
      <c r="K88" s="180">
        <f>P88-VLOOKUP(J88,'Card Progress data'!$G$44:$H$52,2,0)</f>
        <v>20000</v>
      </c>
      <c r="L88" s="182">
        <f>MAX('Generic Info'!$X$53-C88-VLOOKUP(D88,'Generic Info'!$W$46:$X$53,2,0),0)</f>
        <v>281</v>
      </c>
      <c r="M88" s="207">
        <f t="shared" si="6"/>
        <v>71</v>
      </c>
      <c r="N88" s="214">
        <f t="shared" si="7"/>
        <v>71</v>
      </c>
      <c r="O88" s="179">
        <f t="shared" ca="1" si="8"/>
        <v>46228</v>
      </c>
      <c r="P88" s="208">
        <f>MAX('Card Progress data'!$X$12-VLOOKUP(D88-1,'Card Progress data'!$W$4:$X$12,2,0),0)</f>
        <v>170000</v>
      </c>
      <c r="Q88" s="208">
        <f>'Card Progress data'!$H$45-MAX('Card Progress data'!$X$12-VLOOKUP(D88-1,'Card Progress data'!$W$4:$X$12,2,0),0)</f>
        <v>14400</v>
      </c>
      <c r="R88" s="183">
        <f>L88*'Card Progress data'!$V$81</f>
        <v>281000</v>
      </c>
      <c r="S88" s="173" t="str">
        <f t="shared" si="9"/>
        <v>X-Bow</v>
      </c>
      <c r="T88" s="181">
        <v>5</v>
      </c>
      <c r="U88" s="181">
        <f>MAX((VLOOKUP($T88,'Card Progress data'!$G$65:$H$73,2,0))-(((VLOOKUP($D88-1,'Card Progress data'!$W$24:$X$32,2,0))+C88)),0)</f>
        <v>0</v>
      </c>
      <c r="V88" s="184">
        <f>ROUNDUP(U88/'Card Progress data'!$AE$54,0)</f>
        <v>0</v>
      </c>
      <c r="W88" s="184">
        <f>ROUNDUP(U88/('Card Progress data'!$AF$52),0)</f>
        <v>0</v>
      </c>
      <c r="X88" s="179" t="str">
        <f t="shared" ca="1" si="10"/>
        <v/>
      </c>
      <c r="Y88" s="186">
        <f>MAX(P88-VLOOKUP(T88,'Card Progress data'!$G$44:$H$52,2,0),0)</f>
        <v>0</v>
      </c>
      <c r="Z88" s="187">
        <f>MAX(VLOOKUP(T88,'Card Progress data'!$BC$24:$BD$32,2,0)-(VLOOKUP(D88,'Card Progress data'!$BC$24:$BD$32,2,0)),0)</f>
        <v>0</v>
      </c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</row>
    <row r="89" spans="1:62" ht="15.75" customHeight="1">
      <c r="A89" s="157"/>
      <c r="B89" s="173" t="s">
        <v>378</v>
      </c>
      <c r="C89" s="190">
        <v>29</v>
      </c>
      <c r="D89" s="190">
        <v>5</v>
      </c>
      <c r="E89" s="182">
        <f>MAX(VLOOKUP(D89,'Card Progress data'!$G$24:$H$32,2,0)-C89,0)</f>
        <v>21</v>
      </c>
      <c r="F89" s="177">
        <f>ROUNDUP(E89/'Card Progress data'!$AE$54,0)</f>
        <v>6</v>
      </c>
      <c r="G89" s="177">
        <f>ROUNDUP(E89/'Card Progress data'!$AE$54,0)</f>
        <v>6</v>
      </c>
      <c r="H89" s="179">
        <f t="shared" ca="1" si="11"/>
        <v>45773</v>
      </c>
      <c r="I89" s="180">
        <f>MAX(VLOOKUP(D89,'Card Progress data'!$G$4:$H$15,2,0),0)</f>
        <v>20000</v>
      </c>
      <c r="J89" s="181">
        <f>VLOOKUP(VLOOKUP(D89-1,'Card Progress data'!$W$23:$X$31,2,0)+C89,'Card Progress data'!$X$24:$Y$31,2,1)</f>
        <v>5</v>
      </c>
      <c r="K89" s="180">
        <f>P89-VLOOKUP(J89,'Card Progress data'!$G$44:$H$52,2,0)</f>
        <v>0</v>
      </c>
      <c r="L89" s="182">
        <f>MAX('Generic Info'!$X$53-C89-VLOOKUP(D89,'Generic Info'!$W$46:$X$53,2,0),0)</f>
        <v>321</v>
      </c>
      <c r="M89" s="207">
        <f t="shared" si="6"/>
        <v>81</v>
      </c>
      <c r="N89" s="214">
        <f t="shared" si="7"/>
        <v>81</v>
      </c>
      <c r="O89" s="179">
        <f t="shared" ca="1" si="8"/>
        <v>46298</v>
      </c>
      <c r="P89" s="208">
        <f>MAX('Card Progress data'!$X$12-VLOOKUP(D89-1,'Card Progress data'!$W$4:$X$12,2,0),0)</f>
        <v>170000</v>
      </c>
      <c r="Q89" s="208">
        <f>'Card Progress data'!$H$45-MAX('Card Progress data'!$X$12-VLOOKUP(D89-1,'Card Progress data'!$W$4:$X$12,2,0),0)</f>
        <v>14400</v>
      </c>
      <c r="R89" s="183">
        <f>L89*'Card Progress data'!$V$81</f>
        <v>321000</v>
      </c>
      <c r="S89" s="173" t="str">
        <f t="shared" si="9"/>
        <v>Giant Skeleton</v>
      </c>
      <c r="T89" s="181">
        <v>5</v>
      </c>
      <c r="U89" s="181">
        <f>MAX((VLOOKUP($T89,'Card Progress data'!$G$65:$H$73,2,0))-(((VLOOKUP($D89-1,'Card Progress data'!$W$24:$X$32,2,0))+C89)),0)</f>
        <v>0</v>
      </c>
      <c r="V89" s="184">
        <f>ROUNDUP(U89/'Card Progress data'!$AE$54,0)</f>
        <v>0</v>
      </c>
      <c r="W89" s="184">
        <f>ROUNDUP(U89/('Card Progress data'!$AF$52),0)</f>
        <v>0</v>
      </c>
      <c r="X89" s="179" t="str">
        <f t="shared" ca="1" si="10"/>
        <v/>
      </c>
      <c r="Y89" s="186">
        <f>MAX(P89-VLOOKUP(T89,'Card Progress data'!$G$44:$H$52,2,0),0)</f>
        <v>0</v>
      </c>
      <c r="Z89" s="187">
        <f>MAX(VLOOKUP(T89,'Card Progress data'!$BC$24:$BD$32,2,0)-(VLOOKUP(D89,'Card Progress data'!$BC$24:$BD$32,2,0)),0)</f>
        <v>0</v>
      </c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  <c r="BJ89" s="157"/>
    </row>
    <row r="90" spans="1:62" ht="15.75" customHeight="1">
      <c r="A90" s="157"/>
      <c r="B90" s="173" t="s">
        <v>379</v>
      </c>
      <c r="C90" s="176">
        <v>67</v>
      </c>
      <c r="D90" s="190">
        <v>5</v>
      </c>
      <c r="E90" s="182">
        <f>MAX(VLOOKUP(D90,'Card Progress data'!$G$24:$H$32,2,0)-C90,0)</f>
        <v>0</v>
      </c>
      <c r="F90" s="177">
        <f>ROUNDUP(E90/'Card Progress data'!$AE$54,0)</f>
        <v>0</v>
      </c>
      <c r="G90" s="177">
        <f>ROUNDUP(E90/'Card Progress data'!$AE$54,0)</f>
        <v>0</v>
      </c>
      <c r="H90" s="179" t="str">
        <f t="shared" ca="1" si="11"/>
        <v/>
      </c>
      <c r="I90" s="180">
        <f>MAX(VLOOKUP(D90,'Card Progress data'!$G$4:$H$15,2,0),0)</f>
        <v>20000</v>
      </c>
      <c r="J90" s="181">
        <f>VLOOKUP(VLOOKUP(D90-1,'Card Progress data'!$W$23:$X$31,2,0)+C90,'Card Progress data'!$X$24:$Y$31,2,1)</f>
        <v>6</v>
      </c>
      <c r="K90" s="180">
        <f>P90-VLOOKUP(J90,'Card Progress data'!$G$44:$H$52,2,0)</f>
        <v>20000</v>
      </c>
      <c r="L90" s="182">
        <f>MAX('Generic Info'!$X$53-C90-VLOOKUP(D90,'Generic Info'!$W$46:$X$53,2,0),0)</f>
        <v>283</v>
      </c>
      <c r="M90" s="207">
        <f t="shared" si="6"/>
        <v>71</v>
      </c>
      <c r="N90" s="214">
        <f t="shared" si="7"/>
        <v>71</v>
      </c>
      <c r="O90" s="179">
        <f t="shared" ca="1" si="8"/>
        <v>46228</v>
      </c>
      <c r="P90" s="208">
        <f>MAX('Card Progress data'!$X$12-VLOOKUP(D90-1,'Card Progress data'!$W$4:$X$12,2,0),0)</f>
        <v>170000</v>
      </c>
      <c r="Q90" s="208">
        <f>'Card Progress data'!$H$45-MAX('Card Progress data'!$X$12-VLOOKUP(D90-1,'Card Progress data'!$W$4:$X$12,2,0),0)</f>
        <v>14400</v>
      </c>
      <c r="R90" s="183">
        <f>L90*'Card Progress data'!$V$81</f>
        <v>283000</v>
      </c>
      <c r="S90" s="173" t="str">
        <f t="shared" si="9"/>
        <v>Lightning</v>
      </c>
      <c r="T90" s="181">
        <v>5</v>
      </c>
      <c r="U90" s="181">
        <f>MAX((VLOOKUP($T90,'Card Progress data'!$G$65:$H$73,2,0))-(((VLOOKUP($D90-1,'Card Progress data'!$W$24:$X$32,2,0))+C90)),0)</f>
        <v>0</v>
      </c>
      <c r="V90" s="184">
        <f>ROUNDUP(U90/'Card Progress data'!$AE$54,0)</f>
        <v>0</v>
      </c>
      <c r="W90" s="184">
        <f>ROUNDUP(U90/('Card Progress data'!$AF$52),0)</f>
        <v>0</v>
      </c>
      <c r="X90" s="179" t="str">
        <f t="shared" ca="1" si="10"/>
        <v/>
      </c>
      <c r="Y90" s="186">
        <f>MAX(P90-VLOOKUP(T90,'Card Progress data'!$G$44:$H$52,2,0),0)</f>
        <v>0</v>
      </c>
      <c r="Z90" s="187">
        <f>MAX(VLOOKUP(T90,'Card Progress data'!$BC$24:$BD$32,2,0)-(VLOOKUP(D90,'Card Progress data'!$BC$24:$BD$32,2,0)),0)</f>
        <v>0</v>
      </c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</row>
    <row r="91" spans="1:62" ht="15.75" customHeight="1">
      <c r="A91" s="157"/>
      <c r="B91" s="173" t="s">
        <v>380</v>
      </c>
      <c r="C91" s="176">
        <v>100</v>
      </c>
      <c r="D91" s="190">
        <v>6</v>
      </c>
      <c r="E91" s="182">
        <f>MAX(VLOOKUP(D91,'Card Progress data'!$G$24:$H$32,2,0)-C91,0)</f>
        <v>0</v>
      </c>
      <c r="F91" s="177">
        <f>ROUNDUP(E91/'Card Progress data'!$AE$54,0)</f>
        <v>0</v>
      </c>
      <c r="G91" s="177">
        <f>ROUNDUP(E91/'Card Progress data'!$AE$54,0)</f>
        <v>0</v>
      </c>
      <c r="H91" s="179" t="str">
        <f t="shared" ca="1" si="11"/>
        <v/>
      </c>
      <c r="I91" s="180">
        <f>MAX(VLOOKUP(D91,'Card Progress data'!$G$4:$H$15,2,0),0)</f>
        <v>50000</v>
      </c>
      <c r="J91" s="181">
        <f>VLOOKUP(VLOOKUP(D91-1,'Card Progress data'!$W$23:$X$31,2,0)+C91,'Card Progress data'!$X$24:$Y$31,2,1)</f>
        <v>7</v>
      </c>
      <c r="K91" s="180">
        <f>P91-VLOOKUP(J91,'Card Progress data'!$G$44:$H$52,2,0)</f>
        <v>50000</v>
      </c>
      <c r="L91" s="182">
        <f>MAX('Generic Info'!$X$53-C91-VLOOKUP(D91,'Generic Info'!$W$46:$X$53,2,0),0)</f>
        <v>200</v>
      </c>
      <c r="M91" s="207">
        <f t="shared" si="6"/>
        <v>50</v>
      </c>
      <c r="N91" s="214">
        <f t="shared" si="7"/>
        <v>50</v>
      </c>
      <c r="O91" s="179">
        <f t="shared" ca="1" si="8"/>
        <v>46081</v>
      </c>
      <c r="P91" s="208">
        <f>MAX('Card Progress data'!$X$12-VLOOKUP(D91-1,'Card Progress data'!$W$4:$X$12,2,0),0)</f>
        <v>150000</v>
      </c>
      <c r="Q91" s="208">
        <f>'Card Progress data'!$H$45-MAX('Card Progress data'!$X$12-VLOOKUP(D91-1,'Card Progress data'!$W$4:$X$12,2,0),0)</f>
        <v>34400</v>
      </c>
      <c r="R91" s="183">
        <f>L91*'Card Progress data'!$V$81</f>
        <v>200000</v>
      </c>
      <c r="S91" s="173" t="str">
        <f t="shared" si="9"/>
        <v>P.E.K.K.A</v>
      </c>
      <c r="T91" s="181">
        <v>6</v>
      </c>
      <c r="U91" s="181">
        <f>MAX((VLOOKUP($T91,'Card Progress data'!$G$65:$H$73,2,0))-(((VLOOKUP($D91-1,'Card Progress data'!$W$24:$X$32,2,0))+C91)),0)</f>
        <v>0</v>
      </c>
      <c r="V91" s="184">
        <f>ROUNDUP(U91/'Card Progress data'!$AE$54,0)</f>
        <v>0</v>
      </c>
      <c r="W91" s="184">
        <f>ROUNDUP(U91/('Card Progress data'!$AF$52),0)</f>
        <v>0</v>
      </c>
      <c r="X91" s="179" t="str">
        <f t="shared" ca="1" si="10"/>
        <v/>
      </c>
      <c r="Y91" s="186">
        <f>MAX(P91-VLOOKUP(T91,'Card Progress data'!$G$44:$H$52,2,0),0)</f>
        <v>0</v>
      </c>
      <c r="Z91" s="187">
        <f>MAX(VLOOKUP(T91,'Card Progress data'!$BC$24:$BD$32,2,0)-(VLOOKUP(D91,'Card Progress data'!$BC$24:$BD$32,2,0)),0)</f>
        <v>0</v>
      </c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</row>
    <row r="92" spans="1:62" ht="15.75" customHeight="1">
      <c r="A92" s="157"/>
      <c r="B92" s="173" t="s">
        <v>381</v>
      </c>
      <c r="C92" s="176">
        <v>92</v>
      </c>
      <c r="D92" s="190">
        <v>5</v>
      </c>
      <c r="E92" s="182">
        <f>MAX(VLOOKUP(D92,'Card Progress data'!$G$24:$H$32,2,0)-C92,0)</f>
        <v>0</v>
      </c>
      <c r="F92" s="177">
        <f>ROUNDUP(E92/'Card Progress data'!$AE$54,0)</f>
        <v>0</v>
      </c>
      <c r="G92" s="177">
        <f>ROUNDUP(E92/'Card Progress data'!$AE$54,0)</f>
        <v>0</v>
      </c>
      <c r="H92" s="179" t="str">
        <f t="shared" ca="1" si="11"/>
        <v/>
      </c>
      <c r="I92" s="180">
        <f>MAX(VLOOKUP(D92,'Card Progress data'!$G$4:$H$15,2,0),0)</f>
        <v>20000</v>
      </c>
      <c r="J92" s="181">
        <f>VLOOKUP(VLOOKUP(D92-1,'Card Progress data'!$W$23:$X$31,2,0)+C92,'Card Progress data'!$X$24:$Y$31,2,1)</f>
        <v>6</v>
      </c>
      <c r="K92" s="180">
        <f>P92-VLOOKUP(J92,'Card Progress data'!$G$44:$H$52,2,0)</f>
        <v>20000</v>
      </c>
      <c r="L92" s="182">
        <f>MAX('Generic Info'!$X$53-C92-VLOOKUP(D92,'Generic Info'!$W$46:$X$53,2,0),0)</f>
        <v>258</v>
      </c>
      <c r="M92" s="207">
        <f t="shared" si="6"/>
        <v>65</v>
      </c>
      <c r="N92" s="214">
        <f t="shared" si="7"/>
        <v>65</v>
      </c>
      <c r="O92" s="179">
        <f t="shared" ca="1" si="8"/>
        <v>46186</v>
      </c>
      <c r="P92" s="183">
        <f>MAX('Card Progress data'!$X$12-VLOOKUP(D92-1,'Card Progress data'!$W$4:$X$12,2,0),0)</f>
        <v>170000</v>
      </c>
      <c r="Q92" s="208">
        <f>'Card Progress data'!$H$45-MAX('Card Progress data'!$X$12-VLOOKUP(D92-1,'Card Progress data'!$W$4:$X$12,2,0),0)</f>
        <v>14400</v>
      </c>
      <c r="R92" s="183">
        <f>L92*'Card Progress data'!$V$81</f>
        <v>258000</v>
      </c>
      <c r="S92" s="173" t="str">
        <f t="shared" si="9"/>
        <v>Golem</v>
      </c>
      <c r="T92" s="181">
        <v>5</v>
      </c>
      <c r="U92" s="181">
        <f>MAX((VLOOKUP($T92,'Card Progress data'!$G$65:$H$73,2,0))-(((VLOOKUP($D92-1,'Card Progress data'!$W$24:$X$32,2,0))+C92)),0)</f>
        <v>0</v>
      </c>
      <c r="V92" s="184">
        <f>ROUNDUP(U92/'Card Progress data'!$AE$54,0)</f>
        <v>0</v>
      </c>
      <c r="W92" s="184">
        <f>ROUNDUP(U92/('Card Progress data'!$AF$52),0)</f>
        <v>0</v>
      </c>
      <c r="X92" s="179" t="str">
        <f t="shared" ca="1" si="10"/>
        <v/>
      </c>
      <c r="Y92" s="186">
        <f>MAX(P92-VLOOKUP(T92,'Card Progress data'!$G$44:$H$52,2,0),0)</f>
        <v>0</v>
      </c>
      <c r="Z92" s="187">
        <f>MAX(VLOOKUP(T92,'Card Progress data'!$BC$24:$BD$32,2,0)-(VLOOKUP(D92,'Card Progress data'!$BC$24:$BD$32,2,0)),0)</f>
        <v>0</v>
      </c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</row>
    <row r="93" spans="1:62" ht="15.75" customHeight="1">
      <c r="A93" s="157"/>
      <c r="B93" s="254" t="s">
        <v>4</v>
      </c>
      <c r="C93" s="254"/>
      <c r="D93" s="197">
        <f>SUM(D69:D92)/COUNT(D69:D92)</f>
        <v>5.125</v>
      </c>
      <c r="E93" s="198">
        <f>SUM(E69:E92)</f>
        <v>297</v>
      </c>
      <c r="F93" s="198">
        <f>SUM(F69:F92)</f>
        <v>77</v>
      </c>
      <c r="G93" s="198">
        <f>SUM(G69:G92)</f>
        <v>77</v>
      </c>
      <c r="H93" s="199">
        <f ca="1">INT((TODAY()-1)/7)*7+1+(+(F93*7))</f>
        <v>46271</v>
      </c>
      <c r="I93" s="198">
        <f>SUM(I70:I92)</f>
        <v>604000</v>
      </c>
      <c r="J93" s="197">
        <f>SUM(J69:J92)/COUNT(J69:J92)</f>
        <v>5.916666666666667</v>
      </c>
      <c r="K93" s="198">
        <f>SUM(K69:K92)</f>
        <v>404000</v>
      </c>
      <c r="L93" s="198">
        <f>SUM(L69:L92)</f>
        <v>6649</v>
      </c>
      <c r="M93" s="198">
        <f>SUM(M69:M92)</f>
        <v>1671</v>
      </c>
      <c r="N93" s="198">
        <f>SUM(N69:N92)</f>
        <v>1671</v>
      </c>
      <c r="O93" s="201">
        <f t="shared" ca="1" si="8"/>
        <v>57428</v>
      </c>
      <c r="P93" s="200">
        <f>SUM(P69:P92)</f>
        <v>3984000</v>
      </c>
      <c r="Q93" s="200">
        <f>SUM(Q69:Q92)</f>
        <v>441600</v>
      </c>
      <c r="R93" s="200">
        <f>SUM(R69:R92)</f>
        <v>6649000</v>
      </c>
      <c r="S93" s="173"/>
      <c r="T93" s="173"/>
      <c r="U93" s="198">
        <f>SUM(U69:U92)</f>
        <v>0</v>
      </c>
      <c r="V93" s="216">
        <f>SUM(V69:V92)</f>
        <v>0</v>
      </c>
      <c r="W93" s="216">
        <f>SUM(W69:W92)</f>
        <v>0</v>
      </c>
      <c r="X93" s="199" t="str">
        <f t="shared" ca="1" si="10"/>
        <v/>
      </c>
      <c r="Y93" s="198">
        <f>SUM(Y69:Y92)</f>
        <v>44000</v>
      </c>
      <c r="Z93" s="200">
        <f>SUM(Z69:Z92)</f>
        <v>1800</v>
      </c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</row>
    <row r="94" spans="1:62" ht="15.75" customHeight="1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88">
        <f ca="1">K93+K112+K65+K37-K31-K25-K18</f>
        <v>2984625</v>
      </c>
      <c r="L94" s="204">
        <f>L93/'Generic Info'!X72</f>
        <v>0.71586993970714896</v>
      </c>
      <c r="M94" s="157"/>
      <c r="N94" s="157"/>
      <c r="O94" s="157"/>
      <c r="P94" s="204">
        <f>P93/(P93+Q93)</f>
        <v>0.90021691973969631</v>
      </c>
      <c r="Q94" s="204">
        <f>Q93/SUM(P93+Q93)</f>
        <v>9.9783080260303691E-2</v>
      </c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</row>
    <row r="95" spans="1:62" ht="15.75" customHeight="1">
      <c r="A95" s="157"/>
      <c r="B95" s="255" t="s">
        <v>521</v>
      </c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300" t="s">
        <v>521</v>
      </c>
      <c r="S95" s="301"/>
      <c r="T95" s="301"/>
      <c r="U95" s="301"/>
      <c r="V95" s="301"/>
      <c r="W95" s="301"/>
      <c r="X95" s="301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</row>
    <row r="96" spans="1:62" ht="15.75" customHeight="1">
      <c r="A96" s="157"/>
      <c r="B96" s="173" t="s">
        <v>265</v>
      </c>
      <c r="C96" s="173" t="s">
        <v>266</v>
      </c>
      <c r="D96" s="173" t="s">
        <v>215</v>
      </c>
      <c r="E96" s="173" t="s">
        <v>267</v>
      </c>
      <c r="F96" s="173" t="s">
        <v>382</v>
      </c>
      <c r="G96" s="173" t="s">
        <v>383</v>
      </c>
      <c r="H96" s="173" t="s">
        <v>270</v>
      </c>
      <c r="I96" s="173" t="s">
        <v>271</v>
      </c>
      <c r="J96" s="173" t="s">
        <v>273</v>
      </c>
      <c r="K96" s="172" t="s">
        <v>273</v>
      </c>
      <c r="L96" s="173" t="s">
        <v>274</v>
      </c>
      <c r="M96" s="173" t="s">
        <v>382</v>
      </c>
      <c r="N96" s="173" t="s">
        <v>383</v>
      </c>
      <c r="O96" s="174" t="s">
        <v>275</v>
      </c>
      <c r="P96" s="173" t="s">
        <v>276</v>
      </c>
      <c r="Q96" s="175" t="s">
        <v>277</v>
      </c>
      <c r="R96" s="175" t="s">
        <v>265</v>
      </c>
      <c r="S96" s="175" t="s">
        <v>331</v>
      </c>
      <c r="T96" s="173" t="s">
        <v>267</v>
      </c>
      <c r="U96" s="173" t="s">
        <v>384</v>
      </c>
      <c r="V96" s="173" t="s">
        <v>270</v>
      </c>
      <c r="W96" s="173" t="s">
        <v>280</v>
      </c>
      <c r="X96" s="173" t="s">
        <v>281</v>
      </c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</row>
    <row r="97" spans="1:62" ht="15.75" customHeight="1">
      <c r="A97" s="157"/>
      <c r="B97" s="173" t="s">
        <v>385</v>
      </c>
      <c r="C97" s="190">
        <v>4</v>
      </c>
      <c r="D97" s="190">
        <v>1</v>
      </c>
      <c r="E97" s="182">
        <f>MAX(VLOOKUP(D97,'Card Progress data'!$J$24:$K$29,2,0)-C97,0)</f>
        <v>0</v>
      </c>
      <c r="F97" s="177">
        <f>E97*'Card Progress data'!$K$31</f>
        <v>0</v>
      </c>
      <c r="G97" s="217">
        <f>VLOOKUP(E97,'Card Progress data'!$AG$4:$AH$54,2,0)</f>
        <v>0</v>
      </c>
      <c r="H97" s="218" t="s">
        <v>386</v>
      </c>
      <c r="I97" s="180">
        <f>MAX(VLOOKUP(D97,'Card Progress data'!$J$4:$K$9,2,0),0)</f>
        <v>5000</v>
      </c>
      <c r="J97" s="184">
        <f>VLOOKUP(VLOOKUP(D97-1,'Card Progress data'!$Z$23:$AA$29,2,0)+C97,'Card Progress data'!$AA$23:$AB$29,2,1)</f>
        <v>2</v>
      </c>
      <c r="K97" s="180">
        <f>P97-VLOOKUP(J97,'Card Progress data'!$J$44:$K$49,2,0)</f>
        <v>5000</v>
      </c>
      <c r="L97" s="182">
        <f>MAX('Card Progress data'!$AA$28-C97-VLOOKUP(D97-1,'Card Progress data'!$Z$23:$AA$29,2,0),0)</f>
        <v>32</v>
      </c>
      <c r="M97" s="177">
        <f>L97*'Card Progress data'!$K$31</f>
        <v>1280000</v>
      </c>
      <c r="N97" s="217">
        <f>VLOOKUP(L97,'Card Progress data'!$AG$4:$AH$54,2,0)</f>
        <v>2520000</v>
      </c>
      <c r="O97" s="219" t="s">
        <v>386</v>
      </c>
      <c r="P97" s="208">
        <f>MAX('Card Progress data'!$AA$9-VLOOKUP(D97-1,'Card Progress data'!$Z$3:$AA$9,2,0),0)</f>
        <v>175000</v>
      </c>
      <c r="Q97" s="208">
        <f>'Card Progress data'!$K$45-MAX('Card Progress data'!$AA$9-VLOOKUP(D97-1,'Card Progress data'!$Z$3:$AA$9,2,0),0)</f>
        <v>0</v>
      </c>
      <c r="R97" s="173" t="str">
        <f t="shared" ref="R97:R112" si="12">B97</f>
        <v>The Log</v>
      </c>
      <c r="S97" s="181">
        <v>4</v>
      </c>
      <c r="T97" s="188">
        <f>VLOOKUP(S97,'Card Progress data'!J65:K70,2,0)</f>
        <v>16</v>
      </c>
      <c r="U97" s="220">
        <f>T97*'Card Progress data'!$K$31</f>
        <v>640000</v>
      </c>
      <c r="V97" s="219" t="s">
        <v>386</v>
      </c>
      <c r="W97" s="186" t="e">
        <f>MAX(N97-VLOOKUP(R97,'Card Progress data'!$G$44:$H$52,2,0),0)</f>
        <v>#N/A</v>
      </c>
      <c r="X97" s="187">
        <f>MAX(VLOOKUP(S97,'Card Progress data'!$BF$24:$BG$29,2,0)-(VLOOKUP(D97,'Card Progress data'!$BF$24:$BG$29,2,0)),0)</f>
        <v>1650</v>
      </c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</row>
    <row r="98" spans="1:62" ht="15.75" customHeight="1">
      <c r="A98" s="157"/>
      <c r="B98" s="173" t="s">
        <v>387</v>
      </c>
      <c r="C98" s="190">
        <v>3</v>
      </c>
      <c r="D98" s="190">
        <v>1</v>
      </c>
      <c r="E98" s="182">
        <f>MAX(VLOOKUP(D98,'Card Progress data'!$J$24:$K$29,2,0)-C98,0)</f>
        <v>0</v>
      </c>
      <c r="F98" s="177">
        <f>E98*'Card Progress data'!$K$31</f>
        <v>0</v>
      </c>
      <c r="G98" s="217">
        <f>VLOOKUP(E98,'Card Progress data'!$AG$4:$AH$54,2,0)</f>
        <v>0</v>
      </c>
      <c r="H98" s="218" t="s">
        <v>386</v>
      </c>
      <c r="I98" s="180">
        <f>MAX(VLOOKUP(D98,'Card Progress data'!$J$4:$K$9,2,0),0)</f>
        <v>5000</v>
      </c>
      <c r="J98" s="184">
        <f>VLOOKUP(VLOOKUP(D98-1,'Card Progress data'!$Z$23:$AA$29,2,0)+C98,'Card Progress data'!$AA$23:$AB$29,2,1)</f>
        <v>2</v>
      </c>
      <c r="K98" s="180">
        <f>P98-VLOOKUP(J98,'Card Progress data'!$J$44:$K$49,2,0)</f>
        <v>5000</v>
      </c>
      <c r="L98" s="182">
        <f>MAX('Card Progress data'!$AA$28-C98-VLOOKUP(D98-1,'Card Progress data'!$Z$23:$AA$29,2,0),0)</f>
        <v>33</v>
      </c>
      <c r="M98" s="177">
        <f>L98*'Card Progress data'!$K$31</f>
        <v>1320000</v>
      </c>
      <c r="N98" s="217">
        <f>VLOOKUP(L98,'Card Progress data'!$AG$4:$AH$54,2,0)</f>
        <v>2640000</v>
      </c>
      <c r="O98" s="219" t="s">
        <v>386</v>
      </c>
      <c r="P98" s="208">
        <f>MAX('Card Progress data'!$AA$9-VLOOKUP(D98-1,'Card Progress data'!$Z$3:$AA$9,2,0),0)</f>
        <v>175000</v>
      </c>
      <c r="Q98" s="208">
        <f>'Card Progress data'!$K$45-MAX('Card Progress data'!$AA$9-VLOOKUP(D98-1,'Card Progress data'!$Z$3:$AA$9,2,0),0)</f>
        <v>0</v>
      </c>
      <c r="R98" s="173" t="str">
        <f t="shared" si="12"/>
        <v>Ice Wizard</v>
      </c>
      <c r="S98" s="181">
        <v>4</v>
      </c>
      <c r="T98" s="157"/>
      <c r="U98" s="220">
        <f>T98*'Card Progress data'!$K$31</f>
        <v>0</v>
      </c>
      <c r="V98" s="219" t="s">
        <v>386</v>
      </c>
      <c r="W98" s="157"/>
      <c r="X98" s="187">
        <f>MAX(VLOOKUP(S98,'Card Progress data'!$BF$24:$BG$29,2,0)-(VLOOKUP(D98,'Card Progress data'!$BF$24:$BG$29,2,0)),0)</f>
        <v>1650</v>
      </c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</row>
    <row r="99" spans="1:62" ht="15.75" customHeight="1">
      <c r="A99" s="157"/>
      <c r="B99" s="173" t="s">
        <v>388</v>
      </c>
      <c r="C99" s="190">
        <v>0</v>
      </c>
      <c r="D99" s="190">
        <v>2</v>
      </c>
      <c r="E99" s="182">
        <f>MAX(VLOOKUP(D99,'Card Progress data'!$J$24:$K$29,2,0)-C99,0)</f>
        <v>4</v>
      </c>
      <c r="F99" s="177">
        <f>E99*'Card Progress data'!$K$31</f>
        <v>160000</v>
      </c>
      <c r="G99" s="217">
        <f>VLOOKUP(E99,'Card Progress data'!$AG$4:$AH$54,2,0)</f>
        <v>280000</v>
      </c>
      <c r="H99" s="218" t="s">
        <v>386</v>
      </c>
      <c r="I99" s="180">
        <f>MAX(VLOOKUP(D99,'Card Progress data'!$J$4:$K$9,2,0),0)</f>
        <v>20000</v>
      </c>
      <c r="J99" s="184">
        <f>VLOOKUP(VLOOKUP(D99-1,'Card Progress data'!$Z$23:$AA$29,2,0)+C99,'Card Progress data'!$AA$23:$AB$29,2,1)</f>
        <v>2</v>
      </c>
      <c r="K99" s="180">
        <f>P99-VLOOKUP(J99,'Card Progress data'!$J$44:$K$49,2,0)</f>
        <v>0</v>
      </c>
      <c r="L99" s="182">
        <f>MAX('Card Progress data'!$AA$28-C99-VLOOKUP(D99-1,'Card Progress data'!$Z$23:$AA$29,2,0),0)</f>
        <v>34</v>
      </c>
      <c r="M99" s="177">
        <f>L99*'Card Progress data'!$K$31</f>
        <v>1360000</v>
      </c>
      <c r="N99" s="217">
        <f>VLOOKUP(L99,'Card Progress data'!$AG$4:$AH$54,2,0)</f>
        <v>2680000</v>
      </c>
      <c r="O99" s="219" t="s">
        <v>386</v>
      </c>
      <c r="P99" s="208">
        <f>MAX('Card Progress data'!$AA$9-VLOOKUP(D99-1,'Card Progress data'!$Z$3:$AA$9,2,0),0)</f>
        <v>170000</v>
      </c>
      <c r="Q99" s="208">
        <f>'Card Progress data'!$K$45-MAX('Card Progress data'!$AA$9-VLOOKUP(D99-1,'Card Progress data'!$Z$3:$AA$9,2,0),0)</f>
        <v>5000</v>
      </c>
      <c r="R99" s="173" t="str">
        <f t="shared" si="12"/>
        <v>Miner</v>
      </c>
      <c r="S99" s="181">
        <v>4</v>
      </c>
      <c r="T99" s="157"/>
      <c r="U99" s="220">
        <f>T99*'Card Progress data'!$K$31</f>
        <v>0</v>
      </c>
      <c r="V99" s="219" t="s">
        <v>386</v>
      </c>
      <c r="W99" s="157"/>
      <c r="X99" s="187">
        <f>MAX(VLOOKUP(S99,'Card Progress data'!$BF$24:$BG$29,2,0)-(VLOOKUP(D99,'Card Progress data'!$BF$24:$BG$29,2,0)),0)</f>
        <v>1400</v>
      </c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</row>
    <row r="100" spans="1:62" ht="15.75" customHeight="1">
      <c r="A100" s="157"/>
      <c r="B100" s="173" t="s">
        <v>389</v>
      </c>
      <c r="C100" s="190">
        <v>2</v>
      </c>
      <c r="D100" s="190">
        <v>2</v>
      </c>
      <c r="E100" s="182">
        <f>MAX(VLOOKUP(D100,'Card Progress data'!$J$24:$K$29,2,0)-C100,0)</f>
        <v>2</v>
      </c>
      <c r="F100" s="177">
        <f>E100*'Card Progress data'!$K$31</f>
        <v>80000</v>
      </c>
      <c r="G100" s="217">
        <f>VLOOKUP(E100,'Card Progress data'!$AG$4:$AH$54,2,0)</f>
        <v>120000</v>
      </c>
      <c r="H100" s="218" t="s">
        <v>386</v>
      </c>
      <c r="I100" s="180">
        <f>MAX(VLOOKUP(D100,'Card Progress data'!$J$4:$K$9,2,0),0)</f>
        <v>20000</v>
      </c>
      <c r="J100" s="184">
        <f>VLOOKUP(VLOOKUP(D100-1,'Card Progress data'!$Z$23:$AA$29,2,0)+C100,'Card Progress data'!$AA$23:$AB$29,2,1)</f>
        <v>2</v>
      </c>
      <c r="K100" s="180">
        <f>P100-VLOOKUP(J100,'Card Progress data'!$J$44:$K$49,2,0)</f>
        <v>0</v>
      </c>
      <c r="L100" s="182">
        <f>MAX('Card Progress data'!$AA$28-C100-VLOOKUP(D100-1,'Card Progress data'!$Z$23:$AA$29,2,0),0)</f>
        <v>32</v>
      </c>
      <c r="M100" s="177">
        <f>L100*'Card Progress data'!$K$31</f>
        <v>1280000</v>
      </c>
      <c r="N100" s="217">
        <f>VLOOKUP(L100,'Card Progress data'!$AG$4:$AH$54,2,0)</f>
        <v>2520000</v>
      </c>
      <c r="O100" s="219" t="s">
        <v>386</v>
      </c>
      <c r="P100" s="208">
        <f>MAX('Card Progress data'!$AA$9-VLOOKUP(D100-1,'Card Progress data'!$Z$3:$AA$9,2,0),0)</f>
        <v>170000</v>
      </c>
      <c r="Q100" s="208">
        <f>'Card Progress data'!$K$45-MAX('Card Progress data'!$AA$9-VLOOKUP(D100-1,'Card Progress data'!$Z$3:$AA$9,2,0),0)</f>
        <v>5000</v>
      </c>
      <c r="R100" s="173" t="str">
        <f t="shared" si="12"/>
        <v>Electro Wizard</v>
      </c>
      <c r="S100" s="181">
        <v>4</v>
      </c>
      <c r="T100" s="157"/>
      <c r="U100" s="220">
        <f>T100*'Card Progress data'!$K$31</f>
        <v>0</v>
      </c>
      <c r="V100" s="219" t="s">
        <v>386</v>
      </c>
      <c r="W100" s="157"/>
      <c r="X100" s="187">
        <f>MAX(VLOOKUP(S100,'Card Progress data'!$BF$24:$BG$29,2,0)-(VLOOKUP(D100,'Card Progress data'!$BF$24:$BG$29,2,0)),0)</f>
        <v>1400</v>
      </c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</row>
    <row r="101" spans="1:62" ht="15.75" customHeight="1">
      <c r="A101" s="157"/>
      <c r="B101" s="173" t="s">
        <v>390</v>
      </c>
      <c r="C101" s="190">
        <v>2</v>
      </c>
      <c r="D101" s="190">
        <v>1</v>
      </c>
      <c r="E101" s="182">
        <f>MAX(VLOOKUP(D101,'Card Progress data'!$J$24:$K$29,2,0)-C101,0)</f>
        <v>0</v>
      </c>
      <c r="F101" s="177">
        <f>E101*'Card Progress data'!$K$31</f>
        <v>0</v>
      </c>
      <c r="G101" s="217">
        <f>VLOOKUP(E101,'Card Progress data'!$AG$4:$AH$54,2,0)</f>
        <v>0</v>
      </c>
      <c r="H101" s="218" t="s">
        <v>386</v>
      </c>
      <c r="I101" s="180">
        <f>MAX(VLOOKUP(D101,'Card Progress data'!$J$4:$K$9,2,0),0)</f>
        <v>5000</v>
      </c>
      <c r="J101" s="184">
        <f>VLOOKUP(VLOOKUP(D101-1,'Card Progress data'!$Z$23:$AA$29,2,0)+C101,'Card Progress data'!$AA$23:$AB$29,2,1)</f>
        <v>2</v>
      </c>
      <c r="K101" s="180">
        <f>P101-VLOOKUP(J101,'Card Progress data'!$J$44:$K$49,2,0)</f>
        <v>5000</v>
      </c>
      <c r="L101" s="182">
        <f>MAX('Card Progress data'!$AA$28-C101-VLOOKUP(D101-1,'Card Progress data'!$Z$23:$AA$29,2,0),0)</f>
        <v>34</v>
      </c>
      <c r="M101" s="177">
        <f>L101*'Card Progress data'!$K$31</f>
        <v>1360000</v>
      </c>
      <c r="N101" s="217">
        <f>VLOOKUP(L101,'Card Progress data'!$AG$4:$AH$54,2,0)</f>
        <v>2680000</v>
      </c>
      <c r="O101" s="219" t="s">
        <v>386</v>
      </c>
      <c r="P101" s="208">
        <f>MAX('Card Progress data'!$AA$9-VLOOKUP(D101-1,'Card Progress data'!$Z$3:$AA$9,2,0),0)</f>
        <v>175000</v>
      </c>
      <c r="Q101" s="208">
        <f>'Card Progress data'!$K$45-MAX('Card Progress data'!$AA$9-VLOOKUP(D101-1,'Card Progress data'!$Z$3:$AA$9,2,0),0)</f>
        <v>0</v>
      </c>
      <c r="R101" s="173" t="str">
        <f t="shared" si="12"/>
        <v>Princess</v>
      </c>
      <c r="S101" s="181">
        <v>4</v>
      </c>
      <c r="T101" s="157"/>
      <c r="U101" s="220">
        <f>T101*'Card Progress data'!$K$31</f>
        <v>0</v>
      </c>
      <c r="V101" s="219" t="s">
        <v>386</v>
      </c>
      <c r="W101" s="157"/>
      <c r="X101" s="187">
        <f>MAX(VLOOKUP(S101,'Card Progress data'!$BF$24:$BG$29,2,0)-(VLOOKUP(D101,'Card Progress data'!$BF$24:$BG$29,2,0)),0)</f>
        <v>1650</v>
      </c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</row>
    <row r="102" spans="1:62" ht="15.75" customHeight="1">
      <c r="A102" s="157"/>
      <c r="B102" s="173" t="s">
        <v>391</v>
      </c>
      <c r="C102" s="190">
        <v>0</v>
      </c>
      <c r="D102" s="190">
        <v>0</v>
      </c>
      <c r="E102" s="182">
        <f>MAX(VLOOKUP(D102,'Card Progress data'!$J$24:$K$29,2,0)-C102,0)</f>
        <v>1</v>
      </c>
      <c r="F102" s="177">
        <f>E102*'Card Progress data'!$K$31</f>
        <v>40000</v>
      </c>
      <c r="G102" s="217">
        <f>VLOOKUP(E102,'Card Progress data'!$AG$4:$AH$54,2,0)</f>
        <v>40000</v>
      </c>
      <c r="H102" s="218" t="s">
        <v>386</v>
      </c>
      <c r="I102" s="180">
        <f>MAX(VLOOKUP(D102,'Card Progress data'!$J$4:$K$9,2,0),0)</f>
        <v>0</v>
      </c>
      <c r="J102" s="190">
        <f>VLOOKUP(VLOOKUP(D102-1,'Card Progress data'!$Z$23:$AA$29,2,0)+C102,'Card Progress data'!$AA$23:$AB$29,2,1)</f>
        <v>0</v>
      </c>
      <c r="K102" s="180">
        <f>P102-VLOOKUP(J102,'Card Progress data'!$J$44:$K$49,2,0)</f>
        <v>0</v>
      </c>
      <c r="L102" s="182">
        <f>MAX('Card Progress data'!$AA$28-C102-VLOOKUP(D102-1,'Card Progress data'!$Z$23:$AA$29,2,0),0)</f>
        <v>37</v>
      </c>
      <c r="M102" s="177">
        <f>L102*'Card Progress data'!$K$31</f>
        <v>1480000</v>
      </c>
      <c r="N102" s="217">
        <f>VLOOKUP(L102,'Card Progress data'!$AG$4:$AH$54,2,0)</f>
        <v>2920000</v>
      </c>
      <c r="O102" s="219" t="s">
        <v>386</v>
      </c>
      <c r="P102" s="208">
        <f>MAX('Card Progress data'!$AA$9-VLOOKUP(D102-1,'Card Progress data'!$Z$3:$AA$9,2,0),0)</f>
        <v>175000</v>
      </c>
      <c r="Q102" s="208">
        <f>'Card Progress data'!$K$45-MAX('Card Progress data'!$AA$9-VLOOKUP(D102-1,'Card Progress data'!$Z$3:$AA$9,2,0),0)</f>
        <v>0</v>
      </c>
      <c r="R102" s="173" t="str">
        <f t="shared" si="12"/>
        <v>Magic Archer</v>
      </c>
      <c r="S102" s="181">
        <v>4</v>
      </c>
      <c r="T102" s="157"/>
      <c r="U102" s="220">
        <f>T102*'Card Progress data'!$K$31</f>
        <v>0</v>
      </c>
      <c r="V102" s="219" t="s">
        <v>386</v>
      </c>
      <c r="W102" s="157"/>
      <c r="X102" s="187">
        <f>MAX(VLOOKUP(S102,'Card Progress data'!$BF$24:$BG$29,2,0)-(VLOOKUP(D102,'Card Progress data'!$BF$24:$BG$29,2,0)),0)</f>
        <v>1650</v>
      </c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</row>
    <row r="103" spans="1:62" ht="15.75" customHeight="1">
      <c r="A103" s="157"/>
      <c r="B103" s="173" t="s">
        <v>392</v>
      </c>
      <c r="C103" s="190">
        <v>4</v>
      </c>
      <c r="D103" s="190">
        <v>1</v>
      </c>
      <c r="E103" s="182">
        <f>MAX(VLOOKUP(D103,'Card Progress data'!$J$24:$K$29,2,0)-C103,0)</f>
        <v>0</v>
      </c>
      <c r="F103" s="177">
        <f>E103*'Card Progress data'!$K$31</f>
        <v>0</v>
      </c>
      <c r="G103" s="217">
        <f>VLOOKUP(E103,'Card Progress data'!$AG$4:$AH$54,2,0)</f>
        <v>0</v>
      </c>
      <c r="H103" s="218" t="s">
        <v>386</v>
      </c>
      <c r="I103" s="180">
        <f>MAX(VLOOKUP(D103,'Card Progress data'!$J$4:$K$9,2,0),0)</f>
        <v>5000</v>
      </c>
      <c r="J103" s="184">
        <f>VLOOKUP(VLOOKUP(D103-1,'Card Progress data'!$Z$23:$AA$29,2,0)+C103,'Card Progress data'!$AA$23:$AB$29,2,1)</f>
        <v>2</v>
      </c>
      <c r="K103" s="180">
        <f>P103-VLOOKUP(J103,'Card Progress data'!$J$44:$K$49,2,0)</f>
        <v>5000</v>
      </c>
      <c r="L103" s="182">
        <f>MAX('Card Progress data'!$AA$28-C103-VLOOKUP(D103-1,'Card Progress data'!$Z$23:$AA$29,2,0),0)</f>
        <v>32</v>
      </c>
      <c r="M103" s="177">
        <f>L103*'Card Progress data'!$K$31</f>
        <v>1280000</v>
      </c>
      <c r="N103" s="217">
        <f>VLOOKUP(L103,'Card Progress data'!$AG$4:$AH$54,2,0)</f>
        <v>2520000</v>
      </c>
      <c r="O103" s="219" t="s">
        <v>386</v>
      </c>
      <c r="P103" s="208">
        <f>MAX('Card Progress data'!$AA$9-VLOOKUP(D103-1,'Card Progress data'!$Z$3:$AA$9,2,0),0)</f>
        <v>175000</v>
      </c>
      <c r="Q103" s="208">
        <f>'Card Progress data'!$K$45-MAX('Card Progress data'!$AA$9-VLOOKUP(D103-1,'Card Progress data'!$Z$3:$AA$9,2,0),0)</f>
        <v>0</v>
      </c>
      <c r="R103" s="173" t="str">
        <f t="shared" si="12"/>
        <v>Bandit</v>
      </c>
      <c r="S103" s="181">
        <v>4</v>
      </c>
      <c r="T103" s="157"/>
      <c r="U103" s="220">
        <f>T103*'Card Progress data'!$K$31</f>
        <v>0</v>
      </c>
      <c r="V103" s="219" t="s">
        <v>386</v>
      </c>
      <c r="W103" s="157"/>
      <c r="X103" s="187">
        <f>MAX(VLOOKUP(S103,'Card Progress data'!$BF$24:$BG$29,2,0)-(VLOOKUP(D103,'Card Progress data'!$BF$24:$BG$29,2,0)),0)</f>
        <v>1650</v>
      </c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</row>
    <row r="104" spans="1:62" ht="15.75" customHeight="1">
      <c r="A104" s="157"/>
      <c r="B104" s="173" t="s">
        <v>393</v>
      </c>
      <c r="C104" s="190">
        <v>1</v>
      </c>
      <c r="D104" s="190">
        <v>1</v>
      </c>
      <c r="E104" s="182">
        <f>MAX(VLOOKUP(D104,'Card Progress data'!$J$24:$K$29,2,0)-C104,0)</f>
        <v>1</v>
      </c>
      <c r="F104" s="177">
        <f>E104*'Card Progress data'!$K$31</f>
        <v>40000</v>
      </c>
      <c r="G104" s="217">
        <f>VLOOKUP(E104,'Card Progress data'!$AG$4:$AH$54,2,0)</f>
        <v>40000</v>
      </c>
      <c r="H104" s="218" t="s">
        <v>386</v>
      </c>
      <c r="I104" s="180">
        <f>MAX(VLOOKUP(D104,'Card Progress data'!$J$4:$K$9,2,0),0)</f>
        <v>5000</v>
      </c>
      <c r="J104" s="184">
        <f>VLOOKUP(VLOOKUP(D104-1,'Card Progress data'!$Z$23:$AA$29,2,0)+C104,'Card Progress data'!$AA$23:$AB$29,2,1)</f>
        <v>1</v>
      </c>
      <c r="K104" s="180">
        <f>P104-VLOOKUP(J104,'Card Progress data'!$J$44:$K$49,2,0)</f>
        <v>0</v>
      </c>
      <c r="L104" s="182">
        <f>MAX('Card Progress data'!$AA$28-C104-VLOOKUP(D104-1,'Card Progress data'!$Z$23:$AA$29,2,0),0)</f>
        <v>35</v>
      </c>
      <c r="M104" s="177">
        <f>L104*'Card Progress data'!$K$31</f>
        <v>1400000</v>
      </c>
      <c r="N104" s="217">
        <f>VLOOKUP(L104,'Card Progress data'!$AG$4:$AH$54,2,0)</f>
        <v>2760000</v>
      </c>
      <c r="O104" s="219" t="s">
        <v>386</v>
      </c>
      <c r="P104" s="208">
        <f>MAX('Card Progress data'!$AA$9-VLOOKUP(D104-1,'Card Progress data'!$Z$3:$AA$9,2,0),0)</f>
        <v>175000</v>
      </c>
      <c r="Q104" s="208">
        <f>'Card Progress data'!$K$45-MAX('Card Progress data'!$AA$9-VLOOKUP(D104-1,'Card Progress data'!$Z$3:$AA$9,2,0),0)</f>
        <v>0</v>
      </c>
      <c r="R104" s="173" t="str">
        <f t="shared" si="12"/>
        <v>Royal Ghost</v>
      </c>
      <c r="S104" s="181">
        <v>4</v>
      </c>
      <c r="T104" s="157"/>
      <c r="U104" s="220">
        <f>T104*'Card Progress data'!$K$31</f>
        <v>0</v>
      </c>
      <c r="V104" s="219" t="s">
        <v>386</v>
      </c>
      <c r="W104" s="157"/>
      <c r="X104" s="187">
        <f>MAX(VLOOKUP(S104,'Card Progress data'!$BF$24:$BG$29,2,0)-(VLOOKUP(D104,'Card Progress data'!$BF$24:$BG$29,2,0)),0)</f>
        <v>1650</v>
      </c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  <c r="BJ104" s="157"/>
    </row>
    <row r="105" spans="1:62" ht="15.75" customHeight="1">
      <c r="A105" s="157"/>
      <c r="B105" s="173" t="s">
        <v>394</v>
      </c>
      <c r="C105" s="190">
        <v>0</v>
      </c>
      <c r="D105" s="190">
        <v>0</v>
      </c>
      <c r="E105" s="182">
        <f>MAX(VLOOKUP(D105,'Card Progress data'!$J$24:$K$29,2,0)-C105,0)</f>
        <v>1</v>
      </c>
      <c r="F105" s="177">
        <f>E105*'Card Progress data'!$K$31</f>
        <v>40000</v>
      </c>
      <c r="G105" s="217">
        <f>VLOOKUP(E105,'Card Progress data'!$AG$4:$AH$54,2,0)</f>
        <v>40000</v>
      </c>
      <c r="H105" s="218" t="s">
        <v>386</v>
      </c>
      <c r="I105" s="180">
        <f>MAX(VLOOKUP(D105,'Card Progress data'!$J$4:$K$9,2,0),0)</f>
        <v>0</v>
      </c>
      <c r="J105" s="190">
        <f>VLOOKUP(VLOOKUP(D105-1,'Card Progress data'!$Z$23:$AA$29,2,0)+C105,'Card Progress data'!$AA$23:$AB$29,2,1)</f>
        <v>0</v>
      </c>
      <c r="K105" s="180">
        <f>P105-VLOOKUP(J105,'Card Progress data'!$J$44:$K$49,2,0)</f>
        <v>0</v>
      </c>
      <c r="L105" s="182">
        <f>MAX('Card Progress data'!$AA$28-C105-VLOOKUP(D105-1,'Card Progress data'!$Z$23:$AA$29,2,0),0)</f>
        <v>37</v>
      </c>
      <c r="M105" s="177">
        <f>L105*'Card Progress data'!$K$31</f>
        <v>1480000</v>
      </c>
      <c r="N105" s="217">
        <f>VLOOKUP(L105,'Card Progress data'!$AG$4:$AH$54,2,0)</f>
        <v>2920000</v>
      </c>
      <c r="O105" s="219" t="s">
        <v>386</v>
      </c>
      <c r="P105" s="208">
        <f>MAX('Card Progress data'!$AA$9-VLOOKUP(D105-1,'Card Progress data'!$Z$3:$AA$9,2,0),0)</f>
        <v>175000</v>
      </c>
      <c r="Q105" s="208">
        <f>'Card Progress data'!$K$45-MAX('Card Progress data'!$AA$9-VLOOKUP(D105-1,'Card Progress data'!$Z$3:$AA$9,2,0),0)</f>
        <v>0</v>
      </c>
      <c r="R105" s="173" t="str">
        <f t="shared" si="12"/>
        <v>Lumberjack</v>
      </c>
      <c r="S105" s="181">
        <v>4</v>
      </c>
      <c r="T105" s="157"/>
      <c r="U105" s="220">
        <f>T105*'Card Progress data'!$K$31</f>
        <v>0</v>
      </c>
      <c r="V105" s="219" t="s">
        <v>386</v>
      </c>
      <c r="W105" s="157"/>
      <c r="X105" s="187">
        <f>MAX(VLOOKUP(S105,'Card Progress data'!$BF$24:$BG$29,2,0)-(VLOOKUP(D105,'Card Progress data'!$BF$24:$BG$29,2,0)),0)</f>
        <v>1650</v>
      </c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  <c r="BJ105" s="157"/>
    </row>
    <row r="106" spans="1:62" ht="15.75" customHeight="1">
      <c r="A106" s="157"/>
      <c r="B106" s="173" t="s">
        <v>395</v>
      </c>
      <c r="C106" s="190">
        <v>0</v>
      </c>
      <c r="D106" s="190">
        <v>0</v>
      </c>
      <c r="E106" s="182">
        <f>MAX(VLOOKUP(D106,'Card Progress data'!$J$24:$K$29,2,0)-C106,0)</f>
        <v>1</v>
      </c>
      <c r="F106" s="177">
        <f>E106*'Card Progress data'!$K$31</f>
        <v>40000</v>
      </c>
      <c r="G106" s="217">
        <f>VLOOKUP(E106,'Card Progress data'!$AG$4:$AH$54,2,0)</f>
        <v>40000</v>
      </c>
      <c r="H106" s="218" t="s">
        <v>386</v>
      </c>
      <c r="I106" s="180">
        <f>MAX(VLOOKUP(D106,'Card Progress data'!$J$4:$K$9,2,0),0)</f>
        <v>0</v>
      </c>
      <c r="J106" s="190">
        <f>VLOOKUP(VLOOKUP(D106-1,'Card Progress data'!$Z$23:$AA$29,2,0)+C106,'Card Progress data'!$AA$23:$AB$29,2,1)</f>
        <v>0</v>
      </c>
      <c r="K106" s="180">
        <f>P106-VLOOKUP(J106,'Card Progress data'!$J$44:$K$49,2,0)</f>
        <v>0</v>
      </c>
      <c r="L106" s="182">
        <f>MAX('Card Progress data'!$AA$28-C106-VLOOKUP(D106-1,'Card Progress data'!$Z$23:$AA$29,2,0),0)</f>
        <v>37</v>
      </c>
      <c r="M106" s="177">
        <f>L106*'Card Progress data'!$K$31</f>
        <v>1480000</v>
      </c>
      <c r="N106" s="217">
        <f>VLOOKUP(L106,'Card Progress data'!$AG$4:$AH$54,2,0)</f>
        <v>2920000</v>
      </c>
      <c r="O106" s="219" t="s">
        <v>386</v>
      </c>
      <c r="P106" s="208">
        <f>MAX('Card Progress data'!$AA$9-VLOOKUP(D106-1,'Card Progress data'!$Z$3:$AA$9,2,0),0)</f>
        <v>175000</v>
      </c>
      <c r="Q106" s="208">
        <f>'Card Progress data'!$K$45-MAX('Card Progress data'!$AA$9-VLOOKUP(D106-1,'Card Progress data'!$Z$3:$AA$9,2,0),0)</f>
        <v>0</v>
      </c>
      <c r="R106" s="173" t="str">
        <f t="shared" si="12"/>
        <v>Inferno Dragon</v>
      </c>
      <c r="S106" s="181">
        <v>4</v>
      </c>
      <c r="T106" s="157"/>
      <c r="U106" s="220">
        <f>T106*'Card Progress data'!$K$31</f>
        <v>0</v>
      </c>
      <c r="V106" s="219" t="s">
        <v>386</v>
      </c>
      <c r="W106" s="157"/>
      <c r="X106" s="187">
        <f>MAX(VLOOKUP(S106,'Card Progress data'!$BF$24:$BG$29,2,0)-(VLOOKUP(D106,'Card Progress data'!$BF$24:$BG$29,2,0)),0)</f>
        <v>1650</v>
      </c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  <c r="BJ106" s="157"/>
    </row>
    <row r="107" spans="1:62" ht="15.75" customHeight="1">
      <c r="A107" s="157"/>
      <c r="B107" s="173" t="s">
        <v>396</v>
      </c>
      <c r="C107" s="190">
        <v>0</v>
      </c>
      <c r="D107" s="190">
        <v>0</v>
      </c>
      <c r="E107" s="182">
        <f>MAX(VLOOKUP(D107,'Card Progress data'!$J$24:$K$29,2,0)-C107,0)</f>
        <v>1</v>
      </c>
      <c r="F107" s="177">
        <f>E107*'Card Progress data'!$K$31</f>
        <v>40000</v>
      </c>
      <c r="G107" s="217">
        <f>VLOOKUP(E107,'Card Progress data'!$AG$4:$AH$54,2,0)</f>
        <v>40000</v>
      </c>
      <c r="H107" s="218" t="s">
        <v>386</v>
      </c>
      <c r="I107" s="180">
        <f>MAX(VLOOKUP(D107,'Card Progress data'!$J$4:$K$9,2,0),0)</f>
        <v>0</v>
      </c>
      <c r="J107" s="190">
        <f>VLOOKUP(VLOOKUP(D107-1,'Card Progress data'!$Z$23:$AA$29,2,0)+C107,'Card Progress data'!$AA$23:$AB$29,2,1)</f>
        <v>0</v>
      </c>
      <c r="K107" s="180">
        <f>P107-VLOOKUP(J107,'Card Progress data'!$J$44:$K$49,2,0)</f>
        <v>0</v>
      </c>
      <c r="L107" s="182">
        <f>MAX('Card Progress data'!$AA$28-C107-VLOOKUP(D107-1,'Card Progress data'!$Z$23:$AA$29,2,0),0)</f>
        <v>37</v>
      </c>
      <c r="M107" s="177">
        <f>L107*'Card Progress data'!$K$31</f>
        <v>1480000</v>
      </c>
      <c r="N107" s="217">
        <f>VLOOKUP(L107,'Card Progress data'!$AG$4:$AH$54,2,0)</f>
        <v>2920000</v>
      </c>
      <c r="O107" s="219" t="s">
        <v>386</v>
      </c>
      <c r="P107" s="208">
        <f>MAX('Card Progress data'!$AA$9-VLOOKUP(D107-1,'Card Progress data'!$Z$3:$AA$9,2,0),0)</f>
        <v>175000</v>
      </c>
      <c r="Q107" s="208">
        <f>'Card Progress data'!$K$45-MAX('Card Progress data'!$AA$9-VLOOKUP(D107-1,'Card Progress data'!$Z$3:$AA$9,2,0),0)</f>
        <v>0</v>
      </c>
      <c r="R107" s="173" t="str">
        <f t="shared" si="12"/>
        <v>Night Witch</v>
      </c>
      <c r="S107" s="181">
        <v>4</v>
      </c>
      <c r="T107" s="157"/>
      <c r="U107" s="220">
        <f>T107*'Card Progress data'!$K$31</f>
        <v>0</v>
      </c>
      <c r="V107" s="219" t="s">
        <v>386</v>
      </c>
      <c r="W107" s="157"/>
      <c r="X107" s="187">
        <f>MAX(VLOOKUP(S107,'Card Progress data'!$BF$24:$BG$29,2,0)-(VLOOKUP(D107,'Card Progress data'!$BF$24:$BG$29,2,0)),0)</f>
        <v>1650</v>
      </c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  <c r="BJ107" s="157"/>
    </row>
    <row r="108" spans="1:62" ht="15.75" customHeight="1">
      <c r="A108" s="157"/>
      <c r="B108" s="173" t="s">
        <v>397</v>
      </c>
      <c r="C108" s="190">
        <v>4</v>
      </c>
      <c r="D108" s="190">
        <v>1</v>
      </c>
      <c r="E108" s="182">
        <f>MAX(VLOOKUP(D108,'Card Progress data'!$J$24:$K$29,2,0)-C108,0)</f>
        <v>0</v>
      </c>
      <c r="F108" s="177">
        <f>E108*'Card Progress data'!$K$31</f>
        <v>0</v>
      </c>
      <c r="G108" s="217">
        <f>VLOOKUP(E108,'Card Progress data'!$AG$4:$AH$54,2,0)</f>
        <v>0</v>
      </c>
      <c r="H108" s="218" t="s">
        <v>386</v>
      </c>
      <c r="I108" s="180">
        <f>MAX(VLOOKUP(D108,'Card Progress data'!$J$4:$K$9,2,0),0)</f>
        <v>5000</v>
      </c>
      <c r="J108" s="184">
        <f>VLOOKUP(VLOOKUP(D108-1,'Card Progress data'!$Z$23:$AA$29,2,0)+C108,'Card Progress data'!$AA$23:$AB$29,2,1)</f>
        <v>2</v>
      </c>
      <c r="K108" s="180">
        <f>P108-VLOOKUP(J108,'Card Progress data'!$J$44:$K$49,2,0)</f>
        <v>5000</v>
      </c>
      <c r="L108" s="182">
        <f>MAX('Card Progress data'!$AA$28-C108-VLOOKUP(D108-1,'Card Progress data'!$Z$23:$AA$29,2,0),0)</f>
        <v>32</v>
      </c>
      <c r="M108" s="177">
        <f>L108*'Card Progress data'!$K$31</f>
        <v>1280000</v>
      </c>
      <c r="N108" s="217">
        <f>VLOOKUP(L108,'Card Progress data'!$AG$4:$AH$54,2,0)</f>
        <v>2520000</v>
      </c>
      <c r="O108" s="219" t="s">
        <v>386</v>
      </c>
      <c r="P108" s="208">
        <f>MAX('Card Progress data'!$AA$9-VLOOKUP(D108-1,'Card Progress data'!$Z$3:$AA$9,2,0),0)</f>
        <v>175000</v>
      </c>
      <c r="Q108" s="208">
        <f>'Card Progress data'!$K$45-MAX('Card Progress data'!$AA$9-VLOOKUP(D108-1,'Card Progress data'!$Z$3:$AA$9,2,0),0)</f>
        <v>0</v>
      </c>
      <c r="R108" s="173" t="str">
        <f t="shared" si="12"/>
        <v>Graveyard</v>
      </c>
      <c r="S108" s="181">
        <v>4</v>
      </c>
      <c r="T108" s="157"/>
      <c r="U108" s="220">
        <f>T108*'Card Progress data'!$K$31</f>
        <v>0</v>
      </c>
      <c r="V108" s="219" t="s">
        <v>386</v>
      </c>
      <c r="W108" s="157"/>
      <c r="X108" s="187">
        <f>MAX(VLOOKUP(S108,'Card Progress data'!$BF$24:$BG$29,2,0)-(VLOOKUP(D108,'Card Progress data'!$BF$24:$BG$29,2,0)),0)</f>
        <v>1650</v>
      </c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  <c r="BJ108" s="157"/>
    </row>
    <row r="109" spans="1:62" ht="15.75" customHeight="1">
      <c r="A109" s="157"/>
      <c r="B109" s="173" t="s">
        <v>398</v>
      </c>
      <c r="C109" s="190">
        <v>6</v>
      </c>
      <c r="D109" s="190">
        <v>1</v>
      </c>
      <c r="E109" s="182">
        <f>MAX(VLOOKUP(D109,'Card Progress data'!$J$24:$K$29,2,0)-C109,0)</f>
        <v>0</v>
      </c>
      <c r="F109" s="177">
        <f>E109*'Card Progress data'!$K$31</f>
        <v>0</v>
      </c>
      <c r="G109" s="217">
        <f>VLOOKUP(E109,'Card Progress data'!$AG$4:$AH$54,2,0)</f>
        <v>0</v>
      </c>
      <c r="H109" s="218" t="s">
        <v>386</v>
      </c>
      <c r="I109" s="180">
        <f>MAX(VLOOKUP(D109,'Card Progress data'!$J$4:$K$9,2,0),0)</f>
        <v>5000</v>
      </c>
      <c r="J109" s="184">
        <f>VLOOKUP(VLOOKUP(D109-1,'Card Progress data'!$Z$23:$AA$29,2,0)+C109,'Card Progress data'!$AA$23:$AB$29,2,1)</f>
        <v>3</v>
      </c>
      <c r="K109" s="180">
        <f>P109-VLOOKUP(J109,'Card Progress data'!$J$44:$K$49,2,0)</f>
        <v>25000</v>
      </c>
      <c r="L109" s="182">
        <f>MAX('Card Progress data'!$AA$28-C109-VLOOKUP(D109-1,'Card Progress data'!$Z$23:$AA$29,2,0),0)</f>
        <v>30</v>
      </c>
      <c r="M109" s="177">
        <f>L109*'Card Progress data'!$K$31</f>
        <v>1200000</v>
      </c>
      <c r="N109" s="217">
        <f>VLOOKUP(L109,'Card Progress data'!$AG$4:$AH$54,2,0)</f>
        <v>2400000</v>
      </c>
      <c r="O109" s="219" t="s">
        <v>386</v>
      </c>
      <c r="P109" s="208">
        <f>MAX('Card Progress data'!$AA$9-VLOOKUP(D109-1,'Card Progress data'!$Z$3:$AA$9,2,0),0)</f>
        <v>175000</v>
      </c>
      <c r="Q109" s="208">
        <f>'Card Progress data'!$K$45-MAX('Card Progress data'!$AA$9-VLOOKUP(D109-1,'Card Progress data'!$Z$3:$AA$9,2,0),0)</f>
        <v>0</v>
      </c>
      <c r="R109" s="173" t="str">
        <f t="shared" si="12"/>
        <v>Sparky</v>
      </c>
      <c r="S109" s="181">
        <v>4</v>
      </c>
      <c r="T109" s="157"/>
      <c r="U109" s="220">
        <f>T109*'Card Progress data'!$K$31</f>
        <v>0</v>
      </c>
      <c r="V109" s="219" t="s">
        <v>386</v>
      </c>
      <c r="W109" s="157"/>
      <c r="X109" s="187">
        <f>MAX(VLOOKUP(S109,'Card Progress data'!$BF$24:$BG$29,2,0)-(VLOOKUP(D109,'Card Progress data'!$BF$24:$BG$29,2,0)),0)</f>
        <v>1650</v>
      </c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  <c r="BJ109" s="157"/>
    </row>
    <row r="110" spans="1:62" ht="15.75" customHeight="1">
      <c r="A110" s="157"/>
      <c r="B110" s="173" t="s">
        <v>399</v>
      </c>
      <c r="C110" s="190">
        <v>3</v>
      </c>
      <c r="D110" s="190">
        <v>1</v>
      </c>
      <c r="E110" s="182">
        <f>MAX(VLOOKUP(D110,'Card Progress data'!$J$24:$K$29,2,0)-C110,0)</f>
        <v>0</v>
      </c>
      <c r="F110" s="177">
        <f>E110*'Card Progress data'!$K$31</f>
        <v>0</v>
      </c>
      <c r="G110" s="217">
        <f>VLOOKUP(E110,'Card Progress data'!$AG$4:$AH$54,2,0)</f>
        <v>0</v>
      </c>
      <c r="H110" s="218" t="s">
        <v>386</v>
      </c>
      <c r="I110" s="180">
        <f>MAX(VLOOKUP(D110,'Card Progress data'!$J$4:$K$9,2,0),0)</f>
        <v>5000</v>
      </c>
      <c r="J110" s="184">
        <f>VLOOKUP(VLOOKUP(D110-1,'Card Progress data'!$Z$23:$AA$29,2,0)+C110,'Card Progress data'!$AA$23:$AB$29,2,1)</f>
        <v>2</v>
      </c>
      <c r="K110" s="180">
        <f>P110-VLOOKUP(J110,'Card Progress data'!$J$44:$K$49,2,0)</f>
        <v>5000</v>
      </c>
      <c r="L110" s="182">
        <f>MAX('Card Progress data'!$AA$28-C110-VLOOKUP(D110-1,'Card Progress data'!$Z$23:$AA$29,2,0),0)</f>
        <v>33</v>
      </c>
      <c r="M110" s="177">
        <f>L110*'Card Progress data'!$K$31</f>
        <v>1320000</v>
      </c>
      <c r="N110" s="217">
        <f>VLOOKUP(L110,'Card Progress data'!$AG$4:$AH$54,2,0)</f>
        <v>2640000</v>
      </c>
      <c r="O110" s="219" t="s">
        <v>386</v>
      </c>
      <c r="P110" s="208">
        <f>MAX('Card Progress data'!$AA$9-VLOOKUP(D110-1,'Card Progress data'!$Z$3:$AA$9,2,0),0)</f>
        <v>175000</v>
      </c>
      <c r="Q110" s="208">
        <f>'Card Progress data'!$K$45-MAX('Card Progress data'!$AA$9-VLOOKUP(D110-1,'Card Progress data'!$Z$3:$AA$9,2,0),0)</f>
        <v>0</v>
      </c>
      <c r="R110" s="173" t="str">
        <f t="shared" si="12"/>
        <v>Lava Hound</v>
      </c>
      <c r="S110" s="181">
        <v>4</v>
      </c>
      <c r="T110" s="157"/>
      <c r="U110" s="220">
        <f>T110*'Card Progress data'!$K$31</f>
        <v>0</v>
      </c>
      <c r="V110" s="219" t="s">
        <v>386</v>
      </c>
      <c r="W110" s="157"/>
      <c r="X110" s="187">
        <f>MAX(VLOOKUP(S110,'Card Progress data'!$BF$24:$BG$29,2,0)-(VLOOKUP(D110,'Card Progress data'!$BF$24:$BG$29,2,0)),0)</f>
        <v>1650</v>
      </c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  <c r="BJ110" s="157"/>
    </row>
    <row r="111" spans="1:62" ht="15.75" customHeight="1">
      <c r="A111" s="157"/>
      <c r="B111" s="173" t="s">
        <v>400</v>
      </c>
      <c r="C111" s="190">
        <v>2</v>
      </c>
      <c r="D111" s="190">
        <v>1</v>
      </c>
      <c r="E111" s="182">
        <f>MAX(VLOOKUP(D111,'Card Progress data'!$J$24:$K$29,2,0)-C111,0)</f>
        <v>0</v>
      </c>
      <c r="F111" s="177">
        <f>E111*'Card Progress data'!$K$31</f>
        <v>0</v>
      </c>
      <c r="G111" s="217">
        <f>VLOOKUP(E111,'Card Progress data'!$AG$4:$AH$54,2,0)</f>
        <v>0</v>
      </c>
      <c r="H111" s="218" t="s">
        <v>386</v>
      </c>
      <c r="I111" s="180">
        <f>MAX(VLOOKUP(D111,'Card Progress data'!$J$4:$K$9,2,0),0)</f>
        <v>5000</v>
      </c>
      <c r="J111" s="184">
        <f>VLOOKUP(VLOOKUP(D111-1,'Card Progress data'!$Z$23:$AA$29,2,0)+C111,'Card Progress data'!$AA$23:$AB$29,2,1)</f>
        <v>2</v>
      </c>
      <c r="K111" s="180">
        <f>P111-VLOOKUP(J111,'Card Progress data'!$J$44:$K$49,2,0)</f>
        <v>5000</v>
      </c>
      <c r="L111" s="182">
        <f>MAX('Card Progress data'!$AA$28-C111-VLOOKUP(D111-1,'Card Progress data'!$Z$23:$AA$29,2,0),0)</f>
        <v>34</v>
      </c>
      <c r="M111" s="221">
        <f>L111*'Card Progress data'!$K$31</f>
        <v>1360000</v>
      </c>
      <c r="N111" s="222">
        <f>VLOOKUP(L111,'Card Progress data'!$AG$4:$AH$54,2,0)</f>
        <v>2680000</v>
      </c>
      <c r="O111" s="220" t="s">
        <v>386</v>
      </c>
      <c r="P111" s="208">
        <f>MAX('Card Progress data'!$AA$9-VLOOKUP(D111-1,'Card Progress data'!$Z$3:$AA$9,2,0),0)</f>
        <v>175000</v>
      </c>
      <c r="Q111" s="208">
        <f>'Card Progress data'!$K$45-MAX('Card Progress data'!$AA$9-VLOOKUP(E111-1,'Card Progress data'!$Z$3:$AA$9,2,0),0)</f>
        <v>0</v>
      </c>
      <c r="R111" s="173" t="str">
        <f t="shared" si="12"/>
        <v>Mega knight</v>
      </c>
      <c r="S111" s="181">
        <v>4</v>
      </c>
      <c r="T111" s="157"/>
      <c r="U111" s="220">
        <f>T111*'Card Progress data'!$K$31</f>
        <v>0</v>
      </c>
      <c r="V111" s="220" t="s">
        <v>386</v>
      </c>
      <c r="W111" s="157"/>
      <c r="X111" s="187">
        <f>MAX(VLOOKUP(S111,'Card Progress data'!$BF$24:$BG$29,2,0)-(VLOOKUP(D111,'Card Progress data'!$BF$24:$BG$29,2,0)),0)</f>
        <v>1650</v>
      </c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  <c r="BJ111" s="157"/>
    </row>
    <row r="112" spans="1:62" ht="15.75" customHeight="1">
      <c r="A112" s="157"/>
      <c r="B112" s="252" t="s">
        <v>4</v>
      </c>
      <c r="C112" s="252"/>
      <c r="D112" s="197">
        <f>SUM(D97:D111)/COUNT(D97:D111)</f>
        <v>0.8666666666666667</v>
      </c>
      <c r="E112" s="198">
        <f>SUM(E97:E111)</f>
        <v>11</v>
      </c>
      <c r="F112" s="198">
        <f>SUM(F97:F111)</f>
        <v>440000</v>
      </c>
      <c r="G112" s="198">
        <f>SUM(G97:G111)</f>
        <v>600000</v>
      </c>
      <c r="H112" s="223" t="s">
        <v>386</v>
      </c>
      <c r="I112" s="198">
        <f>SUM(I97:I111)</f>
        <v>85000</v>
      </c>
      <c r="J112" s="197">
        <f>SUM(J97:J111)/COUNT(J97:J111)</f>
        <v>1.4666666666666666</v>
      </c>
      <c r="K112" s="198">
        <f>SUM(K97:K111)</f>
        <v>60000</v>
      </c>
      <c r="L112" s="198">
        <f>SUM(L97:L111)</f>
        <v>509</v>
      </c>
      <c r="M112" s="198">
        <f>SUM(M97:M111)</f>
        <v>20360000</v>
      </c>
      <c r="N112" s="198">
        <f>SUM(N97:N111)</f>
        <v>40240000</v>
      </c>
      <c r="O112" s="224" t="s">
        <v>386</v>
      </c>
      <c r="P112" s="198">
        <f>SUM(P97:P111)</f>
        <v>2615000</v>
      </c>
      <c r="Q112" s="198">
        <f>SUM(Q97:Q111)</f>
        <v>10000</v>
      </c>
      <c r="R112" s="173" t="str">
        <f t="shared" si="12"/>
        <v>Total</v>
      </c>
      <c r="S112" s="173"/>
      <c r="T112" s="173"/>
      <c r="U112" s="173"/>
      <c r="V112" s="173"/>
      <c r="W112" s="173"/>
      <c r="X112" s="225">
        <f>SUM(X97:X111)</f>
        <v>24250</v>
      </c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  <c r="BJ112" s="157"/>
    </row>
    <row r="113" spans="1:62" ht="15.75" customHeight="1">
      <c r="A113" s="157"/>
      <c r="B113" s="157"/>
      <c r="C113" s="157"/>
      <c r="D113" s="157"/>
      <c r="E113" s="157"/>
      <c r="F113" s="157"/>
      <c r="G113" s="157"/>
      <c r="H113" s="162"/>
      <c r="I113" s="188"/>
      <c r="J113" s="188"/>
      <c r="K113" s="188"/>
      <c r="L113" s="157"/>
      <c r="M113" s="188">
        <f>M111+P111</f>
        <v>1535000</v>
      </c>
      <c r="N113" s="157"/>
      <c r="O113" s="188">
        <f>P112+P93+P65+P37</f>
        <v>14563625</v>
      </c>
      <c r="P113" s="204">
        <f>P112/(P112+Q112)</f>
        <v>0.99619047619047618</v>
      </c>
      <c r="Q113" s="204">
        <f>Q112/SUM(P112+Q112)</f>
        <v>3.8095238095238095E-3</v>
      </c>
      <c r="R113" s="188">
        <f>P112+P93+P65+P37</f>
        <v>14563625</v>
      </c>
      <c r="S113" s="188">
        <f>Q112+Q93+Q65+Q37</f>
        <v>1953250</v>
      </c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  <c r="BJ113" s="157"/>
    </row>
    <row r="114" spans="1:62" ht="15.75" customHeight="1">
      <c r="A114" s="157"/>
      <c r="B114" s="252" t="s">
        <v>401</v>
      </c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252"/>
      <c r="Q114" s="252"/>
      <c r="R114" s="252"/>
      <c r="S114" s="252"/>
      <c r="T114" s="252"/>
      <c r="U114" s="252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  <c r="BJ114" s="157"/>
    </row>
    <row r="115" spans="1:62" ht="15.75" customHeight="1">
      <c r="A115" s="157"/>
      <c r="B115" s="173" t="s">
        <v>265</v>
      </c>
      <c r="C115" s="173" t="s">
        <v>266</v>
      </c>
      <c r="D115" s="173" t="s">
        <v>215</v>
      </c>
      <c r="E115" s="173" t="s">
        <v>267</v>
      </c>
      <c r="F115" s="173" t="s">
        <v>268</v>
      </c>
      <c r="G115" s="173" t="s">
        <v>402</v>
      </c>
      <c r="H115" s="173" t="s">
        <v>270</v>
      </c>
      <c r="I115" s="173" t="s">
        <v>271</v>
      </c>
      <c r="J115" s="173" t="s">
        <v>403</v>
      </c>
      <c r="K115" s="173"/>
      <c r="L115" s="173" t="s">
        <v>404</v>
      </c>
      <c r="M115" s="173" t="s">
        <v>268</v>
      </c>
      <c r="N115" s="174" t="s">
        <v>402</v>
      </c>
      <c r="O115" s="174" t="s">
        <v>275</v>
      </c>
      <c r="P115" s="173" t="s">
        <v>276</v>
      </c>
      <c r="Q115" s="173" t="s">
        <v>274</v>
      </c>
      <c r="R115" s="173" t="s">
        <v>268</v>
      </c>
      <c r="S115" s="174" t="s">
        <v>402</v>
      </c>
      <c r="T115" s="174" t="s">
        <v>275</v>
      </c>
      <c r="U115" s="173" t="s">
        <v>276</v>
      </c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</row>
    <row r="116" spans="1:62" ht="15.75" customHeight="1">
      <c r="A116" s="157"/>
      <c r="B116" s="173" t="s">
        <v>264</v>
      </c>
      <c r="C116" s="190">
        <v>0</v>
      </c>
      <c r="D116" s="190">
        <v>9</v>
      </c>
      <c r="E116" s="188">
        <f>MAX(VLOOKUP(D116,'Card Progress data'!$A$24:$B$37,2,0)-C116,0)</f>
        <v>800</v>
      </c>
      <c r="F116" s="188">
        <f>ROUNDUP(E116/40,0)</f>
        <v>20</v>
      </c>
      <c r="G116" s="158">
        <f>E116/120</f>
        <v>6.666666666666667</v>
      </c>
      <c r="H116" s="226">
        <f ca="1">IF(NOW()+(F116/20*7)=NOW(),"",NOW()+(F116/20*7))</f>
        <v>45743.526136342596</v>
      </c>
      <c r="I116" s="227">
        <f>MAX(VLOOKUP(D116,'Card Progress data'!$A$4:$B$17,2,0),0)</f>
        <v>8000</v>
      </c>
      <c r="J116" s="181">
        <f>VLOOKUP(VLOOKUP(D116-1,'Card Progress data'!$Q$23:$R$37,2,0)+C116,'Card Progress data'!$R$24:$S$37,2,1)</f>
        <v>9</v>
      </c>
      <c r="K116" s="228"/>
      <c r="L116" s="229">
        <f>MAX('Generic Info'!$R$54-C116-VLOOKUP(D116,'Generic Info'!$Q$46:$R$58,2,0),0)</f>
        <v>0</v>
      </c>
      <c r="M116" s="157">
        <f>ROUNDUP(L116/40,0)</f>
        <v>0</v>
      </c>
      <c r="N116" s="230">
        <f>L116/120</f>
        <v>0</v>
      </c>
      <c r="O116" s="226" t="str">
        <f ca="1">IF(NOW()+(M116/20*7)=NOW(),"",NOW()+(M116/20*7))</f>
        <v/>
      </c>
      <c r="P116" s="194">
        <f>MAX('Card Progress data'!$R$17-VLOOKUP(D116-1,'Card Progress data'!$Q$4:$R$17,2,0),0)</f>
        <v>178000</v>
      </c>
      <c r="Q116" s="229">
        <f>MAX('Generic Info'!$R$58-C116-VLOOKUP(D116,'Generic Info'!$Q$46:$R$58,2,0),0)</f>
        <v>8800</v>
      </c>
      <c r="R116" s="157">
        <f>ROUNDUP(Q116/40,0)</f>
        <v>220</v>
      </c>
      <c r="S116" s="230">
        <f>Q116/120</f>
        <v>73.333333333333329</v>
      </c>
      <c r="T116" s="226">
        <f ca="1">IF(NOW()+(R116/20*7)=NOW(),"",NOW()+(R116/20*7))</f>
        <v>45813.526136342596</v>
      </c>
      <c r="U116" s="194">
        <f>MAX('Card Progress data'!$R$17-VLOOKUP(D116-1,'Card Progress data'!$Q$4:$R$17,2,0),0)</f>
        <v>178000</v>
      </c>
      <c r="V116" s="173" t="s">
        <v>264</v>
      </c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</row>
    <row r="117" spans="1:62" ht="15.75" customHeight="1">
      <c r="A117" s="157"/>
      <c r="B117" s="173" t="s">
        <v>329</v>
      </c>
      <c r="C117" s="190">
        <v>0</v>
      </c>
      <c r="D117" s="190">
        <v>7</v>
      </c>
      <c r="E117" s="231">
        <f>MAX(VLOOKUP(D117,'Card Progress data'!$D$24:$E$35,2,0)-C117,0)</f>
        <v>200</v>
      </c>
      <c r="F117" s="232">
        <f>ROUNDUP(E117/4,0)</f>
        <v>50</v>
      </c>
      <c r="G117" s="233">
        <f>E117/12</f>
        <v>16.666666666666668</v>
      </c>
      <c r="H117" s="234">
        <f ca="1">IF(NOW()+(F117/20*7)=NOW(),"",NOW()+(F117/20*7))</f>
        <v>45754.026136342596</v>
      </c>
      <c r="I117" s="180">
        <f>MAX(VLOOKUP(D117,'Card Progress data'!$D$4:$E$15,2,0),0)</f>
        <v>8000</v>
      </c>
      <c r="J117" s="181">
        <f>VLOOKUP(VLOOKUP(D117-1,'Card Progress data'!$T$23:$U$35,2,0)+C117,'Card Progress data'!$U$24:$V$35,2,1)</f>
        <v>7</v>
      </c>
      <c r="K117" s="235"/>
      <c r="L117" s="231">
        <f>MAX('Generic Info'!$U$52-C117-VLOOKUP(D117,'Generic Info'!$T$46:$U$56,2,0),0)</f>
        <v>0</v>
      </c>
      <c r="M117" s="236">
        <f>ROUNDUP(L117/4,0)</f>
        <v>0</v>
      </c>
      <c r="N117" s="237">
        <f>L117/12</f>
        <v>0</v>
      </c>
      <c r="O117" s="234" t="str">
        <f ca="1">IF(NOW()+(M117/20*7)=NOW(),"",NOW()+(M117/20*7))</f>
        <v/>
      </c>
      <c r="P117" s="208">
        <f>MAX('Card Progress data'!$U$15-VLOOKUP(D117-1,'Card Progress data'!$T$4:$U$15,2,0),0)</f>
        <v>178000</v>
      </c>
      <c r="Q117" s="231">
        <f>MAX('Generic Info'!$U$56-C117-VLOOKUP(D117,'Generic Info'!$T$46:$U$56,2,0),0)</f>
        <v>2400</v>
      </c>
      <c r="R117" s="236">
        <f>ROUNDUP(Q117/4,0)</f>
        <v>600</v>
      </c>
      <c r="S117" s="237">
        <f>Q117/12</f>
        <v>200</v>
      </c>
      <c r="T117" s="234">
        <f ca="1">IF(NOW()+(R117/20*7)=NOW(),"",NOW()+(R117/20*7))</f>
        <v>45946.526136342596</v>
      </c>
      <c r="U117" s="208">
        <f>MAX('Card Progress data'!$U$15-VLOOKUP(D117-1,'Card Progress data'!$T$4:$U$15,2,0),0)</f>
        <v>178000</v>
      </c>
      <c r="V117" s="173" t="s">
        <v>329</v>
      </c>
      <c r="W117" s="181">
        <v>8</v>
      </c>
      <c r="X117" s="181">
        <f>MAX((VLOOKUP($W117,'Card Progress data'!$D$65:$E$76,2,0))-(((VLOOKUP($D117-1,'Card Progress data'!$T$24:$U$35,2,0))+C117)),0)</f>
        <v>200</v>
      </c>
      <c r="Y117" s="184">
        <f>ROUNDUP(X117/'Card Progress data'!$AF$52,0)</f>
        <v>50</v>
      </c>
      <c r="Z117" s="185">
        <f>X117/('Card Progress data'!$AF$52*$K$6)</f>
        <v>16.666666666666668</v>
      </c>
      <c r="AA117" s="179">
        <f ca="1">NOW()+Z117</f>
        <v>45753.19280300926</v>
      </c>
      <c r="AB117" s="179"/>
      <c r="AC117" s="186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</row>
    <row r="118" spans="1:62" ht="15.75" customHeight="1">
      <c r="A118" s="157"/>
      <c r="B118" s="173" t="s">
        <v>355</v>
      </c>
      <c r="C118" s="190">
        <v>0</v>
      </c>
      <c r="D118" s="190">
        <v>4</v>
      </c>
      <c r="E118" s="231">
        <f>MAX(VLOOKUP(D118,'Card Progress data'!$G$24:$H$32,2,0)-C118,0)</f>
        <v>20</v>
      </c>
      <c r="F118" s="232">
        <f>ROUNDUP(E118/4,0)</f>
        <v>5</v>
      </c>
      <c r="G118" s="238">
        <f>ROUNDUP(E118/4,0)</f>
        <v>5</v>
      </c>
      <c r="H118" s="239">
        <f ca="1">IF(INT((TODAY()-1)/7)*7+1+(+(G118*7))=INT((TODAY()-1)/7)*7+1,"",INT((TODAY()-1)/7)*7+1*(G118*7))</f>
        <v>45766</v>
      </c>
      <c r="I118" s="180">
        <f>MAX(VLOOKUP(D118,'Card Progress data'!$G$4:$H$15,2,0),0)</f>
        <v>8000</v>
      </c>
      <c r="J118" s="181">
        <f>VLOOKUP(VLOOKUP(D118-1,'Card Progress data'!$W$23:$X$31,2,0)+C118,'Card Progress data'!$X$24:$Y$31,2,1)</f>
        <v>4</v>
      </c>
      <c r="K118" s="235"/>
      <c r="L118" s="231">
        <f>MAX('Generic Info'!$X$49-C118-VLOOKUP(D118,'Generic Info'!$W$46:$X$53,2,0),0)</f>
        <v>0</v>
      </c>
      <c r="M118" s="236">
        <f>ROUNDUP(L118/4,0)</f>
        <v>0</v>
      </c>
      <c r="N118" s="240">
        <f>ROUNDUP(L118/4,0)</f>
        <v>0</v>
      </c>
      <c r="O118" s="239" t="str">
        <f ca="1">IF(INT((TODAY()-1)/7)*7+1+(+(N118*7))=INT((TODAY()-1)/7)*7+1,"",INT((TODAY()-1)/7)*7+1*(N118*7))</f>
        <v/>
      </c>
      <c r="P118" s="241">
        <f>MAX('Card Progress data'!$X$12-VLOOKUP(D118-1,'Card Progress data'!$W$4:$X$12,2,0),0)</f>
        <v>178000</v>
      </c>
      <c r="Q118" s="231">
        <f>MAX('Generic Info'!$X$53-C118-VLOOKUP(D118,'Generic Info'!$W$46:$X$53,2,0),0)</f>
        <v>370</v>
      </c>
      <c r="R118" s="236">
        <f>ROUNDUP(Q118/4,0)</f>
        <v>93</v>
      </c>
      <c r="S118" s="240">
        <f>ROUNDUP(Q118/4,0)</f>
        <v>93</v>
      </c>
      <c r="T118" s="239">
        <f ca="1">IF(INT((TODAY()-1)/7)*7+1+(+(S118*7))=INT((TODAY()-1)/7)*7+1,"",INT((TODAY()-1)/7)*7+1*(S118*7))</f>
        <v>46382</v>
      </c>
      <c r="U118" s="241">
        <f>MAX('Card Progress data'!$X$12-VLOOKUP(D118-1,'Card Progress data'!$W$4:$X$12,2,0),0)</f>
        <v>178000</v>
      </c>
      <c r="V118" s="173" t="s">
        <v>355</v>
      </c>
      <c r="W118" s="181">
        <v>7</v>
      </c>
      <c r="X118" s="181">
        <f>MAX((VLOOKUP($W118,'Card Progress data'!$G$65:$H$73,2,0))-(((VLOOKUP($D118-1,'Card Progress data'!$W$24:$X$32,2,0))+C118)),0)</f>
        <v>170</v>
      </c>
      <c r="Y118" s="184">
        <f>ROUNDUP(X118/'Card Progress data'!$AE$54,0)</f>
        <v>43</v>
      </c>
      <c r="Z118" s="184">
        <f>ROUNDUP(X118/('Card Progress data'!$AF$52),0)</f>
        <v>43</v>
      </c>
      <c r="AA118" s="179">
        <f ca="1">IF(INT((TODAY()-1)/7)*7+1+(+(Z118*7))=INT((TODAY()-1)/7)*7+1,"",INT((TODAY()-1)/7)*7+1*(Z118*7))</f>
        <v>46032</v>
      </c>
      <c r="AB118" s="186">
        <f>MAX(S118-VLOOKUP(W118,'Card Progress data'!$G$44:$H$52,2,0),0)</f>
        <v>0</v>
      </c>
      <c r="AC118" s="187">
        <f>MAX(VLOOKUP(W118,'Card Progress data'!$BC$24:$BD$32,2,0)-(VLOOKUP(G118,'Card Progress data'!$BC$24:$BD$32,2,0)),0)</f>
        <v>1400</v>
      </c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</row>
    <row r="119" spans="1:62" ht="15.75" customHeight="1">
      <c r="A119" s="157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</row>
    <row r="120" spans="1:62" ht="15.75" customHeight="1">
      <c r="A120" s="157"/>
      <c r="B120" s="157"/>
      <c r="C120" s="157"/>
      <c r="D120" s="157"/>
      <c r="E120" s="157"/>
      <c r="F120" s="205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</row>
    <row r="121" spans="1:62" ht="15.75" customHeight="1">
      <c r="A121" s="157"/>
      <c r="B121" s="157"/>
      <c r="C121" s="157"/>
      <c r="D121" s="157"/>
      <c r="E121" s="205"/>
      <c r="F121" s="205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</row>
    <row r="122" spans="1:62" ht="15.75" customHeight="1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</row>
    <row r="123" spans="1:62" ht="15.75" customHeight="1">
      <c r="A123" s="157"/>
      <c r="B123" s="157"/>
      <c r="C123" s="157"/>
      <c r="D123" s="157"/>
      <c r="E123" s="157"/>
      <c r="F123" s="157"/>
      <c r="G123" s="157"/>
      <c r="H123" s="157"/>
      <c r="I123" s="169" t="s">
        <v>299</v>
      </c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</row>
    <row r="124" spans="1:62" ht="15.75" customHeight="1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</row>
    <row r="125" spans="1:62" ht="15.75" customHeight="1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</row>
    <row r="126" spans="1:62" ht="15.75" customHeight="1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</row>
    <row r="127" spans="1:62" ht="15.75" customHeight="1">
      <c r="A127" s="157"/>
      <c r="B127" s="169" t="s">
        <v>260</v>
      </c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69" t="s">
        <v>260</v>
      </c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</row>
    <row r="128" spans="1:62" ht="15.75" customHeight="1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</row>
    <row r="129" spans="1:62" ht="15.75" customHeight="1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</row>
    <row r="130" spans="1:62" ht="15.75" customHeight="1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</row>
    <row r="131" spans="1:62" ht="15.75" customHeight="1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</row>
    <row r="132" spans="1:62" ht="15.75" customHeight="1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</row>
    <row r="133" spans="1:62" ht="15.75" customHeight="1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</row>
    <row r="134" spans="1:62" ht="15.75" customHeight="1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</row>
    <row r="135" spans="1:62" ht="15.75" customHeight="1">
      <c r="A135" s="157"/>
      <c r="B135" s="157"/>
      <c r="C135" s="157"/>
      <c r="D135" s="157"/>
      <c r="E135" s="157"/>
      <c r="F135" s="157"/>
      <c r="G135" s="157"/>
      <c r="H135" s="157"/>
      <c r="I135" s="169" t="s">
        <v>260</v>
      </c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</row>
    <row r="136" spans="1:62" ht="15.75" customHeight="1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</row>
    <row r="137" spans="1:62" ht="15.75" customHeight="1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</row>
    <row r="138" spans="1:62" ht="15.75" customHeight="1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</row>
    <row r="139" spans="1:62" ht="15.75" customHeight="1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</row>
    <row r="140" spans="1:62" ht="15.75" customHeight="1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</row>
    <row r="141" spans="1:62" ht="15.75" customHeight="1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</row>
    <row r="142" spans="1:62" ht="15.75" customHeight="1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</row>
    <row r="143" spans="1:62" ht="15.75" customHeight="1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</row>
    <row r="144" spans="1:62" ht="15.75" customHeight="1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</row>
    <row r="145" spans="1:62" ht="15.75" customHeight="1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</row>
    <row r="146" spans="1:62" ht="15.75" customHeight="1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</row>
    <row r="147" spans="1:62" ht="15.75" customHeight="1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</row>
    <row r="148" spans="1:62" ht="15.75" customHeight="1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</row>
    <row r="149" spans="1:62" ht="15.75" customHeight="1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</row>
    <row r="150" spans="1:62" ht="15.75" customHeight="1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</row>
    <row r="151" spans="1:62" ht="15.75" customHeight="1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</row>
    <row r="152" spans="1:62" ht="15.75" customHeight="1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</row>
    <row r="153" spans="1:62" ht="15.75" customHeight="1">
      <c r="A153" s="157"/>
      <c r="B153" s="157"/>
      <c r="C153" s="157"/>
      <c r="D153" s="157"/>
      <c r="E153" s="157"/>
      <c r="F153" s="157"/>
      <c r="G153" s="131" t="s">
        <v>0</v>
      </c>
      <c r="H153" s="131"/>
      <c r="I153" s="131"/>
      <c r="K153" s="131" t="s">
        <v>1</v>
      </c>
      <c r="L153" s="131"/>
      <c r="M153" s="131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</row>
    <row r="154" spans="1:62" ht="15.75" customHeight="1">
      <c r="A154" s="157"/>
      <c r="B154" s="157"/>
      <c r="C154" s="157"/>
      <c r="D154" s="157"/>
      <c r="E154" s="157"/>
      <c r="F154" s="157"/>
      <c r="G154" s="27" t="s">
        <v>67</v>
      </c>
      <c r="H154" s="27" t="s">
        <v>187</v>
      </c>
      <c r="I154" s="27" t="s">
        <v>405</v>
      </c>
      <c r="K154" s="27" t="s">
        <v>67</v>
      </c>
      <c r="L154" s="27" t="s">
        <v>187</v>
      </c>
      <c r="M154" s="27" t="s">
        <v>405</v>
      </c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</row>
    <row r="155" spans="1:62" ht="15.75" customHeight="1">
      <c r="A155" s="157"/>
      <c r="B155" s="157"/>
      <c r="C155" s="157"/>
      <c r="D155" s="157"/>
      <c r="E155" s="157"/>
      <c r="F155" s="157"/>
      <c r="G155" s="77">
        <v>1</v>
      </c>
      <c r="H155" s="27">
        <v>1</v>
      </c>
      <c r="I155" s="79">
        <f>H155*'Generic Info'!AH27</f>
        <v>0</v>
      </c>
      <c r="K155" s="77">
        <v>1</v>
      </c>
      <c r="L155" s="12">
        <v>3</v>
      </c>
      <c r="M155" s="27">
        <f>L155*'Generic Info'!AK27</f>
        <v>0</v>
      </c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</row>
    <row r="156" spans="1:62" ht="15.75" customHeight="1">
      <c r="A156" s="157"/>
      <c r="B156" s="157"/>
      <c r="C156" s="157"/>
      <c r="D156" s="157"/>
      <c r="E156" s="157"/>
      <c r="F156" s="157"/>
      <c r="G156" s="78">
        <v>2</v>
      </c>
      <c r="H156" s="33">
        <v>1</v>
      </c>
      <c r="I156" s="19">
        <f>H156*'Generic Info'!AH28</f>
        <v>4</v>
      </c>
      <c r="K156" s="78">
        <v>2</v>
      </c>
      <c r="L156" s="18">
        <v>1</v>
      </c>
      <c r="M156" s="33">
        <f>L156*'Generic Info'!AK28</f>
        <v>6</v>
      </c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</row>
    <row r="157" spans="1:62" ht="15.75" customHeight="1">
      <c r="A157" s="157"/>
      <c r="B157" s="157"/>
      <c r="C157" s="157"/>
      <c r="D157" s="157"/>
      <c r="E157" s="157"/>
      <c r="F157" s="157"/>
      <c r="G157" s="78">
        <v>3</v>
      </c>
      <c r="H157" s="33"/>
      <c r="I157" s="19">
        <f>H157*'Generic Info'!AH29</f>
        <v>0</v>
      </c>
      <c r="K157" s="78">
        <v>3</v>
      </c>
      <c r="L157" s="18"/>
      <c r="M157" s="33">
        <f>L157*'Generic Info'!AK29</f>
        <v>0</v>
      </c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57"/>
      <c r="AJ157" s="157"/>
      <c r="AK157" s="157"/>
      <c r="AL157" s="157"/>
      <c r="AM157" s="157"/>
      <c r="AN157" s="157"/>
      <c r="AO157" s="157"/>
      <c r="AP157" s="157"/>
      <c r="AQ157" s="157"/>
      <c r="AR157" s="157"/>
      <c r="AS157" s="157"/>
      <c r="AT157" s="157"/>
      <c r="AU157" s="157"/>
      <c r="AV157" s="157"/>
      <c r="AW157" s="157"/>
      <c r="AX157" s="157"/>
      <c r="AY157" s="157"/>
      <c r="AZ157" s="157"/>
      <c r="BA157" s="157"/>
      <c r="BB157" s="157"/>
      <c r="BC157" s="157"/>
      <c r="BD157" s="157"/>
      <c r="BE157" s="157"/>
      <c r="BF157" s="157"/>
      <c r="BG157" s="157"/>
      <c r="BH157" s="157"/>
      <c r="BI157" s="157"/>
      <c r="BJ157" s="157"/>
    </row>
    <row r="158" spans="1:62" ht="15.75" customHeight="1">
      <c r="A158" s="157"/>
      <c r="B158" s="157"/>
      <c r="C158" s="157"/>
      <c r="D158" s="157"/>
      <c r="E158" s="157"/>
      <c r="F158" s="157"/>
      <c r="G158" s="78">
        <v>4</v>
      </c>
      <c r="H158" s="33"/>
      <c r="I158" s="19">
        <f>H158*'Generic Info'!AH30</f>
        <v>0</v>
      </c>
      <c r="K158" s="78">
        <v>4</v>
      </c>
      <c r="L158" s="18"/>
      <c r="M158" s="33">
        <f>L158*'Generic Info'!AK30</f>
        <v>0</v>
      </c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57"/>
      <c r="AJ158" s="157"/>
      <c r="AK158" s="157"/>
      <c r="AL158" s="157"/>
      <c r="AM158" s="157"/>
      <c r="AN158" s="157"/>
      <c r="AO158" s="157"/>
      <c r="AP158" s="157"/>
      <c r="AQ158" s="157"/>
      <c r="AR158" s="157"/>
      <c r="AS158" s="157"/>
      <c r="AT158" s="157"/>
      <c r="AU158" s="157"/>
      <c r="AV158" s="157"/>
      <c r="AW158" s="157"/>
      <c r="AX158" s="157"/>
      <c r="AY158" s="157"/>
      <c r="AZ158" s="157"/>
      <c r="BA158" s="157"/>
      <c r="BB158" s="157"/>
      <c r="BC158" s="157"/>
      <c r="BD158" s="157"/>
      <c r="BE158" s="157"/>
      <c r="BF158" s="157"/>
      <c r="BG158" s="157"/>
      <c r="BH158" s="157"/>
      <c r="BI158" s="157"/>
      <c r="BJ158" s="157"/>
    </row>
    <row r="159" spans="1:62" ht="15.75" customHeight="1">
      <c r="A159" s="157"/>
      <c r="B159" s="157"/>
      <c r="C159" s="157"/>
      <c r="D159" s="157"/>
      <c r="E159" s="157"/>
      <c r="F159" s="157"/>
      <c r="G159" s="78">
        <v>5</v>
      </c>
      <c r="H159" s="33"/>
      <c r="I159" s="19">
        <f>H159*'Generic Info'!AH31</f>
        <v>0</v>
      </c>
      <c r="K159" s="78">
        <v>5</v>
      </c>
      <c r="L159" s="18">
        <v>2</v>
      </c>
      <c r="M159" s="33">
        <f>L159*'Generic Info'!AK31</f>
        <v>182</v>
      </c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57"/>
      <c r="AL159" s="157"/>
      <c r="AM159" s="157"/>
      <c r="AN159" s="157"/>
      <c r="AO159" s="157"/>
      <c r="AP159" s="157"/>
      <c r="AQ159" s="157"/>
      <c r="AR159" s="157"/>
      <c r="AS159" s="157"/>
      <c r="AT159" s="157"/>
      <c r="AU159" s="157"/>
      <c r="AV159" s="157"/>
      <c r="AW159" s="157"/>
      <c r="AX159" s="157"/>
      <c r="AY159" s="157"/>
      <c r="AZ159" s="157"/>
      <c r="BA159" s="157"/>
      <c r="BB159" s="157"/>
      <c r="BC159" s="157"/>
      <c r="BD159" s="157"/>
      <c r="BE159" s="157"/>
      <c r="BF159" s="157"/>
      <c r="BG159" s="157"/>
      <c r="BH159" s="157"/>
      <c r="BI159" s="157"/>
      <c r="BJ159" s="157"/>
    </row>
    <row r="160" spans="1:62" ht="15.75" customHeight="1">
      <c r="A160" s="157"/>
      <c r="B160" s="157"/>
      <c r="C160" s="157"/>
      <c r="D160" s="157"/>
      <c r="E160" s="157"/>
      <c r="F160" s="157"/>
      <c r="G160" s="78">
        <v>6</v>
      </c>
      <c r="H160" s="33">
        <v>1</v>
      </c>
      <c r="I160" s="19">
        <f>H160*'Generic Info'!AH32</f>
        <v>50</v>
      </c>
      <c r="K160" s="78">
        <v>6</v>
      </c>
      <c r="L160" s="18">
        <v>3</v>
      </c>
      <c r="M160" s="33">
        <f>L160*'Generic Info'!AK32</f>
        <v>573</v>
      </c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57"/>
      <c r="AJ160" s="157"/>
      <c r="AK160" s="157"/>
      <c r="AL160" s="157"/>
      <c r="AM160" s="157"/>
      <c r="AN160" s="157"/>
      <c r="AO160" s="157"/>
      <c r="AP160" s="157"/>
      <c r="AQ160" s="157"/>
      <c r="AR160" s="157"/>
      <c r="AS160" s="157"/>
      <c r="AT160" s="157"/>
      <c r="AU160" s="157"/>
      <c r="AV160" s="157"/>
      <c r="AW160" s="157"/>
      <c r="AX160" s="157"/>
      <c r="AY160" s="157"/>
      <c r="AZ160" s="157"/>
      <c r="BA160" s="157"/>
      <c r="BB160" s="157"/>
      <c r="BC160" s="157"/>
      <c r="BD160" s="157"/>
      <c r="BE160" s="157"/>
      <c r="BF160" s="157"/>
      <c r="BG160" s="157"/>
      <c r="BH160" s="157"/>
      <c r="BI160" s="157"/>
      <c r="BJ160" s="157"/>
    </row>
    <row r="161" spans="1:62" ht="15.75" customHeight="1">
      <c r="A161" s="157"/>
      <c r="B161" s="157"/>
      <c r="C161" s="157"/>
      <c r="D161" s="157"/>
      <c r="E161" s="157"/>
      <c r="F161" s="157"/>
      <c r="G161" s="78">
        <v>7</v>
      </c>
      <c r="H161" s="33"/>
      <c r="I161" s="19">
        <f>H161*'Generic Info'!AH33</f>
        <v>0</v>
      </c>
      <c r="K161" s="78">
        <v>7</v>
      </c>
      <c r="L161" s="18">
        <v>8</v>
      </c>
      <c r="M161" s="33">
        <f>L161*'Generic Info'!AK33</f>
        <v>3128</v>
      </c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57"/>
      <c r="AW161" s="157"/>
      <c r="AX161" s="157"/>
      <c r="AY161" s="157"/>
      <c r="AZ161" s="157"/>
      <c r="BA161" s="157"/>
      <c r="BB161" s="157"/>
      <c r="BC161" s="157"/>
      <c r="BD161" s="157"/>
      <c r="BE161" s="157"/>
      <c r="BF161" s="157"/>
      <c r="BG161" s="157"/>
      <c r="BH161" s="157"/>
      <c r="BI161" s="157"/>
      <c r="BJ161" s="157"/>
    </row>
    <row r="162" spans="1:62" ht="15.75" customHeight="1">
      <c r="A162" s="157"/>
      <c r="B162" s="157"/>
      <c r="C162" s="157"/>
      <c r="D162" s="157"/>
      <c r="E162" s="157"/>
      <c r="F162" s="157"/>
      <c r="G162" s="78">
        <v>8</v>
      </c>
      <c r="H162" s="33">
        <v>4</v>
      </c>
      <c r="I162" s="19">
        <f>H162*'Generic Info'!AH34</f>
        <v>800</v>
      </c>
      <c r="K162" s="78">
        <v>8</v>
      </c>
      <c r="L162" s="18">
        <v>4</v>
      </c>
      <c r="M162" s="33">
        <f>L162*'Generic Info'!AK34</f>
        <v>3164</v>
      </c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57"/>
      <c r="AJ162" s="157"/>
      <c r="AK162" s="157"/>
      <c r="AL162" s="157"/>
      <c r="AM162" s="157"/>
      <c r="AN162" s="157"/>
      <c r="AO162" s="157"/>
      <c r="AP162" s="157"/>
      <c r="AQ162" s="157"/>
      <c r="AR162" s="157"/>
      <c r="AS162" s="157"/>
      <c r="AT162" s="157"/>
      <c r="AU162" s="157"/>
      <c r="AV162" s="157"/>
      <c r="AW162" s="157"/>
      <c r="AX162" s="157"/>
      <c r="AY162" s="157"/>
      <c r="AZ162" s="157"/>
      <c r="BA162" s="157"/>
      <c r="BB162" s="157"/>
      <c r="BC162" s="157"/>
      <c r="BD162" s="157"/>
      <c r="BE162" s="157"/>
      <c r="BF162" s="157"/>
      <c r="BG162" s="157"/>
      <c r="BH162" s="157"/>
      <c r="BI162" s="157"/>
      <c r="BJ162" s="157"/>
    </row>
    <row r="163" spans="1:62" ht="15.75" customHeight="1">
      <c r="A163" s="157"/>
      <c r="B163" s="157"/>
      <c r="C163" s="157"/>
      <c r="D163" s="157"/>
      <c r="E163" s="157"/>
      <c r="F163" s="157"/>
      <c r="G163" s="78">
        <v>9</v>
      </c>
      <c r="H163" s="33">
        <v>5</v>
      </c>
      <c r="I163" s="19">
        <f>H163*'Generic Info'!AH35</f>
        <v>2000</v>
      </c>
      <c r="K163" s="78">
        <v>9</v>
      </c>
      <c r="L163" s="18"/>
      <c r="M163" s="33">
        <f>L163*'Generic Info'!AK35</f>
        <v>0</v>
      </c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57"/>
      <c r="AJ163" s="157"/>
      <c r="AK163" s="157"/>
      <c r="AL163" s="157"/>
      <c r="AM163" s="157"/>
      <c r="AN163" s="157"/>
      <c r="AO163" s="157"/>
      <c r="AP163" s="157"/>
      <c r="AQ163" s="157"/>
      <c r="AR163" s="157"/>
      <c r="AS163" s="157"/>
      <c r="AT163" s="157"/>
      <c r="AU163" s="157"/>
      <c r="AV163" s="157"/>
      <c r="AW163" s="157"/>
      <c r="AX163" s="157"/>
      <c r="AY163" s="157"/>
      <c r="AZ163" s="157"/>
      <c r="BA163" s="157"/>
      <c r="BB163" s="157"/>
      <c r="BC163" s="157"/>
      <c r="BD163" s="157"/>
      <c r="BE163" s="157"/>
      <c r="BF163" s="157"/>
      <c r="BG163" s="157"/>
      <c r="BH163" s="157"/>
      <c r="BI163" s="157"/>
      <c r="BJ163" s="157"/>
    </row>
    <row r="164" spans="1:62" ht="15.75" customHeight="1">
      <c r="A164" s="157"/>
      <c r="B164" s="157"/>
      <c r="C164" s="157"/>
      <c r="D164" s="157"/>
      <c r="E164" s="157"/>
      <c r="F164" s="157"/>
      <c r="G164" s="78">
        <v>10</v>
      </c>
      <c r="H164" s="33">
        <v>4</v>
      </c>
      <c r="I164" s="19">
        <f>H164*'Generic Info'!AH36</f>
        <v>3200</v>
      </c>
      <c r="K164" s="78">
        <v>10</v>
      </c>
      <c r="L164" s="18"/>
      <c r="M164" s="33">
        <f>L164*'Generic Info'!AK36</f>
        <v>0</v>
      </c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57"/>
      <c r="AJ164" s="157"/>
      <c r="AK164" s="157"/>
      <c r="AL164" s="157"/>
      <c r="AM164" s="157"/>
      <c r="AN164" s="157"/>
      <c r="AO164" s="157"/>
      <c r="AP164" s="157"/>
      <c r="AQ164" s="157"/>
      <c r="AR164" s="157"/>
      <c r="AS164" s="157"/>
      <c r="AT164" s="157"/>
      <c r="AU164" s="157"/>
      <c r="AV164" s="157"/>
      <c r="AW164" s="157"/>
      <c r="AX164" s="157"/>
      <c r="AY164" s="157"/>
      <c r="AZ164" s="157"/>
      <c r="BA164" s="157"/>
      <c r="BB164" s="157"/>
      <c r="BC164" s="157"/>
      <c r="BD164" s="157"/>
      <c r="BE164" s="157"/>
      <c r="BF164" s="157"/>
      <c r="BG164" s="157"/>
      <c r="BH164" s="157"/>
      <c r="BI164" s="157"/>
      <c r="BJ164" s="157"/>
    </row>
    <row r="165" spans="1:62" ht="15.75" customHeight="1">
      <c r="A165" s="157"/>
      <c r="B165" s="157"/>
      <c r="C165" s="157"/>
      <c r="D165" s="157"/>
      <c r="E165" s="157"/>
      <c r="F165" s="157"/>
      <c r="G165" s="78">
        <v>11</v>
      </c>
      <c r="H165" s="33">
        <v>6</v>
      </c>
      <c r="I165" s="19">
        <f>H165*'Generic Info'!AH37</f>
        <v>8400</v>
      </c>
      <c r="K165" s="109">
        <v>11</v>
      </c>
      <c r="L165" s="15"/>
      <c r="M165" s="55">
        <f>L165*'Generic Info'!AK37</f>
        <v>0</v>
      </c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7"/>
      <c r="AQ165" s="157"/>
      <c r="AR165" s="157"/>
      <c r="AS165" s="157"/>
      <c r="AT165" s="157"/>
      <c r="AU165" s="157"/>
      <c r="AV165" s="157"/>
      <c r="AW165" s="157"/>
      <c r="AX165" s="157"/>
      <c r="AY165" s="157"/>
      <c r="AZ165" s="157"/>
      <c r="BA165" s="157"/>
      <c r="BB165" s="157"/>
      <c r="BC165" s="157"/>
      <c r="BD165" s="157"/>
      <c r="BE165" s="157"/>
      <c r="BF165" s="157"/>
      <c r="BG165" s="157"/>
      <c r="BH165" s="157"/>
      <c r="BI165" s="157"/>
      <c r="BJ165" s="157"/>
    </row>
    <row r="166" spans="1:62" ht="15.75" customHeight="1">
      <c r="A166" s="157"/>
      <c r="B166" s="157"/>
      <c r="C166" s="157"/>
      <c r="D166" s="157"/>
      <c r="E166" s="157"/>
      <c r="F166" s="157"/>
      <c r="G166" s="78">
        <v>12</v>
      </c>
      <c r="H166" s="33">
        <v>0</v>
      </c>
      <c r="I166" s="19">
        <f>H166*'Generic Info'!AH38</f>
        <v>0</v>
      </c>
      <c r="K166" s="1"/>
      <c r="L166">
        <f>SUM(L155:L165)</f>
        <v>21</v>
      </c>
      <c r="M166">
        <f>SUM(M155:M165)</f>
        <v>7053</v>
      </c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57"/>
      <c r="AJ166" s="157"/>
      <c r="AK166" s="157"/>
      <c r="AL166" s="157"/>
      <c r="AM166" s="157"/>
      <c r="AN166" s="157"/>
      <c r="AO166" s="157"/>
      <c r="AP166" s="157"/>
      <c r="AQ166" s="157"/>
      <c r="AR166" s="157"/>
      <c r="AS166" s="157"/>
      <c r="AT166" s="157"/>
      <c r="AU166" s="157"/>
      <c r="AV166" s="157"/>
      <c r="AW166" s="157"/>
      <c r="AX166" s="157"/>
      <c r="AY166" s="157"/>
      <c r="AZ166" s="157"/>
      <c r="BA166" s="157"/>
      <c r="BB166" s="157"/>
      <c r="BC166" s="157"/>
      <c r="BD166" s="157"/>
      <c r="BE166" s="157"/>
      <c r="BF166" s="157"/>
      <c r="BG166" s="157"/>
      <c r="BH166" s="157"/>
      <c r="BI166" s="157"/>
      <c r="BJ166" s="157"/>
    </row>
    <row r="167" spans="1:62" ht="15.75" customHeight="1">
      <c r="A167" s="157"/>
      <c r="B167" s="157"/>
      <c r="C167" s="157"/>
      <c r="D167" s="157"/>
      <c r="E167" s="157"/>
      <c r="F167" s="157"/>
      <c r="G167" s="109">
        <v>13</v>
      </c>
      <c r="H167" s="55">
        <v>0</v>
      </c>
      <c r="I167" s="17">
        <f>H167*'Generic Info'!AH39</f>
        <v>0</v>
      </c>
      <c r="K167" s="242">
        <v>2328</v>
      </c>
      <c r="L167" s="3">
        <f>5*K167</f>
        <v>11640</v>
      </c>
      <c r="M167" s="3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57"/>
      <c r="AJ167" s="157"/>
      <c r="AK167" s="157"/>
      <c r="AL167" s="157"/>
      <c r="AM167" s="157"/>
      <c r="AN167" s="157"/>
      <c r="AO167" s="157"/>
      <c r="AP167" s="157"/>
      <c r="AQ167" s="157"/>
      <c r="AR167" s="157"/>
      <c r="AS167" s="157"/>
      <c r="AT167" s="157"/>
      <c r="AU167" s="157"/>
      <c r="AV167" s="157"/>
      <c r="AW167" s="157"/>
      <c r="AX167" s="157"/>
      <c r="AY167" s="157"/>
      <c r="AZ167" s="157"/>
      <c r="BA167" s="157"/>
      <c r="BB167" s="157"/>
      <c r="BC167" s="157"/>
      <c r="BD167" s="157"/>
      <c r="BE167" s="157"/>
      <c r="BF167" s="157"/>
      <c r="BG167" s="157"/>
      <c r="BH167" s="157"/>
      <c r="BI167" s="157"/>
      <c r="BJ167" s="157"/>
    </row>
    <row r="168" spans="1:62" ht="15.75" customHeight="1">
      <c r="A168" s="157"/>
      <c r="B168" s="157"/>
      <c r="C168" s="157"/>
      <c r="D168" s="157"/>
      <c r="E168" s="157"/>
      <c r="F168" s="157"/>
      <c r="H168">
        <f>SUM(H155:H167)</f>
        <v>22</v>
      </c>
      <c r="I168">
        <f>SUM(I155:I167)</f>
        <v>14454</v>
      </c>
      <c r="K168" s="3"/>
      <c r="L168">
        <f>I168+L167+M166+M176+I179</f>
        <v>40297</v>
      </c>
      <c r="M168" s="3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57"/>
      <c r="AJ168" s="157"/>
      <c r="AK168" s="157"/>
      <c r="AL168" s="157"/>
      <c r="AM168" s="157"/>
      <c r="AN168" s="157"/>
      <c r="AO168" s="157"/>
      <c r="AP168" s="157"/>
      <c r="AQ168" s="157"/>
      <c r="AR168" s="157"/>
      <c r="AS168" s="157"/>
      <c r="AT168" s="157"/>
      <c r="AU168" s="157"/>
      <c r="AV168" s="157"/>
      <c r="AW168" s="157"/>
      <c r="AX168" s="157"/>
      <c r="AY168" s="157"/>
      <c r="AZ168" s="157"/>
      <c r="BA168" s="157"/>
      <c r="BB168" s="157"/>
      <c r="BC168" s="157"/>
      <c r="BD168" s="157"/>
      <c r="BE168" s="157"/>
      <c r="BF168" s="157"/>
      <c r="BG168" s="157"/>
      <c r="BH168" s="157"/>
      <c r="BI168" s="157"/>
      <c r="BJ168" s="157"/>
    </row>
    <row r="169" spans="1:62" ht="15.75" customHeight="1">
      <c r="A169" s="157"/>
      <c r="B169" s="157"/>
      <c r="C169" s="157"/>
      <c r="D169" s="157"/>
      <c r="E169" s="157"/>
      <c r="F169" s="157"/>
      <c r="G169" s="131" t="s">
        <v>2</v>
      </c>
      <c r="H169" s="131"/>
      <c r="I169" s="131"/>
      <c r="K169" s="131" t="s">
        <v>3</v>
      </c>
      <c r="L169" s="131"/>
      <c r="M169" s="131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57"/>
      <c r="AJ169" s="157"/>
      <c r="AK169" s="157"/>
      <c r="AL169" s="157"/>
      <c r="AM169" s="157"/>
      <c r="AN169" s="157"/>
      <c r="AO169" s="157"/>
      <c r="AP169" s="157"/>
      <c r="AQ169" s="157"/>
      <c r="AR169" s="157"/>
      <c r="AS169" s="157"/>
      <c r="AT169" s="157"/>
      <c r="AU169" s="157"/>
      <c r="AV169" s="157"/>
      <c r="AW169" s="157"/>
      <c r="AX169" s="157"/>
      <c r="AY169" s="157"/>
      <c r="AZ169" s="157"/>
      <c r="BA169" s="157"/>
      <c r="BB169" s="157"/>
      <c r="BC169" s="157"/>
      <c r="BD169" s="157"/>
      <c r="BE169" s="157"/>
      <c r="BF169" s="157"/>
      <c r="BG169" s="157"/>
      <c r="BH169" s="157"/>
      <c r="BI169" s="157"/>
      <c r="BJ169" s="157"/>
    </row>
    <row r="170" spans="1:62" ht="15.75" customHeight="1">
      <c r="A170" s="157"/>
      <c r="B170" s="157"/>
      <c r="C170" s="157"/>
      <c r="D170" s="157"/>
      <c r="E170" s="157"/>
      <c r="F170" s="157"/>
      <c r="G170" s="27" t="s">
        <v>67</v>
      </c>
      <c r="H170" s="27" t="s">
        <v>187</v>
      </c>
      <c r="I170" s="27" t="s">
        <v>405</v>
      </c>
      <c r="K170" s="27" t="s">
        <v>67</v>
      </c>
      <c r="L170" s="27" t="s">
        <v>187</v>
      </c>
      <c r="M170" s="27" t="s">
        <v>405</v>
      </c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57"/>
      <c r="AJ170" s="157"/>
      <c r="AK170" s="157"/>
      <c r="AL170" s="157"/>
      <c r="AM170" s="157"/>
      <c r="AN170" s="157"/>
      <c r="AO170" s="157"/>
      <c r="AP170" s="157"/>
      <c r="AQ170" s="157"/>
      <c r="AR170" s="157"/>
      <c r="AS170" s="157"/>
      <c r="AT170" s="157"/>
      <c r="AU170" s="157"/>
      <c r="AV170" s="157"/>
      <c r="AW170" s="157"/>
      <c r="AX170" s="157"/>
      <c r="AY170" s="157"/>
      <c r="AZ170" s="157"/>
      <c r="BA170" s="157"/>
      <c r="BB170" s="157"/>
      <c r="BC170" s="157"/>
      <c r="BD170" s="157"/>
      <c r="BE170" s="157"/>
      <c r="BF170" s="157"/>
      <c r="BG170" s="157"/>
      <c r="BH170" s="157"/>
      <c r="BI170" s="157"/>
      <c r="BJ170" s="157"/>
    </row>
    <row r="171" spans="1:62" ht="15.75" customHeight="1">
      <c r="A171" s="157"/>
      <c r="B171" s="157"/>
      <c r="C171" s="157"/>
      <c r="D171" s="157"/>
      <c r="E171" s="157"/>
      <c r="F171" s="157"/>
      <c r="G171" s="77">
        <v>1</v>
      </c>
      <c r="H171" s="27">
        <v>3</v>
      </c>
      <c r="I171" s="79">
        <f>H171*'Generic Info'!AN27</f>
        <v>0</v>
      </c>
      <c r="K171" s="77">
        <v>1</v>
      </c>
      <c r="L171" s="27">
        <v>5</v>
      </c>
      <c r="M171" s="79">
        <f>L171*'Generic Info'!AQ27</f>
        <v>0</v>
      </c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57"/>
      <c r="AJ171" s="157"/>
      <c r="AK171" s="157"/>
      <c r="AL171" s="157"/>
      <c r="AM171" s="157"/>
      <c r="AN171" s="157"/>
      <c r="AO171" s="157"/>
      <c r="AP171" s="157"/>
      <c r="AQ171" s="157"/>
      <c r="AR171" s="157"/>
      <c r="AS171" s="157"/>
      <c r="AT171" s="157"/>
      <c r="AU171" s="157"/>
      <c r="AV171" s="157"/>
      <c r="AW171" s="157"/>
      <c r="AX171" s="157"/>
      <c r="AY171" s="157"/>
      <c r="AZ171" s="157"/>
      <c r="BA171" s="157"/>
      <c r="BB171" s="157"/>
      <c r="BC171" s="157"/>
      <c r="BD171" s="157"/>
      <c r="BE171" s="157"/>
      <c r="BF171" s="157"/>
      <c r="BG171" s="157"/>
      <c r="BH171" s="157"/>
      <c r="BI171" s="157"/>
      <c r="BJ171" s="157"/>
    </row>
    <row r="172" spans="1:62" ht="15.75" customHeight="1">
      <c r="A172" s="157"/>
      <c r="B172" s="157"/>
      <c r="C172" s="157"/>
      <c r="D172" s="157"/>
      <c r="E172" s="157"/>
      <c r="F172" s="157"/>
      <c r="G172" s="78">
        <v>2</v>
      </c>
      <c r="H172" s="33">
        <v>1</v>
      </c>
      <c r="I172" s="19">
        <f>H172*'Generic Info'!AN28</f>
        <v>25</v>
      </c>
      <c r="K172" s="78">
        <v>2</v>
      </c>
      <c r="L172" s="33">
        <v>3</v>
      </c>
      <c r="M172" s="19">
        <f>L172*'Generic Info'!AQ28</f>
        <v>750</v>
      </c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57"/>
      <c r="AJ172" s="157"/>
      <c r="AK172" s="157"/>
      <c r="AL172" s="157"/>
      <c r="AM172" s="157"/>
      <c r="AN172" s="157"/>
      <c r="AO172" s="157"/>
      <c r="AP172" s="157"/>
      <c r="AQ172" s="157"/>
      <c r="AR172" s="157"/>
      <c r="AS172" s="157"/>
      <c r="AT172" s="157"/>
      <c r="AU172" s="157"/>
      <c r="AV172" s="157"/>
      <c r="AW172" s="157"/>
      <c r="AX172" s="157"/>
      <c r="AY172" s="157"/>
      <c r="AZ172" s="157"/>
      <c r="BA172" s="157"/>
      <c r="BB172" s="157"/>
      <c r="BC172" s="157"/>
      <c r="BD172" s="157"/>
      <c r="BE172" s="157"/>
      <c r="BF172" s="157"/>
      <c r="BG172" s="157"/>
      <c r="BH172" s="157"/>
      <c r="BI172" s="157"/>
      <c r="BJ172" s="157"/>
    </row>
    <row r="173" spans="1:62" ht="15.75" customHeight="1">
      <c r="A173" s="157"/>
      <c r="B173" s="157"/>
      <c r="C173" s="157"/>
      <c r="D173" s="157"/>
      <c r="E173" s="157"/>
      <c r="F173" s="157"/>
      <c r="G173" s="78">
        <v>3</v>
      </c>
      <c r="H173" s="33">
        <v>3</v>
      </c>
      <c r="I173" s="19">
        <f>H173*'Generic Info'!AN29</f>
        <v>375</v>
      </c>
      <c r="K173" s="78">
        <v>3</v>
      </c>
      <c r="L173" s="33"/>
      <c r="M173" s="19">
        <f>L173*'Generic Info'!AQ29</f>
        <v>0</v>
      </c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57"/>
      <c r="AJ173" s="157"/>
      <c r="AK173" s="157"/>
      <c r="AL173" s="157"/>
      <c r="AM173" s="157"/>
      <c r="AN173" s="157"/>
      <c r="AO173" s="157"/>
      <c r="AP173" s="157"/>
      <c r="AQ173" s="157"/>
      <c r="AR173" s="157"/>
      <c r="AS173" s="157"/>
      <c r="AT173" s="157"/>
      <c r="AU173" s="157"/>
      <c r="AV173" s="157"/>
      <c r="AW173" s="157"/>
      <c r="AX173" s="157"/>
      <c r="AY173" s="157"/>
      <c r="AZ173" s="157"/>
      <c r="BA173" s="157"/>
      <c r="BB173" s="157"/>
      <c r="BC173" s="157"/>
      <c r="BD173" s="157"/>
      <c r="BE173" s="157"/>
      <c r="BF173" s="157"/>
      <c r="BG173" s="157"/>
      <c r="BH173" s="157"/>
      <c r="BI173" s="157"/>
      <c r="BJ173" s="157"/>
    </row>
    <row r="174" spans="1:62" ht="15.75" customHeight="1">
      <c r="A174" s="157"/>
      <c r="B174" s="157"/>
      <c r="C174" s="157"/>
      <c r="D174" s="157"/>
      <c r="E174" s="157"/>
      <c r="F174" s="157"/>
      <c r="G174" s="78">
        <v>4</v>
      </c>
      <c r="H174" s="33">
        <v>14</v>
      </c>
      <c r="I174" s="19">
        <f>H174*'Generic Info'!AN30</f>
        <v>4550</v>
      </c>
      <c r="K174" s="78">
        <v>4</v>
      </c>
      <c r="L174" s="33"/>
      <c r="M174" s="19">
        <f>L174*'Generic Info'!AQ30</f>
        <v>0</v>
      </c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57"/>
      <c r="AJ174" s="157"/>
      <c r="AK174" s="157"/>
      <c r="AL174" s="157"/>
      <c r="AM174" s="157"/>
      <c r="AN174" s="157"/>
      <c r="AO174" s="157"/>
      <c r="AP174" s="157"/>
      <c r="AQ174" s="157"/>
      <c r="AR174" s="157"/>
      <c r="AS174" s="157"/>
      <c r="AT174" s="157"/>
      <c r="AU174" s="157"/>
      <c r="AV174" s="157"/>
      <c r="AW174" s="157"/>
      <c r="AX174" s="157"/>
      <c r="AY174" s="157"/>
      <c r="AZ174" s="157"/>
      <c r="BA174" s="157"/>
      <c r="BB174" s="157"/>
      <c r="BC174" s="157"/>
      <c r="BD174" s="157"/>
      <c r="BE174" s="157"/>
      <c r="BF174" s="157"/>
      <c r="BG174" s="157"/>
      <c r="BH174" s="157"/>
      <c r="BI174" s="157"/>
      <c r="BJ174" s="157"/>
    </row>
    <row r="175" spans="1:62" ht="15.75" customHeight="1">
      <c r="A175" s="157"/>
      <c r="B175" s="157"/>
      <c r="C175" s="157"/>
      <c r="D175" s="157"/>
      <c r="E175" s="157"/>
      <c r="F175" s="157"/>
      <c r="G175" s="78">
        <v>5</v>
      </c>
      <c r="H175" s="33">
        <v>2</v>
      </c>
      <c r="I175" s="19">
        <f>H175*'Generic Info'!AN31</f>
        <v>1450</v>
      </c>
      <c r="K175" s="109">
        <v>5</v>
      </c>
      <c r="L175" s="55"/>
      <c r="M175" s="17">
        <f>L175*'Generic Info'!AQ31</f>
        <v>0</v>
      </c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57"/>
      <c r="AJ175" s="157"/>
      <c r="AK175" s="157"/>
      <c r="AL175" s="157"/>
      <c r="AM175" s="157"/>
      <c r="AN175" s="157"/>
      <c r="AO175" s="157"/>
      <c r="AP175" s="157"/>
      <c r="AQ175" s="157"/>
      <c r="AR175" s="157"/>
      <c r="AS175" s="157"/>
      <c r="AT175" s="157"/>
      <c r="AU175" s="157"/>
      <c r="AV175" s="157"/>
      <c r="AW175" s="157"/>
      <c r="AX175" s="157"/>
      <c r="AY175" s="157"/>
      <c r="AZ175" s="157"/>
      <c r="BA175" s="157"/>
      <c r="BB175" s="157"/>
      <c r="BC175" s="157"/>
      <c r="BD175" s="157"/>
      <c r="BE175" s="157"/>
      <c r="BF175" s="157"/>
      <c r="BG175" s="157"/>
      <c r="BH175" s="157"/>
      <c r="BI175" s="157"/>
      <c r="BJ175" s="157"/>
    </row>
    <row r="176" spans="1:62" ht="15.75" customHeight="1">
      <c r="A176" s="157"/>
      <c r="B176" s="157"/>
      <c r="C176" s="157"/>
      <c r="D176" s="157"/>
      <c r="E176" s="157"/>
      <c r="F176" s="157"/>
      <c r="G176" s="78">
        <v>6</v>
      </c>
      <c r="H176" s="33"/>
      <c r="I176" s="19">
        <f>H176*'Generic Info'!AN32</f>
        <v>0</v>
      </c>
      <c r="L176">
        <f>SUM(L171:L175)</f>
        <v>8</v>
      </c>
      <c r="M176">
        <f>SUM(M171:M175)</f>
        <v>750</v>
      </c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57"/>
      <c r="AJ176" s="157"/>
      <c r="AK176" s="157"/>
      <c r="AL176" s="157"/>
      <c r="AM176" s="157"/>
      <c r="AN176" s="157"/>
      <c r="AO176" s="157"/>
      <c r="AP176" s="157"/>
      <c r="AQ176" s="157"/>
      <c r="AR176" s="157"/>
      <c r="AS176" s="157"/>
      <c r="AT176" s="157"/>
      <c r="AU176" s="157"/>
      <c r="AV176" s="157"/>
      <c r="AW176" s="157"/>
      <c r="AX176" s="157"/>
      <c r="AY176" s="157"/>
      <c r="AZ176" s="157"/>
      <c r="BA176" s="157"/>
      <c r="BB176" s="157"/>
      <c r="BC176" s="157"/>
      <c r="BD176" s="157"/>
      <c r="BE176" s="157"/>
      <c r="BF176" s="157"/>
      <c r="BG176" s="157"/>
      <c r="BH176" s="157"/>
      <c r="BI176" s="157"/>
      <c r="BJ176" s="157"/>
    </row>
    <row r="177" spans="1:62" ht="15.75" customHeight="1">
      <c r="A177" s="157"/>
      <c r="B177" s="157"/>
      <c r="C177" s="157"/>
      <c r="D177" s="157"/>
      <c r="E177" s="157"/>
      <c r="F177" s="157"/>
      <c r="G177" s="78">
        <v>7</v>
      </c>
      <c r="H177" s="33"/>
      <c r="I177" s="19">
        <f>H177*'Generic Info'!AN33</f>
        <v>0</v>
      </c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7"/>
      <c r="BG177" s="157"/>
      <c r="BH177" s="157"/>
      <c r="BI177" s="157"/>
      <c r="BJ177" s="157"/>
    </row>
    <row r="178" spans="1:62" ht="15.75" customHeight="1">
      <c r="A178" s="157"/>
      <c r="B178" s="157"/>
      <c r="C178" s="157"/>
      <c r="D178" s="157"/>
      <c r="E178" s="157"/>
      <c r="F178" s="157"/>
      <c r="G178" s="109">
        <v>8</v>
      </c>
      <c r="H178" s="55"/>
      <c r="I178" s="55">
        <f>H178*'Generic Info'!AN34</f>
        <v>0</v>
      </c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57"/>
      <c r="AJ178" s="157"/>
      <c r="AK178" s="157"/>
      <c r="AL178" s="157"/>
      <c r="AM178" s="157"/>
      <c r="AN178" s="157"/>
      <c r="AO178" s="157"/>
      <c r="AP178" s="157"/>
      <c r="AQ178" s="157"/>
      <c r="AR178" s="157"/>
      <c r="AS178" s="157"/>
      <c r="AT178" s="157"/>
      <c r="AU178" s="157"/>
      <c r="AV178" s="157"/>
      <c r="AW178" s="157"/>
      <c r="AX178" s="157"/>
      <c r="AY178" s="157"/>
      <c r="AZ178" s="157"/>
      <c r="BA178" s="157"/>
      <c r="BB178" s="157"/>
      <c r="BC178" s="157"/>
      <c r="BD178" s="157"/>
      <c r="BE178" s="157"/>
      <c r="BF178" s="157"/>
      <c r="BG178" s="157"/>
      <c r="BH178" s="157"/>
      <c r="BI178" s="157"/>
      <c r="BJ178" s="157"/>
    </row>
    <row r="179" spans="1:62" ht="15.75" customHeight="1">
      <c r="A179" s="157"/>
      <c r="B179" s="157"/>
      <c r="C179" s="157"/>
      <c r="D179" s="157"/>
      <c r="E179" s="157"/>
      <c r="F179" s="157"/>
      <c r="G179" s="1"/>
      <c r="H179">
        <f>SUM(H171:H178)</f>
        <v>23</v>
      </c>
      <c r="I179">
        <f>SUM(I171:I178)</f>
        <v>6400</v>
      </c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57"/>
      <c r="AJ179" s="157"/>
      <c r="AK179" s="157"/>
      <c r="AL179" s="157"/>
      <c r="AM179" s="157"/>
      <c r="AN179" s="157"/>
      <c r="AO179" s="157"/>
      <c r="AP179" s="157"/>
      <c r="AQ179" s="157"/>
      <c r="AR179" s="157"/>
      <c r="AS179" s="157"/>
      <c r="AT179" s="157"/>
      <c r="AU179" s="157"/>
      <c r="AV179" s="157"/>
      <c r="AW179" s="157"/>
      <c r="AX179" s="157"/>
      <c r="AY179" s="157"/>
      <c r="AZ179" s="157"/>
      <c r="BA179" s="157"/>
      <c r="BB179" s="157"/>
      <c r="BC179" s="157"/>
      <c r="BD179" s="157"/>
      <c r="BE179" s="157"/>
      <c r="BF179" s="157"/>
      <c r="BG179" s="157"/>
      <c r="BH179" s="157"/>
      <c r="BI179" s="157"/>
      <c r="BJ179" s="157"/>
    </row>
    <row r="180" spans="1:62" ht="15.75" customHeight="1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57"/>
      <c r="AJ180" s="157"/>
      <c r="AK180" s="157"/>
      <c r="AL180" s="157"/>
      <c r="AM180" s="157"/>
      <c r="AN180" s="157"/>
      <c r="AO180" s="157"/>
      <c r="AP180" s="157"/>
      <c r="AQ180" s="157"/>
      <c r="AR180" s="157"/>
      <c r="AS180" s="157"/>
      <c r="AT180" s="157"/>
      <c r="AU180" s="157"/>
      <c r="AV180" s="157"/>
      <c r="AW180" s="157"/>
      <c r="AX180" s="157"/>
      <c r="AY180" s="157"/>
      <c r="AZ180" s="157"/>
      <c r="BA180" s="157"/>
      <c r="BB180" s="157"/>
      <c r="BC180" s="157"/>
      <c r="BD180" s="157"/>
      <c r="BE180" s="157"/>
      <c r="BF180" s="157"/>
      <c r="BG180" s="157"/>
      <c r="BH180" s="157"/>
      <c r="BI180" s="157"/>
      <c r="BJ180" s="157"/>
    </row>
    <row r="181" spans="1:62" ht="15.75" customHeight="1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7"/>
      <c r="AQ181" s="157"/>
      <c r="AR181" s="157"/>
      <c r="AS181" s="157"/>
      <c r="AT181" s="157"/>
      <c r="AU181" s="157"/>
      <c r="AV181" s="157"/>
      <c r="AW181" s="157"/>
      <c r="AX181" s="157"/>
      <c r="AY181" s="157"/>
      <c r="AZ181" s="157"/>
      <c r="BA181" s="157"/>
      <c r="BB181" s="157"/>
      <c r="BC181" s="157"/>
      <c r="BD181" s="157"/>
      <c r="BE181" s="157"/>
      <c r="BF181" s="157"/>
      <c r="BG181" s="157"/>
      <c r="BH181" s="157"/>
      <c r="BI181" s="157"/>
      <c r="BJ181" s="157"/>
    </row>
    <row r="182" spans="1:62" ht="15.75" customHeight="1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57"/>
      <c r="AJ182" s="157"/>
      <c r="AK182" s="157"/>
      <c r="AL182" s="157"/>
      <c r="AM182" s="157"/>
      <c r="AN182" s="157"/>
      <c r="AO182" s="157"/>
      <c r="AP182" s="157"/>
      <c r="AQ182" s="157"/>
      <c r="AR182" s="157"/>
      <c r="AS182" s="157"/>
      <c r="AT182" s="157"/>
      <c r="AU182" s="157"/>
      <c r="AV182" s="157"/>
      <c r="AW182" s="157"/>
      <c r="AX182" s="157"/>
      <c r="AY182" s="157"/>
      <c r="AZ182" s="157"/>
      <c r="BA182" s="157"/>
      <c r="BB182" s="157"/>
      <c r="BC182" s="157"/>
      <c r="BD182" s="157"/>
      <c r="BE182" s="157"/>
      <c r="BF182" s="157"/>
      <c r="BG182" s="157"/>
      <c r="BH182" s="157"/>
      <c r="BI182" s="157"/>
      <c r="BJ182" s="157"/>
    </row>
    <row r="183" spans="1:62" ht="15.75" customHeight="1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57"/>
      <c r="AJ183" s="157"/>
      <c r="AK183" s="157"/>
      <c r="AL183" s="157"/>
      <c r="AM183" s="157"/>
      <c r="AN183" s="157"/>
      <c r="AO183" s="157"/>
      <c r="AP183" s="157"/>
      <c r="AQ183" s="157"/>
      <c r="AR183" s="157"/>
      <c r="AS183" s="157"/>
      <c r="AT183" s="157"/>
      <c r="AU183" s="157"/>
      <c r="AV183" s="157"/>
      <c r="AW183" s="157"/>
      <c r="AX183" s="157"/>
      <c r="AY183" s="157"/>
      <c r="AZ183" s="157"/>
      <c r="BA183" s="157"/>
      <c r="BB183" s="157"/>
      <c r="BC183" s="157"/>
      <c r="BD183" s="157"/>
      <c r="BE183" s="157"/>
      <c r="BF183" s="157"/>
      <c r="BG183" s="157"/>
      <c r="BH183" s="157"/>
      <c r="BI183" s="157"/>
      <c r="BJ183" s="157"/>
    </row>
    <row r="184" spans="1:62" ht="15.75" customHeight="1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57"/>
      <c r="AJ184" s="157"/>
      <c r="AK184" s="157"/>
      <c r="AL184" s="157"/>
      <c r="AM184" s="157"/>
      <c r="AN184" s="157"/>
      <c r="AO184" s="157"/>
      <c r="AP184" s="157"/>
      <c r="AQ184" s="157"/>
      <c r="AR184" s="157"/>
      <c r="AS184" s="157"/>
      <c r="AT184" s="157"/>
      <c r="AU184" s="157"/>
      <c r="AV184" s="157"/>
      <c r="AW184" s="157"/>
      <c r="AX184" s="157"/>
      <c r="AY184" s="157"/>
      <c r="AZ184" s="157"/>
      <c r="BA184" s="157"/>
      <c r="BB184" s="157"/>
      <c r="BC184" s="157"/>
      <c r="BD184" s="157"/>
      <c r="BE184" s="157"/>
      <c r="BF184" s="157"/>
      <c r="BG184" s="157"/>
      <c r="BH184" s="157"/>
      <c r="BI184" s="157"/>
      <c r="BJ184" s="157"/>
    </row>
    <row r="185" spans="1:62" ht="15.75" customHeight="1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57"/>
      <c r="AJ185" s="157"/>
      <c r="AK185" s="157"/>
      <c r="AL185" s="157"/>
      <c r="AM185" s="157"/>
      <c r="AN185" s="157"/>
      <c r="AO185" s="157"/>
      <c r="AP185" s="157"/>
      <c r="AQ185" s="157"/>
      <c r="AR185" s="157"/>
      <c r="AS185" s="157"/>
      <c r="AT185" s="157"/>
      <c r="AU185" s="157"/>
      <c r="AV185" s="157"/>
      <c r="AW185" s="157"/>
      <c r="AX185" s="157"/>
      <c r="AY185" s="157"/>
      <c r="AZ185" s="157"/>
      <c r="BA185" s="157"/>
      <c r="BB185" s="157"/>
      <c r="BC185" s="157"/>
      <c r="BD185" s="157"/>
      <c r="BE185" s="157"/>
      <c r="BF185" s="157"/>
      <c r="BG185" s="157"/>
      <c r="BH185" s="157"/>
      <c r="BI185" s="157"/>
      <c r="BJ185" s="157"/>
    </row>
    <row r="186" spans="1:62" ht="15.75" customHeight="1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57"/>
      <c r="AJ186" s="157"/>
      <c r="AK186" s="157"/>
      <c r="AL186" s="157"/>
      <c r="AM186" s="157"/>
      <c r="AN186" s="157"/>
      <c r="AO186" s="157"/>
      <c r="AP186" s="157"/>
      <c r="AQ186" s="157"/>
      <c r="AR186" s="157"/>
      <c r="AS186" s="157"/>
      <c r="AT186" s="157"/>
      <c r="AU186" s="157"/>
      <c r="AV186" s="157"/>
      <c r="AW186" s="157"/>
      <c r="AX186" s="157"/>
      <c r="AY186" s="157"/>
      <c r="AZ186" s="157"/>
      <c r="BA186" s="157"/>
      <c r="BB186" s="157"/>
      <c r="BC186" s="157"/>
      <c r="BD186" s="157"/>
      <c r="BE186" s="157"/>
      <c r="BF186" s="157"/>
      <c r="BG186" s="157"/>
      <c r="BH186" s="157"/>
      <c r="BI186" s="157"/>
      <c r="BJ186" s="157"/>
    </row>
    <row r="187" spans="1:62" ht="15.75" customHeight="1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7"/>
      <c r="AY187" s="157"/>
      <c r="AZ187" s="157"/>
      <c r="BA187" s="157"/>
      <c r="BB187" s="157"/>
      <c r="BC187" s="157"/>
      <c r="BD187" s="157"/>
      <c r="BE187" s="157"/>
      <c r="BF187" s="157"/>
      <c r="BG187" s="157"/>
      <c r="BH187" s="157"/>
      <c r="BI187" s="157"/>
      <c r="BJ187" s="157"/>
    </row>
    <row r="188" spans="1:62" ht="15.75" customHeight="1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7"/>
      <c r="AQ188" s="157"/>
      <c r="AR188" s="157"/>
      <c r="AS188" s="157"/>
      <c r="AT188" s="157"/>
      <c r="AU188" s="157"/>
      <c r="AV188" s="157"/>
      <c r="AW188" s="157"/>
      <c r="AX188" s="157"/>
      <c r="AY188" s="157"/>
      <c r="AZ188" s="157"/>
      <c r="BA188" s="157"/>
      <c r="BB188" s="157"/>
      <c r="BC188" s="157"/>
      <c r="BD188" s="157"/>
      <c r="BE188" s="157"/>
      <c r="BF188" s="157"/>
      <c r="BG188" s="157"/>
      <c r="BH188" s="157"/>
      <c r="BI188" s="157"/>
      <c r="BJ188" s="157"/>
    </row>
    <row r="189" spans="1:62" ht="15.75" customHeight="1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7"/>
      <c r="AQ189" s="157"/>
      <c r="AR189" s="157"/>
      <c r="AS189" s="157"/>
      <c r="AT189" s="157"/>
      <c r="AU189" s="157"/>
      <c r="AV189" s="157"/>
      <c r="AW189" s="157"/>
      <c r="AX189" s="157"/>
      <c r="AY189" s="157"/>
      <c r="AZ189" s="157"/>
      <c r="BA189" s="157"/>
      <c r="BB189" s="157"/>
      <c r="BC189" s="157"/>
      <c r="BD189" s="157"/>
      <c r="BE189" s="157"/>
      <c r="BF189" s="157"/>
      <c r="BG189" s="157"/>
      <c r="BH189" s="157"/>
      <c r="BI189" s="157"/>
      <c r="BJ189" s="157"/>
    </row>
    <row r="190" spans="1:62" ht="15.75" customHeight="1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57"/>
      <c r="AJ190" s="157"/>
      <c r="AK190" s="157"/>
      <c r="AL190" s="157"/>
      <c r="AM190" s="157"/>
      <c r="AN190" s="157"/>
      <c r="AO190" s="157"/>
      <c r="AP190" s="157"/>
      <c r="AQ190" s="157"/>
      <c r="AR190" s="157"/>
      <c r="AS190" s="157"/>
      <c r="AT190" s="157"/>
      <c r="AU190" s="157"/>
      <c r="AV190" s="157"/>
      <c r="AW190" s="157"/>
      <c r="AX190" s="157"/>
      <c r="AY190" s="157"/>
      <c r="AZ190" s="157"/>
      <c r="BA190" s="157"/>
      <c r="BB190" s="157"/>
      <c r="BC190" s="157"/>
      <c r="BD190" s="157"/>
      <c r="BE190" s="157"/>
      <c r="BF190" s="157"/>
      <c r="BG190" s="157"/>
      <c r="BH190" s="157"/>
      <c r="BI190" s="157"/>
      <c r="BJ190" s="157"/>
    </row>
    <row r="191" spans="1:62" ht="15.75" customHeight="1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7"/>
      <c r="AQ191" s="157"/>
      <c r="AR191" s="157"/>
      <c r="AS191" s="157"/>
      <c r="AT191" s="157"/>
      <c r="AU191" s="157"/>
      <c r="AV191" s="157"/>
      <c r="AW191" s="157"/>
      <c r="AX191" s="157"/>
      <c r="AY191" s="157"/>
      <c r="AZ191" s="157"/>
      <c r="BA191" s="157"/>
      <c r="BB191" s="157"/>
      <c r="BC191" s="157"/>
      <c r="BD191" s="157"/>
      <c r="BE191" s="157"/>
      <c r="BF191" s="157"/>
      <c r="BG191" s="157"/>
      <c r="BH191" s="157"/>
      <c r="BI191" s="157"/>
      <c r="BJ191" s="157"/>
    </row>
    <row r="192" spans="1:62" ht="15.75" customHeight="1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57"/>
      <c r="AJ192" s="157"/>
      <c r="AK192" s="157"/>
      <c r="AL192" s="157"/>
      <c r="AM192" s="157"/>
      <c r="AN192" s="157"/>
      <c r="AO192" s="157"/>
      <c r="AP192" s="157"/>
      <c r="AQ192" s="157"/>
      <c r="AR192" s="157"/>
      <c r="AS192" s="157"/>
      <c r="AT192" s="157"/>
      <c r="AU192" s="157"/>
      <c r="AV192" s="157"/>
      <c r="AW192" s="157"/>
      <c r="AX192" s="157"/>
      <c r="AY192" s="157"/>
      <c r="AZ192" s="157"/>
      <c r="BA192" s="157"/>
      <c r="BB192" s="157"/>
      <c r="BC192" s="157"/>
      <c r="BD192" s="157"/>
      <c r="BE192" s="157"/>
      <c r="BF192" s="157"/>
      <c r="BG192" s="157"/>
      <c r="BH192" s="157"/>
      <c r="BI192" s="157"/>
      <c r="BJ192" s="157"/>
    </row>
    <row r="193" spans="1:62" ht="15.75" customHeight="1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57"/>
      <c r="AJ193" s="157"/>
      <c r="AK193" s="157"/>
      <c r="AL193" s="157"/>
      <c r="AM193" s="157"/>
      <c r="AN193" s="157"/>
      <c r="AO193" s="157"/>
      <c r="AP193" s="157"/>
      <c r="AQ193" s="157"/>
      <c r="AR193" s="157"/>
      <c r="AS193" s="157"/>
      <c r="AT193" s="157"/>
      <c r="AU193" s="157"/>
      <c r="AV193" s="157"/>
      <c r="AW193" s="157"/>
      <c r="AX193" s="157"/>
      <c r="AY193" s="157"/>
      <c r="AZ193" s="157"/>
      <c r="BA193" s="157"/>
      <c r="BB193" s="157"/>
      <c r="BC193" s="157"/>
      <c r="BD193" s="157"/>
      <c r="BE193" s="157"/>
      <c r="BF193" s="157"/>
      <c r="BG193" s="157"/>
      <c r="BH193" s="157"/>
      <c r="BI193" s="157"/>
      <c r="BJ193" s="157"/>
    </row>
    <row r="194" spans="1:62" ht="15.75" customHeight="1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57"/>
      <c r="AJ194" s="157"/>
      <c r="AK194" s="157"/>
      <c r="AL194" s="157"/>
      <c r="AM194" s="157"/>
      <c r="AN194" s="157"/>
      <c r="AO194" s="157"/>
      <c r="AP194" s="157"/>
      <c r="AQ194" s="157"/>
      <c r="AR194" s="157"/>
      <c r="AS194" s="157"/>
      <c r="AT194" s="157"/>
      <c r="AU194" s="157"/>
      <c r="AV194" s="157"/>
      <c r="AW194" s="157"/>
      <c r="AX194" s="157"/>
      <c r="AY194" s="157"/>
      <c r="AZ194" s="157"/>
      <c r="BA194" s="157"/>
      <c r="BB194" s="157"/>
      <c r="BC194" s="157"/>
      <c r="BD194" s="157"/>
      <c r="BE194" s="157"/>
      <c r="BF194" s="157"/>
      <c r="BG194" s="157"/>
      <c r="BH194" s="157"/>
      <c r="BI194" s="157"/>
      <c r="BJ194" s="157"/>
    </row>
    <row r="195" spans="1:62" ht="15.75" customHeight="1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57"/>
      <c r="AJ195" s="157"/>
      <c r="AK195" s="157"/>
      <c r="AL195" s="157"/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  <c r="BA195" s="157"/>
      <c r="BB195" s="157"/>
      <c r="BC195" s="157"/>
      <c r="BD195" s="157"/>
      <c r="BE195" s="157"/>
      <c r="BF195" s="157"/>
      <c r="BG195" s="157"/>
      <c r="BH195" s="157"/>
      <c r="BI195" s="157"/>
      <c r="BJ195" s="157"/>
    </row>
    <row r="196" spans="1:62" ht="15.75" customHeight="1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57"/>
      <c r="AJ196" s="157"/>
      <c r="AK196" s="157"/>
      <c r="AL196" s="157"/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  <c r="BA196" s="157"/>
      <c r="BB196" s="157"/>
      <c r="BC196" s="157"/>
      <c r="BD196" s="157"/>
      <c r="BE196" s="157"/>
      <c r="BF196" s="157"/>
      <c r="BG196" s="157"/>
      <c r="BH196" s="157"/>
      <c r="BI196" s="157"/>
      <c r="BJ196" s="157"/>
    </row>
    <row r="197" spans="1:62" ht="15.75" customHeight="1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57"/>
      <c r="AJ197" s="157"/>
      <c r="AK197" s="157"/>
      <c r="AL197" s="157"/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7"/>
      <c r="AY197" s="157"/>
      <c r="AZ197" s="157"/>
      <c r="BA197" s="157"/>
      <c r="BB197" s="157"/>
      <c r="BC197" s="157"/>
      <c r="BD197" s="157"/>
      <c r="BE197" s="157"/>
      <c r="BF197" s="157"/>
      <c r="BG197" s="157"/>
      <c r="BH197" s="157"/>
      <c r="BI197" s="157"/>
      <c r="BJ197" s="157"/>
    </row>
    <row r="198" spans="1:62" ht="15.75" customHeight="1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7"/>
      <c r="AY198" s="157"/>
      <c r="AZ198" s="157"/>
      <c r="BA198" s="157"/>
      <c r="BB198" s="157"/>
      <c r="BC198" s="157"/>
      <c r="BD198" s="157"/>
      <c r="BE198" s="157"/>
      <c r="BF198" s="157"/>
      <c r="BG198" s="157"/>
      <c r="BH198" s="157"/>
      <c r="BI198" s="157"/>
      <c r="BJ198" s="157"/>
    </row>
    <row r="199" spans="1:62" ht="15.75" customHeight="1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7"/>
      <c r="AQ199" s="157"/>
      <c r="AR199" s="157"/>
      <c r="AS199" s="157"/>
      <c r="AT199" s="157"/>
      <c r="AU199" s="157"/>
      <c r="AV199" s="157"/>
      <c r="AW199" s="157"/>
      <c r="AX199" s="157"/>
      <c r="AY199" s="157"/>
      <c r="AZ199" s="157"/>
      <c r="BA199" s="157"/>
      <c r="BB199" s="157"/>
      <c r="BC199" s="157"/>
      <c r="BD199" s="157"/>
      <c r="BE199" s="157"/>
      <c r="BF199" s="157"/>
      <c r="BG199" s="157"/>
      <c r="BH199" s="157"/>
      <c r="BI199" s="157"/>
      <c r="BJ199" s="157"/>
    </row>
    <row r="200" spans="1:62" ht="15.75" customHeight="1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57"/>
      <c r="AJ200" s="157"/>
      <c r="AK200" s="157"/>
      <c r="AL200" s="157"/>
      <c r="AM200" s="157"/>
      <c r="AN200" s="157"/>
      <c r="AO200" s="157"/>
      <c r="AP200" s="157"/>
      <c r="AQ200" s="157"/>
      <c r="AR200" s="157"/>
      <c r="AS200" s="157"/>
      <c r="AT200" s="157"/>
      <c r="AU200" s="157"/>
      <c r="AV200" s="157"/>
      <c r="AW200" s="157"/>
      <c r="AX200" s="157"/>
      <c r="AY200" s="157"/>
      <c r="AZ200" s="157"/>
      <c r="BA200" s="157"/>
      <c r="BB200" s="157"/>
      <c r="BC200" s="157"/>
      <c r="BD200" s="157"/>
      <c r="BE200" s="157"/>
      <c r="BF200" s="157"/>
      <c r="BG200" s="157"/>
      <c r="BH200" s="157"/>
      <c r="BI200" s="157"/>
      <c r="BJ200" s="157"/>
    </row>
    <row r="201" spans="1:62" ht="15.75" customHeight="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7"/>
      <c r="AQ201" s="157"/>
      <c r="AR201" s="157"/>
      <c r="AS201" s="157"/>
      <c r="AT201" s="157"/>
      <c r="AU201" s="157"/>
      <c r="AV201" s="157"/>
      <c r="AW201" s="157"/>
      <c r="AX201" s="157"/>
      <c r="AY201" s="157"/>
      <c r="AZ201" s="157"/>
      <c r="BA201" s="157"/>
      <c r="BB201" s="157"/>
      <c r="BC201" s="157"/>
      <c r="BD201" s="157"/>
      <c r="BE201" s="157"/>
      <c r="BF201" s="157"/>
      <c r="BG201" s="157"/>
      <c r="BH201" s="157"/>
      <c r="BI201" s="157"/>
      <c r="BJ201" s="157"/>
    </row>
    <row r="202" spans="1:62" ht="15.75" customHeight="1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57"/>
      <c r="AJ202" s="157"/>
      <c r="AK202" s="157"/>
      <c r="AL202" s="157"/>
      <c r="AM202" s="157"/>
      <c r="AN202" s="157"/>
      <c r="AO202" s="157"/>
      <c r="AP202" s="157"/>
      <c r="AQ202" s="157"/>
      <c r="AR202" s="157"/>
      <c r="AS202" s="157"/>
      <c r="AT202" s="157"/>
      <c r="AU202" s="157"/>
      <c r="AV202" s="157"/>
      <c r="AW202" s="157"/>
      <c r="AX202" s="157"/>
      <c r="AY202" s="157"/>
      <c r="AZ202" s="157"/>
      <c r="BA202" s="157"/>
      <c r="BB202" s="157"/>
      <c r="BC202" s="157"/>
      <c r="BD202" s="157"/>
      <c r="BE202" s="157"/>
      <c r="BF202" s="157"/>
      <c r="BG202" s="157"/>
      <c r="BH202" s="157"/>
      <c r="BI202" s="157"/>
      <c r="BJ202" s="157"/>
    </row>
    <row r="203" spans="1:62" ht="15.75" customHeight="1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57"/>
      <c r="AJ203" s="157"/>
      <c r="AK203" s="157"/>
      <c r="AL203" s="157"/>
      <c r="AM203" s="157"/>
      <c r="AN203" s="157"/>
      <c r="AO203" s="157"/>
      <c r="AP203" s="157"/>
      <c r="AQ203" s="157"/>
      <c r="AR203" s="157"/>
      <c r="AS203" s="157"/>
      <c r="AT203" s="157"/>
      <c r="AU203" s="157"/>
      <c r="AV203" s="157"/>
      <c r="AW203" s="157"/>
      <c r="AX203" s="157"/>
      <c r="AY203" s="157"/>
      <c r="AZ203" s="157"/>
      <c r="BA203" s="157"/>
      <c r="BB203" s="157"/>
      <c r="BC203" s="157"/>
      <c r="BD203" s="157"/>
      <c r="BE203" s="157"/>
      <c r="BF203" s="157"/>
      <c r="BG203" s="157"/>
      <c r="BH203" s="157"/>
      <c r="BI203" s="157"/>
      <c r="BJ203" s="157"/>
    </row>
    <row r="204" spans="1:62" ht="15.75" customHeight="1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57"/>
      <c r="AJ204" s="157"/>
      <c r="AK204" s="157"/>
      <c r="AL204" s="157"/>
      <c r="AM204" s="157"/>
      <c r="AN204" s="157"/>
      <c r="AO204" s="157"/>
      <c r="AP204" s="157"/>
      <c r="AQ204" s="157"/>
      <c r="AR204" s="157"/>
      <c r="AS204" s="157"/>
      <c r="AT204" s="157"/>
      <c r="AU204" s="157"/>
      <c r="AV204" s="157"/>
      <c r="AW204" s="157"/>
      <c r="AX204" s="157"/>
      <c r="AY204" s="157"/>
      <c r="AZ204" s="157"/>
      <c r="BA204" s="157"/>
      <c r="BB204" s="157"/>
      <c r="BC204" s="157"/>
      <c r="BD204" s="157"/>
      <c r="BE204" s="157"/>
      <c r="BF204" s="157"/>
      <c r="BG204" s="157"/>
      <c r="BH204" s="157"/>
      <c r="BI204" s="157"/>
      <c r="BJ204" s="157"/>
    </row>
    <row r="205" spans="1:62" ht="15.75" customHeight="1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57"/>
      <c r="AJ205" s="157"/>
      <c r="AK205" s="157"/>
      <c r="AL205" s="157"/>
      <c r="AM205" s="157"/>
      <c r="AN205" s="157"/>
      <c r="AO205" s="157"/>
      <c r="AP205" s="157"/>
      <c r="AQ205" s="157"/>
      <c r="AR205" s="157"/>
      <c r="AS205" s="157"/>
      <c r="AT205" s="157"/>
      <c r="AU205" s="157"/>
      <c r="AV205" s="157"/>
      <c r="AW205" s="157"/>
      <c r="AX205" s="157"/>
      <c r="AY205" s="157"/>
      <c r="AZ205" s="157"/>
      <c r="BA205" s="157"/>
      <c r="BB205" s="157"/>
      <c r="BC205" s="157"/>
      <c r="BD205" s="157"/>
      <c r="BE205" s="157"/>
      <c r="BF205" s="157"/>
      <c r="BG205" s="157"/>
      <c r="BH205" s="157"/>
      <c r="BI205" s="157"/>
      <c r="BJ205" s="157"/>
    </row>
    <row r="206" spans="1:62" ht="15.75" customHeight="1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57"/>
      <c r="AJ206" s="157"/>
      <c r="AK206" s="157"/>
      <c r="AL206" s="157"/>
      <c r="AM206" s="157"/>
      <c r="AN206" s="157"/>
      <c r="AO206" s="157"/>
      <c r="AP206" s="157"/>
      <c r="AQ206" s="157"/>
      <c r="AR206" s="157"/>
      <c r="AS206" s="157"/>
      <c r="AT206" s="157"/>
      <c r="AU206" s="157"/>
      <c r="AV206" s="157"/>
      <c r="AW206" s="157"/>
      <c r="AX206" s="157"/>
      <c r="AY206" s="157"/>
      <c r="AZ206" s="157"/>
      <c r="BA206" s="157"/>
      <c r="BB206" s="157"/>
      <c r="BC206" s="157"/>
      <c r="BD206" s="157"/>
      <c r="BE206" s="157"/>
      <c r="BF206" s="157"/>
      <c r="BG206" s="157"/>
      <c r="BH206" s="157"/>
      <c r="BI206" s="157"/>
      <c r="BJ206" s="157"/>
    </row>
    <row r="207" spans="1:62" ht="15.75" customHeight="1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57"/>
      <c r="AJ207" s="157"/>
      <c r="AK207" s="157"/>
      <c r="AL207" s="157"/>
      <c r="AM207" s="157"/>
      <c r="AN207" s="157"/>
      <c r="AO207" s="157"/>
      <c r="AP207" s="157"/>
      <c r="AQ207" s="157"/>
      <c r="AR207" s="157"/>
      <c r="AS207" s="157"/>
      <c r="AT207" s="157"/>
      <c r="AU207" s="157"/>
      <c r="AV207" s="157"/>
      <c r="AW207" s="157"/>
      <c r="AX207" s="157"/>
      <c r="AY207" s="157"/>
      <c r="AZ207" s="157"/>
      <c r="BA207" s="157"/>
      <c r="BB207" s="157"/>
      <c r="BC207" s="157"/>
      <c r="BD207" s="157"/>
      <c r="BE207" s="157"/>
      <c r="BF207" s="157"/>
      <c r="BG207" s="157"/>
      <c r="BH207" s="157"/>
      <c r="BI207" s="157"/>
      <c r="BJ207" s="157"/>
    </row>
    <row r="208" spans="1:62" ht="15.75" customHeight="1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7"/>
      <c r="AQ208" s="157"/>
      <c r="AR208" s="157"/>
      <c r="AS208" s="157"/>
      <c r="AT208" s="157"/>
      <c r="AU208" s="157"/>
      <c r="AV208" s="157"/>
      <c r="AW208" s="157"/>
      <c r="AX208" s="157"/>
      <c r="AY208" s="157"/>
      <c r="AZ208" s="157"/>
      <c r="BA208" s="157"/>
      <c r="BB208" s="157"/>
      <c r="BC208" s="157"/>
      <c r="BD208" s="157"/>
      <c r="BE208" s="157"/>
      <c r="BF208" s="157"/>
      <c r="BG208" s="157"/>
      <c r="BH208" s="157"/>
      <c r="BI208" s="157"/>
      <c r="BJ208" s="157"/>
    </row>
    <row r="209" spans="1:62" ht="15.75" customHeight="1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7"/>
      <c r="AL209" s="157"/>
      <c r="AM209" s="157"/>
      <c r="AN209" s="157"/>
      <c r="AO209" s="157"/>
      <c r="AP209" s="157"/>
      <c r="AQ209" s="157"/>
      <c r="AR209" s="157"/>
      <c r="AS209" s="157"/>
      <c r="AT209" s="157"/>
      <c r="AU209" s="157"/>
      <c r="AV209" s="157"/>
      <c r="AW209" s="157"/>
      <c r="AX209" s="157"/>
      <c r="AY209" s="157"/>
      <c r="AZ209" s="157"/>
      <c r="BA209" s="157"/>
      <c r="BB209" s="157"/>
      <c r="BC209" s="157"/>
      <c r="BD209" s="157"/>
      <c r="BE209" s="157"/>
      <c r="BF209" s="157"/>
      <c r="BG209" s="157"/>
      <c r="BH209" s="157"/>
      <c r="BI209" s="157"/>
      <c r="BJ209" s="157"/>
    </row>
    <row r="210" spans="1:62" ht="15.75" customHeight="1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57"/>
      <c r="AJ210" s="157"/>
      <c r="AK210" s="157"/>
      <c r="AL210" s="157"/>
      <c r="AM210" s="157"/>
      <c r="AN210" s="157"/>
      <c r="AO210" s="157"/>
      <c r="AP210" s="157"/>
      <c r="AQ210" s="157"/>
      <c r="AR210" s="157"/>
      <c r="AS210" s="157"/>
      <c r="AT210" s="157"/>
      <c r="AU210" s="157"/>
      <c r="AV210" s="157"/>
      <c r="AW210" s="157"/>
      <c r="AX210" s="157"/>
      <c r="AY210" s="157"/>
      <c r="AZ210" s="157"/>
      <c r="BA210" s="157"/>
      <c r="BB210" s="157"/>
      <c r="BC210" s="157"/>
      <c r="BD210" s="157"/>
      <c r="BE210" s="157"/>
      <c r="BF210" s="157"/>
      <c r="BG210" s="157"/>
      <c r="BH210" s="157"/>
      <c r="BI210" s="157"/>
      <c r="BJ210" s="157"/>
    </row>
    <row r="211" spans="1:62" ht="15.75" customHeight="1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7"/>
      <c r="AQ211" s="157"/>
      <c r="AR211" s="157"/>
      <c r="AS211" s="157"/>
      <c r="AT211" s="157"/>
      <c r="AU211" s="157"/>
      <c r="AV211" s="157"/>
      <c r="AW211" s="157"/>
      <c r="AX211" s="157"/>
      <c r="AY211" s="157"/>
      <c r="AZ211" s="157"/>
      <c r="BA211" s="157"/>
      <c r="BB211" s="157"/>
      <c r="BC211" s="157"/>
      <c r="BD211" s="157"/>
      <c r="BE211" s="157"/>
      <c r="BF211" s="157"/>
      <c r="BG211" s="157"/>
      <c r="BH211" s="157"/>
      <c r="BI211" s="157"/>
      <c r="BJ211" s="157"/>
    </row>
    <row r="212" spans="1:62" ht="15.75" customHeight="1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57"/>
      <c r="AJ212" s="157"/>
      <c r="AK212" s="157"/>
      <c r="AL212" s="157"/>
      <c r="AM212" s="157"/>
      <c r="AN212" s="157"/>
      <c r="AO212" s="157"/>
      <c r="AP212" s="157"/>
      <c r="AQ212" s="157"/>
      <c r="AR212" s="157"/>
      <c r="AS212" s="157"/>
      <c r="AT212" s="157"/>
      <c r="AU212" s="157"/>
      <c r="AV212" s="157"/>
      <c r="AW212" s="157"/>
      <c r="AX212" s="157"/>
      <c r="AY212" s="157"/>
      <c r="AZ212" s="157"/>
      <c r="BA212" s="157"/>
      <c r="BB212" s="157"/>
      <c r="BC212" s="157"/>
      <c r="BD212" s="157"/>
      <c r="BE212" s="157"/>
      <c r="BF212" s="157"/>
      <c r="BG212" s="157"/>
      <c r="BH212" s="157"/>
      <c r="BI212" s="157"/>
      <c r="BJ212" s="157"/>
    </row>
    <row r="213" spans="1:62" ht="15.75" customHeight="1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57"/>
      <c r="AJ213" s="157"/>
      <c r="AK213" s="157"/>
      <c r="AL213" s="157"/>
      <c r="AM213" s="157"/>
      <c r="AN213" s="157"/>
      <c r="AO213" s="157"/>
      <c r="AP213" s="157"/>
      <c r="AQ213" s="157"/>
      <c r="AR213" s="157"/>
      <c r="AS213" s="157"/>
      <c r="AT213" s="157"/>
      <c r="AU213" s="157"/>
      <c r="AV213" s="157"/>
      <c r="AW213" s="157"/>
      <c r="AX213" s="157"/>
      <c r="AY213" s="157"/>
      <c r="AZ213" s="157"/>
      <c r="BA213" s="157"/>
      <c r="BB213" s="157"/>
      <c r="BC213" s="157"/>
      <c r="BD213" s="157"/>
      <c r="BE213" s="157"/>
      <c r="BF213" s="157"/>
      <c r="BG213" s="157"/>
      <c r="BH213" s="157"/>
      <c r="BI213" s="157"/>
      <c r="BJ213" s="157"/>
    </row>
    <row r="214" spans="1:62" ht="15.75" customHeight="1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57"/>
      <c r="AJ214" s="157"/>
      <c r="AK214" s="157"/>
      <c r="AL214" s="157"/>
      <c r="AM214" s="157"/>
      <c r="AN214" s="157"/>
      <c r="AO214" s="157"/>
      <c r="AP214" s="157"/>
      <c r="AQ214" s="157"/>
      <c r="AR214" s="157"/>
      <c r="AS214" s="157"/>
      <c r="AT214" s="157"/>
      <c r="AU214" s="157"/>
      <c r="AV214" s="157"/>
      <c r="AW214" s="157"/>
      <c r="AX214" s="157"/>
      <c r="AY214" s="157"/>
      <c r="AZ214" s="157"/>
      <c r="BA214" s="157"/>
      <c r="BB214" s="157"/>
      <c r="BC214" s="157"/>
      <c r="BD214" s="157"/>
      <c r="BE214" s="157"/>
      <c r="BF214" s="157"/>
      <c r="BG214" s="157"/>
      <c r="BH214" s="157"/>
      <c r="BI214" s="157"/>
      <c r="BJ214" s="157"/>
    </row>
    <row r="215" spans="1:62" ht="15.75" customHeight="1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57"/>
      <c r="AJ215" s="157"/>
      <c r="AK215" s="157"/>
      <c r="AL215" s="157"/>
      <c r="AM215" s="157"/>
      <c r="AN215" s="157"/>
      <c r="AO215" s="157"/>
      <c r="AP215" s="157"/>
      <c r="AQ215" s="157"/>
      <c r="AR215" s="157"/>
      <c r="AS215" s="157"/>
      <c r="AT215" s="157"/>
      <c r="AU215" s="157"/>
      <c r="AV215" s="157"/>
      <c r="AW215" s="157"/>
      <c r="AX215" s="157"/>
      <c r="AY215" s="157"/>
      <c r="AZ215" s="157"/>
      <c r="BA215" s="157"/>
      <c r="BB215" s="157"/>
      <c r="BC215" s="157"/>
      <c r="BD215" s="157"/>
      <c r="BE215" s="157"/>
      <c r="BF215" s="157"/>
      <c r="BG215" s="157"/>
      <c r="BH215" s="157"/>
      <c r="BI215" s="157"/>
      <c r="BJ215" s="157"/>
    </row>
    <row r="216" spans="1:62" ht="15.75" customHeight="1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57"/>
      <c r="AU216" s="157"/>
      <c r="AV216" s="157"/>
      <c r="AW216" s="157"/>
      <c r="AX216" s="157"/>
      <c r="AY216" s="157"/>
      <c r="AZ216" s="157"/>
      <c r="BA216" s="157"/>
      <c r="BB216" s="157"/>
      <c r="BC216" s="157"/>
      <c r="BD216" s="157"/>
      <c r="BE216" s="157"/>
      <c r="BF216" s="157"/>
      <c r="BG216" s="157"/>
      <c r="BH216" s="157"/>
      <c r="BI216" s="157"/>
      <c r="BJ216" s="157"/>
    </row>
    <row r="217" spans="1:62" ht="15.75" customHeight="1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57"/>
      <c r="AJ217" s="157"/>
      <c r="AK217" s="157"/>
      <c r="AL217" s="157"/>
      <c r="AM217" s="157"/>
      <c r="AN217" s="157"/>
      <c r="AO217" s="157"/>
      <c r="AP217" s="157"/>
      <c r="AQ217" s="157"/>
      <c r="AR217" s="157"/>
      <c r="AS217" s="157"/>
      <c r="AT217" s="157"/>
      <c r="AU217" s="157"/>
      <c r="AV217" s="157"/>
      <c r="AW217" s="157"/>
      <c r="AX217" s="157"/>
      <c r="AY217" s="157"/>
      <c r="AZ217" s="157"/>
      <c r="BA217" s="157"/>
      <c r="BB217" s="157"/>
      <c r="BC217" s="157"/>
      <c r="BD217" s="157"/>
      <c r="BE217" s="157"/>
      <c r="BF217" s="157"/>
      <c r="BG217" s="157"/>
      <c r="BH217" s="157"/>
      <c r="BI217" s="157"/>
      <c r="BJ217" s="157"/>
    </row>
    <row r="218" spans="1:62" ht="15.75" customHeight="1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7"/>
      <c r="AQ218" s="157"/>
      <c r="AR218" s="157"/>
      <c r="AS218" s="157"/>
      <c r="AT218" s="157"/>
      <c r="AU218" s="157"/>
      <c r="AV218" s="157"/>
      <c r="AW218" s="157"/>
      <c r="AX218" s="157"/>
      <c r="AY218" s="157"/>
      <c r="AZ218" s="157"/>
      <c r="BA218" s="157"/>
      <c r="BB218" s="157"/>
      <c r="BC218" s="157"/>
      <c r="BD218" s="157"/>
      <c r="BE218" s="157"/>
      <c r="BF218" s="157"/>
      <c r="BG218" s="157"/>
      <c r="BH218" s="157"/>
      <c r="BI218" s="157"/>
      <c r="BJ218" s="157"/>
    </row>
    <row r="219" spans="1:62" ht="15.75" customHeight="1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7"/>
      <c r="AQ219" s="157"/>
      <c r="AR219" s="157"/>
      <c r="AS219" s="157"/>
      <c r="AT219" s="157"/>
      <c r="AU219" s="157"/>
      <c r="AV219" s="157"/>
      <c r="AW219" s="157"/>
      <c r="AX219" s="157"/>
      <c r="AY219" s="157"/>
      <c r="AZ219" s="157"/>
      <c r="BA219" s="157"/>
      <c r="BB219" s="157"/>
      <c r="BC219" s="157"/>
      <c r="BD219" s="157"/>
      <c r="BE219" s="157"/>
      <c r="BF219" s="157"/>
      <c r="BG219" s="157"/>
      <c r="BH219" s="157"/>
      <c r="BI219" s="157"/>
      <c r="BJ219" s="157"/>
    </row>
    <row r="220" spans="1:62" ht="15.75" customHeight="1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57"/>
      <c r="AJ220" s="157"/>
      <c r="AK220" s="157"/>
      <c r="AL220" s="157"/>
      <c r="AM220" s="157"/>
      <c r="AN220" s="157"/>
      <c r="AO220" s="157"/>
      <c r="AP220" s="157"/>
      <c r="AQ220" s="157"/>
      <c r="AR220" s="157"/>
      <c r="AS220" s="157"/>
      <c r="AT220" s="157"/>
      <c r="AU220" s="157"/>
      <c r="AV220" s="157"/>
      <c r="AW220" s="157"/>
      <c r="AX220" s="157"/>
      <c r="AY220" s="157"/>
      <c r="AZ220" s="157"/>
      <c r="BA220" s="157"/>
      <c r="BB220" s="157"/>
      <c r="BC220" s="157"/>
      <c r="BD220" s="157"/>
      <c r="BE220" s="157"/>
      <c r="BF220" s="157"/>
      <c r="BG220" s="157"/>
      <c r="BH220" s="157"/>
      <c r="BI220" s="157"/>
      <c r="BJ220" s="157"/>
    </row>
    <row r="221" spans="1:62" ht="15.75" customHeight="1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57"/>
      <c r="AJ221" s="157"/>
      <c r="AK221" s="157"/>
      <c r="AL221" s="157"/>
      <c r="AM221" s="157"/>
      <c r="AN221" s="157"/>
      <c r="AO221" s="157"/>
      <c r="AP221" s="157"/>
      <c r="AQ221" s="157"/>
      <c r="AR221" s="157"/>
      <c r="AS221" s="157"/>
      <c r="AT221" s="157"/>
      <c r="AU221" s="157"/>
      <c r="AV221" s="157"/>
      <c r="AW221" s="157"/>
      <c r="AX221" s="157"/>
      <c r="AY221" s="157"/>
      <c r="AZ221" s="157"/>
      <c r="BA221" s="157"/>
      <c r="BB221" s="157"/>
      <c r="BC221" s="157"/>
      <c r="BD221" s="157"/>
      <c r="BE221" s="157"/>
      <c r="BF221" s="157"/>
      <c r="BG221" s="157"/>
      <c r="BH221" s="157"/>
      <c r="BI221" s="157"/>
      <c r="BJ221" s="157"/>
    </row>
    <row r="222" spans="1:62" ht="15.75" customHeight="1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7"/>
      <c r="AY222" s="157"/>
      <c r="AZ222" s="157"/>
      <c r="BA222" s="157"/>
      <c r="BB222" s="157"/>
      <c r="BC222" s="157"/>
      <c r="BD222" s="157"/>
      <c r="BE222" s="157"/>
      <c r="BF222" s="157"/>
      <c r="BG222" s="157"/>
      <c r="BH222" s="157"/>
      <c r="BI222" s="157"/>
      <c r="BJ222" s="157"/>
    </row>
    <row r="223" spans="1:62" ht="15.75" customHeight="1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57"/>
      <c r="AJ223" s="157"/>
      <c r="AK223" s="157"/>
      <c r="AL223" s="157"/>
      <c r="AM223" s="157"/>
      <c r="AN223" s="157"/>
      <c r="AO223" s="157"/>
      <c r="AP223" s="157"/>
      <c r="AQ223" s="157"/>
      <c r="AR223" s="157"/>
      <c r="AS223" s="157"/>
      <c r="AT223" s="157"/>
      <c r="AU223" s="157"/>
      <c r="AV223" s="157"/>
      <c r="AW223" s="157"/>
      <c r="AX223" s="157"/>
      <c r="AY223" s="157"/>
      <c r="AZ223" s="157"/>
      <c r="BA223" s="157"/>
      <c r="BB223" s="157"/>
      <c r="BC223" s="157"/>
      <c r="BD223" s="157"/>
      <c r="BE223" s="157"/>
      <c r="BF223" s="157"/>
      <c r="BG223" s="157"/>
      <c r="BH223" s="157"/>
      <c r="BI223" s="157"/>
      <c r="BJ223" s="157"/>
    </row>
    <row r="224" spans="1:62" ht="15.75" customHeight="1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57"/>
      <c r="AJ224" s="157"/>
      <c r="AK224" s="157"/>
      <c r="AL224" s="157"/>
      <c r="AM224" s="157"/>
      <c r="AN224" s="157"/>
      <c r="AO224" s="157"/>
      <c r="AP224" s="157"/>
      <c r="AQ224" s="157"/>
      <c r="AR224" s="157"/>
      <c r="AS224" s="157"/>
      <c r="AT224" s="157"/>
      <c r="AU224" s="157"/>
      <c r="AV224" s="157"/>
      <c r="AW224" s="157"/>
      <c r="AX224" s="157"/>
      <c r="AY224" s="157"/>
      <c r="AZ224" s="157"/>
      <c r="BA224" s="157"/>
      <c r="BB224" s="157"/>
      <c r="BC224" s="157"/>
      <c r="BD224" s="157"/>
      <c r="BE224" s="157"/>
      <c r="BF224" s="157"/>
      <c r="BG224" s="157"/>
      <c r="BH224" s="157"/>
      <c r="BI224" s="157"/>
      <c r="BJ224" s="157"/>
    </row>
    <row r="225" spans="1:62" ht="15.75" customHeight="1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7"/>
      <c r="AY225" s="157"/>
      <c r="AZ225" s="157"/>
      <c r="BA225" s="157"/>
      <c r="BB225" s="157"/>
      <c r="BC225" s="157"/>
      <c r="BD225" s="157"/>
      <c r="BE225" s="157"/>
      <c r="BF225" s="157"/>
      <c r="BG225" s="157"/>
      <c r="BH225" s="157"/>
      <c r="BI225" s="157"/>
      <c r="BJ225" s="157"/>
    </row>
    <row r="226" spans="1:62" ht="15.75" customHeight="1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57"/>
      <c r="AJ226" s="157"/>
      <c r="AK226" s="157"/>
      <c r="AL226" s="157"/>
      <c r="AM226" s="157"/>
      <c r="AN226" s="157"/>
      <c r="AO226" s="157"/>
      <c r="AP226" s="157"/>
      <c r="AQ226" s="157"/>
      <c r="AR226" s="157"/>
      <c r="AS226" s="157"/>
      <c r="AT226" s="157"/>
      <c r="AU226" s="157"/>
      <c r="AV226" s="157"/>
      <c r="AW226" s="157"/>
      <c r="AX226" s="157"/>
      <c r="AY226" s="157"/>
      <c r="AZ226" s="157"/>
      <c r="BA226" s="157"/>
      <c r="BB226" s="157"/>
      <c r="BC226" s="157"/>
      <c r="BD226" s="157"/>
      <c r="BE226" s="157"/>
      <c r="BF226" s="157"/>
      <c r="BG226" s="157"/>
      <c r="BH226" s="157"/>
      <c r="BI226" s="157"/>
      <c r="BJ226" s="157"/>
    </row>
    <row r="227" spans="1:62" ht="15.75" customHeight="1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57"/>
      <c r="AJ227" s="157"/>
      <c r="AK227" s="157"/>
      <c r="AL227" s="157"/>
      <c r="AM227" s="157"/>
      <c r="AN227" s="157"/>
      <c r="AO227" s="157"/>
      <c r="AP227" s="157"/>
      <c r="AQ227" s="157"/>
      <c r="AR227" s="157"/>
      <c r="AS227" s="157"/>
      <c r="AT227" s="157"/>
      <c r="AU227" s="157"/>
      <c r="AV227" s="157"/>
      <c r="AW227" s="157"/>
      <c r="AX227" s="157"/>
      <c r="AY227" s="157"/>
      <c r="AZ227" s="157"/>
      <c r="BA227" s="157"/>
      <c r="BB227" s="157"/>
      <c r="BC227" s="157"/>
      <c r="BD227" s="157"/>
      <c r="BE227" s="157"/>
      <c r="BF227" s="157"/>
      <c r="BG227" s="157"/>
      <c r="BH227" s="157"/>
      <c r="BI227" s="157"/>
      <c r="BJ227" s="157"/>
    </row>
    <row r="228" spans="1:62" ht="15.75" customHeight="1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157"/>
      <c r="AN228" s="157"/>
      <c r="AO228" s="157"/>
      <c r="AP228" s="157"/>
      <c r="AQ228" s="157"/>
      <c r="AR228" s="157"/>
      <c r="AS228" s="157"/>
      <c r="AT228" s="157"/>
      <c r="AU228" s="157"/>
      <c r="AV228" s="157"/>
      <c r="AW228" s="157"/>
      <c r="AX228" s="157"/>
      <c r="AY228" s="157"/>
      <c r="AZ228" s="157"/>
      <c r="BA228" s="157"/>
      <c r="BB228" s="157"/>
      <c r="BC228" s="157"/>
      <c r="BD228" s="157"/>
      <c r="BE228" s="157"/>
      <c r="BF228" s="157"/>
      <c r="BG228" s="157"/>
      <c r="BH228" s="157"/>
      <c r="BI228" s="157"/>
      <c r="BJ228" s="157"/>
    </row>
    <row r="229" spans="1:62" ht="15.75" customHeight="1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57"/>
      <c r="AJ229" s="157"/>
      <c r="AK229" s="157"/>
      <c r="AL229" s="157"/>
      <c r="AM229" s="157"/>
      <c r="AN229" s="157"/>
      <c r="AO229" s="157"/>
      <c r="AP229" s="157"/>
      <c r="AQ229" s="157"/>
      <c r="AR229" s="157"/>
      <c r="AS229" s="157"/>
      <c r="AT229" s="157"/>
      <c r="AU229" s="157"/>
      <c r="AV229" s="157"/>
      <c r="AW229" s="157"/>
      <c r="AX229" s="157"/>
      <c r="AY229" s="157"/>
      <c r="AZ229" s="157"/>
      <c r="BA229" s="157"/>
      <c r="BB229" s="157"/>
      <c r="BC229" s="157"/>
      <c r="BD229" s="157"/>
      <c r="BE229" s="157"/>
      <c r="BF229" s="157"/>
      <c r="BG229" s="157"/>
      <c r="BH229" s="157"/>
      <c r="BI229" s="157"/>
      <c r="BJ229" s="157"/>
    </row>
    <row r="230" spans="1:62" ht="15.75" customHeight="1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57"/>
      <c r="AJ230" s="157"/>
      <c r="AK230" s="157"/>
      <c r="AL230" s="157"/>
      <c r="AM230" s="157"/>
      <c r="AN230" s="157"/>
      <c r="AO230" s="157"/>
      <c r="AP230" s="157"/>
      <c r="AQ230" s="157"/>
      <c r="AR230" s="157"/>
      <c r="AS230" s="157"/>
      <c r="AT230" s="157"/>
      <c r="AU230" s="157"/>
      <c r="AV230" s="157"/>
      <c r="AW230" s="157"/>
      <c r="AX230" s="157"/>
      <c r="AY230" s="157"/>
      <c r="AZ230" s="157"/>
      <c r="BA230" s="157"/>
      <c r="BB230" s="157"/>
      <c r="BC230" s="157"/>
      <c r="BD230" s="157"/>
      <c r="BE230" s="157"/>
      <c r="BF230" s="157"/>
      <c r="BG230" s="157"/>
      <c r="BH230" s="157"/>
      <c r="BI230" s="157"/>
      <c r="BJ230" s="157"/>
    </row>
    <row r="231" spans="1:62" ht="15.75" customHeight="1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57"/>
      <c r="AJ231" s="157"/>
      <c r="AK231" s="157"/>
      <c r="AL231" s="157"/>
      <c r="AM231" s="157"/>
      <c r="AN231" s="157"/>
      <c r="AO231" s="157"/>
      <c r="AP231" s="157"/>
      <c r="AQ231" s="157"/>
      <c r="AR231" s="157"/>
      <c r="AS231" s="157"/>
      <c r="AT231" s="157"/>
      <c r="AU231" s="157"/>
      <c r="AV231" s="157"/>
      <c r="AW231" s="157"/>
      <c r="AX231" s="157"/>
      <c r="AY231" s="157"/>
      <c r="AZ231" s="157"/>
      <c r="BA231" s="157"/>
      <c r="BB231" s="157"/>
      <c r="BC231" s="157"/>
      <c r="BD231" s="157"/>
      <c r="BE231" s="157"/>
      <c r="BF231" s="157"/>
      <c r="BG231" s="157"/>
      <c r="BH231" s="157"/>
      <c r="BI231" s="157"/>
      <c r="BJ231" s="157"/>
    </row>
    <row r="232" spans="1:62" ht="15.75" customHeight="1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57"/>
      <c r="AJ232" s="157"/>
      <c r="AK232" s="157"/>
      <c r="AL232" s="157"/>
      <c r="AM232" s="157"/>
      <c r="AN232" s="157"/>
      <c r="AO232" s="157"/>
      <c r="AP232" s="157"/>
      <c r="AQ232" s="157"/>
      <c r="AR232" s="157"/>
      <c r="AS232" s="157"/>
      <c r="AT232" s="157"/>
      <c r="AU232" s="157"/>
      <c r="AV232" s="157"/>
      <c r="AW232" s="157"/>
      <c r="AX232" s="157"/>
      <c r="AY232" s="157"/>
      <c r="AZ232" s="157"/>
      <c r="BA232" s="157"/>
      <c r="BB232" s="157"/>
      <c r="BC232" s="157"/>
      <c r="BD232" s="157"/>
      <c r="BE232" s="157"/>
      <c r="BF232" s="157"/>
      <c r="BG232" s="157"/>
      <c r="BH232" s="157"/>
      <c r="BI232" s="157"/>
      <c r="BJ232" s="157"/>
    </row>
    <row r="233" spans="1:62" ht="15.75" customHeight="1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57"/>
      <c r="AJ233" s="157"/>
      <c r="AK233" s="157"/>
      <c r="AL233" s="157"/>
      <c r="AM233" s="157"/>
      <c r="AN233" s="157"/>
      <c r="AO233" s="157"/>
      <c r="AP233" s="157"/>
      <c r="AQ233" s="157"/>
      <c r="AR233" s="157"/>
      <c r="AS233" s="157"/>
      <c r="AT233" s="157"/>
      <c r="AU233" s="157"/>
      <c r="AV233" s="157"/>
      <c r="AW233" s="157"/>
      <c r="AX233" s="157"/>
      <c r="AY233" s="157"/>
      <c r="AZ233" s="157"/>
      <c r="BA233" s="157"/>
      <c r="BB233" s="157"/>
      <c r="BC233" s="157"/>
      <c r="BD233" s="157"/>
      <c r="BE233" s="157"/>
      <c r="BF233" s="157"/>
      <c r="BG233" s="157"/>
      <c r="BH233" s="157"/>
      <c r="BI233" s="157"/>
      <c r="BJ233" s="157"/>
    </row>
    <row r="234" spans="1:62" ht="15.75" customHeight="1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57"/>
      <c r="AJ234" s="157"/>
      <c r="AK234" s="157"/>
      <c r="AL234" s="157"/>
      <c r="AM234" s="157"/>
      <c r="AN234" s="157"/>
      <c r="AO234" s="157"/>
      <c r="AP234" s="157"/>
      <c r="AQ234" s="157"/>
      <c r="AR234" s="157"/>
      <c r="AS234" s="157"/>
      <c r="AT234" s="157"/>
      <c r="AU234" s="157"/>
      <c r="AV234" s="157"/>
      <c r="AW234" s="157"/>
      <c r="AX234" s="157"/>
      <c r="AY234" s="157"/>
      <c r="AZ234" s="157"/>
      <c r="BA234" s="157"/>
      <c r="BB234" s="157"/>
      <c r="BC234" s="157"/>
      <c r="BD234" s="157"/>
      <c r="BE234" s="157"/>
      <c r="BF234" s="157"/>
      <c r="BG234" s="157"/>
      <c r="BH234" s="157"/>
      <c r="BI234" s="157"/>
      <c r="BJ234" s="157"/>
    </row>
    <row r="235" spans="1:62" ht="15.75" customHeight="1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57"/>
      <c r="AJ235" s="157"/>
      <c r="AK235" s="157"/>
      <c r="AL235" s="157"/>
      <c r="AM235" s="157"/>
      <c r="AN235" s="157"/>
      <c r="AO235" s="157"/>
      <c r="AP235" s="157"/>
      <c r="AQ235" s="157"/>
      <c r="AR235" s="157"/>
      <c r="AS235" s="157"/>
      <c r="AT235" s="157"/>
      <c r="AU235" s="157"/>
      <c r="AV235" s="157"/>
      <c r="AW235" s="157"/>
      <c r="AX235" s="157"/>
      <c r="AY235" s="157"/>
      <c r="AZ235" s="157"/>
      <c r="BA235" s="157"/>
      <c r="BB235" s="157"/>
      <c r="BC235" s="157"/>
      <c r="BD235" s="157"/>
      <c r="BE235" s="157"/>
      <c r="BF235" s="157"/>
      <c r="BG235" s="157"/>
      <c r="BH235" s="157"/>
      <c r="BI235" s="157"/>
      <c r="BJ235" s="157"/>
    </row>
    <row r="236" spans="1:62" ht="15.75" customHeight="1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57"/>
      <c r="AJ236" s="157"/>
      <c r="AK236" s="157"/>
      <c r="AL236" s="157"/>
      <c r="AM236" s="157"/>
      <c r="AN236" s="157"/>
      <c r="AO236" s="157"/>
      <c r="AP236" s="157"/>
      <c r="AQ236" s="157"/>
      <c r="AR236" s="157"/>
      <c r="AS236" s="157"/>
      <c r="AT236" s="157"/>
      <c r="AU236" s="157"/>
      <c r="AV236" s="157"/>
      <c r="AW236" s="157"/>
      <c r="AX236" s="157"/>
      <c r="AY236" s="157"/>
      <c r="AZ236" s="157"/>
      <c r="BA236" s="157"/>
      <c r="BB236" s="157"/>
      <c r="BC236" s="157"/>
      <c r="BD236" s="157"/>
      <c r="BE236" s="157"/>
      <c r="BF236" s="157"/>
      <c r="BG236" s="157"/>
      <c r="BH236" s="157"/>
      <c r="BI236" s="157"/>
      <c r="BJ236" s="157"/>
    </row>
    <row r="237" spans="1:62" ht="15.75" customHeight="1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57"/>
      <c r="AJ237" s="157"/>
      <c r="AK237" s="157"/>
      <c r="AL237" s="157"/>
      <c r="AM237" s="157"/>
      <c r="AN237" s="157"/>
      <c r="AO237" s="157"/>
      <c r="AP237" s="157"/>
      <c r="AQ237" s="157"/>
      <c r="AR237" s="157"/>
      <c r="AS237" s="157"/>
      <c r="AT237" s="157"/>
      <c r="AU237" s="157"/>
      <c r="AV237" s="157"/>
      <c r="AW237" s="157"/>
      <c r="AX237" s="157"/>
      <c r="AY237" s="157"/>
      <c r="AZ237" s="157"/>
      <c r="BA237" s="157"/>
      <c r="BB237" s="157"/>
      <c r="BC237" s="157"/>
      <c r="BD237" s="157"/>
      <c r="BE237" s="157"/>
      <c r="BF237" s="157"/>
      <c r="BG237" s="157"/>
      <c r="BH237" s="157"/>
      <c r="BI237" s="157"/>
      <c r="BJ237" s="157"/>
    </row>
    <row r="238" spans="1:62" ht="15.75" customHeight="1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57"/>
      <c r="AJ238" s="157"/>
      <c r="AK238" s="157"/>
      <c r="AL238" s="157"/>
      <c r="AM238" s="157"/>
      <c r="AN238" s="157"/>
      <c r="AO238" s="157"/>
      <c r="AP238" s="157"/>
      <c r="AQ238" s="157"/>
      <c r="AR238" s="157"/>
      <c r="AS238" s="157"/>
      <c r="AT238" s="157"/>
      <c r="AU238" s="157"/>
      <c r="AV238" s="157"/>
      <c r="AW238" s="157"/>
      <c r="AX238" s="157"/>
      <c r="AY238" s="157"/>
      <c r="AZ238" s="157"/>
      <c r="BA238" s="157"/>
      <c r="BB238" s="157"/>
      <c r="BC238" s="157"/>
      <c r="BD238" s="157"/>
      <c r="BE238" s="157"/>
      <c r="BF238" s="157"/>
      <c r="BG238" s="157"/>
      <c r="BH238" s="157"/>
      <c r="BI238" s="157"/>
      <c r="BJ238" s="157"/>
    </row>
    <row r="239" spans="1:62" ht="15.75" customHeight="1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57"/>
      <c r="AJ239" s="157"/>
      <c r="AK239" s="157"/>
      <c r="AL239" s="157"/>
      <c r="AM239" s="157"/>
      <c r="AN239" s="157"/>
      <c r="AO239" s="157"/>
      <c r="AP239" s="157"/>
      <c r="AQ239" s="157"/>
      <c r="AR239" s="157"/>
      <c r="AS239" s="157"/>
      <c r="AT239" s="157"/>
      <c r="AU239" s="157"/>
      <c r="AV239" s="157"/>
      <c r="AW239" s="157"/>
      <c r="AX239" s="157"/>
      <c r="AY239" s="157"/>
      <c r="AZ239" s="157"/>
      <c r="BA239" s="157"/>
      <c r="BB239" s="157"/>
      <c r="BC239" s="157"/>
      <c r="BD239" s="157"/>
      <c r="BE239" s="157"/>
      <c r="BF239" s="157"/>
      <c r="BG239" s="157"/>
      <c r="BH239" s="157"/>
      <c r="BI239" s="157"/>
      <c r="BJ239" s="157"/>
    </row>
    <row r="240" spans="1:62" ht="15.75" customHeight="1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57"/>
      <c r="AJ240" s="157"/>
      <c r="AK240" s="157"/>
      <c r="AL240" s="157"/>
      <c r="AM240" s="157"/>
      <c r="AN240" s="157"/>
      <c r="AO240" s="157"/>
      <c r="AP240" s="157"/>
      <c r="AQ240" s="157"/>
      <c r="AR240" s="157"/>
      <c r="AS240" s="157"/>
      <c r="AT240" s="157"/>
      <c r="AU240" s="157"/>
      <c r="AV240" s="157"/>
      <c r="AW240" s="157"/>
      <c r="AX240" s="157"/>
      <c r="AY240" s="157"/>
      <c r="AZ240" s="157"/>
      <c r="BA240" s="157"/>
      <c r="BB240" s="157"/>
      <c r="BC240" s="157"/>
      <c r="BD240" s="157"/>
      <c r="BE240" s="157"/>
      <c r="BF240" s="157"/>
      <c r="BG240" s="157"/>
      <c r="BH240" s="157"/>
      <c r="BI240" s="157"/>
      <c r="BJ240" s="157"/>
    </row>
    <row r="241" spans="1:62" ht="15.75" customHeight="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57"/>
      <c r="AJ241" s="157"/>
      <c r="AK241" s="157"/>
      <c r="AL241" s="157"/>
      <c r="AM241" s="157"/>
      <c r="AN241" s="157"/>
      <c r="AO241" s="157"/>
      <c r="AP241" s="157"/>
      <c r="AQ241" s="157"/>
      <c r="AR241" s="157"/>
      <c r="AS241" s="157"/>
      <c r="AT241" s="157"/>
      <c r="AU241" s="157"/>
      <c r="AV241" s="157"/>
      <c r="AW241" s="157"/>
      <c r="AX241" s="157"/>
      <c r="AY241" s="157"/>
      <c r="AZ241" s="157"/>
      <c r="BA241" s="157"/>
      <c r="BB241" s="157"/>
      <c r="BC241" s="157"/>
      <c r="BD241" s="157"/>
      <c r="BE241" s="157"/>
      <c r="BF241" s="157"/>
      <c r="BG241" s="157"/>
      <c r="BH241" s="157"/>
      <c r="BI241" s="157"/>
      <c r="BJ241" s="157"/>
    </row>
    <row r="242" spans="1:62" ht="15.75" customHeight="1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57"/>
      <c r="AJ242" s="157"/>
      <c r="AK242" s="157"/>
      <c r="AL242" s="157"/>
      <c r="AM242" s="157"/>
      <c r="AN242" s="157"/>
      <c r="AO242" s="157"/>
      <c r="AP242" s="157"/>
      <c r="AQ242" s="157"/>
      <c r="AR242" s="157"/>
      <c r="AS242" s="157"/>
      <c r="AT242" s="157"/>
      <c r="AU242" s="157"/>
      <c r="AV242" s="157"/>
      <c r="AW242" s="157"/>
      <c r="AX242" s="157"/>
      <c r="AY242" s="157"/>
      <c r="AZ242" s="157"/>
      <c r="BA242" s="157"/>
      <c r="BB242" s="157"/>
      <c r="BC242" s="157"/>
      <c r="BD242" s="157"/>
      <c r="BE242" s="157"/>
      <c r="BF242" s="157"/>
      <c r="BG242" s="157"/>
      <c r="BH242" s="157"/>
      <c r="BI242" s="157"/>
      <c r="BJ242" s="157"/>
    </row>
    <row r="243" spans="1:62" ht="15.75" customHeight="1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57"/>
      <c r="AJ243" s="157"/>
      <c r="AK243" s="157"/>
      <c r="AL243" s="157"/>
      <c r="AM243" s="157"/>
      <c r="AN243" s="157"/>
      <c r="AO243" s="157"/>
      <c r="AP243" s="157"/>
      <c r="AQ243" s="157"/>
      <c r="AR243" s="157"/>
      <c r="AS243" s="157"/>
      <c r="AT243" s="157"/>
      <c r="AU243" s="157"/>
      <c r="AV243" s="157"/>
      <c r="AW243" s="157"/>
      <c r="AX243" s="157"/>
      <c r="AY243" s="157"/>
      <c r="AZ243" s="157"/>
      <c r="BA243" s="157"/>
      <c r="BB243" s="157"/>
      <c r="BC243" s="157"/>
      <c r="BD243" s="157"/>
      <c r="BE243" s="157"/>
      <c r="BF243" s="157"/>
      <c r="BG243" s="157"/>
      <c r="BH243" s="157"/>
      <c r="BI243" s="157"/>
      <c r="BJ243" s="157"/>
    </row>
    <row r="244" spans="1:62" ht="15.75" customHeight="1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57"/>
      <c r="AJ244" s="157"/>
      <c r="AK244" s="157"/>
      <c r="AL244" s="157"/>
      <c r="AM244" s="157"/>
      <c r="AN244" s="157"/>
      <c r="AO244" s="157"/>
      <c r="AP244" s="157"/>
      <c r="AQ244" s="157"/>
      <c r="AR244" s="157"/>
      <c r="AS244" s="157"/>
      <c r="AT244" s="157"/>
      <c r="AU244" s="157"/>
      <c r="AV244" s="157"/>
      <c r="AW244" s="157"/>
      <c r="AX244" s="157"/>
      <c r="AY244" s="157"/>
      <c r="AZ244" s="157"/>
      <c r="BA244" s="157"/>
      <c r="BB244" s="157"/>
      <c r="BC244" s="157"/>
      <c r="BD244" s="157"/>
      <c r="BE244" s="157"/>
      <c r="BF244" s="157"/>
      <c r="BG244" s="157"/>
      <c r="BH244" s="157"/>
      <c r="BI244" s="157"/>
      <c r="BJ244" s="157"/>
    </row>
    <row r="245" spans="1:62" ht="15.75" customHeight="1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R245" s="157"/>
      <c r="AS245" s="157"/>
      <c r="AT245" s="157"/>
      <c r="AU245" s="157"/>
      <c r="AV245" s="157"/>
      <c r="AW245" s="157"/>
      <c r="AX245" s="157"/>
      <c r="AY245" s="157"/>
      <c r="AZ245" s="157"/>
      <c r="BA245" s="157"/>
      <c r="BB245" s="157"/>
      <c r="BC245" s="157"/>
      <c r="BD245" s="157"/>
      <c r="BE245" s="157"/>
      <c r="BF245" s="157"/>
      <c r="BG245" s="157"/>
      <c r="BH245" s="157"/>
      <c r="BI245" s="157"/>
      <c r="BJ245" s="157"/>
    </row>
    <row r="246" spans="1:62" ht="15.75" customHeight="1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57"/>
      <c r="AJ246" s="157"/>
      <c r="AK246" s="157"/>
      <c r="AL246" s="157"/>
      <c r="AM246" s="157"/>
      <c r="AN246" s="157"/>
      <c r="AO246" s="157"/>
      <c r="AP246" s="157"/>
      <c r="AQ246" s="157"/>
      <c r="AR246" s="157"/>
      <c r="AS246" s="157"/>
      <c r="AT246" s="157"/>
      <c r="AU246" s="157"/>
      <c r="AV246" s="157"/>
      <c r="AW246" s="157"/>
      <c r="AX246" s="157"/>
      <c r="AY246" s="157"/>
      <c r="AZ246" s="157"/>
      <c r="BA246" s="157"/>
      <c r="BB246" s="157"/>
      <c r="BC246" s="157"/>
      <c r="BD246" s="157"/>
      <c r="BE246" s="157"/>
      <c r="BF246" s="157"/>
      <c r="BG246" s="157"/>
      <c r="BH246" s="157"/>
      <c r="BI246" s="157"/>
      <c r="BJ246" s="157"/>
    </row>
    <row r="247" spans="1:62" ht="15.75" customHeight="1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57"/>
      <c r="AJ247" s="157"/>
      <c r="AK247" s="157"/>
      <c r="AL247" s="157"/>
      <c r="AM247" s="157"/>
      <c r="AN247" s="157"/>
      <c r="AO247" s="157"/>
      <c r="AP247" s="157"/>
      <c r="AQ247" s="157"/>
      <c r="AR247" s="157"/>
      <c r="AS247" s="157"/>
      <c r="AT247" s="157"/>
      <c r="AU247" s="157"/>
      <c r="AV247" s="157"/>
      <c r="AW247" s="157"/>
      <c r="AX247" s="157"/>
      <c r="AY247" s="157"/>
      <c r="AZ247" s="157"/>
      <c r="BA247" s="157"/>
      <c r="BB247" s="157"/>
      <c r="BC247" s="157"/>
      <c r="BD247" s="157"/>
      <c r="BE247" s="157"/>
      <c r="BF247" s="157"/>
      <c r="BG247" s="157"/>
      <c r="BH247" s="157"/>
      <c r="BI247" s="157"/>
      <c r="BJ247" s="157"/>
    </row>
    <row r="248" spans="1:62" ht="15.75" customHeight="1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57"/>
      <c r="AJ248" s="157"/>
      <c r="AK248" s="157"/>
      <c r="AL248" s="157"/>
      <c r="AM248" s="157"/>
      <c r="AN248" s="157"/>
      <c r="AO248" s="157"/>
      <c r="AP248" s="157"/>
      <c r="AQ248" s="157"/>
      <c r="AR248" s="157"/>
      <c r="AS248" s="157"/>
      <c r="AT248" s="157"/>
      <c r="AU248" s="157"/>
      <c r="AV248" s="157"/>
      <c r="AW248" s="157"/>
      <c r="AX248" s="157"/>
      <c r="AY248" s="157"/>
      <c r="AZ248" s="157"/>
      <c r="BA248" s="157"/>
      <c r="BB248" s="157"/>
      <c r="BC248" s="157"/>
      <c r="BD248" s="157"/>
      <c r="BE248" s="157"/>
      <c r="BF248" s="157"/>
      <c r="BG248" s="157"/>
      <c r="BH248" s="157"/>
      <c r="BI248" s="157"/>
      <c r="BJ248" s="157"/>
    </row>
    <row r="249" spans="1:62" ht="15.75" customHeight="1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57"/>
      <c r="AJ249" s="157"/>
      <c r="AK249" s="157"/>
      <c r="AL249" s="157"/>
      <c r="AM249" s="157"/>
      <c r="AN249" s="157"/>
      <c r="AO249" s="157"/>
      <c r="AP249" s="157"/>
      <c r="AQ249" s="157"/>
      <c r="AR249" s="157"/>
      <c r="AS249" s="157"/>
      <c r="AT249" s="157"/>
      <c r="AU249" s="157"/>
      <c r="AV249" s="157"/>
      <c r="AW249" s="157"/>
      <c r="AX249" s="157"/>
      <c r="AY249" s="157"/>
      <c r="AZ249" s="157"/>
      <c r="BA249" s="157"/>
      <c r="BB249" s="157"/>
      <c r="BC249" s="157"/>
      <c r="BD249" s="157"/>
      <c r="BE249" s="157"/>
      <c r="BF249" s="157"/>
      <c r="BG249" s="157"/>
      <c r="BH249" s="157"/>
      <c r="BI249" s="157"/>
      <c r="BJ249" s="157"/>
    </row>
    <row r="250" spans="1:62" ht="15.75" customHeight="1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57"/>
      <c r="AJ250" s="157"/>
      <c r="AK250" s="157"/>
      <c r="AL250" s="157"/>
      <c r="AM250" s="157"/>
      <c r="AN250" s="157"/>
      <c r="AO250" s="157"/>
      <c r="AP250" s="157"/>
      <c r="AQ250" s="157"/>
      <c r="AR250" s="157"/>
      <c r="AS250" s="157"/>
      <c r="AT250" s="157"/>
      <c r="AU250" s="157"/>
      <c r="AV250" s="157"/>
      <c r="AW250" s="157"/>
      <c r="AX250" s="157"/>
      <c r="AY250" s="157"/>
      <c r="AZ250" s="157"/>
      <c r="BA250" s="157"/>
      <c r="BB250" s="157"/>
      <c r="BC250" s="157"/>
      <c r="BD250" s="157"/>
      <c r="BE250" s="157"/>
      <c r="BF250" s="157"/>
      <c r="BG250" s="157"/>
      <c r="BH250" s="157"/>
      <c r="BI250" s="157"/>
      <c r="BJ250" s="157"/>
    </row>
    <row r="251" spans="1:62" ht="15.75" customHeight="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  <c r="BA251" s="157"/>
      <c r="BB251" s="157"/>
      <c r="BC251" s="157"/>
      <c r="BD251" s="157"/>
      <c r="BE251" s="157"/>
      <c r="BF251" s="157"/>
      <c r="BG251" s="157"/>
      <c r="BH251" s="157"/>
      <c r="BI251" s="157"/>
      <c r="BJ251" s="157"/>
    </row>
    <row r="252" spans="1:62" ht="15.75" customHeight="1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  <c r="BB252" s="157"/>
      <c r="BC252" s="157"/>
      <c r="BD252" s="157"/>
      <c r="BE252" s="157"/>
      <c r="BF252" s="157"/>
      <c r="BG252" s="157"/>
      <c r="BH252" s="157"/>
      <c r="BI252" s="157"/>
      <c r="BJ252" s="157"/>
    </row>
    <row r="253" spans="1:62" ht="15.75" customHeight="1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7"/>
      <c r="AL253" s="157"/>
      <c r="AM253" s="157"/>
      <c r="AN253" s="157"/>
      <c r="AO253" s="157"/>
      <c r="AP253" s="157"/>
      <c r="AQ253" s="157"/>
      <c r="AR253" s="157"/>
      <c r="AS253" s="157"/>
      <c r="AT253" s="157"/>
      <c r="AU253" s="157"/>
      <c r="AV253" s="157"/>
      <c r="AW253" s="157"/>
      <c r="AX253" s="157"/>
      <c r="AY253" s="157"/>
      <c r="AZ253" s="157"/>
      <c r="BA253" s="157"/>
      <c r="BB253" s="157"/>
      <c r="BC253" s="157"/>
      <c r="BD253" s="157"/>
      <c r="BE253" s="157"/>
      <c r="BF253" s="157"/>
      <c r="BG253" s="157"/>
      <c r="BH253" s="157"/>
      <c r="BI253" s="157"/>
      <c r="BJ253" s="157"/>
    </row>
    <row r="254" spans="1:62" ht="15.75" customHeight="1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57"/>
      <c r="AJ254" s="157"/>
      <c r="AK254" s="157"/>
      <c r="AL254" s="157"/>
      <c r="AM254" s="157"/>
      <c r="AN254" s="157"/>
      <c r="AO254" s="157"/>
      <c r="AP254" s="157"/>
      <c r="AQ254" s="157"/>
      <c r="AR254" s="157"/>
      <c r="AS254" s="157"/>
      <c r="AT254" s="157"/>
      <c r="AU254" s="157"/>
      <c r="AV254" s="157"/>
      <c r="AW254" s="157"/>
      <c r="AX254" s="157"/>
      <c r="AY254" s="157"/>
      <c r="AZ254" s="157"/>
      <c r="BA254" s="157"/>
      <c r="BB254" s="157"/>
      <c r="BC254" s="157"/>
      <c r="BD254" s="157"/>
      <c r="BE254" s="157"/>
      <c r="BF254" s="157"/>
      <c r="BG254" s="157"/>
      <c r="BH254" s="157"/>
      <c r="BI254" s="157"/>
      <c r="BJ254" s="157"/>
    </row>
    <row r="255" spans="1:62" ht="15.75" customHeight="1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57"/>
      <c r="AJ255" s="157"/>
      <c r="AK255" s="157"/>
      <c r="AL255" s="157"/>
      <c r="AM255" s="157"/>
      <c r="AN255" s="157"/>
      <c r="AO255" s="157"/>
      <c r="AP255" s="157"/>
      <c r="AQ255" s="157"/>
      <c r="AR255" s="157"/>
      <c r="AS255" s="157"/>
      <c r="AT255" s="157"/>
      <c r="AU255" s="157"/>
      <c r="AV255" s="157"/>
      <c r="AW255" s="157"/>
      <c r="AX255" s="157"/>
      <c r="AY255" s="157"/>
      <c r="AZ255" s="157"/>
      <c r="BA255" s="157"/>
      <c r="BB255" s="157"/>
      <c r="BC255" s="157"/>
      <c r="BD255" s="157"/>
      <c r="BE255" s="157"/>
      <c r="BF255" s="157"/>
      <c r="BG255" s="157"/>
      <c r="BH255" s="157"/>
      <c r="BI255" s="157"/>
      <c r="BJ255" s="157"/>
    </row>
    <row r="256" spans="1:62" ht="15.75" customHeight="1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  <c r="AV256" s="157"/>
      <c r="AW256" s="157"/>
      <c r="AX256" s="157"/>
      <c r="AY256" s="157"/>
      <c r="AZ256" s="157"/>
      <c r="BA256" s="157"/>
      <c r="BB256" s="157"/>
      <c r="BC256" s="157"/>
      <c r="BD256" s="157"/>
      <c r="BE256" s="157"/>
      <c r="BF256" s="157"/>
      <c r="BG256" s="157"/>
      <c r="BH256" s="157"/>
      <c r="BI256" s="157"/>
      <c r="BJ256" s="157"/>
    </row>
    <row r="257" spans="1:62" ht="15.75" customHeight="1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  <c r="AV257" s="157"/>
      <c r="AW257" s="157"/>
      <c r="AX257" s="157"/>
      <c r="AY257" s="157"/>
      <c r="AZ257" s="157"/>
      <c r="BA257" s="157"/>
      <c r="BB257" s="157"/>
      <c r="BC257" s="157"/>
      <c r="BD257" s="157"/>
      <c r="BE257" s="157"/>
      <c r="BF257" s="157"/>
      <c r="BG257" s="157"/>
      <c r="BH257" s="157"/>
      <c r="BI257" s="157"/>
      <c r="BJ257" s="157"/>
    </row>
    <row r="258" spans="1:62" ht="15.75" customHeight="1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  <c r="AV258" s="157"/>
      <c r="AW258" s="157"/>
      <c r="AX258" s="157"/>
      <c r="AY258" s="157"/>
      <c r="AZ258" s="157"/>
      <c r="BA258" s="157"/>
      <c r="BB258" s="157"/>
      <c r="BC258" s="157"/>
      <c r="BD258" s="157"/>
      <c r="BE258" s="157"/>
      <c r="BF258" s="157"/>
      <c r="BG258" s="157"/>
      <c r="BH258" s="157"/>
      <c r="BI258" s="157"/>
      <c r="BJ258" s="157"/>
    </row>
    <row r="259" spans="1:62" ht="15.75" customHeight="1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  <c r="AV259" s="157"/>
      <c r="AW259" s="157"/>
      <c r="AX259" s="157"/>
      <c r="AY259" s="157"/>
      <c r="AZ259" s="157"/>
      <c r="BA259" s="157"/>
      <c r="BB259" s="157"/>
      <c r="BC259" s="157"/>
      <c r="BD259" s="157"/>
      <c r="BE259" s="157"/>
      <c r="BF259" s="157"/>
      <c r="BG259" s="157"/>
      <c r="BH259" s="157"/>
      <c r="BI259" s="157"/>
      <c r="BJ259" s="157"/>
    </row>
    <row r="260" spans="1:62" ht="15.75" customHeight="1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  <c r="AV260" s="157"/>
      <c r="AW260" s="157"/>
      <c r="AX260" s="157"/>
      <c r="AY260" s="157"/>
      <c r="AZ260" s="157"/>
      <c r="BA260" s="157"/>
      <c r="BB260" s="157"/>
      <c r="BC260" s="157"/>
      <c r="BD260" s="157"/>
      <c r="BE260" s="157"/>
      <c r="BF260" s="157"/>
      <c r="BG260" s="157"/>
      <c r="BH260" s="157"/>
      <c r="BI260" s="157"/>
      <c r="BJ260" s="157"/>
    </row>
    <row r="261" spans="1:62" ht="15.75" customHeight="1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  <c r="AV261" s="157"/>
      <c r="AW261" s="157"/>
      <c r="AX261" s="157"/>
      <c r="AY261" s="157"/>
      <c r="AZ261" s="157"/>
      <c r="BA261" s="157"/>
      <c r="BB261" s="157"/>
      <c r="BC261" s="157"/>
      <c r="BD261" s="157"/>
      <c r="BE261" s="157"/>
      <c r="BF261" s="157"/>
      <c r="BG261" s="157"/>
      <c r="BH261" s="157"/>
      <c r="BI261" s="157"/>
      <c r="BJ261" s="157"/>
    </row>
    <row r="262" spans="1:62" ht="15.75" customHeight="1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  <c r="AV262" s="157"/>
      <c r="AW262" s="157"/>
      <c r="AX262" s="157"/>
      <c r="AY262" s="157"/>
      <c r="AZ262" s="157"/>
      <c r="BA262" s="157"/>
      <c r="BB262" s="157"/>
      <c r="BC262" s="157"/>
      <c r="BD262" s="157"/>
      <c r="BE262" s="157"/>
      <c r="BF262" s="157"/>
      <c r="BG262" s="157"/>
      <c r="BH262" s="157"/>
      <c r="BI262" s="157"/>
      <c r="BJ262" s="157"/>
    </row>
    <row r="263" spans="1:62" ht="15.75" customHeight="1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  <c r="AV263" s="157"/>
      <c r="AW263" s="157"/>
      <c r="AX263" s="157"/>
      <c r="AY263" s="157"/>
      <c r="AZ263" s="157"/>
      <c r="BA263" s="157"/>
      <c r="BB263" s="157"/>
      <c r="BC263" s="157"/>
      <c r="BD263" s="157"/>
      <c r="BE263" s="157"/>
      <c r="BF263" s="157"/>
      <c r="BG263" s="157"/>
      <c r="BH263" s="157"/>
      <c r="BI263" s="157"/>
      <c r="BJ263" s="157"/>
    </row>
    <row r="264" spans="1:62" ht="15.75" customHeight="1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  <c r="AV264" s="157"/>
      <c r="AW264" s="157"/>
      <c r="AX264" s="157"/>
      <c r="AY264" s="157"/>
      <c r="AZ264" s="157"/>
      <c r="BA264" s="157"/>
      <c r="BB264" s="157"/>
      <c r="BC264" s="157"/>
      <c r="BD264" s="157"/>
      <c r="BE264" s="157"/>
      <c r="BF264" s="157"/>
      <c r="BG264" s="157"/>
      <c r="BH264" s="157"/>
      <c r="BI264" s="157"/>
      <c r="BJ264" s="157"/>
    </row>
    <row r="265" spans="1:62" ht="15.75" customHeight="1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  <c r="AV265" s="157"/>
      <c r="AW265" s="157"/>
      <c r="AX265" s="157"/>
      <c r="AY265" s="157"/>
      <c r="AZ265" s="157"/>
      <c r="BA265" s="157"/>
      <c r="BB265" s="157"/>
      <c r="BC265" s="157"/>
      <c r="BD265" s="157"/>
      <c r="BE265" s="157"/>
      <c r="BF265" s="157"/>
      <c r="BG265" s="157"/>
      <c r="BH265" s="157"/>
      <c r="BI265" s="157"/>
      <c r="BJ265" s="157"/>
    </row>
    <row r="266" spans="1:62" ht="15.75" customHeight="1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  <c r="AV266" s="157"/>
      <c r="AW266" s="157"/>
      <c r="AX266" s="157"/>
      <c r="AY266" s="157"/>
      <c r="AZ266" s="157"/>
      <c r="BA266" s="157"/>
      <c r="BB266" s="157"/>
      <c r="BC266" s="157"/>
      <c r="BD266" s="157"/>
      <c r="BE266" s="157"/>
      <c r="BF266" s="157"/>
      <c r="BG266" s="157"/>
      <c r="BH266" s="157"/>
      <c r="BI266" s="157"/>
      <c r="BJ266" s="157"/>
    </row>
    <row r="267" spans="1:62" ht="15.75" customHeight="1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  <c r="AV267" s="157"/>
      <c r="AW267" s="157"/>
      <c r="AX267" s="157"/>
      <c r="AY267" s="157"/>
      <c r="AZ267" s="157"/>
      <c r="BA267" s="157"/>
      <c r="BB267" s="157"/>
      <c r="BC267" s="157"/>
      <c r="BD267" s="157"/>
      <c r="BE267" s="157"/>
      <c r="BF267" s="157"/>
      <c r="BG267" s="157"/>
      <c r="BH267" s="157"/>
      <c r="BI267" s="157"/>
      <c r="BJ267" s="157"/>
    </row>
    <row r="268" spans="1:62" ht="15.75" customHeight="1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  <c r="AV268" s="157"/>
      <c r="AW268" s="157"/>
      <c r="AX268" s="157"/>
      <c r="AY268" s="157"/>
      <c r="AZ268" s="157"/>
      <c r="BA268" s="157"/>
      <c r="BB268" s="157"/>
      <c r="BC268" s="157"/>
      <c r="BD268" s="157"/>
      <c r="BE268" s="157"/>
      <c r="BF268" s="157"/>
      <c r="BG268" s="157"/>
      <c r="BH268" s="157"/>
      <c r="BI268" s="157"/>
      <c r="BJ268" s="157"/>
    </row>
    <row r="269" spans="1:62" ht="15.75" customHeight="1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  <c r="AV269" s="157"/>
      <c r="AW269" s="157"/>
      <c r="AX269" s="157"/>
      <c r="AY269" s="157"/>
      <c r="AZ269" s="157"/>
      <c r="BA269" s="157"/>
      <c r="BB269" s="157"/>
      <c r="BC269" s="157"/>
      <c r="BD269" s="157"/>
      <c r="BE269" s="157"/>
      <c r="BF269" s="157"/>
      <c r="BG269" s="157"/>
      <c r="BH269" s="157"/>
      <c r="BI269" s="157"/>
      <c r="BJ269" s="157"/>
    </row>
    <row r="270" spans="1:62" ht="15.75" customHeight="1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  <c r="AV270" s="157"/>
      <c r="AW270" s="157"/>
      <c r="AX270" s="157"/>
      <c r="AY270" s="157"/>
      <c r="AZ270" s="157"/>
      <c r="BA270" s="157"/>
      <c r="BB270" s="157"/>
      <c r="BC270" s="157"/>
      <c r="BD270" s="157"/>
      <c r="BE270" s="157"/>
      <c r="BF270" s="157"/>
      <c r="BG270" s="157"/>
      <c r="BH270" s="157"/>
      <c r="BI270" s="157"/>
      <c r="BJ270" s="157"/>
    </row>
    <row r="271" spans="1:62" ht="15.75" customHeight="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  <c r="AV271" s="157"/>
      <c r="AW271" s="157"/>
      <c r="AX271" s="157"/>
      <c r="AY271" s="157"/>
      <c r="AZ271" s="157"/>
      <c r="BA271" s="157"/>
      <c r="BB271" s="157"/>
      <c r="BC271" s="157"/>
      <c r="BD271" s="157"/>
      <c r="BE271" s="157"/>
      <c r="BF271" s="157"/>
      <c r="BG271" s="157"/>
      <c r="BH271" s="157"/>
      <c r="BI271" s="157"/>
      <c r="BJ271" s="157"/>
    </row>
    <row r="272" spans="1:62" ht="15.75" customHeight="1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  <c r="AV272" s="157"/>
      <c r="AW272" s="157"/>
      <c r="AX272" s="157"/>
      <c r="AY272" s="157"/>
      <c r="AZ272" s="157"/>
      <c r="BA272" s="157"/>
      <c r="BB272" s="157"/>
      <c r="BC272" s="157"/>
      <c r="BD272" s="157"/>
      <c r="BE272" s="157"/>
      <c r="BF272" s="157"/>
      <c r="BG272" s="157"/>
      <c r="BH272" s="157"/>
      <c r="BI272" s="157"/>
      <c r="BJ272" s="157"/>
    </row>
    <row r="273" spans="1:62" ht="15.75" customHeight="1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  <c r="AV273" s="157"/>
      <c r="AW273" s="157"/>
      <c r="AX273" s="157"/>
      <c r="AY273" s="157"/>
      <c r="AZ273" s="157"/>
      <c r="BA273" s="157"/>
      <c r="BB273" s="157"/>
      <c r="BC273" s="157"/>
      <c r="BD273" s="157"/>
      <c r="BE273" s="157"/>
      <c r="BF273" s="157"/>
      <c r="BG273" s="157"/>
      <c r="BH273" s="157"/>
      <c r="BI273" s="157"/>
      <c r="BJ273" s="157"/>
    </row>
    <row r="274" spans="1:62" ht="15.75" customHeight="1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  <c r="AV274" s="157"/>
      <c r="AW274" s="157"/>
      <c r="AX274" s="157"/>
      <c r="AY274" s="157"/>
      <c r="AZ274" s="157"/>
      <c r="BA274" s="157"/>
      <c r="BB274" s="157"/>
      <c r="BC274" s="157"/>
      <c r="BD274" s="157"/>
      <c r="BE274" s="157"/>
      <c r="BF274" s="157"/>
      <c r="BG274" s="157"/>
      <c r="BH274" s="157"/>
      <c r="BI274" s="157"/>
      <c r="BJ274" s="157"/>
    </row>
    <row r="275" spans="1:62" ht="15.75" customHeight="1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  <c r="AV275" s="157"/>
      <c r="AW275" s="157"/>
      <c r="AX275" s="157"/>
      <c r="AY275" s="157"/>
      <c r="AZ275" s="157"/>
      <c r="BA275" s="157"/>
      <c r="BB275" s="157"/>
      <c r="BC275" s="157"/>
      <c r="BD275" s="157"/>
      <c r="BE275" s="157"/>
      <c r="BF275" s="157"/>
      <c r="BG275" s="157"/>
      <c r="BH275" s="157"/>
      <c r="BI275" s="157"/>
      <c r="BJ275" s="157"/>
    </row>
    <row r="276" spans="1:62" ht="15.75" customHeight="1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  <c r="AV276" s="157"/>
      <c r="AW276" s="157"/>
      <c r="AX276" s="157"/>
      <c r="AY276" s="157"/>
      <c r="AZ276" s="157"/>
      <c r="BA276" s="157"/>
      <c r="BB276" s="157"/>
      <c r="BC276" s="157"/>
      <c r="BD276" s="157"/>
      <c r="BE276" s="157"/>
      <c r="BF276" s="157"/>
      <c r="BG276" s="157"/>
      <c r="BH276" s="157"/>
      <c r="BI276" s="157"/>
      <c r="BJ276" s="157"/>
    </row>
    <row r="277" spans="1:62" ht="15.75" customHeight="1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  <c r="AV277" s="157"/>
      <c r="AW277" s="157"/>
      <c r="AX277" s="157"/>
      <c r="AY277" s="157"/>
      <c r="AZ277" s="157"/>
      <c r="BA277" s="157"/>
      <c r="BB277" s="157"/>
      <c r="BC277" s="157"/>
      <c r="BD277" s="157"/>
      <c r="BE277" s="157"/>
      <c r="BF277" s="157"/>
      <c r="BG277" s="157"/>
      <c r="BH277" s="157"/>
      <c r="BI277" s="157"/>
      <c r="BJ277" s="157"/>
    </row>
    <row r="278" spans="1:62" ht="15.75" customHeight="1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  <c r="AV278" s="157"/>
      <c r="AW278" s="157"/>
      <c r="AX278" s="157"/>
      <c r="AY278" s="157"/>
      <c r="AZ278" s="157"/>
      <c r="BA278" s="157"/>
      <c r="BB278" s="157"/>
      <c r="BC278" s="157"/>
      <c r="BD278" s="157"/>
      <c r="BE278" s="157"/>
      <c r="BF278" s="157"/>
      <c r="BG278" s="157"/>
      <c r="BH278" s="157"/>
      <c r="BI278" s="157"/>
      <c r="BJ278" s="157"/>
    </row>
    <row r="279" spans="1:62" ht="15.75" customHeight="1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  <c r="AV279" s="157"/>
      <c r="AW279" s="157"/>
      <c r="AX279" s="157"/>
      <c r="AY279" s="157"/>
      <c r="AZ279" s="157"/>
      <c r="BA279" s="157"/>
      <c r="BB279" s="157"/>
      <c r="BC279" s="157"/>
      <c r="BD279" s="157"/>
      <c r="BE279" s="157"/>
      <c r="BF279" s="157"/>
      <c r="BG279" s="157"/>
      <c r="BH279" s="157"/>
      <c r="BI279" s="157"/>
      <c r="BJ279" s="157"/>
    </row>
    <row r="280" spans="1:62" ht="15.75" customHeight="1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  <c r="AV280" s="157"/>
      <c r="AW280" s="157"/>
      <c r="AX280" s="157"/>
      <c r="AY280" s="157"/>
      <c r="AZ280" s="157"/>
      <c r="BA280" s="157"/>
      <c r="BB280" s="157"/>
      <c r="BC280" s="157"/>
      <c r="BD280" s="157"/>
      <c r="BE280" s="157"/>
      <c r="BF280" s="157"/>
      <c r="BG280" s="157"/>
      <c r="BH280" s="157"/>
      <c r="BI280" s="157"/>
      <c r="BJ280" s="157"/>
    </row>
    <row r="281" spans="1:62" ht="15.75" customHeight="1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  <c r="AV281" s="157"/>
      <c r="AW281" s="157"/>
      <c r="AX281" s="157"/>
      <c r="AY281" s="157"/>
      <c r="AZ281" s="157"/>
      <c r="BA281" s="157"/>
      <c r="BB281" s="157"/>
      <c r="BC281" s="157"/>
      <c r="BD281" s="157"/>
      <c r="BE281" s="157"/>
      <c r="BF281" s="157"/>
      <c r="BG281" s="157"/>
      <c r="BH281" s="157"/>
      <c r="BI281" s="157"/>
      <c r="BJ281" s="157"/>
    </row>
    <row r="282" spans="1:62" ht="15.75" customHeight="1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  <c r="AV282" s="157"/>
      <c r="AW282" s="157"/>
      <c r="AX282" s="157"/>
      <c r="AY282" s="157"/>
      <c r="AZ282" s="157"/>
      <c r="BA282" s="157"/>
      <c r="BB282" s="157"/>
      <c r="BC282" s="157"/>
      <c r="BD282" s="157"/>
      <c r="BE282" s="157"/>
      <c r="BF282" s="157"/>
      <c r="BG282" s="157"/>
      <c r="BH282" s="157"/>
      <c r="BI282" s="157"/>
      <c r="BJ282" s="157"/>
    </row>
    <row r="283" spans="1:62" ht="15.75" customHeight="1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  <c r="AV283" s="157"/>
      <c r="AW283" s="157"/>
      <c r="AX283" s="157"/>
      <c r="AY283" s="157"/>
      <c r="AZ283" s="157"/>
      <c r="BA283" s="157"/>
      <c r="BB283" s="157"/>
      <c r="BC283" s="157"/>
      <c r="BD283" s="157"/>
      <c r="BE283" s="157"/>
      <c r="BF283" s="157"/>
      <c r="BG283" s="157"/>
      <c r="BH283" s="157"/>
      <c r="BI283" s="157"/>
      <c r="BJ283" s="157"/>
    </row>
    <row r="284" spans="1:62" ht="15.75" customHeight="1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  <c r="AV284" s="157"/>
      <c r="AW284" s="157"/>
      <c r="AX284" s="157"/>
      <c r="AY284" s="157"/>
      <c r="AZ284" s="157"/>
      <c r="BA284" s="157"/>
      <c r="BB284" s="157"/>
      <c r="BC284" s="157"/>
      <c r="BD284" s="157"/>
      <c r="BE284" s="157"/>
      <c r="BF284" s="157"/>
      <c r="BG284" s="157"/>
      <c r="BH284" s="157"/>
      <c r="BI284" s="157"/>
      <c r="BJ284" s="157"/>
    </row>
    <row r="285" spans="1:62" ht="15.75" customHeight="1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  <c r="AV285" s="157"/>
      <c r="AW285" s="157"/>
      <c r="AX285" s="157"/>
      <c r="AY285" s="157"/>
      <c r="AZ285" s="157"/>
      <c r="BA285" s="157"/>
      <c r="BB285" s="157"/>
      <c r="BC285" s="157"/>
      <c r="BD285" s="157"/>
      <c r="BE285" s="157"/>
      <c r="BF285" s="157"/>
      <c r="BG285" s="157"/>
      <c r="BH285" s="157"/>
      <c r="BI285" s="157"/>
      <c r="BJ285" s="157"/>
    </row>
    <row r="286" spans="1:62" ht="15.75" customHeight="1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  <c r="AV286" s="157"/>
      <c r="AW286" s="157"/>
      <c r="AX286" s="157"/>
      <c r="AY286" s="157"/>
      <c r="AZ286" s="157"/>
      <c r="BA286" s="157"/>
      <c r="BB286" s="157"/>
      <c r="BC286" s="157"/>
      <c r="BD286" s="157"/>
      <c r="BE286" s="157"/>
      <c r="BF286" s="157"/>
      <c r="BG286" s="157"/>
      <c r="BH286" s="157"/>
      <c r="BI286" s="157"/>
      <c r="BJ286" s="157"/>
    </row>
    <row r="287" spans="1:62" ht="15.75" customHeight="1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  <c r="AV287" s="157"/>
      <c r="AW287" s="157"/>
      <c r="AX287" s="157"/>
      <c r="AY287" s="157"/>
      <c r="AZ287" s="157"/>
      <c r="BA287" s="157"/>
      <c r="BB287" s="157"/>
      <c r="BC287" s="157"/>
      <c r="BD287" s="157"/>
      <c r="BE287" s="157"/>
      <c r="BF287" s="157"/>
      <c r="BG287" s="157"/>
      <c r="BH287" s="157"/>
      <c r="BI287" s="157"/>
      <c r="BJ287" s="157"/>
    </row>
    <row r="288" spans="1:62" ht="15.75" customHeight="1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  <c r="AV288" s="157"/>
      <c r="AW288" s="157"/>
      <c r="AX288" s="157"/>
      <c r="AY288" s="157"/>
      <c r="AZ288" s="157"/>
      <c r="BA288" s="157"/>
      <c r="BB288" s="157"/>
      <c r="BC288" s="157"/>
      <c r="BD288" s="157"/>
      <c r="BE288" s="157"/>
      <c r="BF288" s="157"/>
      <c r="BG288" s="157"/>
      <c r="BH288" s="157"/>
      <c r="BI288" s="157"/>
      <c r="BJ288" s="157"/>
    </row>
    <row r="289" spans="1:62" ht="15.75" customHeight="1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  <c r="AV289" s="157"/>
      <c r="AW289" s="157"/>
      <c r="AX289" s="157"/>
      <c r="AY289" s="157"/>
      <c r="AZ289" s="157"/>
      <c r="BA289" s="157"/>
      <c r="BB289" s="157"/>
      <c r="BC289" s="157"/>
      <c r="BD289" s="157"/>
      <c r="BE289" s="157"/>
      <c r="BF289" s="157"/>
      <c r="BG289" s="157"/>
      <c r="BH289" s="157"/>
      <c r="BI289" s="157"/>
      <c r="BJ289" s="157"/>
    </row>
    <row r="290" spans="1:62" ht="15.75" customHeight="1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  <c r="AV290" s="157"/>
      <c r="AW290" s="157"/>
      <c r="AX290" s="157"/>
      <c r="AY290" s="157"/>
      <c r="AZ290" s="157"/>
      <c r="BA290" s="157"/>
      <c r="BB290" s="157"/>
      <c r="BC290" s="157"/>
      <c r="BD290" s="157"/>
      <c r="BE290" s="157"/>
      <c r="BF290" s="157"/>
      <c r="BG290" s="157"/>
      <c r="BH290" s="157"/>
      <c r="BI290" s="157"/>
      <c r="BJ290" s="157"/>
    </row>
    <row r="291" spans="1:62" ht="15.75" customHeight="1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  <c r="AV291" s="157"/>
      <c r="AW291" s="157"/>
      <c r="AX291" s="157"/>
      <c r="AY291" s="157"/>
      <c r="AZ291" s="157"/>
      <c r="BA291" s="157"/>
      <c r="BB291" s="157"/>
      <c r="BC291" s="157"/>
      <c r="BD291" s="157"/>
      <c r="BE291" s="157"/>
      <c r="BF291" s="157"/>
      <c r="BG291" s="157"/>
      <c r="BH291" s="157"/>
      <c r="BI291" s="157"/>
      <c r="BJ291" s="157"/>
    </row>
    <row r="292" spans="1:62" ht="15.75" customHeight="1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  <c r="AV292" s="157"/>
      <c r="AW292" s="157"/>
      <c r="AX292" s="157"/>
      <c r="AY292" s="157"/>
      <c r="AZ292" s="157"/>
      <c r="BA292" s="157"/>
      <c r="BB292" s="157"/>
      <c r="BC292" s="157"/>
      <c r="BD292" s="157"/>
      <c r="BE292" s="157"/>
      <c r="BF292" s="157"/>
      <c r="BG292" s="157"/>
      <c r="BH292" s="157"/>
      <c r="BI292" s="157"/>
      <c r="BJ292" s="157"/>
    </row>
    <row r="293" spans="1:62" ht="15.75" customHeight="1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  <c r="AV293" s="157"/>
      <c r="AW293" s="157"/>
      <c r="AX293" s="157"/>
      <c r="AY293" s="157"/>
      <c r="AZ293" s="157"/>
      <c r="BA293" s="157"/>
      <c r="BB293" s="157"/>
      <c r="BC293" s="157"/>
      <c r="BD293" s="157"/>
      <c r="BE293" s="157"/>
      <c r="BF293" s="157"/>
      <c r="BG293" s="157"/>
      <c r="BH293" s="157"/>
      <c r="BI293" s="157"/>
      <c r="BJ293" s="157"/>
    </row>
    <row r="294" spans="1:62" ht="15.75" customHeight="1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  <c r="AV294" s="157"/>
      <c r="AW294" s="157"/>
      <c r="AX294" s="157"/>
      <c r="AY294" s="157"/>
      <c r="AZ294" s="157"/>
      <c r="BA294" s="157"/>
      <c r="BB294" s="157"/>
      <c r="BC294" s="157"/>
      <c r="BD294" s="157"/>
      <c r="BE294" s="157"/>
      <c r="BF294" s="157"/>
      <c r="BG294" s="157"/>
      <c r="BH294" s="157"/>
      <c r="BI294" s="157"/>
      <c r="BJ294" s="157"/>
    </row>
    <row r="295" spans="1:62" ht="15.75" customHeight="1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  <c r="AV295" s="157"/>
      <c r="AW295" s="157"/>
      <c r="AX295" s="157"/>
      <c r="AY295" s="157"/>
      <c r="AZ295" s="157"/>
      <c r="BA295" s="157"/>
      <c r="BB295" s="157"/>
      <c r="BC295" s="157"/>
      <c r="BD295" s="157"/>
      <c r="BE295" s="157"/>
      <c r="BF295" s="157"/>
      <c r="BG295" s="157"/>
      <c r="BH295" s="157"/>
      <c r="BI295" s="157"/>
      <c r="BJ295" s="157"/>
    </row>
    <row r="296" spans="1:62" ht="15.75" customHeight="1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  <c r="BA296" s="157"/>
      <c r="BB296" s="157"/>
      <c r="BC296" s="157"/>
      <c r="BD296" s="157"/>
      <c r="BE296" s="157"/>
      <c r="BF296" s="157"/>
      <c r="BG296" s="157"/>
      <c r="BH296" s="157"/>
      <c r="BI296" s="157"/>
      <c r="BJ296" s="157"/>
    </row>
    <row r="297" spans="1:62" ht="15.75" customHeight="1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  <c r="AV297" s="157"/>
      <c r="AW297" s="157"/>
      <c r="AX297" s="157"/>
      <c r="AY297" s="157"/>
      <c r="AZ297" s="157"/>
      <c r="BA297" s="157"/>
      <c r="BB297" s="157"/>
      <c r="BC297" s="157"/>
      <c r="BD297" s="157"/>
      <c r="BE297" s="157"/>
      <c r="BF297" s="157"/>
      <c r="BG297" s="157"/>
      <c r="BH297" s="157"/>
      <c r="BI297" s="157"/>
      <c r="BJ297" s="157"/>
    </row>
    <row r="298" spans="1:62" ht="15.75" customHeight="1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  <c r="AV298" s="157"/>
      <c r="AW298" s="157"/>
      <c r="AX298" s="157"/>
      <c r="AY298" s="157"/>
      <c r="AZ298" s="157"/>
      <c r="BA298" s="157"/>
      <c r="BB298" s="157"/>
      <c r="BC298" s="157"/>
      <c r="BD298" s="157"/>
      <c r="BE298" s="157"/>
      <c r="BF298" s="157"/>
      <c r="BG298" s="157"/>
      <c r="BH298" s="157"/>
      <c r="BI298" s="157"/>
      <c r="BJ298" s="157"/>
    </row>
    <row r="299" spans="1:62" ht="15.75" customHeight="1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  <c r="AV299" s="157"/>
      <c r="AW299" s="157"/>
      <c r="AX299" s="157"/>
      <c r="AY299" s="157"/>
      <c r="AZ299" s="157"/>
      <c r="BA299" s="157"/>
      <c r="BB299" s="157"/>
      <c r="BC299" s="157"/>
      <c r="BD299" s="157"/>
      <c r="BE299" s="157"/>
      <c r="BF299" s="157"/>
      <c r="BG299" s="157"/>
      <c r="BH299" s="157"/>
      <c r="BI299" s="157"/>
      <c r="BJ299" s="157"/>
    </row>
    <row r="300" spans="1:62" ht="15.75" customHeight="1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  <c r="AV300" s="157"/>
      <c r="AW300" s="157"/>
      <c r="AX300" s="157"/>
      <c r="AY300" s="157"/>
      <c r="AZ300" s="157"/>
      <c r="BA300" s="157"/>
      <c r="BB300" s="157"/>
      <c r="BC300" s="157"/>
      <c r="BD300" s="157"/>
      <c r="BE300" s="157"/>
      <c r="BF300" s="157"/>
      <c r="BG300" s="157"/>
      <c r="BH300" s="157"/>
      <c r="BI300" s="157"/>
      <c r="BJ300" s="157"/>
    </row>
    <row r="301" spans="1:62" ht="15.75" customHeight="1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  <c r="AV301" s="157"/>
      <c r="AW301" s="157"/>
      <c r="AX301" s="157"/>
      <c r="AY301" s="157"/>
      <c r="AZ301" s="157"/>
      <c r="BA301" s="157"/>
      <c r="BB301" s="157"/>
      <c r="BC301" s="157"/>
      <c r="BD301" s="157"/>
      <c r="BE301" s="157"/>
      <c r="BF301" s="157"/>
      <c r="BG301" s="157"/>
      <c r="BH301" s="157"/>
      <c r="BI301" s="157"/>
      <c r="BJ301" s="157"/>
    </row>
    <row r="302" spans="1:62" ht="15.75" customHeight="1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  <c r="AV302" s="157"/>
      <c r="AW302" s="157"/>
      <c r="AX302" s="157"/>
      <c r="AY302" s="157"/>
      <c r="AZ302" s="157"/>
      <c r="BA302" s="157"/>
      <c r="BB302" s="157"/>
      <c r="BC302" s="157"/>
      <c r="BD302" s="157"/>
      <c r="BE302" s="157"/>
      <c r="BF302" s="157"/>
      <c r="BG302" s="157"/>
      <c r="BH302" s="157"/>
      <c r="BI302" s="157"/>
      <c r="BJ302" s="157"/>
    </row>
    <row r="303" spans="1:62" ht="15.75" customHeight="1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  <c r="AV303" s="157"/>
      <c r="AW303" s="157"/>
      <c r="AX303" s="157"/>
      <c r="AY303" s="157"/>
      <c r="AZ303" s="157"/>
      <c r="BA303" s="157"/>
      <c r="BB303" s="157"/>
      <c r="BC303" s="157"/>
      <c r="BD303" s="157"/>
      <c r="BE303" s="157"/>
      <c r="BF303" s="157"/>
      <c r="BG303" s="157"/>
      <c r="BH303" s="157"/>
      <c r="BI303" s="157"/>
      <c r="BJ303" s="157"/>
    </row>
    <row r="304" spans="1:62" ht="15.75" customHeight="1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  <c r="AV304" s="157"/>
      <c r="AW304" s="157"/>
      <c r="AX304" s="157"/>
      <c r="AY304" s="157"/>
      <c r="AZ304" s="157"/>
      <c r="BA304" s="157"/>
      <c r="BB304" s="157"/>
      <c r="BC304" s="157"/>
      <c r="BD304" s="157"/>
      <c r="BE304" s="157"/>
      <c r="BF304" s="157"/>
      <c r="BG304" s="157"/>
      <c r="BH304" s="157"/>
      <c r="BI304" s="157"/>
      <c r="BJ304" s="157"/>
    </row>
    <row r="305" spans="1:62" ht="15.75" customHeight="1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  <c r="AV305" s="157"/>
      <c r="AW305" s="157"/>
      <c r="AX305" s="157"/>
      <c r="AY305" s="157"/>
      <c r="AZ305" s="157"/>
      <c r="BA305" s="157"/>
      <c r="BB305" s="157"/>
      <c r="BC305" s="157"/>
      <c r="BD305" s="157"/>
      <c r="BE305" s="157"/>
      <c r="BF305" s="157"/>
      <c r="BG305" s="157"/>
      <c r="BH305" s="157"/>
      <c r="BI305" s="157"/>
      <c r="BJ305" s="157"/>
    </row>
    <row r="306" spans="1:62" ht="15.75" customHeight="1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  <c r="AV306" s="157"/>
      <c r="AW306" s="157"/>
      <c r="AX306" s="157"/>
      <c r="AY306" s="157"/>
      <c r="AZ306" s="157"/>
      <c r="BA306" s="157"/>
      <c r="BB306" s="157"/>
      <c r="BC306" s="157"/>
      <c r="BD306" s="157"/>
      <c r="BE306" s="157"/>
      <c r="BF306" s="157"/>
      <c r="BG306" s="157"/>
      <c r="BH306" s="157"/>
      <c r="BI306" s="157"/>
      <c r="BJ306" s="157"/>
    </row>
    <row r="307" spans="1:62" ht="15.75" customHeight="1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  <c r="BA307" s="157"/>
      <c r="BB307" s="157"/>
      <c r="BC307" s="157"/>
      <c r="BD307" s="157"/>
      <c r="BE307" s="157"/>
      <c r="BF307" s="157"/>
      <c r="BG307" s="157"/>
      <c r="BH307" s="157"/>
      <c r="BI307" s="157"/>
      <c r="BJ307" s="157"/>
    </row>
    <row r="308" spans="1:62" ht="15.75" customHeight="1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  <c r="BA308" s="157"/>
      <c r="BB308" s="157"/>
      <c r="BC308" s="157"/>
      <c r="BD308" s="157"/>
      <c r="BE308" s="157"/>
      <c r="BF308" s="157"/>
      <c r="BG308" s="157"/>
      <c r="BH308" s="157"/>
      <c r="BI308" s="157"/>
      <c r="BJ308" s="157"/>
    </row>
    <row r="309" spans="1:62" ht="15.75" customHeight="1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  <c r="BA309" s="157"/>
      <c r="BB309" s="157"/>
      <c r="BC309" s="157"/>
      <c r="BD309" s="157"/>
      <c r="BE309" s="157"/>
      <c r="BF309" s="157"/>
      <c r="BG309" s="157"/>
      <c r="BH309" s="157"/>
      <c r="BI309" s="157"/>
      <c r="BJ309" s="157"/>
    </row>
    <row r="310" spans="1:62" ht="15.75" customHeight="1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  <c r="BA310" s="157"/>
      <c r="BB310" s="157"/>
      <c r="BC310" s="157"/>
      <c r="BD310" s="157"/>
      <c r="BE310" s="157"/>
      <c r="BF310" s="157"/>
      <c r="BG310" s="157"/>
      <c r="BH310" s="157"/>
      <c r="BI310" s="157"/>
      <c r="BJ310" s="157"/>
    </row>
    <row r="311" spans="1:62" ht="15.75" customHeight="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  <c r="BA311" s="157"/>
      <c r="BB311" s="157"/>
      <c r="BC311" s="157"/>
      <c r="BD311" s="157"/>
      <c r="BE311" s="157"/>
      <c r="BF311" s="157"/>
      <c r="BG311" s="157"/>
      <c r="BH311" s="157"/>
      <c r="BI311" s="157"/>
      <c r="BJ311" s="157"/>
    </row>
    <row r="312" spans="1:62" ht="15.75" customHeight="1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  <c r="BA312" s="157"/>
      <c r="BB312" s="157"/>
      <c r="BC312" s="157"/>
      <c r="BD312" s="157"/>
      <c r="BE312" s="157"/>
      <c r="BF312" s="157"/>
      <c r="BG312" s="157"/>
      <c r="BH312" s="157"/>
      <c r="BI312" s="157"/>
      <c r="BJ312" s="157"/>
    </row>
    <row r="313" spans="1:62" ht="15.75" customHeight="1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  <c r="AV313" s="157"/>
      <c r="AW313" s="157"/>
      <c r="AX313" s="157"/>
      <c r="AY313" s="157"/>
      <c r="AZ313" s="157"/>
      <c r="BA313" s="157"/>
      <c r="BB313" s="157"/>
      <c r="BC313" s="157"/>
      <c r="BD313" s="157"/>
      <c r="BE313" s="157"/>
      <c r="BF313" s="157"/>
      <c r="BG313" s="157"/>
      <c r="BH313" s="157"/>
      <c r="BI313" s="157"/>
      <c r="BJ313" s="157"/>
    </row>
    <row r="314" spans="1:62" ht="15.75" customHeight="1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  <c r="AV314" s="157"/>
      <c r="AW314" s="157"/>
      <c r="AX314" s="157"/>
      <c r="AY314" s="157"/>
      <c r="AZ314" s="157"/>
      <c r="BA314" s="157"/>
      <c r="BB314" s="157"/>
      <c r="BC314" s="157"/>
      <c r="BD314" s="157"/>
      <c r="BE314" s="157"/>
      <c r="BF314" s="157"/>
      <c r="BG314" s="157"/>
      <c r="BH314" s="157"/>
      <c r="BI314" s="157"/>
      <c r="BJ314" s="157"/>
    </row>
    <row r="315" spans="1:62" ht="15.75" customHeight="1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  <c r="AV315" s="157"/>
      <c r="AW315" s="157"/>
      <c r="AX315" s="157"/>
      <c r="AY315" s="157"/>
      <c r="AZ315" s="157"/>
      <c r="BA315" s="157"/>
      <c r="BB315" s="157"/>
      <c r="BC315" s="157"/>
      <c r="BD315" s="157"/>
      <c r="BE315" s="157"/>
      <c r="BF315" s="157"/>
      <c r="BG315" s="157"/>
      <c r="BH315" s="157"/>
      <c r="BI315" s="157"/>
      <c r="BJ315" s="157"/>
    </row>
    <row r="316" spans="1:62" ht="15.75" customHeight="1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  <c r="AV316" s="157"/>
      <c r="AW316" s="157"/>
      <c r="AX316" s="157"/>
      <c r="AY316" s="157"/>
      <c r="AZ316" s="157"/>
      <c r="BA316" s="157"/>
      <c r="BB316" s="157"/>
      <c r="BC316" s="157"/>
      <c r="BD316" s="157"/>
      <c r="BE316" s="157"/>
      <c r="BF316" s="157"/>
      <c r="BG316" s="157"/>
      <c r="BH316" s="157"/>
      <c r="BI316" s="157"/>
      <c r="BJ316" s="157"/>
    </row>
    <row r="317" spans="1:62" ht="15.75" customHeight="1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  <c r="AV317" s="157"/>
      <c r="AW317" s="157"/>
      <c r="AX317" s="157"/>
      <c r="AY317" s="157"/>
      <c r="AZ317" s="157"/>
      <c r="BA317" s="157"/>
      <c r="BB317" s="157"/>
      <c r="BC317" s="157"/>
      <c r="BD317" s="157"/>
      <c r="BE317" s="157"/>
      <c r="BF317" s="157"/>
      <c r="BG317" s="157"/>
      <c r="BH317" s="157"/>
      <c r="BI317" s="157"/>
      <c r="BJ317" s="157"/>
    </row>
    <row r="318" spans="1:62" ht="15.75" customHeight="1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  <c r="AV318" s="157"/>
      <c r="AW318" s="157"/>
      <c r="AX318" s="157"/>
      <c r="AY318" s="157"/>
      <c r="AZ318" s="157"/>
      <c r="BA318" s="157"/>
      <c r="BB318" s="157"/>
      <c r="BC318" s="157"/>
      <c r="BD318" s="157"/>
      <c r="BE318" s="157"/>
      <c r="BF318" s="157"/>
      <c r="BG318" s="157"/>
      <c r="BH318" s="157"/>
      <c r="BI318" s="157"/>
      <c r="BJ318" s="157"/>
    </row>
    <row r="319" spans="1:62" ht="15.75" customHeight="1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  <c r="AV319" s="157"/>
      <c r="AW319" s="157"/>
      <c r="AX319" s="157"/>
      <c r="AY319" s="157"/>
      <c r="AZ319" s="157"/>
      <c r="BA319" s="157"/>
      <c r="BB319" s="157"/>
      <c r="BC319" s="157"/>
      <c r="BD319" s="157"/>
      <c r="BE319" s="157"/>
      <c r="BF319" s="157"/>
      <c r="BG319" s="157"/>
      <c r="BH319" s="157"/>
      <c r="BI319" s="157"/>
      <c r="BJ319" s="157"/>
    </row>
    <row r="320" spans="1:62" ht="15.75" customHeight="1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  <c r="AV320" s="157"/>
      <c r="AW320" s="157"/>
      <c r="AX320" s="157"/>
      <c r="AY320" s="157"/>
      <c r="AZ320" s="157"/>
      <c r="BA320" s="157"/>
      <c r="BB320" s="157"/>
      <c r="BC320" s="157"/>
      <c r="BD320" s="157"/>
      <c r="BE320" s="157"/>
      <c r="BF320" s="157"/>
      <c r="BG320" s="157"/>
      <c r="BH320" s="157"/>
      <c r="BI320" s="157"/>
      <c r="BJ320" s="157"/>
    </row>
    <row r="321" spans="1:62" ht="15.75" customHeight="1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  <c r="AV321" s="157"/>
      <c r="AW321" s="157"/>
      <c r="AX321" s="157"/>
      <c r="AY321" s="157"/>
      <c r="AZ321" s="157"/>
      <c r="BA321" s="157"/>
      <c r="BB321" s="157"/>
      <c r="BC321" s="157"/>
      <c r="BD321" s="157"/>
      <c r="BE321" s="157"/>
      <c r="BF321" s="157"/>
      <c r="BG321" s="157"/>
      <c r="BH321" s="157"/>
      <c r="BI321" s="157"/>
      <c r="BJ321" s="157"/>
    </row>
    <row r="322" spans="1:62" ht="15.75" customHeight="1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  <c r="AV322" s="157"/>
      <c r="AW322" s="157"/>
      <c r="AX322" s="157"/>
      <c r="AY322" s="157"/>
      <c r="AZ322" s="157"/>
      <c r="BA322" s="157"/>
      <c r="BB322" s="157"/>
      <c r="BC322" s="157"/>
      <c r="BD322" s="157"/>
      <c r="BE322" s="157"/>
      <c r="BF322" s="157"/>
      <c r="BG322" s="157"/>
      <c r="BH322" s="157"/>
      <c r="BI322" s="157"/>
      <c r="BJ322" s="157"/>
    </row>
    <row r="323" spans="1:62" ht="15.75" customHeight="1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  <c r="AV323" s="157"/>
      <c r="AW323" s="157"/>
      <c r="AX323" s="157"/>
      <c r="AY323" s="157"/>
      <c r="AZ323" s="157"/>
      <c r="BA323" s="157"/>
      <c r="BB323" s="157"/>
      <c r="BC323" s="157"/>
      <c r="BD323" s="157"/>
      <c r="BE323" s="157"/>
      <c r="BF323" s="157"/>
      <c r="BG323" s="157"/>
      <c r="BH323" s="157"/>
      <c r="BI323" s="157"/>
      <c r="BJ323" s="157"/>
    </row>
    <row r="324" spans="1:62" ht="15.75" customHeight="1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  <c r="AV324" s="157"/>
      <c r="AW324" s="157"/>
      <c r="AX324" s="157"/>
      <c r="AY324" s="157"/>
      <c r="AZ324" s="157"/>
      <c r="BA324" s="157"/>
      <c r="BB324" s="157"/>
      <c r="BC324" s="157"/>
      <c r="BD324" s="157"/>
      <c r="BE324" s="157"/>
      <c r="BF324" s="157"/>
      <c r="BG324" s="157"/>
      <c r="BH324" s="157"/>
      <c r="BI324" s="157"/>
      <c r="BJ324" s="157"/>
    </row>
    <row r="325" spans="1:62" ht="15.75" customHeight="1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  <c r="AV325" s="157"/>
      <c r="AW325" s="157"/>
      <c r="AX325" s="157"/>
      <c r="AY325" s="157"/>
      <c r="AZ325" s="157"/>
      <c r="BA325" s="157"/>
      <c r="BB325" s="157"/>
      <c r="BC325" s="157"/>
      <c r="BD325" s="157"/>
      <c r="BE325" s="157"/>
      <c r="BF325" s="157"/>
      <c r="BG325" s="157"/>
      <c r="BH325" s="157"/>
      <c r="BI325" s="157"/>
      <c r="BJ325" s="157"/>
    </row>
    <row r="326" spans="1:62" ht="15.75" customHeight="1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  <c r="AV326" s="157"/>
      <c r="AW326" s="157"/>
      <c r="AX326" s="157"/>
      <c r="AY326" s="157"/>
      <c r="AZ326" s="157"/>
      <c r="BA326" s="157"/>
      <c r="BB326" s="157"/>
      <c r="BC326" s="157"/>
      <c r="BD326" s="157"/>
      <c r="BE326" s="157"/>
      <c r="BF326" s="157"/>
      <c r="BG326" s="157"/>
      <c r="BH326" s="157"/>
      <c r="BI326" s="157"/>
      <c r="BJ326" s="157"/>
    </row>
    <row r="327" spans="1:62" ht="15.75" customHeight="1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  <c r="AV327" s="157"/>
      <c r="AW327" s="157"/>
      <c r="AX327" s="157"/>
      <c r="AY327" s="157"/>
      <c r="AZ327" s="157"/>
      <c r="BA327" s="157"/>
      <c r="BB327" s="157"/>
      <c r="BC327" s="157"/>
      <c r="BD327" s="157"/>
      <c r="BE327" s="157"/>
      <c r="BF327" s="157"/>
      <c r="BG327" s="157"/>
      <c r="BH327" s="157"/>
      <c r="BI327" s="157"/>
      <c r="BJ327" s="157"/>
    </row>
    <row r="328" spans="1:62" ht="15.75" customHeight="1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  <c r="AV328" s="157"/>
      <c r="AW328" s="157"/>
      <c r="AX328" s="157"/>
      <c r="AY328" s="157"/>
      <c r="AZ328" s="157"/>
      <c r="BA328" s="157"/>
      <c r="BB328" s="157"/>
      <c r="BC328" s="157"/>
      <c r="BD328" s="157"/>
      <c r="BE328" s="157"/>
      <c r="BF328" s="157"/>
      <c r="BG328" s="157"/>
      <c r="BH328" s="157"/>
      <c r="BI328" s="157"/>
      <c r="BJ328" s="157"/>
    </row>
    <row r="329" spans="1:62" ht="15.75" customHeight="1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  <c r="AV329" s="157"/>
      <c r="AW329" s="157"/>
      <c r="AX329" s="157"/>
      <c r="AY329" s="157"/>
      <c r="AZ329" s="157"/>
      <c r="BA329" s="157"/>
      <c r="BB329" s="157"/>
      <c r="BC329" s="157"/>
      <c r="BD329" s="157"/>
      <c r="BE329" s="157"/>
      <c r="BF329" s="157"/>
      <c r="BG329" s="157"/>
      <c r="BH329" s="157"/>
      <c r="BI329" s="157"/>
      <c r="BJ329" s="157"/>
    </row>
    <row r="330" spans="1:62" ht="15.75" customHeight="1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  <c r="AV330" s="157"/>
      <c r="AW330" s="157"/>
      <c r="AX330" s="157"/>
      <c r="AY330" s="157"/>
      <c r="AZ330" s="157"/>
      <c r="BA330" s="157"/>
      <c r="BB330" s="157"/>
      <c r="BC330" s="157"/>
      <c r="BD330" s="157"/>
      <c r="BE330" s="157"/>
      <c r="BF330" s="157"/>
      <c r="BG330" s="157"/>
      <c r="BH330" s="157"/>
      <c r="BI330" s="157"/>
      <c r="BJ330" s="157"/>
    </row>
    <row r="331" spans="1:62" ht="15.75" customHeight="1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  <c r="AV331" s="157"/>
      <c r="AW331" s="157"/>
      <c r="AX331" s="157"/>
      <c r="AY331" s="157"/>
      <c r="AZ331" s="157"/>
      <c r="BA331" s="157"/>
      <c r="BB331" s="157"/>
      <c r="BC331" s="157"/>
      <c r="BD331" s="157"/>
      <c r="BE331" s="157"/>
      <c r="BF331" s="157"/>
      <c r="BG331" s="157"/>
      <c r="BH331" s="157"/>
      <c r="BI331" s="157"/>
      <c r="BJ331" s="157"/>
    </row>
    <row r="332" spans="1:62" ht="15.75" customHeight="1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  <c r="AV332" s="157"/>
      <c r="AW332" s="157"/>
      <c r="AX332" s="157"/>
      <c r="AY332" s="157"/>
      <c r="AZ332" s="157"/>
      <c r="BA332" s="157"/>
      <c r="BB332" s="157"/>
      <c r="BC332" s="157"/>
      <c r="BD332" s="157"/>
      <c r="BE332" s="157"/>
      <c r="BF332" s="157"/>
      <c r="BG332" s="157"/>
      <c r="BH332" s="157"/>
      <c r="BI332" s="157"/>
      <c r="BJ332" s="157"/>
    </row>
    <row r="333" spans="1:62" ht="15.75" customHeight="1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  <c r="AV333" s="157"/>
      <c r="AW333" s="157"/>
      <c r="AX333" s="157"/>
      <c r="AY333" s="157"/>
      <c r="AZ333" s="157"/>
      <c r="BA333" s="157"/>
      <c r="BB333" s="157"/>
      <c r="BC333" s="157"/>
      <c r="BD333" s="157"/>
      <c r="BE333" s="157"/>
      <c r="BF333" s="157"/>
      <c r="BG333" s="157"/>
      <c r="BH333" s="157"/>
      <c r="BI333" s="157"/>
      <c r="BJ333" s="157"/>
    </row>
    <row r="334" spans="1:62" ht="15.75" customHeight="1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  <c r="AV334" s="157"/>
      <c r="AW334" s="157"/>
      <c r="AX334" s="157"/>
      <c r="AY334" s="157"/>
      <c r="AZ334" s="157"/>
      <c r="BA334" s="157"/>
      <c r="BB334" s="157"/>
      <c r="BC334" s="157"/>
      <c r="BD334" s="157"/>
      <c r="BE334" s="157"/>
      <c r="BF334" s="157"/>
      <c r="BG334" s="157"/>
      <c r="BH334" s="157"/>
      <c r="BI334" s="157"/>
      <c r="BJ334" s="157"/>
    </row>
    <row r="335" spans="1:62" ht="15.75" customHeight="1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  <c r="AV335" s="157"/>
      <c r="AW335" s="157"/>
      <c r="AX335" s="157"/>
      <c r="AY335" s="157"/>
      <c r="AZ335" s="157"/>
      <c r="BA335" s="157"/>
      <c r="BB335" s="157"/>
      <c r="BC335" s="157"/>
      <c r="BD335" s="157"/>
      <c r="BE335" s="157"/>
      <c r="BF335" s="157"/>
      <c r="BG335" s="157"/>
      <c r="BH335" s="157"/>
      <c r="BI335" s="157"/>
      <c r="BJ335" s="157"/>
    </row>
    <row r="336" spans="1:62" ht="15.75" customHeight="1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  <c r="AV336" s="157"/>
      <c r="AW336" s="157"/>
      <c r="AX336" s="157"/>
      <c r="AY336" s="157"/>
      <c r="AZ336" s="157"/>
      <c r="BA336" s="157"/>
      <c r="BB336" s="157"/>
      <c r="BC336" s="157"/>
      <c r="BD336" s="157"/>
      <c r="BE336" s="157"/>
      <c r="BF336" s="157"/>
      <c r="BG336" s="157"/>
      <c r="BH336" s="157"/>
      <c r="BI336" s="157"/>
      <c r="BJ336" s="157"/>
    </row>
    <row r="337" spans="1:62" ht="15.75" customHeight="1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  <c r="AV337" s="157"/>
      <c r="AW337" s="157"/>
      <c r="AX337" s="157"/>
      <c r="AY337" s="157"/>
      <c r="AZ337" s="157"/>
      <c r="BA337" s="157"/>
      <c r="BB337" s="157"/>
      <c r="BC337" s="157"/>
      <c r="BD337" s="157"/>
      <c r="BE337" s="157"/>
      <c r="BF337" s="157"/>
      <c r="BG337" s="157"/>
      <c r="BH337" s="157"/>
      <c r="BI337" s="157"/>
      <c r="BJ337" s="157"/>
    </row>
    <row r="338" spans="1:62" ht="15.75" customHeight="1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  <c r="AV338" s="157"/>
      <c r="AW338" s="157"/>
      <c r="AX338" s="157"/>
      <c r="AY338" s="157"/>
      <c r="AZ338" s="157"/>
      <c r="BA338" s="157"/>
      <c r="BB338" s="157"/>
      <c r="BC338" s="157"/>
      <c r="BD338" s="157"/>
      <c r="BE338" s="157"/>
      <c r="BF338" s="157"/>
      <c r="BG338" s="157"/>
      <c r="BH338" s="157"/>
      <c r="BI338" s="157"/>
      <c r="BJ338" s="157"/>
    </row>
    <row r="339" spans="1:62" ht="15.75" customHeight="1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  <c r="AV339" s="157"/>
      <c r="AW339" s="157"/>
      <c r="AX339" s="157"/>
      <c r="AY339" s="157"/>
      <c r="AZ339" s="157"/>
      <c r="BA339" s="157"/>
      <c r="BB339" s="157"/>
      <c r="BC339" s="157"/>
      <c r="BD339" s="157"/>
      <c r="BE339" s="157"/>
      <c r="BF339" s="157"/>
      <c r="BG339" s="157"/>
      <c r="BH339" s="157"/>
      <c r="BI339" s="157"/>
      <c r="BJ339" s="157"/>
    </row>
    <row r="340" spans="1:62" ht="15.75" customHeight="1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  <c r="AV340" s="157"/>
      <c r="AW340" s="157"/>
      <c r="AX340" s="157"/>
      <c r="AY340" s="157"/>
      <c r="AZ340" s="157"/>
      <c r="BA340" s="157"/>
      <c r="BB340" s="157"/>
      <c r="BC340" s="157"/>
      <c r="BD340" s="157"/>
      <c r="BE340" s="157"/>
      <c r="BF340" s="157"/>
      <c r="BG340" s="157"/>
      <c r="BH340" s="157"/>
      <c r="BI340" s="157"/>
      <c r="BJ340" s="157"/>
    </row>
    <row r="341" spans="1:62" ht="15.75" customHeight="1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  <c r="AV341" s="157"/>
      <c r="AW341" s="157"/>
      <c r="AX341" s="157"/>
      <c r="AY341" s="157"/>
      <c r="AZ341" s="157"/>
      <c r="BA341" s="157"/>
      <c r="BB341" s="157"/>
      <c r="BC341" s="157"/>
      <c r="BD341" s="157"/>
      <c r="BE341" s="157"/>
      <c r="BF341" s="157"/>
      <c r="BG341" s="157"/>
      <c r="BH341" s="157"/>
      <c r="BI341" s="157"/>
      <c r="BJ341" s="157"/>
    </row>
    <row r="342" spans="1:62" ht="15.75" customHeight="1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  <c r="AV342" s="157"/>
      <c r="AW342" s="157"/>
      <c r="AX342" s="157"/>
      <c r="AY342" s="157"/>
      <c r="AZ342" s="157"/>
      <c r="BA342" s="157"/>
      <c r="BB342" s="157"/>
      <c r="BC342" s="157"/>
      <c r="BD342" s="157"/>
      <c r="BE342" s="157"/>
      <c r="BF342" s="157"/>
      <c r="BG342" s="157"/>
      <c r="BH342" s="157"/>
      <c r="BI342" s="157"/>
      <c r="BJ342" s="157"/>
    </row>
    <row r="343" spans="1:62" ht="15.75" customHeight="1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  <c r="AV343" s="157"/>
      <c r="AW343" s="157"/>
      <c r="AX343" s="157"/>
      <c r="AY343" s="157"/>
      <c r="AZ343" s="157"/>
      <c r="BA343" s="157"/>
      <c r="BB343" s="157"/>
      <c r="BC343" s="157"/>
      <c r="BD343" s="157"/>
      <c r="BE343" s="157"/>
      <c r="BF343" s="157"/>
      <c r="BG343" s="157"/>
      <c r="BH343" s="157"/>
      <c r="BI343" s="157"/>
      <c r="BJ343" s="157"/>
    </row>
    <row r="344" spans="1:62" ht="15.75" customHeight="1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  <c r="AV344" s="157"/>
      <c r="AW344" s="157"/>
      <c r="AX344" s="157"/>
      <c r="AY344" s="157"/>
      <c r="AZ344" s="157"/>
      <c r="BA344" s="157"/>
      <c r="BB344" s="157"/>
      <c r="BC344" s="157"/>
      <c r="BD344" s="157"/>
      <c r="BE344" s="157"/>
      <c r="BF344" s="157"/>
      <c r="BG344" s="157"/>
      <c r="BH344" s="157"/>
      <c r="BI344" s="157"/>
      <c r="BJ344" s="157"/>
    </row>
    <row r="345" spans="1:62" ht="15.75" customHeight="1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  <c r="AV345" s="157"/>
      <c r="AW345" s="157"/>
      <c r="AX345" s="157"/>
      <c r="AY345" s="157"/>
      <c r="AZ345" s="157"/>
      <c r="BA345" s="157"/>
      <c r="BB345" s="157"/>
      <c r="BC345" s="157"/>
      <c r="BD345" s="157"/>
      <c r="BE345" s="157"/>
      <c r="BF345" s="157"/>
      <c r="BG345" s="157"/>
      <c r="BH345" s="157"/>
      <c r="BI345" s="157"/>
      <c r="BJ345" s="157"/>
    </row>
    <row r="346" spans="1:62" ht="15.75" customHeight="1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  <c r="AV346" s="157"/>
      <c r="AW346" s="157"/>
      <c r="AX346" s="157"/>
      <c r="AY346" s="157"/>
      <c r="AZ346" s="157"/>
      <c r="BA346" s="157"/>
      <c r="BB346" s="157"/>
      <c r="BC346" s="157"/>
      <c r="BD346" s="157"/>
      <c r="BE346" s="157"/>
      <c r="BF346" s="157"/>
      <c r="BG346" s="157"/>
      <c r="BH346" s="157"/>
      <c r="BI346" s="157"/>
      <c r="BJ346" s="157"/>
    </row>
    <row r="347" spans="1:62" ht="15.75" customHeight="1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  <c r="AV347" s="157"/>
      <c r="AW347" s="157"/>
      <c r="AX347" s="157"/>
      <c r="AY347" s="157"/>
      <c r="AZ347" s="157"/>
      <c r="BA347" s="157"/>
      <c r="BB347" s="157"/>
      <c r="BC347" s="157"/>
      <c r="BD347" s="157"/>
      <c r="BE347" s="157"/>
      <c r="BF347" s="157"/>
      <c r="BG347" s="157"/>
      <c r="BH347" s="157"/>
      <c r="BI347" s="157"/>
      <c r="BJ347" s="157"/>
    </row>
    <row r="348" spans="1:62" ht="15.75" customHeight="1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  <c r="AV348" s="157"/>
      <c r="AW348" s="157"/>
      <c r="AX348" s="157"/>
      <c r="AY348" s="157"/>
      <c r="AZ348" s="157"/>
      <c r="BA348" s="157"/>
      <c r="BB348" s="157"/>
      <c r="BC348" s="157"/>
      <c r="BD348" s="157"/>
      <c r="BE348" s="157"/>
      <c r="BF348" s="157"/>
      <c r="BG348" s="157"/>
      <c r="BH348" s="157"/>
      <c r="BI348" s="157"/>
      <c r="BJ348" s="157"/>
    </row>
    <row r="349" spans="1:62" ht="15.75" customHeight="1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  <c r="AV349" s="157"/>
      <c r="AW349" s="157"/>
      <c r="AX349" s="157"/>
      <c r="AY349" s="157"/>
      <c r="AZ349" s="157"/>
      <c r="BA349" s="157"/>
      <c r="BB349" s="157"/>
      <c r="BC349" s="157"/>
      <c r="BD349" s="157"/>
      <c r="BE349" s="157"/>
      <c r="BF349" s="157"/>
      <c r="BG349" s="157"/>
      <c r="BH349" s="157"/>
      <c r="BI349" s="157"/>
      <c r="BJ349" s="157"/>
    </row>
    <row r="350" spans="1:62" ht="15.75" customHeight="1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  <c r="AV350" s="157"/>
      <c r="AW350" s="157"/>
      <c r="AX350" s="157"/>
      <c r="AY350" s="157"/>
      <c r="AZ350" s="157"/>
      <c r="BA350" s="157"/>
      <c r="BB350" s="157"/>
      <c r="BC350" s="157"/>
      <c r="BD350" s="157"/>
      <c r="BE350" s="157"/>
      <c r="BF350" s="157"/>
      <c r="BG350" s="157"/>
      <c r="BH350" s="157"/>
      <c r="BI350" s="157"/>
      <c r="BJ350" s="157"/>
    </row>
    <row r="351" spans="1:62" ht="15.75" customHeight="1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  <c r="AV351" s="157"/>
      <c r="AW351" s="157"/>
      <c r="AX351" s="157"/>
      <c r="AY351" s="157"/>
      <c r="AZ351" s="157"/>
      <c r="BA351" s="157"/>
      <c r="BB351" s="157"/>
      <c r="BC351" s="157"/>
      <c r="BD351" s="157"/>
      <c r="BE351" s="157"/>
      <c r="BF351" s="157"/>
      <c r="BG351" s="157"/>
      <c r="BH351" s="157"/>
      <c r="BI351" s="157"/>
      <c r="BJ351" s="157"/>
    </row>
    <row r="352" spans="1:62" ht="15.75" customHeight="1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  <c r="AV352" s="157"/>
      <c r="AW352" s="157"/>
      <c r="AX352" s="157"/>
      <c r="AY352" s="157"/>
      <c r="AZ352" s="157"/>
      <c r="BA352" s="157"/>
      <c r="BB352" s="157"/>
      <c r="BC352" s="157"/>
      <c r="BD352" s="157"/>
      <c r="BE352" s="157"/>
      <c r="BF352" s="157"/>
      <c r="BG352" s="157"/>
      <c r="BH352" s="157"/>
      <c r="BI352" s="157"/>
      <c r="BJ352" s="157"/>
    </row>
    <row r="353" spans="1:62" ht="15.75" customHeight="1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  <c r="AV353" s="157"/>
      <c r="AW353" s="157"/>
      <c r="AX353" s="157"/>
      <c r="AY353" s="157"/>
      <c r="AZ353" s="157"/>
      <c r="BA353" s="157"/>
      <c r="BB353" s="157"/>
      <c r="BC353" s="157"/>
      <c r="BD353" s="157"/>
      <c r="BE353" s="157"/>
      <c r="BF353" s="157"/>
      <c r="BG353" s="157"/>
      <c r="BH353" s="157"/>
      <c r="BI353" s="157"/>
      <c r="BJ353" s="157"/>
    </row>
    <row r="354" spans="1:62" ht="15.75" customHeight="1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  <c r="AV354" s="157"/>
      <c r="AW354" s="157"/>
      <c r="AX354" s="157"/>
      <c r="AY354" s="157"/>
      <c r="AZ354" s="157"/>
      <c r="BA354" s="157"/>
      <c r="BB354" s="157"/>
      <c r="BC354" s="157"/>
      <c r="BD354" s="157"/>
      <c r="BE354" s="157"/>
      <c r="BF354" s="157"/>
      <c r="BG354" s="157"/>
      <c r="BH354" s="157"/>
      <c r="BI354" s="157"/>
      <c r="BJ354" s="157"/>
    </row>
    <row r="355" spans="1:62" ht="15.75" customHeight="1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  <c r="AV355" s="157"/>
      <c r="AW355" s="157"/>
      <c r="AX355" s="157"/>
      <c r="AY355" s="157"/>
      <c r="AZ355" s="157"/>
      <c r="BA355" s="157"/>
      <c r="BB355" s="157"/>
      <c r="BC355" s="157"/>
      <c r="BD355" s="157"/>
      <c r="BE355" s="157"/>
      <c r="BF355" s="157"/>
      <c r="BG355" s="157"/>
      <c r="BH355" s="157"/>
      <c r="BI355" s="157"/>
      <c r="BJ355" s="157"/>
    </row>
    <row r="356" spans="1:62" ht="15.75" customHeight="1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  <c r="AV356" s="157"/>
      <c r="AW356" s="157"/>
      <c r="AX356" s="157"/>
      <c r="AY356" s="157"/>
      <c r="AZ356" s="157"/>
      <c r="BA356" s="157"/>
      <c r="BB356" s="157"/>
      <c r="BC356" s="157"/>
      <c r="BD356" s="157"/>
      <c r="BE356" s="157"/>
      <c r="BF356" s="157"/>
      <c r="BG356" s="157"/>
      <c r="BH356" s="157"/>
      <c r="BI356" s="157"/>
      <c r="BJ356" s="157"/>
    </row>
    <row r="357" spans="1:62" ht="15.75" customHeight="1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  <c r="AV357" s="157"/>
      <c r="AW357" s="157"/>
      <c r="AX357" s="157"/>
      <c r="AY357" s="157"/>
      <c r="AZ357" s="157"/>
      <c r="BA357" s="157"/>
      <c r="BB357" s="157"/>
      <c r="BC357" s="157"/>
      <c r="BD357" s="157"/>
      <c r="BE357" s="157"/>
      <c r="BF357" s="157"/>
      <c r="BG357" s="157"/>
      <c r="BH357" s="157"/>
      <c r="BI357" s="157"/>
      <c r="BJ357" s="157"/>
    </row>
    <row r="358" spans="1:62" ht="15.75" customHeight="1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  <c r="AV358" s="157"/>
      <c r="AW358" s="157"/>
      <c r="AX358" s="157"/>
      <c r="AY358" s="157"/>
      <c r="AZ358" s="157"/>
      <c r="BA358" s="157"/>
      <c r="BB358" s="157"/>
      <c r="BC358" s="157"/>
      <c r="BD358" s="157"/>
      <c r="BE358" s="157"/>
      <c r="BF358" s="157"/>
      <c r="BG358" s="157"/>
      <c r="BH358" s="157"/>
      <c r="BI358" s="157"/>
      <c r="BJ358" s="157"/>
    </row>
    <row r="359" spans="1:62" ht="15.75" customHeight="1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  <c r="AV359" s="157"/>
      <c r="AW359" s="157"/>
      <c r="AX359" s="157"/>
      <c r="AY359" s="157"/>
      <c r="AZ359" s="157"/>
      <c r="BA359" s="157"/>
      <c r="BB359" s="157"/>
      <c r="BC359" s="157"/>
      <c r="BD359" s="157"/>
      <c r="BE359" s="157"/>
      <c r="BF359" s="157"/>
      <c r="BG359" s="157"/>
      <c r="BH359" s="157"/>
      <c r="BI359" s="157"/>
      <c r="BJ359" s="157"/>
    </row>
    <row r="360" spans="1:62" ht="15.75" customHeight="1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  <c r="AV360" s="157"/>
      <c r="AW360" s="157"/>
      <c r="AX360" s="157"/>
      <c r="AY360" s="157"/>
      <c r="AZ360" s="157"/>
      <c r="BA360" s="157"/>
      <c r="BB360" s="157"/>
      <c r="BC360" s="157"/>
      <c r="BD360" s="157"/>
      <c r="BE360" s="157"/>
      <c r="BF360" s="157"/>
      <c r="BG360" s="157"/>
      <c r="BH360" s="157"/>
      <c r="BI360" s="157"/>
      <c r="BJ360" s="157"/>
    </row>
    <row r="361" spans="1:62" ht="15.75" customHeight="1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  <c r="AV361" s="157"/>
      <c r="AW361" s="157"/>
      <c r="AX361" s="157"/>
      <c r="AY361" s="157"/>
      <c r="AZ361" s="157"/>
      <c r="BA361" s="157"/>
      <c r="BB361" s="157"/>
      <c r="BC361" s="157"/>
      <c r="BD361" s="157"/>
      <c r="BE361" s="157"/>
      <c r="BF361" s="157"/>
      <c r="BG361" s="157"/>
      <c r="BH361" s="157"/>
      <c r="BI361" s="157"/>
      <c r="BJ361" s="157"/>
    </row>
    <row r="362" spans="1:62" ht="15.75" customHeight="1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  <c r="AV362" s="157"/>
      <c r="AW362" s="157"/>
      <c r="AX362" s="157"/>
      <c r="AY362" s="157"/>
      <c r="AZ362" s="157"/>
      <c r="BA362" s="157"/>
      <c r="BB362" s="157"/>
      <c r="BC362" s="157"/>
      <c r="BD362" s="157"/>
      <c r="BE362" s="157"/>
      <c r="BF362" s="157"/>
      <c r="BG362" s="157"/>
      <c r="BH362" s="157"/>
      <c r="BI362" s="157"/>
      <c r="BJ362" s="157"/>
    </row>
    <row r="363" spans="1:62" ht="15.75" customHeight="1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  <c r="AV363" s="157"/>
      <c r="AW363" s="157"/>
      <c r="AX363" s="157"/>
      <c r="AY363" s="157"/>
      <c r="AZ363" s="157"/>
      <c r="BA363" s="157"/>
      <c r="BB363" s="157"/>
      <c r="BC363" s="157"/>
      <c r="BD363" s="157"/>
      <c r="BE363" s="157"/>
      <c r="BF363" s="157"/>
      <c r="BG363" s="157"/>
      <c r="BH363" s="157"/>
      <c r="BI363" s="157"/>
      <c r="BJ363" s="157"/>
    </row>
    <row r="364" spans="1:62" ht="15.75" customHeight="1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  <c r="AV364" s="157"/>
      <c r="AW364" s="157"/>
      <c r="AX364" s="157"/>
      <c r="AY364" s="157"/>
      <c r="AZ364" s="157"/>
      <c r="BA364" s="157"/>
      <c r="BB364" s="157"/>
      <c r="BC364" s="157"/>
      <c r="BD364" s="157"/>
      <c r="BE364" s="157"/>
      <c r="BF364" s="157"/>
      <c r="BG364" s="157"/>
      <c r="BH364" s="157"/>
      <c r="BI364" s="157"/>
      <c r="BJ364" s="157"/>
    </row>
    <row r="365" spans="1:62" ht="15.75" customHeight="1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  <c r="AV365" s="157"/>
      <c r="AW365" s="157"/>
      <c r="AX365" s="157"/>
      <c r="AY365" s="157"/>
      <c r="AZ365" s="157"/>
      <c r="BA365" s="157"/>
      <c r="BB365" s="157"/>
      <c r="BC365" s="157"/>
      <c r="BD365" s="157"/>
      <c r="BE365" s="157"/>
      <c r="BF365" s="157"/>
      <c r="BG365" s="157"/>
      <c r="BH365" s="157"/>
      <c r="BI365" s="157"/>
      <c r="BJ365" s="157"/>
    </row>
    <row r="366" spans="1:62" ht="15.75" customHeight="1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  <c r="AV366" s="157"/>
      <c r="AW366" s="157"/>
      <c r="AX366" s="157"/>
      <c r="AY366" s="157"/>
      <c r="AZ366" s="157"/>
      <c r="BA366" s="157"/>
      <c r="BB366" s="157"/>
      <c r="BC366" s="157"/>
      <c r="BD366" s="157"/>
      <c r="BE366" s="157"/>
      <c r="BF366" s="157"/>
      <c r="BG366" s="157"/>
      <c r="BH366" s="157"/>
      <c r="BI366" s="157"/>
      <c r="BJ366" s="157"/>
    </row>
    <row r="367" spans="1:62" ht="15.75" customHeight="1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  <c r="AV367" s="157"/>
      <c r="AW367" s="157"/>
      <c r="AX367" s="157"/>
      <c r="AY367" s="157"/>
      <c r="AZ367" s="157"/>
      <c r="BA367" s="157"/>
      <c r="BB367" s="157"/>
      <c r="BC367" s="157"/>
      <c r="BD367" s="157"/>
      <c r="BE367" s="157"/>
      <c r="BF367" s="157"/>
      <c r="BG367" s="157"/>
      <c r="BH367" s="157"/>
      <c r="BI367" s="157"/>
      <c r="BJ367" s="157"/>
    </row>
    <row r="368" spans="1:62" ht="15.75" customHeight="1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  <c r="AV368" s="157"/>
      <c r="AW368" s="157"/>
      <c r="AX368" s="157"/>
      <c r="AY368" s="157"/>
      <c r="AZ368" s="157"/>
      <c r="BA368" s="157"/>
      <c r="BB368" s="157"/>
      <c r="BC368" s="157"/>
      <c r="BD368" s="157"/>
      <c r="BE368" s="157"/>
      <c r="BF368" s="157"/>
      <c r="BG368" s="157"/>
      <c r="BH368" s="157"/>
      <c r="BI368" s="157"/>
      <c r="BJ368" s="157"/>
    </row>
    <row r="369" spans="1:62" ht="15.75" customHeight="1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  <c r="AV369" s="157"/>
      <c r="AW369" s="157"/>
      <c r="AX369" s="157"/>
      <c r="AY369" s="157"/>
      <c r="AZ369" s="157"/>
      <c r="BA369" s="157"/>
      <c r="BB369" s="157"/>
      <c r="BC369" s="157"/>
      <c r="BD369" s="157"/>
      <c r="BE369" s="157"/>
      <c r="BF369" s="157"/>
      <c r="BG369" s="157"/>
      <c r="BH369" s="157"/>
      <c r="BI369" s="157"/>
      <c r="BJ369" s="157"/>
    </row>
    <row r="370" spans="1:62" ht="15.75" customHeight="1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  <c r="AV370" s="157"/>
      <c r="AW370" s="157"/>
      <c r="AX370" s="157"/>
      <c r="AY370" s="157"/>
      <c r="AZ370" s="157"/>
      <c r="BA370" s="157"/>
      <c r="BB370" s="157"/>
      <c r="BC370" s="157"/>
      <c r="BD370" s="157"/>
      <c r="BE370" s="157"/>
      <c r="BF370" s="157"/>
      <c r="BG370" s="157"/>
      <c r="BH370" s="157"/>
      <c r="BI370" s="157"/>
      <c r="BJ370" s="157"/>
    </row>
    <row r="371" spans="1:62" ht="15.75" customHeight="1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  <c r="AV371" s="157"/>
      <c r="AW371" s="157"/>
      <c r="AX371" s="157"/>
      <c r="AY371" s="157"/>
      <c r="AZ371" s="157"/>
      <c r="BA371" s="157"/>
      <c r="BB371" s="157"/>
      <c r="BC371" s="157"/>
      <c r="BD371" s="157"/>
      <c r="BE371" s="157"/>
      <c r="BF371" s="157"/>
      <c r="BG371" s="157"/>
      <c r="BH371" s="157"/>
      <c r="BI371" s="157"/>
      <c r="BJ371" s="157"/>
    </row>
    <row r="372" spans="1:62" ht="15.75" customHeight="1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  <c r="AV372" s="157"/>
      <c r="AW372" s="157"/>
      <c r="AX372" s="157"/>
      <c r="AY372" s="157"/>
      <c r="AZ372" s="157"/>
      <c r="BA372" s="157"/>
      <c r="BB372" s="157"/>
      <c r="BC372" s="157"/>
      <c r="BD372" s="157"/>
      <c r="BE372" s="157"/>
      <c r="BF372" s="157"/>
      <c r="BG372" s="157"/>
      <c r="BH372" s="157"/>
      <c r="BI372" s="157"/>
      <c r="BJ372" s="157"/>
    </row>
    <row r="373" spans="1:62" ht="15.75" customHeight="1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  <c r="AV373" s="157"/>
      <c r="AW373" s="157"/>
      <c r="AX373" s="157"/>
      <c r="AY373" s="157"/>
      <c r="AZ373" s="157"/>
      <c r="BA373" s="157"/>
      <c r="BB373" s="157"/>
      <c r="BC373" s="157"/>
      <c r="BD373" s="157"/>
      <c r="BE373" s="157"/>
      <c r="BF373" s="157"/>
      <c r="BG373" s="157"/>
      <c r="BH373" s="157"/>
      <c r="BI373" s="157"/>
      <c r="BJ373" s="157"/>
    </row>
    <row r="374" spans="1:62" ht="15.75" customHeight="1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  <c r="AV374" s="157"/>
      <c r="AW374" s="157"/>
      <c r="AX374" s="157"/>
      <c r="AY374" s="157"/>
      <c r="AZ374" s="157"/>
      <c r="BA374" s="157"/>
      <c r="BB374" s="157"/>
      <c r="BC374" s="157"/>
      <c r="BD374" s="157"/>
      <c r="BE374" s="157"/>
      <c r="BF374" s="157"/>
      <c r="BG374" s="157"/>
      <c r="BH374" s="157"/>
      <c r="BI374" s="157"/>
      <c r="BJ374" s="157"/>
    </row>
    <row r="375" spans="1:62" ht="15.75" customHeight="1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  <c r="AV375" s="157"/>
      <c r="AW375" s="157"/>
      <c r="AX375" s="157"/>
      <c r="AY375" s="157"/>
      <c r="AZ375" s="157"/>
      <c r="BA375" s="157"/>
      <c r="BB375" s="157"/>
      <c r="BC375" s="157"/>
      <c r="BD375" s="157"/>
      <c r="BE375" s="157"/>
      <c r="BF375" s="157"/>
      <c r="BG375" s="157"/>
      <c r="BH375" s="157"/>
      <c r="BI375" s="157"/>
      <c r="BJ375" s="157"/>
    </row>
    <row r="376" spans="1:62" ht="15.75" customHeight="1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  <c r="AV376" s="157"/>
      <c r="AW376" s="157"/>
      <c r="AX376" s="157"/>
      <c r="AY376" s="157"/>
      <c r="AZ376" s="157"/>
      <c r="BA376" s="157"/>
      <c r="BB376" s="157"/>
      <c r="BC376" s="157"/>
      <c r="BD376" s="157"/>
      <c r="BE376" s="157"/>
      <c r="BF376" s="157"/>
      <c r="BG376" s="157"/>
      <c r="BH376" s="157"/>
      <c r="BI376" s="157"/>
      <c r="BJ376" s="157"/>
    </row>
    <row r="377" spans="1:62" ht="15.75" customHeight="1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  <c r="AV377" s="157"/>
      <c r="AW377" s="157"/>
      <c r="AX377" s="157"/>
      <c r="AY377" s="157"/>
      <c r="AZ377" s="157"/>
      <c r="BA377" s="157"/>
      <c r="BB377" s="157"/>
      <c r="BC377" s="157"/>
      <c r="BD377" s="157"/>
      <c r="BE377" s="157"/>
      <c r="BF377" s="157"/>
      <c r="BG377" s="157"/>
      <c r="BH377" s="157"/>
      <c r="BI377" s="157"/>
      <c r="BJ377" s="157"/>
    </row>
    <row r="378" spans="1:62" ht="15.75" customHeight="1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  <c r="AV378" s="157"/>
      <c r="AW378" s="157"/>
      <c r="AX378" s="157"/>
      <c r="AY378" s="157"/>
      <c r="AZ378" s="157"/>
      <c r="BA378" s="157"/>
      <c r="BB378" s="157"/>
      <c r="BC378" s="157"/>
      <c r="BD378" s="157"/>
      <c r="BE378" s="157"/>
      <c r="BF378" s="157"/>
      <c r="BG378" s="157"/>
      <c r="BH378" s="157"/>
      <c r="BI378" s="157"/>
      <c r="BJ378" s="157"/>
    </row>
    <row r="379" spans="1:62" ht="15.75" customHeight="1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  <c r="AV379" s="157"/>
      <c r="AW379" s="157"/>
      <c r="AX379" s="157"/>
      <c r="AY379" s="157"/>
      <c r="AZ379" s="157"/>
      <c r="BA379" s="157"/>
      <c r="BB379" s="157"/>
      <c r="BC379" s="157"/>
      <c r="BD379" s="157"/>
      <c r="BE379" s="157"/>
      <c r="BF379" s="157"/>
      <c r="BG379" s="157"/>
      <c r="BH379" s="157"/>
      <c r="BI379" s="157"/>
      <c r="BJ379" s="157"/>
    </row>
    <row r="380" spans="1:62" ht="15.75" customHeight="1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  <c r="AV380" s="157"/>
      <c r="AW380" s="157"/>
      <c r="AX380" s="157"/>
      <c r="AY380" s="157"/>
      <c r="AZ380" s="157"/>
      <c r="BA380" s="157"/>
      <c r="BB380" s="157"/>
      <c r="BC380" s="157"/>
      <c r="BD380" s="157"/>
      <c r="BE380" s="157"/>
      <c r="BF380" s="157"/>
      <c r="BG380" s="157"/>
      <c r="BH380" s="157"/>
      <c r="BI380" s="157"/>
      <c r="BJ380" s="157"/>
    </row>
    <row r="381" spans="1:62" ht="15.75" customHeight="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  <c r="AV381" s="157"/>
      <c r="AW381" s="157"/>
      <c r="AX381" s="157"/>
      <c r="AY381" s="157"/>
      <c r="AZ381" s="157"/>
      <c r="BA381" s="157"/>
      <c r="BB381" s="157"/>
      <c r="BC381" s="157"/>
      <c r="BD381" s="157"/>
      <c r="BE381" s="157"/>
      <c r="BF381" s="157"/>
      <c r="BG381" s="157"/>
      <c r="BH381" s="157"/>
      <c r="BI381" s="157"/>
      <c r="BJ381" s="157"/>
    </row>
    <row r="382" spans="1:62" ht="15.75" customHeight="1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  <c r="AV382" s="157"/>
      <c r="AW382" s="157"/>
      <c r="AX382" s="157"/>
      <c r="AY382" s="157"/>
      <c r="AZ382" s="157"/>
      <c r="BA382" s="157"/>
      <c r="BB382" s="157"/>
      <c r="BC382" s="157"/>
      <c r="BD382" s="157"/>
      <c r="BE382" s="157"/>
      <c r="BF382" s="157"/>
      <c r="BG382" s="157"/>
      <c r="BH382" s="157"/>
      <c r="BI382" s="157"/>
      <c r="BJ382" s="157"/>
    </row>
    <row r="383" spans="1:62" ht="15.75" customHeight="1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  <c r="AV383" s="157"/>
      <c r="AW383" s="157"/>
      <c r="AX383" s="157"/>
      <c r="AY383" s="157"/>
      <c r="AZ383" s="157"/>
      <c r="BA383" s="157"/>
      <c r="BB383" s="157"/>
      <c r="BC383" s="157"/>
      <c r="BD383" s="157"/>
      <c r="BE383" s="157"/>
      <c r="BF383" s="157"/>
      <c r="BG383" s="157"/>
      <c r="BH383" s="157"/>
      <c r="BI383" s="157"/>
      <c r="BJ383" s="157"/>
    </row>
    <row r="384" spans="1:62" ht="15.75" customHeight="1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  <c r="AV384" s="157"/>
      <c r="AW384" s="157"/>
      <c r="AX384" s="157"/>
      <c r="AY384" s="157"/>
      <c r="AZ384" s="157"/>
      <c r="BA384" s="157"/>
      <c r="BB384" s="157"/>
      <c r="BC384" s="157"/>
      <c r="BD384" s="157"/>
      <c r="BE384" s="157"/>
      <c r="BF384" s="157"/>
      <c r="BG384" s="157"/>
      <c r="BH384" s="157"/>
      <c r="BI384" s="157"/>
      <c r="BJ384" s="157"/>
    </row>
    <row r="385" spans="1:62" ht="15.75" customHeight="1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  <c r="AV385" s="157"/>
      <c r="AW385" s="157"/>
      <c r="AX385" s="157"/>
      <c r="AY385" s="157"/>
      <c r="AZ385" s="157"/>
      <c r="BA385" s="157"/>
      <c r="BB385" s="157"/>
      <c r="BC385" s="157"/>
      <c r="BD385" s="157"/>
      <c r="BE385" s="157"/>
      <c r="BF385" s="157"/>
      <c r="BG385" s="157"/>
      <c r="BH385" s="157"/>
      <c r="BI385" s="157"/>
      <c r="BJ385" s="157"/>
    </row>
    <row r="386" spans="1:62" ht="15.75" customHeight="1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  <c r="AV386" s="157"/>
      <c r="AW386" s="157"/>
      <c r="AX386" s="157"/>
      <c r="AY386" s="157"/>
      <c r="AZ386" s="157"/>
      <c r="BA386" s="157"/>
      <c r="BB386" s="157"/>
      <c r="BC386" s="157"/>
      <c r="BD386" s="157"/>
      <c r="BE386" s="157"/>
      <c r="BF386" s="157"/>
      <c r="BG386" s="157"/>
      <c r="BH386" s="157"/>
      <c r="BI386" s="157"/>
      <c r="BJ386" s="157"/>
    </row>
    <row r="387" spans="1:62" ht="15.75" customHeight="1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  <c r="AV387" s="157"/>
      <c r="AW387" s="157"/>
      <c r="AX387" s="157"/>
      <c r="AY387" s="157"/>
      <c r="AZ387" s="157"/>
      <c r="BA387" s="157"/>
      <c r="BB387" s="157"/>
      <c r="BC387" s="157"/>
      <c r="BD387" s="157"/>
      <c r="BE387" s="157"/>
      <c r="BF387" s="157"/>
      <c r="BG387" s="157"/>
      <c r="BH387" s="157"/>
      <c r="BI387" s="157"/>
      <c r="BJ387" s="157"/>
    </row>
    <row r="388" spans="1:62" ht="15.75" customHeight="1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  <c r="AV388" s="157"/>
      <c r="AW388" s="157"/>
      <c r="AX388" s="157"/>
      <c r="AY388" s="157"/>
      <c r="AZ388" s="157"/>
      <c r="BA388" s="157"/>
      <c r="BB388" s="157"/>
      <c r="BC388" s="157"/>
      <c r="BD388" s="157"/>
      <c r="BE388" s="157"/>
      <c r="BF388" s="157"/>
      <c r="BG388" s="157"/>
      <c r="BH388" s="157"/>
      <c r="BI388" s="157"/>
      <c r="BJ388" s="157"/>
    </row>
    <row r="389" spans="1:62" ht="15.75" customHeight="1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  <c r="AV389" s="157"/>
      <c r="AW389" s="157"/>
      <c r="AX389" s="157"/>
      <c r="AY389" s="157"/>
      <c r="AZ389" s="157"/>
      <c r="BA389" s="157"/>
      <c r="BB389" s="157"/>
      <c r="BC389" s="157"/>
      <c r="BD389" s="157"/>
      <c r="BE389" s="157"/>
      <c r="BF389" s="157"/>
      <c r="BG389" s="157"/>
      <c r="BH389" s="157"/>
      <c r="BI389" s="157"/>
      <c r="BJ389" s="157"/>
    </row>
    <row r="390" spans="1:62" ht="15.75" customHeight="1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  <c r="AV390" s="157"/>
      <c r="AW390" s="157"/>
      <c r="AX390" s="157"/>
      <c r="AY390" s="157"/>
      <c r="AZ390" s="157"/>
      <c r="BA390" s="157"/>
      <c r="BB390" s="157"/>
      <c r="BC390" s="157"/>
      <c r="BD390" s="157"/>
      <c r="BE390" s="157"/>
      <c r="BF390" s="157"/>
      <c r="BG390" s="157"/>
      <c r="BH390" s="157"/>
      <c r="BI390" s="157"/>
      <c r="BJ390" s="157"/>
    </row>
    <row r="391" spans="1:62" ht="15.75" customHeight="1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  <c r="AV391" s="157"/>
      <c r="AW391" s="157"/>
      <c r="AX391" s="157"/>
      <c r="AY391" s="157"/>
      <c r="AZ391" s="157"/>
      <c r="BA391" s="157"/>
      <c r="BB391" s="157"/>
      <c r="BC391" s="157"/>
      <c r="BD391" s="157"/>
      <c r="BE391" s="157"/>
      <c r="BF391" s="157"/>
      <c r="BG391" s="157"/>
      <c r="BH391" s="157"/>
      <c r="BI391" s="157"/>
      <c r="BJ391" s="157"/>
    </row>
    <row r="392" spans="1:62" ht="15.75" customHeight="1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  <c r="AV392" s="157"/>
      <c r="AW392" s="157"/>
      <c r="AX392" s="157"/>
      <c r="AY392" s="157"/>
      <c r="AZ392" s="157"/>
      <c r="BA392" s="157"/>
      <c r="BB392" s="157"/>
      <c r="BC392" s="157"/>
      <c r="BD392" s="157"/>
      <c r="BE392" s="157"/>
      <c r="BF392" s="157"/>
      <c r="BG392" s="157"/>
      <c r="BH392" s="157"/>
      <c r="BI392" s="157"/>
      <c r="BJ392" s="157"/>
    </row>
    <row r="393" spans="1:62" ht="15.75" customHeight="1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  <c r="AV393" s="157"/>
      <c r="AW393" s="157"/>
      <c r="AX393" s="157"/>
      <c r="AY393" s="157"/>
      <c r="AZ393" s="157"/>
      <c r="BA393" s="157"/>
      <c r="BB393" s="157"/>
      <c r="BC393" s="157"/>
      <c r="BD393" s="157"/>
      <c r="BE393" s="157"/>
      <c r="BF393" s="157"/>
      <c r="BG393" s="157"/>
      <c r="BH393" s="157"/>
      <c r="BI393" s="157"/>
      <c r="BJ393" s="157"/>
    </row>
    <row r="394" spans="1:62" ht="15.75" customHeight="1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  <c r="AV394" s="157"/>
      <c r="AW394" s="157"/>
      <c r="AX394" s="157"/>
      <c r="AY394" s="157"/>
      <c r="AZ394" s="157"/>
      <c r="BA394" s="157"/>
      <c r="BB394" s="157"/>
      <c r="BC394" s="157"/>
      <c r="BD394" s="157"/>
      <c r="BE394" s="157"/>
      <c r="BF394" s="157"/>
      <c r="BG394" s="157"/>
      <c r="BH394" s="157"/>
      <c r="BI394" s="157"/>
      <c r="BJ394" s="157"/>
    </row>
    <row r="395" spans="1:62" ht="15.75" customHeight="1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  <c r="AV395" s="157"/>
      <c r="AW395" s="157"/>
      <c r="AX395" s="157"/>
      <c r="AY395" s="157"/>
      <c r="AZ395" s="157"/>
      <c r="BA395" s="157"/>
      <c r="BB395" s="157"/>
      <c r="BC395" s="157"/>
      <c r="BD395" s="157"/>
      <c r="BE395" s="157"/>
      <c r="BF395" s="157"/>
      <c r="BG395" s="157"/>
      <c r="BH395" s="157"/>
      <c r="BI395" s="157"/>
      <c r="BJ395" s="157"/>
    </row>
    <row r="396" spans="1:62" ht="15.75" customHeight="1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  <c r="AV396" s="157"/>
      <c r="AW396" s="157"/>
      <c r="AX396" s="157"/>
      <c r="AY396" s="157"/>
      <c r="AZ396" s="157"/>
      <c r="BA396" s="157"/>
      <c r="BB396" s="157"/>
      <c r="BC396" s="157"/>
      <c r="BD396" s="157"/>
      <c r="BE396" s="157"/>
      <c r="BF396" s="157"/>
      <c r="BG396" s="157"/>
      <c r="BH396" s="157"/>
      <c r="BI396" s="157"/>
      <c r="BJ396" s="157"/>
    </row>
    <row r="397" spans="1:62" ht="15.75" customHeight="1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  <c r="AV397" s="157"/>
      <c r="AW397" s="157"/>
      <c r="AX397" s="157"/>
      <c r="AY397" s="157"/>
      <c r="AZ397" s="157"/>
      <c r="BA397" s="157"/>
      <c r="BB397" s="157"/>
      <c r="BC397" s="157"/>
      <c r="BD397" s="157"/>
      <c r="BE397" s="157"/>
      <c r="BF397" s="157"/>
      <c r="BG397" s="157"/>
      <c r="BH397" s="157"/>
      <c r="BI397" s="157"/>
      <c r="BJ397" s="157"/>
    </row>
    <row r="398" spans="1:62" ht="15.75" customHeight="1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  <c r="AV398" s="157"/>
      <c r="AW398" s="157"/>
      <c r="AX398" s="157"/>
      <c r="AY398" s="157"/>
      <c r="AZ398" s="157"/>
      <c r="BA398" s="157"/>
      <c r="BB398" s="157"/>
      <c r="BC398" s="157"/>
      <c r="BD398" s="157"/>
      <c r="BE398" s="157"/>
      <c r="BF398" s="157"/>
      <c r="BG398" s="157"/>
      <c r="BH398" s="157"/>
      <c r="BI398" s="157"/>
      <c r="BJ398" s="157"/>
    </row>
    <row r="399" spans="1:62" ht="15.75" customHeight="1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  <c r="AV399" s="157"/>
      <c r="AW399" s="157"/>
      <c r="AX399" s="157"/>
      <c r="AY399" s="157"/>
      <c r="AZ399" s="157"/>
      <c r="BA399" s="157"/>
      <c r="BB399" s="157"/>
      <c r="BC399" s="157"/>
      <c r="BD399" s="157"/>
      <c r="BE399" s="157"/>
      <c r="BF399" s="157"/>
      <c r="BG399" s="157"/>
      <c r="BH399" s="157"/>
      <c r="BI399" s="157"/>
      <c r="BJ399" s="157"/>
    </row>
    <row r="400" spans="1:62" ht="15.75" customHeight="1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7"/>
      <c r="AY400" s="157"/>
      <c r="AZ400" s="157"/>
      <c r="BA400" s="157"/>
      <c r="BB400" s="157"/>
      <c r="BC400" s="157"/>
      <c r="BD400" s="157"/>
      <c r="BE400" s="157"/>
      <c r="BF400" s="157"/>
      <c r="BG400" s="157"/>
      <c r="BH400" s="157"/>
      <c r="BI400" s="157"/>
      <c r="BJ400" s="157"/>
    </row>
    <row r="401" spans="1:62" ht="15.75" customHeight="1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  <c r="AV401" s="157"/>
      <c r="AW401" s="157"/>
      <c r="AX401" s="157"/>
      <c r="AY401" s="157"/>
      <c r="AZ401" s="157"/>
      <c r="BA401" s="157"/>
      <c r="BB401" s="157"/>
      <c r="BC401" s="157"/>
      <c r="BD401" s="157"/>
      <c r="BE401" s="157"/>
      <c r="BF401" s="157"/>
      <c r="BG401" s="157"/>
      <c r="BH401" s="157"/>
      <c r="BI401" s="157"/>
      <c r="BJ401" s="157"/>
    </row>
    <row r="402" spans="1:62" ht="15.75" customHeight="1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  <c r="AV402" s="157"/>
      <c r="AW402" s="157"/>
      <c r="AX402" s="157"/>
      <c r="AY402" s="157"/>
      <c r="AZ402" s="157"/>
      <c r="BA402" s="157"/>
      <c r="BB402" s="157"/>
      <c r="BC402" s="157"/>
      <c r="BD402" s="157"/>
      <c r="BE402" s="157"/>
      <c r="BF402" s="157"/>
      <c r="BG402" s="157"/>
      <c r="BH402" s="157"/>
      <c r="BI402" s="157"/>
      <c r="BJ402" s="157"/>
    </row>
    <row r="403" spans="1:62" ht="15.75" customHeight="1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  <c r="AV403" s="157"/>
      <c r="AW403" s="157"/>
      <c r="AX403" s="157"/>
      <c r="AY403" s="157"/>
      <c r="AZ403" s="157"/>
      <c r="BA403" s="157"/>
      <c r="BB403" s="157"/>
      <c r="BC403" s="157"/>
      <c r="BD403" s="157"/>
      <c r="BE403" s="157"/>
      <c r="BF403" s="157"/>
      <c r="BG403" s="157"/>
      <c r="BH403" s="157"/>
      <c r="BI403" s="157"/>
      <c r="BJ403" s="157"/>
    </row>
    <row r="404" spans="1:62" ht="15.75" customHeight="1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  <c r="AV404" s="157"/>
      <c r="AW404" s="157"/>
      <c r="AX404" s="157"/>
      <c r="AY404" s="157"/>
      <c r="AZ404" s="157"/>
      <c r="BA404" s="157"/>
      <c r="BB404" s="157"/>
      <c r="BC404" s="157"/>
      <c r="BD404" s="157"/>
      <c r="BE404" s="157"/>
      <c r="BF404" s="157"/>
      <c r="BG404" s="157"/>
      <c r="BH404" s="157"/>
      <c r="BI404" s="157"/>
      <c r="BJ404" s="157"/>
    </row>
    <row r="405" spans="1:62" ht="15.75" customHeight="1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  <c r="AV405" s="157"/>
      <c r="AW405" s="157"/>
      <c r="AX405" s="157"/>
      <c r="AY405" s="157"/>
      <c r="AZ405" s="157"/>
      <c r="BA405" s="157"/>
      <c r="BB405" s="157"/>
      <c r="BC405" s="157"/>
      <c r="BD405" s="157"/>
      <c r="BE405" s="157"/>
      <c r="BF405" s="157"/>
      <c r="BG405" s="157"/>
      <c r="BH405" s="157"/>
      <c r="BI405" s="157"/>
      <c r="BJ405" s="157"/>
    </row>
    <row r="406" spans="1:62" ht="15.75" customHeight="1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  <c r="AV406" s="157"/>
      <c r="AW406" s="157"/>
      <c r="AX406" s="157"/>
      <c r="AY406" s="157"/>
      <c r="AZ406" s="157"/>
      <c r="BA406" s="157"/>
      <c r="BB406" s="157"/>
      <c r="BC406" s="157"/>
      <c r="BD406" s="157"/>
      <c r="BE406" s="157"/>
      <c r="BF406" s="157"/>
      <c r="BG406" s="157"/>
      <c r="BH406" s="157"/>
      <c r="BI406" s="157"/>
      <c r="BJ406" s="157"/>
    </row>
    <row r="407" spans="1:62" ht="15.75" customHeight="1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  <c r="AV407" s="157"/>
      <c r="AW407" s="157"/>
      <c r="AX407" s="157"/>
      <c r="AY407" s="157"/>
      <c r="AZ407" s="157"/>
      <c r="BA407" s="157"/>
      <c r="BB407" s="157"/>
      <c r="BC407" s="157"/>
      <c r="BD407" s="157"/>
      <c r="BE407" s="157"/>
      <c r="BF407" s="157"/>
      <c r="BG407" s="157"/>
      <c r="BH407" s="157"/>
      <c r="BI407" s="157"/>
      <c r="BJ407" s="157"/>
    </row>
    <row r="408" spans="1:62" ht="15.75" customHeight="1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  <c r="AW408" s="157"/>
      <c r="AX408" s="157"/>
      <c r="AY408" s="157"/>
      <c r="AZ408" s="157"/>
      <c r="BA408" s="157"/>
      <c r="BB408" s="157"/>
      <c r="BC408" s="157"/>
      <c r="BD408" s="157"/>
      <c r="BE408" s="157"/>
      <c r="BF408" s="157"/>
      <c r="BG408" s="157"/>
      <c r="BH408" s="157"/>
      <c r="BI408" s="157"/>
      <c r="BJ408" s="157"/>
    </row>
    <row r="409" spans="1:62" ht="15.75" customHeight="1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  <c r="AV409" s="157"/>
      <c r="AW409" s="157"/>
      <c r="AX409" s="157"/>
      <c r="AY409" s="157"/>
      <c r="AZ409" s="157"/>
      <c r="BA409" s="157"/>
      <c r="BB409" s="157"/>
      <c r="BC409" s="157"/>
      <c r="BD409" s="157"/>
      <c r="BE409" s="157"/>
      <c r="BF409" s="157"/>
      <c r="BG409" s="157"/>
      <c r="BH409" s="157"/>
      <c r="BI409" s="157"/>
      <c r="BJ409" s="157"/>
    </row>
    <row r="410" spans="1:62" ht="15.75" customHeight="1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  <c r="AV410" s="157"/>
      <c r="AW410" s="157"/>
      <c r="AX410" s="157"/>
      <c r="AY410" s="157"/>
      <c r="AZ410" s="157"/>
      <c r="BA410" s="157"/>
      <c r="BB410" s="157"/>
      <c r="BC410" s="157"/>
      <c r="BD410" s="157"/>
      <c r="BE410" s="157"/>
      <c r="BF410" s="157"/>
      <c r="BG410" s="157"/>
      <c r="BH410" s="157"/>
      <c r="BI410" s="157"/>
      <c r="BJ410" s="157"/>
    </row>
    <row r="411" spans="1:62" ht="15.75" customHeight="1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  <c r="AV411" s="157"/>
      <c r="AW411" s="157"/>
      <c r="AX411" s="157"/>
      <c r="AY411" s="157"/>
      <c r="AZ411" s="157"/>
      <c r="BA411" s="157"/>
      <c r="BB411" s="157"/>
      <c r="BC411" s="157"/>
      <c r="BD411" s="157"/>
      <c r="BE411" s="157"/>
      <c r="BF411" s="157"/>
      <c r="BG411" s="157"/>
      <c r="BH411" s="157"/>
      <c r="BI411" s="157"/>
      <c r="BJ411" s="157"/>
    </row>
    <row r="412" spans="1:62" ht="15.75" customHeight="1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  <c r="AV412" s="157"/>
      <c r="AW412" s="157"/>
      <c r="AX412" s="157"/>
      <c r="AY412" s="157"/>
      <c r="AZ412" s="157"/>
      <c r="BA412" s="157"/>
      <c r="BB412" s="157"/>
      <c r="BC412" s="157"/>
      <c r="BD412" s="157"/>
      <c r="BE412" s="157"/>
      <c r="BF412" s="157"/>
      <c r="BG412" s="157"/>
      <c r="BH412" s="157"/>
      <c r="BI412" s="157"/>
      <c r="BJ412" s="157"/>
    </row>
    <row r="413" spans="1:62" ht="15.75" customHeight="1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  <c r="AV413" s="157"/>
      <c r="AW413" s="157"/>
      <c r="AX413" s="157"/>
      <c r="AY413" s="157"/>
      <c r="AZ413" s="157"/>
      <c r="BA413" s="157"/>
      <c r="BB413" s="157"/>
      <c r="BC413" s="157"/>
      <c r="BD413" s="157"/>
      <c r="BE413" s="157"/>
      <c r="BF413" s="157"/>
      <c r="BG413" s="157"/>
      <c r="BH413" s="157"/>
      <c r="BI413" s="157"/>
      <c r="BJ413" s="157"/>
    </row>
    <row r="414" spans="1:62" ht="15.75" customHeight="1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  <c r="AW414" s="157"/>
      <c r="AX414" s="157"/>
      <c r="AY414" s="157"/>
      <c r="AZ414" s="157"/>
      <c r="BA414" s="157"/>
      <c r="BB414" s="157"/>
      <c r="BC414" s="157"/>
      <c r="BD414" s="157"/>
      <c r="BE414" s="157"/>
      <c r="BF414" s="157"/>
      <c r="BG414" s="157"/>
      <c r="BH414" s="157"/>
      <c r="BI414" s="157"/>
      <c r="BJ414" s="157"/>
    </row>
    <row r="415" spans="1:62" ht="15.75" customHeight="1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  <c r="AV415" s="157"/>
      <c r="AW415" s="157"/>
      <c r="AX415" s="157"/>
      <c r="AY415" s="157"/>
      <c r="AZ415" s="157"/>
      <c r="BA415" s="157"/>
      <c r="BB415" s="157"/>
      <c r="BC415" s="157"/>
      <c r="BD415" s="157"/>
      <c r="BE415" s="157"/>
      <c r="BF415" s="157"/>
      <c r="BG415" s="157"/>
      <c r="BH415" s="157"/>
      <c r="BI415" s="157"/>
      <c r="BJ415" s="157"/>
    </row>
    <row r="416" spans="1:62" ht="15.75" customHeight="1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  <c r="AV416" s="157"/>
      <c r="AW416" s="157"/>
      <c r="AX416" s="157"/>
      <c r="AY416" s="157"/>
      <c r="AZ416" s="157"/>
      <c r="BA416" s="157"/>
      <c r="BB416" s="157"/>
      <c r="BC416" s="157"/>
      <c r="BD416" s="157"/>
      <c r="BE416" s="157"/>
      <c r="BF416" s="157"/>
      <c r="BG416" s="157"/>
      <c r="BH416" s="157"/>
      <c r="BI416" s="157"/>
      <c r="BJ416" s="157"/>
    </row>
    <row r="417" spans="1:62" ht="15.75" customHeight="1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  <c r="AV417" s="157"/>
      <c r="AW417" s="157"/>
      <c r="AX417" s="157"/>
      <c r="AY417" s="157"/>
      <c r="AZ417" s="157"/>
      <c r="BA417" s="157"/>
      <c r="BB417" s="157"/>
      <c r="BC417" s="157"/>
      <c r="BD417" s="157"/>
      <c r="BE417" s="157"/>
      <c r="BF417" s="157"/>
      <c r="BG417" s="157"/>
      <c r="BH417" s="157"/>
      <c r="BI417" s="157"/>
      <c r="BJ417" s="157"/>
    </row>
    <row r="418" spans="1:62" ht="15.75" customHeight="1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  <c r="AV418" s="157"/>
      <c r="AW418" s="157"/>
      <c r="AX418" s="157"/>
      <c r="AY418" s="157"/>
      <c r="AZ418" s="157"/>
      <c r="BA418" s="157"/>
      <c r="BB418" s="157"/>
      <c r="BC418" s="157"/>
      <c r="BD418" s="157"/>
      <c r="BE418" s="157"/>
      <c r="BF418" s="157"/>
      <c r="BG418" s="157"/>
      <c r="BH418" s="157"/>
      <c r="BI418" s="157"/>
      <c r="BJ418" s="157"/>
    </row>
    <row r="419" spans="1:62" ht="15.75" customHeight="1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  <c r="AV419" s="157"/>
      <c r="AW419" s="157"/>
      <c r="AX419" s="157"/>
      <c r="AY419" s="157"/>
      <c r="AZ419" s="157"/>
      <c r="BA419" s="157"/>
      <c r="BB419" s="157"/>
      <c r="BC419" s="157"/>
      <c r="BD419" s="157"/>
      <c r="BE419" s="157"/>
      <c r="BF419" s="157"/>
      <c r="BG419" s="157"/>
      <c r="BH419" s="157"/>
      <c r="BI419" s="157"/>
      <c r="BJ419" s="157"/>
    </row>
    <row r="420" spans="1:62" ht="15.75" customHeight="1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  <c r="AV420" s="157"/>
      <c r="AW420" s="157"/>
      <c r="AX420" s="157"/>
      <c r="AY420" s="157"/>
      <c r="AZ420" s="157"/>
      <c r="BA420" s="157"/>
      <c r="BB420" s="157"/>
      <c r="BC420" s="157"/>
      <c r="BD420" s="157"/>
      <c r="BE420" s="157"/>
      <c r="BF420" s="157"/>
      <c r="BG420" s="157"/>
      <c r="BH420" s="157"/>
      <c r="BI420" s="157"/>
      <c r="BJ420" s="157"/>
    </row>
    <row r="421" spans="1:62" ht="15.75" customHeight="1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  <c r="AV421" s="157"/>
      <c r="AW421" s="157"/>
      <c r="AX421" s="157"/>
      <c r="AY421" s="157"/>
      <c r="AZ421" s="157"/>
      <c r="BA421" s="157"/>
      <c r="BB421" s="157"/>
      <c r="BC421" s="157"/>
      <c r="BD421" s="157"/>
      <c r="BE421" s="157"/>
      <c r="BF421" s="157"/>
      <c r="BG421" s="157"/>
      <c r="BH421" s="157"/>
      <c r="BI421" s="157"/>
      <c r="BJ421" s="157"/>
    </row>
    <row r="422" spans="1:62" ht="15.75" customHeight="1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  <c r="AV422" s="157"/>
      <c r="AW422" s="157"/>
      <c r="AX422" s="157"/>
      <c r="AY422" s="157"/>
      <c r="AZ422" s="157"/>
      <c r="BA422" s="157"/>
      <c r="BB422" s="157"/>
      <c r="BC422" s="157"/>
      <c r="BD422" s="157"/>
      <c r="BE422" s="157"/>
      <c r="BF422" s="157"/>
      <c r="BG422" s="157"/>
      <c r="BH422" s="157"/>
      <c r="BI422" s="157"/>
      <c r="BJ422" s="157"/>
    </row>
    <row r="423" spans="1:62" ht="15.75" customHeight="1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  <c r="AV423" s="157"/>
      <c r="AW423" s="157"/>
      <c r="AX423" s="157"/>
      <c r="AY423" s="157"/>
      <c r="AZ423" s="157"/>
      <c r="BA423" s="157"/>
      <c r="BB423" s="157"/>
      <c r="BC423" s="157"/>
      <c r="BD423" s="157"/>
      <c r="BE423" s="157"/>
      <c r="BF423" s="157"/>
      <c r="BG423" s="157"/>
      <c r="BH423" s="157"/>
      <c r="BI423" s="157"/>
      <c r="BJ423" s="157"/>
    </row>
    <row r="424" spans="1:62" ht="15.75" customHeight="1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  <c r="AV424" s="157"/>
      <c r="AW424" s="157"/>
      <c r="AX424" s="157"/>
      <c r="AY424" s="157"/>
      <c r="AZ424" s="157"/>
      <c r="BA424" s="157"/>
      <c r="BB424" s="157"/>
      <c r="BC424" s="157"/>
      <c r="BD424" s="157"/>
      <c r="BE424" s="157"/>
      <c r="BF424" s="157"/>
      <c r="BG424" s="157"/>
      <c r="BH424" s="157"/>
      <c r="BI424" s="157"/>
      <c r="BJ424" s="157"/>
    </row>
    <row r="425" spans="1:62" ht="15.75" customHeight="1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  <c r="AV425" s="157"/>
      <c r="AW425" s="157"/>
      <c r="AX425" s="157"/>
      <c r="AY425" s="157"/>
      <c r="AZ425" s="157"/>
      <c r="BA425" s="157"/>
      <c r="BB425" s="157"/>
      <c r="BC425" s="157"/>
      <c r="BD425" s="157"/>
      <c r="BE425" s="157"/>
      <c r="BF425" s="157"/>
      <c r="BG425" s="157"/>
      <c r="BH425" s="157"/>
      <c r="BI425" s="157"/>
      <c r="BJ425" s="157"/>
    </row>
    <row r="426" spans="1:62" ht="15.75" customHeight="1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  <c r="AV426" s="157"/>
      <c r="AW426" s="157"/>
      <c r="AX426" s="157"/>
      <c r="AY426" s="157"/>
      <c r="AZ426" s="157"/>
      <c r="BA426" s="157"/>
      <c r="BB426" s="157"/>
      <c r="BC426" s="157"/>
      <c r="BD426" s="157"/>
      <c r="BE426" s="157"/>
      <c r="BF426" s="157"/>
      <c r="BG426" s="157"/>
      <c r="BH426" s="157"/>
      <c r="BI426" s="157"/>
      <c r="BJ426" s="157"/>
    </row>
    <row r="427" spans="1:62" ht="15.75" customHeight="1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  <c r="AV427" s="157"/>
      <c r="AW427" s="157"/>
      <c r="AX427" s="157"/>
      <c r="AY427" s="157"/>
      <c r="AZ427" s="157"/>
      <c r="BA427" s="157"/>
      <c r="BB427" s="157"/>
      <c r="BC427" s="157"/>
      <c r="BD427" s="157"/>
      <c r="BE427" s="157"/>
      <c r="BF427" s="157"/>
      <c r="BG427" s="157"/>
      <c r="BH427" s="157"/>
      <c r="BI427" s="157"/>
      <c r="BJ427" s="157"/>
    </row>
    <row r="428" spans="1:62" ht="15.75" customHeight="1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  <c r="AV428" s="157"/>
      <c r="AW428" s="157"/>
      <c r="AX428" s="157"/>
      <c r="AY428" s="157"/>
      <c r="AZ428" s="157"/>
      <c r="BA428" s="157"/>
      <c r="BB428" s="157"/>
      <c r="BC428" s="157"/>
      <c r="BD428" s="157"/>
      <c r="BE428" s="157"/>
      <c r="BF428" s="157"/>
      <c r="BG428" s="157"/>
      <c r="BH428" s="157"/>
      <c r="BI428" s="157"/>
      <c r="BJ428" s="157"/>
    </row>
    <row r="429" spans="1:62" ht="15.75" customHeight="1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  <c r="AV429" s="157"/>
      <c r="AW429" s="157"/>
      <c r="AX429" s="157"/>
      <c r="AY429" s="157"/>
      <c r="AZ429" s="157"/>
      <c r="BA429" s="157"/>
      <c r="BB429" s="157"/>
      <c r="BC429" s="157"/>
      <c r="BD429" s="157"/>
      <c r="BE429" s="157"/>
      <c r="BF429" s="157"/>
      <c r="BG429" s="157"/>
      <c r="BH429" s="157"/>
      <c r="BI429" s="157"/>
      <c r="BJ429" s="157"/>
    </row>
    <row r="430" spans="1:62" ht="15.75" customHeight="1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  <c r="AV430" s="157"/>
      <c r="AW430" s="157"/>
      <c r="AX430" s="157"/>
      <c r="AY430" s="157"/>
      <c r="AZ430" s="157"/>
      <c r="BA430" s="157"/>
      <c r="BB430" s="157"/>
      <c r="BC430" s="157"/>
      <c r="BD430" s="157"/>
      <c r="BE430" s="157"/>
      <c r="BF430" s="157"/>
      <c r="BG430" s="157"/>
      <c r="BH430" s="157"/>
      <c r="BI430" s="157"/>
      <c r="BJ430" s="157"/>
    </row>
    <row r="431" spans="1:62" ht="15.75" customHeight="1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  <c r="AV431" s="157"/>
      <c r="AW431" s="157"/>
      <c r="AX431" s="157"/>
      <c r="AY431" s="157"/>
      <c r="AZ431" s="157"/>
      <c r="BA431" s="157"/>
      <c r="BB431" s="157"/>
      <c r="BC431" s="157"/>
      <c r="BD431" s="157"/>
      <c r="BE431" s="157"/>
      <c r="BF431" s="157"/>
      <c r="BG431" s="157"/>
      <c r="BH431" s="157"/>
      <c r="BI431" s="157"/>
      <c r="BJ431" s="157"/>
    </row>
    <row r="432" spans="1:62" ht="15.75" customHeight="1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  <c r="AV432" s="157"/>
      <c r="AW432" s="157"/>
      <c r="AX432" s="157"/>
      <c r="AY432" s="157"/>
      <c r="AZ432" s="157"/>
      <c r="BA432" s="157"/>
      <c r="BB432" s="157"/>
      <c r="BC432" s="157"/>
      <c r="BD432" s="157"/>
      <c r="BE432" s="157"/>
      <c r="BF432" s="157"/>
      <c r="BG432" s="157"/>
      <c r="BH432" s="157"/>
      <c r="BI432" s="157"/>
      <c r="BJ432" s="157"/>
    </row>
    <row r="433" spans="1:62" ht="15.75" customHeight="1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  <c r="AV433" s="157"/>
      <c r="AW433" s="157"/>
      <c r="AX433" s="157"/>
      <c r="AY433" s="157"/>
      <c r="AZ433" s="157"/>
      <c r="BA433" s="157"/>
      <c r="BB433" s="157"/>
      <c r="BC433" s="157"/>
      <c r="BD433" s="157"/>
      <c r="BE433" s="157"/>
      <c r="BF433" s="157"/>
      <c r="BG433" s="157"/>
      <c r="BH433" s="157"/>
      <c r="BI433" s="157"/>
      <c r="BJ433" s="157"/>
    </row>
    <row r="434" spans="1:62" ht="15.75" customHeight="1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  <c r="AV434" s="157"/>
      <c r="AW434" s="157"/>
      <c r="AX434" s="157"/>
      <c r="AY434" s="157"/>
      <c r="AZ434" s="157"/>
      <c r="BA434" s="157"/>
      <c r="BB434" s="157"/>
      <c r="BC434" s="157"/>
      <c r="BD434" s="157"/>
      <c r="BE434" s="157"/>
      <c r="BF434" s="157"/>
      <c r="BG434" s="157"/>
      <c r="BH434" s="157"/>
      <c r="BI434" s="157"/>
      <c r="BJ434" s="157"/>
    </row>
    <row r="435" spans="1:62" ht="15.75" customHeight="1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  <c r="AV435" s="157"/>
      <c r="AW435" s="157"/>
      <c r="AX435" s="157"/>
      <c r="AY435" s="157"/>
      <c r="AZ435" s="157"/>
      <c r="BA435" s="157"/>
      <c r="BB435" s="157"/>
      <c r="BC435" s="157"/>
      <c r="BD435" s="157"/>
      <c r="BE435" s="157"/>
      <c r="BF435" s="157"/>
      <c r="BG435" s="157"/>
      <c r="BH435" s="157"/>
      <c r="BI435" s="157"/>
      <c r="BJ435" s="157"/>
    </row>
    <row r="436" spans="1:62" ht="15.75" customHeight="1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  <c r="AV436" s="157"/>
      <c r="AW436" s="157"/>
      <c r="AX436" s="157"/>
      <c r="AY436" s="157"/>
      <c r="AZ436" s="157"/>
      <c r="BA436" s="157"/>
      <c r="BB436" s="157"/>
      <c r="BC436" s="157"/>
      <c r="BD436" s="157"/>
      <c r="BE436" s="157"/>
      <c r="BF436" s="157"/>
      <c r="BG436" s="157"/>
      <c r="BH436" s="157"/>
      <c r="BI436" s="157"/>
      <c r="BJ436" s="157"/>
    </row>
    <row r="437" spans="1:62" ht="15.75" customHeight="1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  <c r="AV437" s="157"/>
      <c r="AW437" s="157"/>
      <c r="AX437" s="157"/>
      <c r="AY437" s="157"/>
      <c r="AZ437" s="157"/>
      <c r="BA437" s="157"/>
      <c r="BB437" s="157"/>
      <c r="BC437" s="157"/>
      <c r="BD437" s="157"/>
      <c r="BE437" s="157"/>
      <c r="BF437" s="157"/>
      <c r="BG437" s="157"/>
      <c r="BH437" s="157"/>
      <c r="BI437" s="157"/>
      <c r="BJ437" s="157"/>
    </row>
    <row r="438" spans="1:62" ht="15.75" customHeight="1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  <c r="AV438" s="157"/>
      <c r="AW438" s="157"/>
      <c r="AX438" s="157"/>
      <c r="AY438" s="157"/>
      <c r="AZ438" s="157"/>
      <c r="BA438" s="157"/>
      <c r="BB438" s="157"/>
      <c r="BC438" s="157"/>
      <c r="BD438" s="157"/>
      <c r="BE438" s="157"/>
      <c r="BF438" s="157"/>
      <c r="BG438" s="157"/>
      <c r="BH438" s="157"/>
      <c r="BI438" s="157"/>
      <c r="BJ438" s="157"/>
    </row>
    <row r="439" spans="1:62" ht="15.75" customHeight="1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  <c r="AV439" s="157"/>
      <c r="AW439" s="157"/>
      <c r="AX439" s="157"/>
      <c r="AY439" s="157"/>
      <c r="AZ439" s="157"/>
      <c r="BA439" s="157"/>
      <c r="BB439" s="157"/>
      <c r="BC439" s="157"/>
      <c r="BD439" s="157"/>
      <c r="BE439" s="157"/>
      <c r="BF439" s="157"/>
      <c r="BG439" s="157"/>
      <c r="BH439" s="157"/>
      <c r="BI439" s="157"/>
      <c r="BJ439" s="157"/>
    </row>
    <row r="440" spans="1:62" ht="15.75" customHeight="1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  <c r="AV440" s="157"/>
      <c r="AW440" s="157"/>
      <c r="AX440" s="157"/>
      <c r="AY440" s="157"/>
      <c r="AZ440" s="157"/>
      <c r="BA440" s="157"/>
      <c r="BB440" s="157"/>
      <c r="BC440" s="157"/>
      <c r="BD440" s="157"/>
      <c r="BE440" s="157"/>
      <c r="BF440" s="157"/>
      <c r="BG440" s="157"/>
      <c r="BH440" s="157"/>
      <c r="BI440" s="157"/>
      <c r="BJ440" s="157"/>
    </row>
    <row r="441" spans="1:62" ht="15.75" customHeight="1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  <c r="AV441" s="157"/>
      <c r="AW441" s="157"/>
      <c r="AX441" s="157"/>
      <c r="AY441" s="157"/>
      <c r="AZ441" s="157"/>
      <c r="BA441" s="157"/>
      <c r="BB441" s="157"/>
      <c r="BC441" s="157"/>
      <c r="BD441" s="157"/>
      <c r="BE441" s="157"/>
      <c r="BF441" s="157"/>
      <c r="BG441" s="157"/>
      <c r="BH441" s="157"/>
      <c r="BI441" s="157"/>
      <c r="BJ441" s="157"/>
    </row>
    <row r="442" spans="1:62" ht="15.75" customHeight="1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  <c r="AV442" s="157"/>
      <c r="AW442" s="157"/>
      <c r="AX442" s="157"/>
      <c r="AY442" s="157"/>
      <c r="AZ442" s="157"/>
      <c r="BA442" s="157"/>
      <c r="BB442" s="157"/>
      <c r="BC442" s="157"/>
      <c r="BD442" s="157"/>
      <c r="BE442" s="157"/>
      <c r="BF442" s="157"/>
      <c r="BG442" s="157"/>
      <c r="BH442" s="157"/>
      <c r="BI442" s="157"/>
      <c r="BJ442" s="157"/>
    </row>
    <row r="443" spans="1:62" ht="15.75" customHeight="1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  <c r="AV443" s="157"/>
      <c r="AW443" s="157"/>
      <c r="AX443" s="157"/>
      <c r="AY443" s="157"/>
      <c r="AZ443" s="157"/>
      <c r="BA443" s="157"/>
      <c r="BB443" s="157"/>
      <c r="BC443" s="157"/>
      <c r="BD443" s="157"/>
      <c r="BE443" s="157"/>
      <c r="BF443" s="157"/>
      <c r="BG443" s="157"/>
      <c r="BH443" s="157"/>
      <c r="BI443" s="157"/>
      <c r="BJ443" s="157"/>
    </row>
    <row r="444" spans="1:62" ht="15.75" customHeight="1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  <c r="AV444" s="157"/>
      <c r="AW444" s="157"/>
      <c r="AX444" s="157"/>
      <c r="AY444" s="157"/>
      <c r="AZ444" s="157"/>
      <c r="BA444" s="157"/>
      <c r="BB444" s="157"/>
      <c r="BC444" s="157"/>
      <c r="BD444" s="157"/>
      <c r="BE444" s="157"/>
      <c r="BF444" s="157"/>
      <c r="BG444" s="157"/>
      <c r="BH444" s="157"/>
      <c r="BI444" s="157"/>
      <c r="BJ444" s="157"/>
    </row>
    <row r="445" spans="1:62" ht="15.75" customHeight="1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  <c r="AV445" s="157"/>
      <c r="AW445" s="157"/>
      <c r="AX445" s="157"/>
      <c r="AY445" s="157"/>
      <c r="AZ445" s="157"/>
      <c r="BA445" s="157"/>
      <c r="BB445" s="157"/>
      <c r="BC445" s="157"/>
      <c r="BD445" s="157"/>
      <c r="BE445" s="157"/>
      <c r="BF445" s="157"/>
      <c r="BG445" s="157"/>
      <c r="BH445" s="157"/>
      <c r="BI445" s="157"/>
      <c r="BJ445" s="157"/>
    </row>
    <row r="446" spans="1:62" ht="15.75" customHeight="1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  <c r="AV446" s="157"/>
      <c r="AW446" s="157"/>
      <c r="AX446" s="157"/>
      <c r="AY446" s="157"/>
      <c r="AZ446" s="157"/>
      <c r="BA446" s="157"/>
      <c r="BB446" s="157"/>
      <c r="BC446" s="157"/>
      <c r="BD446" s="157"/>
      <c r="BE446" s="157"/>
      <c r="BF446" s="157"/>
      <c r="BG446" s="157"/>
      <c r="BH446" s="157"/>
      <c r="BI446" s="157"/>
      <c r="BJ446" s="157"/>
    </row>
    <row r="447" spans="1:62" ht="15.75" customHeight="1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  <c r="AV447" s="157"/>
      <c r="AW447" s="157"/>
      <c r="AX447" s="157"/>
      <c r="AY447" s="157"/>
      <c r="AZ447" s="157"/>
      <c r="BA447" s="157"/>
      <c r="BB447" s="157"/>
      <c r="BC447" s="157"/>
      <c r="BD447" s="157"/>
      <c r="BE447" s="157"/>
      <c r="BF447" s="157"/>
      <c r="BG447" s="157"/>
      <c r="BH447" s="157"/>
      <c r="BI447" s="157"/>
      <c r="BJ447" s="157"/>
    </row>
    <row r="448" spans="1:62" ht="15.75" customHeight="1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  <c r="AV448" s="157"/>
      <c r="AW448" s="157"/>
      <c r="AX448" s="157"/>
      <c r="AY448" s="157"/>
      <c r="AZ448" s="157"/>
      <c r="BA448" s="157"/>
      <c r="BB448" s="157"/>
      <c r="BC448" s="157"/>
      <c r="BD448" s="157"/>
      <c r="BE448" s="157"/>
      <c r="BF448" s="157"/>
      <c r="BG448" s="157"/>
      <c r="BH448" s="157"/>
      <c r="BI448" s="157"/>
      <c r="BJ448" s="157"/>
    </row>
    <row r="449" spans="1:62" ht="15.75" customHeight="1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  <c r="AV449" s="157"/>
      <c r="AW449" s="157"/>
      <c r="AX449" s="157"/>
      <c r="AY449" s="157"/>
      <c r="AZ449" s="157"/>
      <c r="BA449" s="157"/>
      <c r="BB449" s="157"/>
      <c r="BC449" s="157"/>
      <c r="BD449" s="157"/>
      <c r="BE449" s="157"/>
      <c r="BF449" s="157"/>
      <c r="BG449" s="157"/>
      <c r="BH449" s="157"/>
      <c r="BI449" s="157"/>
      <c r="BJ449" s="157"/>
    </row>
    <row r="450" spans="1:62" ht="15.75" customHeight="1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  <c r="AV450" s="157"/>
      <c r="AW450" s="157"/>
      <c r="AX450" s="157"/>
      <c r="AY450" s="157"/>
      <c r="AZ450" s="157"/>
      <c r="BA450" s="157"/>
      <c r="BB450" s="157"/>
      <c r="BC450" s="157"/>
      <c r="BD450" s="157"/>
      <c r="BE450" s="157"/>
      <c r="BF450" s="157"/>
      <c r="BG450" s="157"/>
      <c r="BH450" s="157"/>
      <c r="BI450" s="157"/>
      <c r="BJ450" s="157"/>
    </row>
    <row r="451" spans="1:62" ht="15.75" customHeight="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  <c r="AV451" s="157"/>
      <c r="AW451" s="157"/>
      <c r="AX451" s="157"/>
      <c r="AY451" s="157"/>
      <c r="AZ451" s="157"/>
      <c r="BA451" s="157"/>
      <c r="BB451" s="157"/>
      <c r="BC451" s="157"/>
      <c r="BD451" s="157"/>
      <c r="BE451" s="157"/>
      <c r="BF451" s="157"/>
      <c r="BG451" s="157"/>
      <c r="BH451" s="157"/>
      <c r="BI451" s="157"/>
      <c r="BJ451" s="157"/>
    </row>
    <row r="452" spans="1:62" ht="15.75" customHeight="1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  <c r="AV452" s="157"/>
      <c r="AW452" s="157"/>
      <c r="AX452" s="157"/>
      <c r="AY452" s="157"/>
      <c r="AZ452" s="157"/>
      <c r="BA452" s="157"/>
      <c r="BB452" s="157"/>
      <c r="BC452" s="157"/>
      <c r="BD452" s="157"/>
      <c r="BE452" s="157"/>
      <c r="BF452" s="157"/>
      <c r="BG452" s="157"/>
      <c r="BH452" s="157"/>
      <c r="BI452" s="157"/>
      <c r="BJ452" s="157"/>
    </row>
    <row r="453" spans="1:62" ht="15.75" customHeight="1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  <c r="AV453" s="157"/>
      <c r="AW453" s="157"/>
      <c r="AX453" s="157"/>
      <c r="AY453" s="157"/>
      <c r="AZ453" s="157"/>
      <c r="BA453" s="157"/>
      <c r="BB453" s="157"/>
      <c r="BC453" s="157"/>
      <c r="BD453" s="157"/>
      <c r="BE453" s="157"/>
      <c r="BF453" s="157"/>
      <c r="BG453" s="157"/>
      <c r="BH453" s="157"/>
      <c r="BI453" s="157"/>
      <c r="BJ453" s="157"/>
    </row>
    <row r="454" spans="1:62" ht="15.75" customHeight="1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  <c r="AV454" s="157"/>
      <c r="AW454" s="157"/>
      <c r="AX454" s="157"/>
      <c r="AY454" s="157"/>
      <c r="AZ454" s="157"/>
      <c r="BA454" s="157"/>
      <c r="BB454" s="157"/>
      <c r="BC454" s="157"/>
      <c r="BD454" s="157"/>
      <c r="BE454" s="157"/>
      <c r="BF454" s="157"/>
      <c r="BG454" s="157"/>
      <c r="BH454" s="157"/>
      <c r="BI454" s="157"/>
      <c r="BJ454" s="157"/>
    </row>
    <row r="455" spans="1:62" ht="15.75" customHeight="1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  <c r="AV455" s="157"/>
      <c r="AW455" s="157"/>
      <c r="AX455" s="157"/>
      <c r="AY455" s="157"/>
      <c r="AZ455" s="157"/>
      <c r="BA455" s="157"/>
      <c r="BB455" s="157"/>
      <c r="BC455" s="157"/>
      <c r="BD455" s="157"/>
      <c r="BE455" s="157"/>
      <c r="BF455" s="157"/>
      <c r="BG455" s="157"/>
      <c r="BH455" s="157"/>
      <c r="BI455" s="157"/>
      <c r="BJ455" s="157"/>
    </row>
    <row r="456" spans="1:62" ht="15.75" customHeight="1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  <c r="AV456" s="157"/>
      <c r="AW456" s="157"/>
      <c r="AX456" s="157"/>
      <c r="AY456" s="157"/>
      <c r="AZ456" s="157"/>
      <c r="BA456" s="157"/>
      <c r="BB456" s="157"/>
      <c r="BC456" s="157"/>
      <c r="BD456" s="157"/>
      <c r="BE456" s="157"/>
      <c r="BF456" s="157"/>
      <c r="BG456" s="157"/>
      <c r="BH456" s="157"/>
      <c r="BI456" s="157"/>
      <c r="BJ456" s="157"/>
    </row>
    <row r="457" spans="1:62" ht="15.75" customHeight="1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  <c r="AV457" s="157"/>
      <c r="AW457" s="157"/>
      <c r="AX457" s="157"/>
      <c r="AY457" s="157"/>
      <c r="AZ457" s="157"/>
      <c r="BA457" s="157"/>
      <c r="BB457" s="157"/>
      <c r="BC457" s="157"/>
      <c r="BD457" s="157"/>
      <c r="BE457" s="157"/>
      <c r="BF457" s="157"/>
      <c r="BG457" s="157"/>
      <c r="BH457" s="157"/>
      <c r="BI457" s="157"/>
      <c r="BJ457" s="157"/>
    </row>
    <row r="458" spans="1:62" ht="15.75" customHeight="1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  <c r="AV458" s="157"/>
      <c r="AW458" s="157"/>
      <c r="AX458" s="157"/>
      <c r="AY458" s="157"/>
      <c r="AZ458" s="157"/>
      <c r="BA458" s="157"/>
      <c r="BB458" s="157"/>
      <c r="BC458" s="157"/>
      <c r="BD458" s="157"/>
      <c r="BE458" s="157"/>
      <c r="BF458" s="157"/>
      <c r="BG458" s="157"/>
      <c r="BH458" s="157"/>
      <c r="BI458" s="157"/>
      <c r="BJ458" s="157"/>
    </row>
    <row r="459" spans="1:62" ht="15.75" customHeight="1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  <c r="AV459" s="157"/>
      <c r="AW459" s="157"/>
      <c r="AX459" s="157"/>
      <c r="AY459" s="157"/>
      <c r="AZ459" s="157"/>
      <c r="BA459" s="157"/>
      <c r="BB459" s="157"/>
      <c r="BC459" s="157"/>
      <c r="BD459" s="157"/>
      <c r="BE459" s="157"/>
      <c r="BF459" s="157"/>
      <c r="BG459" s="157"/>
      <c r="BH459" s="157"/>
      <c r="BI459" s="157"/>
      <c r="BJ459" s="157"/>
    </row>
    <row r="460" spans="1:62" ht="15.75" customHeight="1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  <c r="AV460" s="157"/>
      <c r="AW460" s="157"/>
      <c r="AX460" s="157"/>
      <c r="AY460" s="157"/>
      <c r="AZ460" s="157"/>
      <c r="BA460" s="157"/>
      <c r="BB460" s="157"/>
      <c r="BC460" s="157"/>
      <c r="BD460" s="157"/>
      <c r="BE460" s="157"/>
      <c r="BF460" s="157"/>
      <c r="BG460" s="157"/>
      <c r="BH460" s="157"/>
      <c r="BI460" s="157"/>
      <c r="BJ460" s="157"/>
    </row>
    <row r="461" spans="1:62" ht="15.75" customHeight="1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  <c r="AV461" s="157"/>
      <c r="AW461" s="157"/>
      <c r="AX461" s="157"/>
      <c r="AY461" s="157"/>
      <c r="AZ461" s="157"/>
      <c r="BA461" s="157"/>
      <c r="BB461" s="157"/>
      <c r="BC461" s="157"/>
      <c r="BD461" s="157"/>
      <c r="BE461" s="157"/>
      <c r="BF461" s="157"/>
      <c r="BG461" s="157"/>
      <c r="BH461" s="157"/>
      <c r="BI461" s="157"/>
      <c r="BJ461" s="157"/>
    </row>
    <row r="462" spans="1:62" ht="15.75" customHeight="1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  <c r="AV462" s="157"/>
      <c r="AW462" s="157"/>
      <c r="AX462" s="157"/>
      <c r="AY462" s="157"/>
      <c r="AZ462" s="157"/>
      <c r="BA462" s="157"/>
      <c r="BB462" s="157"/>
      <c r="BC462" s="157"/>
      <c r="BD462" s="157"/>
      <c r="BE462" s="157"/>
      <c r="BF462" s="157"/>
      <c r="BG462" s="157"/>
      <c r="BH462" s="157"/>
      <c r="BI462" s="157"/>
      <c r="BJ462" s="157"/>
    </row>
    <row r="463" spans="1:62" ht="15.75" customHeight="1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  <c r="AV463" s="157"/>
      <c r="AW463" s="157"/>
      <c r="AX463" s="157"/>
      <c r="AY463" s="157"/>
      <c r="AZ463" s="157"/>
      <c r="BA463" s="157"/>
      <c r="BB463" s="157"/>
      <c r="BC463" s="157"/>
      <c r="BD463" s="157"/>
      <c r="BE463" s="157"/>
      <c r="BF463" s="157"/>
      <c r="BG463" s="157"/>
      <c r="BH463" s="157"/>
      <c r="BI463" s="157"/>
      <c r="BJ463" s="157"/>
    </row>
    <row r="464" spans="1:62" ht="15.75" customHeight="1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  <c r="AV464" s="157"/>
      <c r="AW464" s="157"/>
      <c r="AX464" s="157"/>
      <c r="AY464" s="157"/>
      <c r="AZ464" s="157"/>
      <c r="BA464" s="157"/>
      <c r="BB464" s="157"/>
      <c r="BC464" s="157"/>
      <c r="BD464" s="157"/>
      <c r="BE464" s="157"/>
      <c r="BF464" s="157"/>
      <c r="BG464" s="157"/>
      <c r="BH464" s="157"/>
      <c r="BI464" s="157"/>
      <c r="BJ464" s="157"/>
    </row>
    <row r="465" spans="1:62" ht="15.75" customHeight="1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  <c r="AV465" s="157"/>
      <c r="AW465" s="157"/>
      <c r="AX465" s="157"/>
      <c r="AY465" s="157"/>
      <c r="AZ465" s="157"/>
      <c r="BA465" s="157"/>
      <c r="BB465" s="157"/>
      <c r="BC465" s="157"/>
      <c r="BD465" s="157"/>
      <c r="BE465" s="157"/>
      <c r="BF465" s="157"/>
      <c r="BG465" s="157"/>
      <c r="BH465" s="157"/>
      <c r="BI465" s="157"/>
      <c r="BJ465" s="157"/>
    </row>
    <row r="466" spans="1:62" ht="15.75" customHeight="1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  <c r="AV466" s="157"/>
      <c r="AW466" s="157"/>
      <c r="AX466" s="157"/>
      <c r="AY466" s="157"/>
      <c r="AZ466" s="157"/>
      <c r="BA466" s="157"/>
      <c r="BB466" s="157"/>
      <c r="BC466" s="157"/>
      <c r="BD466" s="157"/>
      <c r="BE466" s="157"/>
      <c r="BF466" s="157"/>
      <c r="BG466" s="157"/>
      <c r="BH466" s="157"/>
      <c r="BI466" s="157"/>
      <c r="BJ466" s="157"/>
    </row>
    <row r="467" spans="1:62" ht="15.75" customHeight="1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  <c r="AV467" s="157"/>
      <c r="AW467" s="157"/>
      <c r="AX467" s="157"/>
      <c r="AY467" s="157"/>
      <c r="AZ467" s="157"/>
      <c r="BA467" s="157"/>
      <c r="BB467" s="157"/>
      <c r="BC467" s="157"/>
      <c r="BD467" s="157"/>
      <c r="BE467" s="157"/>
      <c r="BF467" s="157"/>
      <c r="BG467" s="157"/>
      <c r="BH467" s="157"/>
      <c r="BI467" s="157"/>
      <c r="BJ467" s="157"/>
    </row>
    <row r="468" spans="1:62" ht="15.75" customHeight="1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  <c r="AV468" s="157"/>
      <c r="AW468" s="157"/>
      <c r="AX468" s="157"/>
      <c r="AY468" s="157"/>
      <c r="AZ468" s="157"/>
      <c r="BA468" s="157"/>
      <c r="BB468" s="157"/>
      <c r="BC468" s="157"/>
      <c r="BD468" s="157"/>
      <c r="BE468" s="157"/>
      <c r="BF468" s="157"/>
      <c r="BG468" s="157"/>
      <c r="BH468" s="157"/>
      <c r="BI468" s="157"/>
      <c r="BJ468" s="157"/>
    </row>
    <row r="469" spans="1:62" ht="15.75" customHeight="1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  <c r="AV469" s="157"/>
      <c r="AW469" s="157"/>
      <c r="AX469" s="157"/>
      <c r="AY469" s="157"/>
      <c r="AZ469" s="157"/>
      <c r="BA469" s="157"/>
      <c r="BB469" s="157"/>
      <c r="BC469" s="157"/>
      <c r="BD469" s="157"/>
      <c r="BE469" s="157"/>
      <c r="BF469" s="157"/>
      <c r="BG469" s="157"/>
      <c r="BH469" s="157"/>
      <c r="BI469" s="157"/>
      <c r="BJ469" s="157"/>
    </row>
    <row r="470" spans="1:62" ht="15.75" customHeight="1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  <c r="AV470" s="157"/>
      <c r="AW470" s="157"/>
      <c r="AX470" s="157"/>
      <c r="AY470" s="157"/>
      <c r="AZ470" s="157"/>
      <c r="BA470" s="157"/>
      <c r="BB470" s="157"/>
      <c r="BC470" s="157"/>
      <c r="BD470" s="157"/>
      <c r="BE470" s="157"/>
      <c r="BF470" s="157"/>
      <c r="BG470" s="157"/>
      <c r="BH470" s="157"/>
      <c r="BI470" s="157"/>
      <c r="BJ470" s="157"/>
    </row>
    <row r="471" spans="1:62" ht="15.75" customHeight="1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  <c r="AV471" s="157"/>
      <c r="AW471" s="157"/>
      <c r="AX471" s="157"/>
      <c r="AY471" s="157"/>
      <c r="AZ471" s="157"/>
      <c r="BA471" s="157"/>
      <c r="BB471" s="157"/>
      <c r="BC471" s="157"/>
      <c r="BD471" s="157"/>
      <c r="BE471" s="157"/>
      <c r="BF471" s="157"/>
      <c r="BG471" s="157"/>
      <c r="BH471" s="157"/>
      <c r="BI471" s="157"/>
      <c r="BJ471" s="157"/>
    </row>
    <row r="472" spans="1:62" ht="15.75" customHeight="1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  <c r="AV472" s="157"/>
      <c r="AW472" s="157"/>
      <c r="AX472" s="157"/>
      <c r="AY472" s="157"/>
      <c r="AZ472" s="157"/>
      <c r="BA472" s="157"/>
      <c r="BB472" s="157"/>
      <c r="BC472" s="157"/>
      <c r="BD472" s="157"/>
      <c r="BE472" s="157"/>
      <c r="BF472" s="157"/>
      <c r="BG472" s="157"/>
      <c r="BH472" s="157"/>
      <c r="BI472" s="157"/>
      <c r="BJ472" s="157"/>
    </row>
    <row r="473" spans="1:62" ht="15.75" customHeight="1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  <c r="AV473" s="157"/>
      <c r="AW473" s="157"/>
      <c r="AX473" s="157"/>
      <c r="AY473" s="157"/>
      <c r="AZ473" s="157"/>
      <c r="BA473" s="157"/>
      <c r="BB473" s="157"/>
      <c r="BC473" s="157"/>
      <c r="BD473" s="157"/>
      <c r="BE473" s="157"/>
      <c r="BF473" s="157"/>
      <c r="BG473" s="157"/>
      <c r="BH473" s="157"/>
      <c r="BI473" s="157"/>
      <c r="BJ473" s="157"/>
    </row>
    <row r="474" spans="1:62" ht="15.75" customHeight="1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  <c r="AV474" s="157"/>
      <c r="AW474" s="157"/>
      <c r="AX474" s="157"/>
      <c r="AY474" s="157"/>
      <c r="AZ474" s="157"/>
      <c r="BA474" s="157"/>
      <c r="BB474" s="157"/>
      <c r="BC474" s="157"/>
      <c r="BD474" s="157"/>
      <c r="BE474" s="157"/>
      <c r="BF474" s="157"/>
      <c r="BG474" s="157"/>
      <c r="BH474" s="157"/>
      <c r="BI474" s="157"/>
      <c r="BJ474" s="157"/>
    </row>
    <row r="475" spans="1:62" ht="15.75" customHeight="1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  <c r="AV475" s="157"/>
      <c r="AW475" s="157"/>
      <c r="AX475" s="157"/>
      <c r="AY475" s="157"/>
      <c r="AZ475" s="157"/>
      <c r="BA475" s="157"/>
      <c r="BB475" s="157"/>
      <c r="BC475" s="157"/>
      <c r="BD475" s="157"/>
      <c r="BE475" s="157"/>
      <c r="BF475" s="157"/>
      <c r="BG475" s="157"/>
      <c r="BH475" s="157"/>
      <c r="BI475" s="157"/>
      <c r="BJ475" s="157"/>
    </row>
    <row r="476" spans="1:62" ht="15.75" customHeight="1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  <c r="AV476" s="157"/>
      <c r="AW476" s="157"/>
      <c r="AX476" s="157"/>
      <c r="AY476" s="157"/>
      <c r="AZ476" s="157"/>
      <c r="BA476" s="157"/>
      <c r="BB476" s="157"/>
      <c r="BC476" s="157"/>
      <c r="BD476" s="157"/>
      <c r="BE476" s="157"/>
      <c r="BF476" s="157"/>
      <c r="BG476" s="157"/>
      <c r="BH476" s="157"/>
      <c r="BI476" s="157"/>
      <c r="BJ476" s="157"/>
    </row>
    <row r="477" spans="1:62" ht="15.75" customHeight="1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  <c r="AV477" s="157"/>
      <c r="AW477" s="157"/>
      <c r="AX477" s="157"/>
      <c r="AY477" s="157"/>
      <c r="AZ477" s="157"/>
      <c r="BA477" s="157"/>
      <c r="BB477" s="157"/>
      <c r="BC477" s="157"/>
      <c r="BD477" s="157"/>
      <c r="BE477" s="157"/>
      <c r="BF477" s="157"/>
      <c r="BG477" s="157"/>
      <c r="BH477" s="157"/>
      <c r="BI477" s="157"/>
      <c r="BJ477" s="157"/>
    </row>
    <row r="478" spans="1:62" ht="15.75" customHeight="1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  <c r="AV478" s="157"/>
      <c r="AW478" s="157"/>
      <c r="AX478" s="157"/>
      <c r="AY478" s="157"/>
      <c r="AZ478" s="157"/>
      <c r="BA478" s="157"/>
      <c r="BB478" s="157"/>
      <c r="BC478" s="157"/>
      <c r="BD478" s="157"/>
      <c r="BE478" s="157"/>
      <c r="BF478" s="157"/>
      <c r="BG478" s="157"/>
      <c r="BH478" s="157"/>
      <c r="BI478" s="157"/>
      <c r="BJ478" s="157"/>
    </row>
    <row r="479" spans="1:62" ht="15.75" customHeight="1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  <c r="AV479" s="157"/>
      <c r="AW479" s="157"/>
      <c r="AX479" s="157"/>
      <c r="AY479" s="157"/>
      <c r="AZ479" s="157"/>
      <c r="BA479" s="157"/>
      <c r="BB479" s="157"/>
      <c r="BC479" s="157"/>
      <c r="BD479" s="157"/>
      <c r="BE479" s="157"/>
      <c r="BF479" s="157"/>
      <c r="BG479" s="157"/>
      <c r="BH479" s="157"/>
      <c r="BI479" s="157"/>
      <c r="BJ479" s="157"/>
    </row>
    <row r="480" spans="1:62" ht="15.75" customHeight="1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  <c r="AV480" s="157"/>
      <c r="AW480" s="157"/>
      <c r="AX480" s="157"/>
      <c r="AY480" s="157"/>
      <c r="AZ480" s="157"/>
      <c r="BA480" s="157"/>
      <c r="BB480" s="157"/>
      <c r="BC480" s="157"/>
      <c r="BD480" s="157"/>
      <c r="BE480" s="157"/>
      <c r="BF480" s="157"/>
      <c r="BG480" s="157"/>
      <c r="BH480" s="157"/>
      <c r="BI480" s="157"/>
      <c r="BJ480" s="157"/>
    </row>
    <row r="481" spans="1:62" ht="15.75" customHeight="1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  <c r="AV481" s="157"/>
      <c r="AW481" s="157"/>
      <c r="AX481" s="157"/>
      <c r="AY481" s="157"/>
      <c r="AZ481" s="157"/>
      <c r="BA481" s="157"/>
      <c r="BB481" s="157"/>
      <c r="BC481" s="157"/>
      <c r="BD481" s="157"/>
      <c r="BE481" s="157"/>
      <c r="BF481" s="157"/>
      <c r="BG481" s="157"/>
      <c r="BH481" s="157"/>
      <c r="BI481" s="157"/>
      <c r="BJ481" s="157"/>
    </row>
    <row r="482" spans="1:62" ht="15.75" customHeight="1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  <c r="AV482" s="157"/>
      <c r="AW482" s="157"/>
      <c r="AX482" s="157"/>
      <c r="AY482" s="157"/>
      <c r="AZ482" s="157"/>
      <c r="BA482" s="157"/>
      <c r="BB482" s="157"/>
      <c r="BC482" s="157"/>
      <c r="BD482" s="157"/>
      <c r="BE482" s="157"/>
      <c r="BF482" s="157"/>
      <c r="BG482" s="157"/>
      <c r="BH482" s="157"/>
      <c r="BI482" s="157"/>
      <c r="BJ482" s="157"/>
    </row>
    <row r="483" spans="1:62" ht="15.75" customHeight="1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  <c r="AV483" s="157"/>
      <c r="AW483" s="157"/>
      <c r="AX483" s="157"/>
      <c r="AY483" s="157"/>
      <c r="AZ483" s="157"/>
      <c r="BA483" s="157"/>
      <c r="BB483" s="157"/>
      <c r="BC483" s="157"/>
      <c r="BD483" s="157"/>
      <c r="BE483" s="157"/>
      <c r="BF483" s="157"/>
      <c r="BG483" s="157"/>
      <c r="BH483" s="157"/>
      <c r="BI483" s="157"/>
      <c r="BJ483" s="157"/>
    </row>
    <row r="484" spans="1:62" ht="15.75" customHeight="1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  <c r="AH484" s="157"/>
      <c r="AI484" s="157"/>
      <c r="AJ484" s="157"/>
      <c r="AK484" s="157"/>
      <c r="AL484" s="157"/>
      <c r="AM484" s="157"/>
      <c r="AN484" s="157"/>
      <c r="AO484" s="157"/>
      <c r="AP484" s="157"/>
      <c r="AQ484" s="157"/>
      <c r="AR484" s="157"/>
      <c r="AS484" s="157"/>
      <c r="AT484" s="157"/>
      <c r="AU484" s="157"/>
      <c r="AV484" s="157"/>
      <c r="AW484" s="157"/>
      <c r="AX484" s="157"/>
      <c r="AY484" s="157"/>
      <c r="AZ484" s="157"/>
      <c r="BA484" s="157"/>
      <c r="BB484" s="157"/>
      <c r="BC484" s="157"/>
      <c r="BD484" s="157"/>
      <c r="BE484" s="157"/>
      <c r="BF484" s="157"/>
      <c r="BG484" s="157"/>
      <c r="BH484" s="157"/>
      <c r="BI484" s="157"/>
      <c r="BJ484" s="157"/>
    </row>
    <row r="485" spans="1:62" ht="15.75" customHeight="1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  <c r="AV485" s="157"/>
      <c r="AW485" s="157"/>
      <c r="AX485" s="157"/>
      <c r="AY485" s="157"/>
      <c r="AZ485" s="157"/>
      <c r="BA485" s="157"/>
      <c r="BB485" s="157"/>
      <c r="BC485" s="157"/>
      <c r="BD485" s="157"/>
      <c r="BE485" s="157"/>
      <c r="BF485" s="157"/>
      <c r="BG485" s="157"/>
      <c r="BH485" s="157"/>
      <c r="BI485" s="157"/>
      <c r="BJ485" s="157"/>
    </row>
    <row r="486" spans="1:62" ht="15.75" customHeight="1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  <c r="AV486" s="157"/>
      <c r="AW486" s="157"/>
      <c r="AX486" s="157"/>
      <c r="AY486" s="157"/>
      <c r="AZ486" s="157"/>
      <c r="BA486" s="157"/>
      <c r="BB486" s="157"/>
      <c r="BC486" s="157"/>
      <c r="BD486" s="157"/>
      <c r="BE486" s="157"/>
      <c r="BF486" s="157"/>
      <c r="BG486" s="157"/>
      <c r="BH486" s="157"/>
      <c r="BI486" s="157"/>
      <c r="BJ486" s="157"/>
    </row>
    <row r="487" spans="1:62" ht="15.75" customHeight="1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  <c r="AV487" s="157"/>
      <c r="AW487" s="157"/>
      <c r="AX487" s="157"/>
      <c r="AY487" s="157"/>
      <c r="AZ487" s="157"/>
      <c r="BA487" s="157"/>
      <c r="BB487" s="157"/>
      <c r="BC487" s="157"/>
      <c r="BD487" s="157"/>
      <c r="BE487" s="157"/>
      <c r="BF487" s="157"/>
      <c r="BG487" s="157"/>
      <c r="BH487" s="157"/>
      <c r="BI487" s="157"/>
      <c r="BJ487" s="157"/>
    </row>
    <row r="488" spans="1:62" ht="15.75" customHeight="1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  <c r="AV488" s="157"/>
      <c r="AW488" s="157"/>
      <c r="AX488" s="157"/>
      <c r="AY488" s="157"/>
      <c r="AZ488" s="157"/>
      <c r="BA488" s="157"/>
      <c r="BB488" s="157"/>
      <c r="BC488" s="157"/>
      <c r="BD488" s="157"/>
      <c r="BE488" s="157"/>
      <c r="BF488" s="157"/>
      <c r="BG488" s="157"/>
      <c r="BH488" s="157"/>
      <c r="BI488" s="157"/>
      <c r="BJ488" s="157"/>
    </row>
    <row r="489" spans="1:62" ht="15.75" customHeight="1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  <c r="BA489" s="157"/>
      <c r="BB489" s="157"/>
      <c r="BC489" s="157"/>
      <c r="BD489" s="157"/>
      <c r="BE489" s="157"/>
      <c r="BF489" s="157"/>
      <c r="BG489" s="157"/>
      <c r="BH489" s="157"/>
      <c r="BI489" s="157"/>
      <c r="BJ489" s="157"/>
    </row>
    <row r="490" spans="1:62" ht="15.75" customHeight="1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  <c r="BA490" s="157"/>
      <c r="BB490" s="157"/>
      <c r="BC490" s="157"/>
      <c r="BD490" s="157"/>
      <c r="BE490" s="157"/>
      <c r="BF490" s="157"/>
      <c r="BG490" s="157"/>
      <c r="BH490" s="157"/>
      <c r="BI490" s="157"/>
      <c r="BJ490" s="157"/>
    </row>
    <row r="491" spans="1:62" ht="15.75" customHeight="1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  <c r="BA491" s="157"/>
      <c r="BB491" s="157"/>
      <c r="BC491" s="157"/>
      <c r="BD491" s="157"/>
      <c r="BE491" s="157"/>
      <c r="BF491" s="157"/>
      <c r="BG491" s="157"/>
      <c r="BH491" s="157"/>
      <c r="BI491" s="157"/>
      <c r="BJ491" s="157"/>
    </row>
    <row r="492" spans="1:62" ht="15.75" customHeight="1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  <c r="BA492" s="157"/>
      <c r="BB492" s="157"/>
      <c r="BC492" s="157"/>
      <c r="BD492" s="157"/>
      <c r="BE492" s="157"/>
      <c r="BF492" s="157"/>
      <c r="BG492" s="157"/>
      <c r="BH492" s="157"/>
      <c r="BI492" s="157"/>
      <c r="BJ492" s="157"/>
    </row>
    <row r="493" spans="1:62" ht="15.75" customHeight="1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  <c r="BA493" s="157"/>
      <c r="BB493" s="157"/>
      <c r="BC493" s="157"/>
      <c r="BD493" s="157"/>
      <c r="BE493" s="157"/>
      <c r="BF493" s="157"/>
      <c r="BG493" s="157"/>
      <c r="BH493" s="157"/>
      <c r="BI493" s="157"/>
      <c r="BJ493" s="157"/>
    </row>
    <row r="494" spans="1:62" ht="15.75" customHeight="1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  <c r="BA494" s="157"/>
      <c r="BB494" s="157"/>
      <c r="BC494" s="157"/>
      <c r="BD494" s="157"/>
      <c r="BE494" s="157"/>
      <c r="BF494" s="157"/>
      <c r="BG494" s="157"/>
      <c r="BH494" s="157"/>
      <c r="BI494" s="157"/>
      <c r="BJ494" s="157"/>
    </row>
    <row r="495" spans="1:62" ht="15.75" customHeight="1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  <c r="BA495" s="157"/>
      <c r="BB495" s="157"/>
      <c r="BC495" s="157"/>
      <c r="BD495" s="157"/>
      <c r="BE495" s="157"/>
      <c r="BF495" s="157"/>
      <c r="BG495" s="157"/>
      <c r="BH495" s="157"/>
      <c r="BI495" s="157"/>
      <c r="BJ495" s="157"/>
    </row>
    <row r="496" spans="1:62" ht="15.75" customHeight="1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  <c r="BA496" s="157"/>
      <c r="BB496" s="157"/>
      <c r="BC496" s="157"/>
      <c r="BD496" s="157"/>
      <c r="BE496" s="157"/>
      <c r="BF496" s="157"/>
      <c r="BG496" s="157"/>
      <c r="BH496" s="157"/>
      <c r="BI496" s="157"/>
      <c r="BJ496" s="157"/>
    </row>
    <row r="497" spans="1:62" ht="15.75" customHeight="1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  <c r="AV497" s="157"/>
      <c r="AW497" s="157"/>
      <c r="AX497" s="157"/>
      <c r="AY497" s="157"/>
      <c r="AZ497" s="157"/>
      <c r="BA497" s="157"/>
      <c r="BB497" s="157"/>
      <c r="BC497" s="157"/>
      <c r="BD497" s="157"/>
      <c r="BE497" s="157"/>
      <c r="BF497" s="157"/>
      <c r="BG497" s="157"/>
      <c r="BH497" s="157"/>
      <c r="BI497" s="157"/>
      <c r="BJ497" s="157"/>
    </row>
    <row r="498" spans="1:62" ht="15.75" customHeight="1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  <c r="AV498" s="157"/>
      <c r="AW498" s="157"/>
      <c r="AX498" s="157"/>
      <c r="AY498" s="157"/>
      <c r="AZ498" s="157"/>
      <c r="BA498" s="157"/>
      <c r="BB498" s="157"/>
      <c r="BC498" s="157"/>
      <c r="BD498" s="157"/>
      <c r="BE498" s="157"/>
      <c r="BF498" s="157"/>
      <c r="BG498" s="157"/>
      <c r="BH498" s="157"/>
      <c r="BI498" s="157"/>
      <c r="BJ498" s="157"/>
    </row>
    <row r="499" spans="1:62" ht="15.75" customHeight="1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  <c r="AV499" s="157"/>
      <c r="AW499" s="157"/>
      <c r="AX499" s="157"/>
      <c r="AY499" s="157"/>
      <c r="AZ499" s="157"/>
      <c r="BA499" s="157"/>
      <c r="BB499" s="157"/>
      <c r="BC499" s="157"/>
      <c r="BD499" s="157"/>
      <c r="BE499" s="157"/>
      <c r="BF499" s="157"/>
      <c r="BG499" s="157"/>
      <c r="BH499" s="157"/>
      <c r="BI499" s="157"/>
      <c r="BJ499" s="157"/>
    </row>
    <row r="500" spans="1:62" ht="15.75" customHeight="1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  <c r="AV500" s="157"/>
      <c r="AW500" s="157"/>
      <c r="AX500" s="157"/>
      <c r="AY500" s="157"/>
      <c r="AZ500" s="157"/>
      <c r="BA500" s="157"/>
      <c r="BB500" s="157"/>
      <c r="BC500" s="157"/>
      <c r="BD500" s="157"/>
      <c r="BE500" s="157"/>
      <c r="BF500" s="157"/>
      <c r="BG500" s="157"/>
      <c r="BH500" s="157"/>
      <c r="BI500" s="157"/>
      <c r="BJ500" s="157"/>
    </row>
    <row r="501" spans="1:62" ht="15.75" customHeight="1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  <c r="AV501" s="157"/>
      <c r="AW501" s="157"/>
      <c r="AX501" s="157"/>
      <c r="AY501" s="157"/>
      <c r="AZ501" s="157"/>
      <c r="BA501" s="157"/>
      <c r="BB501" s="157"/>
      <c r="BC501" s="157"/>
      <c r="BD501" s="157"/>
      <c r="BE501" s="157"/>
      <c r="BF501" s="157"/>
      <c r="BG501" s="157"/>
      <c r="BH501" s="157"/>
      <c r="BI501" s="157"/>
      <c r="BJ501" s="157"/>
    </row>
    <row r="502" spans="1:62" ht="15.75" customHeight="1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  <c r="AV502" s="157"/>
      <c r="AW502" s="157"/>
      <c r="AX502" s="157"/>
      <c r="AY502" s="157"/>
      <c r="AZ502" s="157"/>
      <c r="BA502" s="157"/>
      <c r="BB502" s="157"/>
      <c r="BC502" s="157"/>
      <c r="BD502" s="157"/>
      <c r="BE502" s="157"/>
      <c r="BF502" s="157"/>
      <c r="BG502" s="157"/>
      <c r="BH502" s="157"/>
      <c r="BI502" s="157"/>
      <c r="BJ502" s="157"/>
    </row>
    <row r="503" spans="1:62" ht="15.75" customHeight="1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  <c r="AV503" s="157"/>
      <c r="AW503" s="157"/>
      <c r="AX503" s="157"/>
      <c r="AY503" s="157"/>
      <c r="AZ503" s="157"/>
      <c r="BA503" s="157"/>
      <c r="BB503" s="157"/>
      <c r="BC503" s="157"/>
      <c r="BD503" s="157"/>
      <c r="BE503" s="157"/>
      <c r="BF503" s="157"/>
      <c r="BG503" s="157"/>
      <c r="BH503" s="157"/>
      <c r="BI503" s="157"/>
      <c r="BJ503" s="157"/>
    </row>
    <row r="504" spans="1:62" ht="15.75" customHeight="1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  <c r="AV504" s="157"/>
      <c r="AW504" s="157"/>
      <c r="AX504" s="157"/>
      <c r="AY504" s="157"/>
      <c r="AZ504" s="157"/>
      <c r="BA504" s="157"/>
      <c r="BB504" s="157"/>
      <c r="BC504" s="157"/>
      <c r="BD504" s="157"/>
      <c r="BE504" s="157"/>
      <c r="BF504" s="157"/>
      <c r="BG504" s="157"/>
      <c r="BH504" s="157"/>
      <c r="BI504" s="157"/>
      <c r="BJ504" s="157"/>
    </row>
    <row r="505" spans="1:62" ht="15.75" customHeight="1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  <c r="AV505" s="157"/>
      <c r="AW505" s="157"/>
      <c r="AX505" s="157"/>
      <c r="AY505" s="157"/>
      <c r="AZ505" s="157"/>
      <c r="BA505" s="157"/>
      <c r="BB505" s="157"/>
      <c r="BC505" s="157"/>
      <c r="BD505" s="157"/>
      <c r="BE505" s="157"/>
      <c r="BF505" s="157"/>
      <c r="BG505" s="157"/>
      <c r="BH505" s="157"/>
      <c r="BI505" s="157"/>
      <c r="BJ505" s="157"/>
    </row>
    <row r="506" spans="1:62" ht="15.75" customHeight="1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  <c r="AV506" s="157"/>
      <c r="AW506" s="157"/>
      <c r="AX506" s="157"/>
      <c r="AY506" s="157"/>
      <c r="AZ506" s="157"/>
      <c r="BA506" s="157"/>
      <c r="BB506" s="157"/>
      <c r="BC506" s="157"/>
      <c r="BD506" s="157"/>
      <c r="BE506" s="157"/>
      <c r="BF506" s="157"/>
      <c r="BG506" s="157"/>
      <c r="BH506" s="157"/>
      <c r="BI506" s="157"/>
      <c r="BJ506" s="157"/>
    </row>
    <row r="507" spans="1:62" ht="15.75" customHeight="1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  <c r="AV507" s="157"/>
      <c r="AW507" s="157"/>
      <c r="AX507" s="157"/>
      <c r="AY507" s="157"/>
      <c r="AZ507" s="157"/>
      <c r="BA507" s="157"/>
      <c r="BB507" s="157"/>
      <c r="BC507" s="157"/>
      <c r="BD507" s="157"/>
      <c r="BE507" s="157"/>
      <c r="BF507" s="157"/>
      <c r="BG507" s="157"/>
      <c r="BH507" s="157"/>
      <c r="BI507" s="157"/>
      <c r="BJ507" s="157"/>
    </row>
    <row r="508" spans="1:62" ht="15.75" customHeight="1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  <c r="BA508" s="157"/>
      <c r="BB508" s="157"/>
      <c r="BC508" s="157"/>
      <c r="BD508" s="157"/>
      <c r="BE508" s="157"/>
      <c r="BF508" s="157"/>
      <c r="BG508" s="157"/>
      <c r="BH508" s="157"/>
      <c r="BI508" s="157"/>
      <c r="BJ508" s="157"/>
    </row>
    <row r="509" spans="1:62" ht="15.75" customHeight="1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  <c r="BA509" s="157"/>
      <c r="BB509" s="157"/>
      <c r="BC509" s="157"/>
      <c r="BD509" s="157"/>
      <c r="BE509" s="157"/>
      <c r="BF509" s="157"/>
      <c r="BG509" s="157"/>
      <c r="BH509" s="157"/>
      <c r="BI509" s="157"/>
      <c r="BJ509" s="157"/>
    </row>
    <row r="510" spans="1:62" ht="15.75" customHeight="1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  <c r="BA510" s="157"/>
      <c r="BB510" s="157"/>
      <c r="BC510" s="157"/>
      <c r="BD510" s="157"/>
      <c r="BE510" s="157"/>
      <c r="BF510" s="157"/>
      <c r="BG510" s="157"/>
      <c r="BH510" s="157"/>
      <c r="BI510" s="157"/>
      <c r="BJ510" s="157"/>
    </row>
    <row r="511" spans="1:62" ht="15.75" customHeight="1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  <c r="BA511" s="157"/>
      <c r="BB511" s="157"/>
      <c r="BC511" s="157"/>
      <c r="BD511" s="157"/>
      <c r="BE511" s="157"/>
      <c r="BF511" s="157"/>
      <c r="BG511" s="157"/>
      <c r="BH511" s="157"/>
      <c r="BI511" s="157"/>
      <c r="BJ511" s="157"/>
    </row>
    <row r="512" spans="1:62" ht="15.75" customHeight="1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  <c r="BB512" s="157"/>
      <c r="BC512" s="157"/>
      <c r="BD512" s="157"/>
      <c r="BE512" s="157"/>
      <c r="BF512" s="157"/>
      <c r="BG512" s="157"/>
      <c r="BH512" s="157"/>
      <c r="BI512" s="157"/>
      <c r="BJ512" s="157"/>
    </row>
    <row r="513" spans="1:62" ht="15.75" customHeight="1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  <c r="BB513" s="157"/>
      <c r="BC513" s="157"/>
      <c r="BD513" s="157"/>
      <c r="BE513" s="157"/>
      <c r="BF513" s="157"/>
      <c r="BG513" s="157"/>
      <c r="BH513" s="157"/>
      <c r="BI513" s="157"/>
      <c r="BJ513" s="157"/>
    </row>
    <row r="514" spans="1:62" ht="15.75" customHeight="1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  <c r="BB514" s="157"/>
      <c r="BC514" s="157"/>
      <c r="BD514" s="157"/>
      <c r="BE514" s="157"/>
      <c r="BF514" s="157"/>
      <c r="BG514" s="157"/>
      <c r="BH514" s="157"/>
      <c r="BI514" s="157"/>
      <c r="BJ514" s="157"/>
    </row>
    <row r="515" spans="1:62" ht="15.75" customHeight="1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  <c r="BB515" s="157"/>
      <c r="BC515" s="157"/>
      <c r="BD515" s="157"/>
      <c r="BE515" s="157"/>
      <c r="BF515" s="157"/>
      <c r="BG515" s="157"/>
      <c r="BH515" s="157"/>
      <c r="BI515" s="157"/>
      <c r="BJ515" s="157"/>
    </row>
    <row r="516" spans="1:62" ht="15.75" customHeight="1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  <c r="BB516" s="157"/>
      <c r="BC516" s="157"/>
      <c r="BD516" s="157"/>
      <c r="BE516" s="157"/>
      <c r="BF516" s="157"/>
      <c r="BG516" s="157"/>
      <c r="BH516" s="157"/>
      <c r="BI516" s="157"/>
      <c r="BJ516" s="157"/>
    </row>
    <row r="517" spans="1:62" ht="15.75" customHeight="1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  <c r="BB517" s="157"/>
      <c r="BC517" s="157"/>
      <c r="BD517" s="157"/>
      <c r="BE517" s="157"/>
      <c r="BF517" s="157"/>
      <c r="BG517" s="157"/>
      <c r="BH517" s="157"/>
      <c r="BI517" s="157"/>
      <c r="BJ517" s="157"/>
    </row>
    <row r="518" spans="1:62" ht="15.75" customHeight="1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  <c r="AV518" s="157"/>
      <c r="AW518" s="157"/>
      <c r="AX518" s="157"/>
      <c r="AY518" s="157"/>
      <c r="AZ518" s="157"/>
      <c r="BA518" s="157"/>
      <c r="BB518" s="157"/>
      <c r="BC518" s="157"/>
      <c r="BD518" s="157"/>
      <c r="BE518" s="157"/>
      <c r="BF518" s="157"/>
      <c r="BG518" s="157"/>
      <c r="BH518" s="157"/>
      <c r="BI518" s="157"/>
      <c r="BJ518" s="157"/>
    </row>
    <row r="519" spans="1:62" ht="15.75" customHeight="1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  <c r="AV519" s="157"/>
      <c r="AW519" s="157"/>
      <c r="AX519" s="157"/>
      <c r="AY519" s="157"/>
      <c r="AZ519" s="157"/>
      <c r="BA519" s="157"/>
      <c r="BB519" s="157"/>
      <c r="BC519" s="157"/>
      <c r="BD519" s="157"/>
      <c r="BE519" s="157"/>
      <c r="BF519" s="157"/>
      <c r="BG519" s="157"/>
      <c r="BH519" s="157"/>
      <c r="BI519" s="157"/>
      <c r="BJ519" s="157"/>
    </row>
    <row r="520" spans="1:62" ht="15.75" customHeight="1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  <c r="AV520" s="157"/>
      <c r="AW520" s="157"/>
      <c r="AX520" s="157"/>
      <c r="AY520" s="157"/>
      <c r="AZ520" s="157"/>
      <c r="BA520" s="157"/>
      <c r="BB520" s="157"/>
      <c r="BC520" s="157"/>
      <c r="BD520" s="157"/>
      <c r="BE520" s="157"/>
      <c r="BF520" s="157"/>
      <c r="BG520" s="157"/>
      <c r="BH520" s="157"/>
      <c r="BI520" s="157"/>
      <c r="BJ520" s="157"/>
    </row>
    <row r="521" spans="1:62" ht="15.75" customHeight="1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  <c r="AV521" s="157"/>
      <c r="AW521" s="157"/>
      <c r="AX521" s="157"/>
      <c r="AY521" s="157"/>
      <c r="AZ521" s="157"/>
      <c r="BA521" s="157"/>
      <c r="BB521" s="157"/>
      <c r="BC521" s="157"/>
      <c r="BD521" s="157"/>
      <c r="BE521" s="157"/>
      <c r="BF521" s="157"/>
      <c r="BG521" s="157"/>
      <c r="BH521" s="157"/>
      <c r="BI521" s="157"/>
      <c r="BJ521" s="157"/>
    </row>
    <row r="522" spans="1:62" ht="15.75" customHeight="1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  <c r="AV522" s="157"/>
      <c r="AW522" s="157"/>
      <c r="AX522" s="157"/>
      <c r="AY522" s="157"/>
      <c r="AZ522" s="157"/>
      <c r="BA522" s="157"/>
      <c r="BB522" s="157"/>
      <c r="BC522" s="157"/>
      <c r="BD522" s="157"/>
      <c r="BE522" s="157"/>
      <c r="BF522" s="157"/>
      <c r="BG522" s="157"/>
      <c r="BH522" s="157"/>
      <c r="BI522" s="157"/>
      <c r="BJ522" s="157"/>
    </row>
    <row r="523" spans="1:62" ht="15.75" customHeight="1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  <c r="AV523" s="157"/>
      <c r="AW523" s="157"/>
      <c r="AX523" s="157"/>
      <c r="AY523" s="157"/>
      <c r="AZ523" s="157"/>
      <c r="BA523" s="157"/>
      <c r="BB523" s="157"/>
      <c r="BC523" s="157"/>
      <c r="BD523" s="157"/>
      <c r="BE523" s="157"/>
      <c r="BF523" s="157"/>
      <c r="BG523" s="157"/>
      <c r="BH523" s="157"/>
      <c r="BI523" s="157"/>
      <c r="BJ523" s="157"/>
    </row>
    <row r="524" spans="1:62" ht="15.75" customHeight="1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  <c r="AV524" s="157"/>
      <c r="AW524" s="157"/>
      <c r="AX524" s="157"/>
      <c r="AY524" s="157"/>
      <c r="AZ524" s="157"/>
      <c r="BA524" s="157"/>
      <c r="BB524" s="157"/>
      <c r="BC524" s="157"/>
      <c r="BD524" s="157"/>
      <c r="BE524" s="157"/>
      <c r="BF524" s="157"/>
      <c r="BG524" s="157"/>
      <c r="BH524" s="157"/>
      <c r="BI524" s="157"/>
      <c r="BJ524" s="157"/>
    </row>
    <row r="525" spans="1:62" ht="15.75" customHeight="1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  <c r="AV525" s="157"/>
      <c r="AW525" s="157"/>
      <c r="AX525" s="157"/>
      <c r="AY525" s="157"/>
      <c r="AZ525" s="157"/>
      <c r="BA525" s="157"/>
      <c r="BB525" s="157"/>
      <c r="BC525" s="157"/>
      <c r="BD525" s="157"/>
      <c r="BE525" s="157"/>
      <c r="BF525" s="157"/>
      <c r="BG525" s="157"/>
      <c r="BH525" s="157"/>
      <c r="BI525" s="157"/>
      <c r="BJ525" s="157"/>
    </row>
    <row r="526" spans="1:62" ht="15.75" customHeight="1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  <c r="AV526" s="157"/>
      <c r="AW526" s="157"/>
      <c r="AX526" s="157"/>
      <c r="AY526" s="157"/>
      <c r="AZ526" s="157"/>
      <c r="BA526" s="157"/>
      <c r="BB526" s="157"/>
      <c r="BC526" s="157"/>
      <c r="BD526" s="157"/>
      <c r="BE526" s="157"/>
      <c r="BF526" s="157"/>
      <c r="BG526" s="157"/>
      <c r="BH526" s="157"/>
      <c r="BI526" s="157"/>
      <c r="BJ526" s="157"/>
    </row>
    <row r="527" spans="1:62" ht="15.75" customHeight="1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  <c r="AV527" s="157"/>
      <c r="AW527" s="157"/>
      <c r="AX527" s="157"/>
      <c r="AY527" s="157"/>
      <c r="AZ527" s="157"/>
      <c r="BA527" s="157"/>
      <c r="BB527" s="157"/>
      <c r="BC527" s="157"/>
      <c r="BD527" s="157"/>
      <c r="BE527" s="157"/>
      <c r="BF527" s="157"/>
      <c r="BG527" s="157"/>
      <c r="BH527" s="157"/>
      <c r="BI527" s="157"/>
      <c r="BJ527" s="157"/>
    </row>
    <row r="528" spans="1:62" ht="15.75" customHeight="1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  <c r="BB528" s="157"/>
      <c r="BC528" s="157"/>
      <c r="BD528" s="157"/>
      <c r="BE528" s="157"/>
      <c r="BF528" s="157"/>
      <c r="BG528" s="157"/>
      <c r="BH528" s="157"/>
      <c r="BI528" s="157"/>
      <c r="BJ528" s="157"/>
    </row>
    <row r="529" spans="1:62" ht="15.75" customHeight="1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  <c r="BB529" s="157"/>
      <c r="BC529" s="157"/>
      <c r="BD529" s="157"/>
      <c r="BE529" s="157"/>
      <c r="BF529" s="157"/>
      <c r="BG529" s="157"/>
      <c r="BH529" s="157"/>
      <c r="BI529" s="157"/>
      <c r="BJ529" s="157"/>
    </row>
    <row r="530" spans="1:62" ht="15.75" customHeight="1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  <c r="BB530" s="157"/>
      <c r="BC530" s="157"/>
      <c r="BD530" s="157"/>
      <c r="BE530" s="157"/>
      <c r="BF530" s="157"/>
      <c r="BG530" s="157"/>
      <c r="BH530" s="157"/>
      <c r="BI530" s="157"/>
      <c r="BJ530" s="157"/>
    </row>
    <row r="531" spans="1:62" ht="15.75" customHeight="1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  <c r="BB531" s="157"/>
      <c r="BC531" s="157"/>
      <c r="BD531" s="157"/>
      <c r="BE531" s="157"/>
      <c r="BF531" s="157"/>
      <c r="BG531" s="157"/>
      <c r="BH531" s="157"/>
      <c r="BI531" s="157"/>
      <c r="BJ531" s="157"/>
    </row>
    <row r="532" spans="1:62" ht="15.75" customHeight="1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  <c r="BB532" s="157"/>
      <c r="BC532" s="157"/>
      <c r="BD532" s="157"/>
      <c r="BE532" s="157"/>
      <c r="BF532" s="157"/>
      <c r="BG532" s="157"/>
      <c r="BH532" s="157"/>
      <c r="BI532" s="157"/>
      <c r="BJ532" s="157"/>
    </row>
    <row r="533" spans="1:62" ht="15.75" customHeight="1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  <c r="BB533" s="157"/>
      <c r="BC533" s="157"/>
      <c r="BD533" s="157"/>
      <c r="BE533" s="157"/>
      <c r="BF533" s="157"/>
      <c r="BG533" s="157"/>
      <c r="BH533" s="157"/>
      <c r="BI533" s="157"/>
      <c r="BJ533" s="157"/>
    </row>
    <row r="534" spans="1:62" ht="15.75" customHeight="1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  <c r="BB534" s="157"/>
      <c r="BC534" s="157"/>
      <c r="BD534" s="157"/>
      <c r="BE534" s="157"/>
      <c r="BF534" s="157"/>
      <c r="BG534" s="157"/>
      <c r="BH534" s="157"/>
      <c r="BI534" s="157"/>
      <c r="BJ534" s="157"/>
    </row>
    <row r="535" spans="1:62" ht="15.75" customHeight="1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  <c r="BB535" s="157"/>
      <c r="BC535" s="157"/>
      <c r="BD535" s="157"/>
      <c r="BE535" s="157"/>
      <c r="BF535" s="157"/>
      <c r="BG535" s="157"/>
      <c r="BH535" s="157"/>
      <c r="BI535" s="157"/>
      <c r="BJ535" s="157"/>
    </row>
    <row r="536" spans="1:62" ht="15.75" customHeight="1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  <c r="BB536" s="157"/>
      <c r="BC536" s="157"/>
      <c r="BD536" s="157"/>
      <c r="BE536" s="157"/>
      <c r="BF536" s="157"/>
      <c r="BG536" s="157"/>
      <c r="BH536" s="157"/>
      <c r="BI536" s="157"/>
      <c r="BJ536" s="157"/>
    </row>
    <row r="537" spans="1:62" ht="15.75" customHeight="1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  <c r="BB537" s="157"/>
      <c r="BC537" s="157"/>
      <c r="BD537" s="157"/>
      <c r="BE537" s="157"/>
      <c r="BF537" s="157"/>
      <c r="BG537" s="157"/>
      <c r="BH537" s="157"/>
      <c r="BI537" s="157"/>
      <c r="BJ537" s="157"/>
    </row>
    <row r="538" spans="1:62" ht="15.75" customHeight="1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  <c r="AV538" s="157"/>
      <c r="AW538" s="157"/>
      <c r="AX538" s="157"/>
      <c r="AY538" s="157"/>
      <c r="AZ538" s="157"/>
      <c r="BA538" s="157"/>
      <c r="BB538" s="157"/>
      <c r="BC538" s="157"/>
      <c r="BD538" s="157"/>
      <c r="BE538" s="157"/>
      <c r="BF538" s="157"/>
      <c r="BG538" s="157"/>
      <c r="BH538" s="157"/>
      <c r="BI538" s="157"/>
      <c r="BJ538" s="157"/>
    </row>
    <row r="539" spans="1:62" ht="15.75" customHeight="1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  <c r="AV539" s="157"/>
      <c r="AW539" s="157"/>
      <c r="AX539" s="157"/>
      <c r="AY539" s="157"/>
      <c r="AZ539" s="157"/>
      <c r="BA539" s="157"/>
      <c r="BB539" s="157"/>
      <c r="BC539" s="157"/>
      <c r="BD539" s="157"/>
      <c r="BE539" s="157"/>
      <c r="BF539" s="157"/>
      <c r="BG539" s="157"/>
      <c r="BH539" s="157"/>
      <c r="BI539" s="157"/>
      <c r="BJ539" s="157"/>
    </row>
    <row r="540" spans="1:62" ht="15.75" customHeight="1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57"/>
      <c r="AJ540" s="157"/>
      <c r="AK540" s="157"/>
      <c r="AL540" s="157"/>
      <c r="AM540" s="157"/>
      <c r="AN540" s="157"/>
      <c r="AO540" s="157"/>
      <c r="AP540" s="157"/>
      <c r="AQ540" s="157"/>
      <c r="AR540" s="157"/>
      <c r="AS540" s="157"/>
      <c r="AT540" s="157"/>
      <c r="AU540" s="157"/>
      <c r="AV540" s="157"/>
      <c r="AW540" s="157"/>
      <c r="AX540" s="157"/>
      <c r="AY540" s="157"/>
      <c r="AZ540" s="157"/>
      <c r="BA540" s="157"/>
      <c r="BB540" s="157"/>
      <c r="BC540" s="157"/>
      <c r="BD540" s="157"/>
      <c r="BE540" s="157"/>
      <c r="BF540" s="157"/>
      <c r="BG540" s="157"/>
      <c r="BH540" s="157"/>
      <c r="BI540" s="157"/>
      <c r="BJ540" s="157"/>
    </row>
    <row r="541" spans="1:62" ht="15.75" customHeight="1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  <c r="AV541" s="157"/>
      <c r="AW541" s="157"/>
      <c r="AX541" s="157"/>
      <c r="AY541" s="157"/>
      <c r="AZ541" s="157"/>
      <c r="BA541" s="157"/>
      <c r="BB541" s="157"/>
      <c r="BC541" s="157"/>
      <c r="BD541" s="157"/>
      <c r="BE541" s="157"/>
      <c r="BF541" s="157"/>
      <c r="BG541" s="157"/>
      <c r="BH541" s="157"/>
      <c r="BI541" s="157"/>
      <c r="BJ541" s="157"/>
    </row>
    <row r="542" spans="1:62" ht="15.75" customHeight="1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  <c r="AV542" s="157"/>
      <c r="AW542" s="157"/>
      <c r="AX542" s="157"/>
      <c r="AY542" s="157"/>
      <c r="AZ542" s="157"/>
      <c r="BA542" s="157"/>
      <c r="BB542" s="157"/>
      <c r="BC542" s="157"/>
      <c r="BD542" s="157"/>
      <c r="BE542" s="157"/>
      <c r="BF542" s="157"/>
      <c r="BG542" s="157"/>
      <c r="BH542" s="157"/>
      <c r="BI542" s="157"/>
      <c r="BJ542" s="157"/>
    </row>
    <row r="543" spans="1:62" ht="15.75" customHeight="1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  <c r="AV543" s="157"/>
      <c r="AW543" s="157"/>
      <c r="AX543" s="157"/>
      <c r="AY543" s="157"/>
      <c r="AZ543" s="157"/>
      <c r="BA543" s="157"/>
      <c r="BB543" s="157"/>
      <c r="BC543" s="157"/>
      <c r="BD543" s="157"/>
      <c r="BE543" s="157"/>
      <c r="BF543" s="157"/>
      <c r="BG543" s="157"/>
      <c r="BH543" s="157"/>
      <c r="BI543" s="157"/>
      <c r="BJ543" s="157"/>
    </row>
    <row r="544" spans="1:62" ht="15.75" customHeight="1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57"/>
      <c r="AG544" s="157"/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  <c r="AV544" s="157"/>
      <c r="AW544" s="157"/>
      <c r="AX544" s="157"/>
      <c r="AY544" s="157"/>
      <c r="AZ544" s="157"/>
      <c r="BA544" s="157"/>
      <c r="BB544" s="157"/>
      <c r="BC544" s="157"/>
      <c r="BD544" s="157"/>
      <c r="BE544" s="157"/>
      <c r="BF544" s="157"/>
      <c r="BG544" s="157"/>
      <c r="BH544" s="157"/>
      <c r="BI544" s="157"/>
      <c r="BJ544" s="157"/>
    </row>
    <row r="545" spans="1:62" ht="15.75" customHeight="1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57"/>
      <c r="AG545" s="157"/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  <c r="AV545" s="157"/>
      <c r="AW545" s="157"/>
      <c r="AX545" s="157"/>
      <c r="AY545" s="157"/>
      <c r="AZ545" s="157"/>
      <c r="BA545" s="157"/>
      <c r="BB545" s="157"/>
      <c r="BC545" s="157"/>
      <c r="BD545" s="157"/>
      <c r="BE545" s="157"/>
      <c r="BF545" s="157"/>
      <c r="BG545" s="157"/>
      <c r="BH545" s="157"/>
      <c r="BI545" s="157"/>
      <c r="BJ545" s="157"/>
    </row>
    <row r="546" spans="1:62" ht="15.75" customHeight="1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7"/>
      <c r="AG546" s="157"/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  <c r="AV546" s="157"/>
      <c r="AW546" s="157"/>
      <c r="AX546" s="157"/>
      <c r="AY546" s="157"/>
      <c r="AZ546" s="157"/>
      <c r="BA546" s="157"/>
      <c r="BB546" s="157"/>
      <c r="BC546" s="157"/>
      <c r="BD546" s="157"/>
      <c r="BE546" s="157"/>
      <c r="BF546" s="157"/>
      <c r="BG546" s="157"/>
      <c r="BH546" s="157"/>
      <c r="BI546" s="157"/>
      <c r="BJ546" s="157"/>
    </row>
    <row r="547" spans="1:62" ht="15.75" customHeight="1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7"/>
      <c r="AG547" s="157"/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  <c r="AV547" s="157"/>
      <c r="AW547" s="157"/>
      <c r="AX547" s="157"/>
      <c r="AY547" s="157"/>
      <c r="AZ547" s="157"/>
      <c r="BA547" s="157"/>
      <c r="BB547" s="157"/>
      <c r="BC547" s="157"/>
      <c r="BD547" s="157"/>
      <c r="BE547" s="157"/>
      <c r="BF547" s="157"/>
      <c r="BG547" s="157"/>
      <c r="BH547" s="157"/>
      <c r="BI547" s="157"/>
      <c r="BJ547" s="157"/>
    </row>
    <row r="548" spans="1:62" ht="15.75" customHeight="1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57"/>
      <c r="BJ548" s="157"/>
    </row>
    <row r="549" spans="1:62" ht="15.75" customHeight="1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57"/>
      <c r="BJ549" s="157"/>
    </row>
    <row r="550" spans="1:62" ht="15.75" customHeight="1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57"/>
      <c r="BJ550" s="157"/>
    </row>
    <row r="551" spans="1:62" ht="15.75" customHeight="1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  <c r="BA551" s="157"/>
      <c r="BB551" s="157"/>
      <c r="BC551" s="157"/>
      <c r="BD551" s="157"/>
      <c r="BE551" s="157"/>
      <c r="BF551" s="157"/>
      <c r="BG551" s="157"/>
      <c r="BH551" s="157"/>
      <c r="BI551" s="157"/>
      <c r="BJ551" s="157"/>
    </row>
    <row r="552" spans="1:62" ht="15.75" customHeight="1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  <c r="BA552" s="157"/>
      <c r="BB552" s="157"/>
      <c r="BC552" s="157"/>
      <c r="BD552" s="157"/>
      <c r="BE552" s="157"/>
      <c r="BF552" s="157"/>
      <c r="BG552" s="157"/>
      <c r="BH552" s="157"/>
      <c r="BI552" s="157"/>
      <c r="BJ552" s="157"/>
    </row>
    <row r="553" spans="1:62" ht="15.75" customHeight="1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  <c r="BA553" s="157"/>
      <c r="BB553" s="157"/>
      <c r="BC553" s="157"/>
      <c r="BD553" s="157"/>
      <c r="BE553" s="157"/>
      <c r="BF553" s="157"/>
      <c r="BG553" s="157"/>
      <c r="BH553" s="157"/>
      <c r="BI553" s="157"/>
      <c r="BJ553" s="157"/>
    </row>
    <row r="554" spans="1:62" ht="15.75" customHeight="1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  <c r="BA554" s="157"/>
      <c r="BB554" s="157"/>
      <c r="BC554" s="157"/>
      <c r="BD554" s="157"/>
      <c r="BE554" s="157"/>
      <c r="BF554" s="157"/>
      <c r="BG554" s="157"/>
      <c r="BH554" s="157"/>
      <c r="BI554" s="157"/>
      <c r="BJ554" s="157"/>
    </row>
    <row r="555" spans="1:62" ht="15.75" customHeight="1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  <c r="BA555" s="157"/>
      <c r="BB555" s="157"/>
      <c r="BC555" s="157"/>
      <c r="BD555" s="157"/>
      <c r="BE555" s="157"/>
      <c r="BF555" s="157"/>
      <c r="BG555" s="157"/>
      <c r="BH555" s="157"/>
      <c r="BI555" s="157"/>
      <c r="BJ555" s="157"/>
    </row>
    <row r="556" spans="1:62" ht="15.75" customHeight="1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  <c r="BA556" s="157"/>
      <c r="BB556" s="157"/>
      <c r="BC556" s="157"/>
      <c r="BD556" s="157"/>
      <c r="BE556" s="157"/>
      <c r="BF556" s="157"/>
      <c r="BG556" s="157"/>
      <c r="BH556" s="157"/>
      <c r="BI556" s="157"/>
      <c r="BJ556" s="157"/>
    </row>
    <row r="557" spans="1:62" ht="15.75" customHeight="1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  <c r="BA557" s="157"/>
      <c r="BB557" s="157"/>
      <c r="BC557" s="157"/>
      <c r="BD557" s="157"/>
      <c r="BE557" s="157"/>
      <c r="BF557" s="157"/>
      <c r="BG557" s="157"/>
      <c r="BH557" s="157"/>
      <c r="BI557" s="157"/>
      <c r="BJ557" s="157"/>
    </row>
    <row r="558" spans="1:62" ht="15.75" customHeight="1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7"/>
      <c r="AG558" s="157"/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  <c r="AV558" s="157"/>
      <c r="AW558" s="157"/>
      <c r="AX558" s="157"/>
      <c r="AY558" s="157"/>
      <c r="AZ558" s="157"/>
      <c r="BA558" s="157"/>
      <c r="BB558" s="157"/>
      <c r="BC558" s="157"/>
      <c r="BD558" s="157"/>
      <c r="BE558" s="157"/>
      <c r="BF558" s="157"/>
      <c r="BG558" s="157"/>
      <c r="BH558" s="157"/>
      <c r="BI558" s="157"/>
      <c r="BJ558" s="157"/>
    </row>
    <row r="559" spans="1:62" ht="15.75" customHeight="1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7"/>
      <c r="AG559" s="157"/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  <c r="AV559" s="157"/>
      <c r="AW559" s="157"/>
      <c r="AX559" s="157"/>
      <c r="AY559" s="157"/>
      <c r="AZ559" s="157"/>
      <c r="BA559" s="157"/>
      <c r="BB559" s="157"/>
      <c r="BC559" s="157"/>
      <c r="BD559" s="157"/>
      <c r="BE559" s="157"/>
      <c r="BF559" s="157"/>
      <c r="BG559" s="157"/>
      <c r="BH559" s="157"/>
      <c r="BI559" s="157"/>
      <c r="BJ559" s="157"/>
    </row>
    <row r="560" spans="1:62" ht="15.75" customHeight="1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7"/>
      <c r="AG560" s="157"/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  <c r="AV560" s="157"/>
      <c r="AW560" s="157"/>
      <c r="AX560" s="157"/>
      <c r="AY560" s="157"/>
      <c r="AZ560" s="157"/>
      <c r="BA560" s="157"/>
      <c r="BB560" s="157"/>
      <c r="BC560" s="157"/>
      <c r="BD560" s="157"/>
      <c r="BE560" s="157"/>
      <c r="BF560" s="157"/>
      <c r="BG560" s="157"/>
      <c r="BH560" s="157"/>
      <c r="BI560" s="157"/>
      <c r="BJ560" s="157"/>
    </row>
    <row r="561" spans="1:62" ht="15.75" customHeight="1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7"/>
      <c r="AG561" s="157"/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  <c r="AV561" s="157"/>
      <c r="AW561" s="157"/>
      <c r="AX561" s="157"/>
      <c r="AY561" s="157"/>
      <c r="AZ561" s="157"/>
      <c r="BA561" s="157"/>
      <c r="BB561" s="157"/>
      <c r="BC561" s="157"/>
      <c r="BD561" s="157"/>
      <c r="BE561" s="157"/>
      <c r="BF561" s="157"/>
      <c r="BG561" s="157"/>
      <c r="BH561" s="157"/>
      <c r="BI561" s="157"/>
      <c r="BJ561" s="157"/>
    </row>
    <row r="562" spans="1:62" ht="15.75" customHeight="1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57"/>
      <c r="AG562" s="157"/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  <c r="AV562" s="157"/>
      <c r="AW562" s="157"/>
      <c r="AX562" s="157"/>
      <c r="AY562" s="157"/>
      <c r="AZ562" s="157"/>
      <c r="BA562" s="157"/>
      <c r="BB562" s="157"/>
      <c r="BC562" s="157"/>
      <c r="BD562" s="157"/>
      <c r="BE562" s="157"/>
      <c r="BF562" s="157"/>
      <c r="BG562" s="157"/>
      <c r="BH562" s="157"/>
      <c r="BI562" s="157"/>
      <c r="BJ562" s="157"/>
    </row>
    <row r="563" spans="1:62" ht="15.75" customHeight="1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57"/>
      <c r="AG563" s="157"/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  <c r="AV563" s="157"/>
      <c r="AW563" s="157"/>
      <c r="AX563" s="157"/>
      <c r="AY563" s="157"/>
      <c r="AZ563" s="157"/>
      <c r="BA563" s="157"/>
      <c r="BB563" s="157"/>
      <c r="BC563" s="157"/>
      <c r="BD563" s="157"/>
      <c r="BE563" s="157"/>
      <c r="BF563" s="157"/>
      <c r="BG563" s="157"/>
      <c r="BH563" s="157"/>
      <c r="BI563" s="157"/>
      <c r="BJ563" s="157"/>
    </row>
    <row r="564" spans="1:62" ht="15.75" customHeight="1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57"/>
      <c r="AG564" s="157"/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  <c r="AV564" s="157"/>
      <c r="AW564" s="157"/>
      <c r="AX564" s="157"/>
      <c r="AY564" s="157"/>
      <c r="AZ564" s="157"/>
      <c r="BA564" s="157"/>
      <c r="BB564" s="157"/>
      <c r="BC564" s="157"/>
      <c r="BD564" s="157"/>
      <c r="BE564" s="157"/>
      <c r="BF564" s="157"/>
      <c r="BG564" s="157"/>
      <c r="BH564" s="157"/>
      <c r="BI564" s="157"/>
      <c r="BJ564" s="157"/>
    </row>
    <row r="565" spans="1:62" ht="15.75" customHeight="1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57"/>
      <c r="AG565" s="157"/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  <c r="AV565" s="157"/>
      <c r="AW565" s="157"/>
      <c r="AX565" s="157"/>
      <c r="AY565" s="157"/>
      <c r="AZ565" s="157"/>
      <c r="BA565" s="157"/>
      <c r="BB565" s="157"/>
      <c r="BC565" s="157"/>
      <c r="BD565" s="157"/>
      <c r="BE565" s="157"/>
      <c r="BF565" s="157"/>
      <c r="BG565" s="157"/>
      <c r="BH565" s="157"/>
      <c r="BI565" s="157"/>
      <c r="BJ565" s="157"/>
    </row>
    <row r="566" spans="1:62" ht="15.75" customHeight="1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7"/>
      <c r="AG566" s="157"/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  <c r="AV566" s="157"/>
      <c r="AW566" s="157"/>
      <c r="AX566" s="157"/>
      <c r="AY566" s="157"/>
      <c r="AZ566" s="157"/>
      <c r="BA566" s="157"/>
      <c r="BB566" s="157"/>
      <c r="BC566" s="157"/>
      <c r="BD566" s="157"/>
      <c r="BE566" s="157"/>
      <c r="BF566" s="157"/>
      <c r="BG566" s="157"/>
      <c r="BH566" s="157"/>
      <c r="BI566" s="157"/>
      <c r="BJ566" s="157"/>
    </row>
    <row r="567" spans="1:62" ht="15.75" customHeight="1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57"/>
      <c r="AG567" s="157"/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  <c r="AV567" s="157"/>
      <c r="AW567" s="157"/>
      <c r="AX567" s="157"/>
      <c r="AY567" s="157"/>
      <c r="AZ567" s="157"/>
      <c r="BA567" s="157"/>
      <c r="BB567" s="157"/>
      <c r="BC567" s="157"/>
      <c r="BD567" s="157"/>
      <c r="BE567" s="157"/>
      <c r="BF567" s="157"/>
      <c r="BG567" s="157"/>
      <c r="BH567" s="157"/>
      <c r="BI567" s="157"/>
      <c r="BJ567" s="157"/>
    </row>
    <row r="568" spans="1:62" ht="15.75" customHeight="1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57"/>
      <c r="AG568" s="157"/>
      <c r="AH568" s="157"/>
      <c r="AI568" s="157"/>
      <c r="AJ568" s="157"/>
      <c r="AK568" s="157"/>
      <c r="AL568" s="157"/>
      <c r="AM568" s="157"/>
      <c r="AN568" s="157"/>
      <c r="AO568" s="157"/>
      <c r="AP568" s="157"/>
      <c r="AQ568" s="157"/>
      <c r="AR568" s="157"/>
      <c r="AS568" s="157"/>
      <c r="AT568" s="157"/>
      <c r="AU568" s="157"/>
      <c r="AV568" s="157"/>
      <c r="AW568" s="157"/>
      <c r="AX568" s="157"/>
      <c r="AY568" s="157"/>
      <c r="AZ568" s="157"/>
      <c r="BA568" s="157"/>
      <c r="BB568" s="157"/>
      <c r="BC568" s="157"/>
      <c r="BD568" s="157"/>
      <c r="BE568" s="157"/>
      <c r="BF568" s="157"/>
      <c r="BG568" s="157"/>
      <c r="BH568" s="157"/>
      <c r="BI568" s="157"/>
      <c r="BJ568" s="157"/>
    </row>
    <row r="569" spans="1:62" ht="15.75" customHeight="1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7"/>
      <c r="AG569" s="157"/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  <c r="AV569" s="157"/>
      <c r="AW569" s="157"/>
      <c r="AX569" s="157"/>
      <c r="AY569" s="157"/>
      <c r="AZ569" s="157"/>
      <c r="BA569" s="157"/>
      <c r="BB569" s="157"/>
      <c r="BC569" s="157"/>
      <c r="BD569" s="157"/>
      <c r="BE569" s="157"/>
      <c r="BF569" s="157"/>
      <c r="BG569" s="157"/>
      <c r="BH569" s="157"/>
      <c r="BI569" s="157"/>
      <c r="BJ569" s="157"/>
    </row>
    <row r="570" spans="1:62" ht="15.75" customHeight="1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7"/>
      <c r="AG570" s="157"/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  <c r="AV570" s="157"/>
      <c r="AW570" s="157"/>
      <c r="AX570" s="157"/>
      <c r="AY570" s="157"/>
      <c r="AZ570" s="157"/>
      <c r="BA570" s="157"/>
      <c r="BB570" s="157"/>
      <c r="BC570" s="157"/>
      <c r="BD570" s="157"/>
      <c r="BE570" s="157"/>
      <c r="BF570" s="157"/>
      <c r="BG570" s="157"/>
      <c r="BH570" s="157"/>
      <c r="BI570" s="157"/>
      <c r="BJ570" s="157"/>
    </row>
    <row r="571" spans="1:62" ht="15.75" customHeight="1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7"/>
      <c r="AG571" s="157"/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  <c r="AV571" s="157"/>
      <c r="AW571" s="157"/>
      <c r="AX571" s="157"/>
      <c r="AY571" s="157"/>
      <c r="AZ571" s="157"/>
      <c r="BA571" s="157"/>
      <c r="BB571" s="157"/>
      <c r="BC571" s="157"/>
      <c r="BD571" s="157"/>
      <c r="BE571" s="157"/>
      <c r="BF571" s="157"/>
      <c r="BG571" s="157"/>
      <c r="BH571" s="157"/>
      <c r="BI571" s="157"/>
      <c r="BJ571" s="157"/>
    </row>
    <row r="572" spans="1:62" ht="15.75" customHeight="1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57"/>
      <c r="AG572" s="157"/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  <c r="AV572" s="157"/>
      <c r="AW572" s="157"/>
      <c r="AX572" s="157"/>
      <c r="AY572" s="157"/>
      <c r="AZ572" s="157"/>
      <c r="BA572" s="157"/>
      <c r="BB572" s="157"/>
      <c r="BC572" s="157"/>
      <c r="BD572" s="157"/>
      <c r="BE572" s="157"/>
      <c r="BF572" s="157"/>
      <c r="BG572" s="157"/>
      <c r="BH572" s="157"/>
      <c r="BI572" s="157"/>
      <c r="BJ572" s="157"/>
    </row>
    <row r="573" spans="1:62" ht="15.75" customHeight="1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57"/>
      <c r="AG573" s="157"/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  <c r="AV573" s="157"/>
      <c r="AW573" s="157"/>
      <c r="AX573" s="157"/>
      <c r="AY573" s="157"/>
      <c r="AZ573" s="157"/>
      <c r="BA573" s="157"/>
      <c r="BB573" s="157"/>
      <c r="BC573" s="157"/>
      <c r="BD573" s="157"/>
      <c r="BE573" s="157"/>
      <c r="BF573" s="157"/>
      <c r="BG573" s="157"/>
      <c r="BH573" s="157"/>
      <c r="BI573" s="157"/>
      <c r="BJ573" s="157"/>
    </row>
    <row r="574" spans="1:62" ht="15.75" customHeight="1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57"/>
      <c r="AG574" s="157"/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  <c r="AV574" s="157"/>
      <c r="AW574" s="157"/>
      <c r="AX574" s="157"/>
      <c r="AY574" s="157"/>
      <c r="AZ574" s="157"/>
      <c r="BA574" s="157"/>
      <c r="BB574" s="157"/>
      <c r="BC574" s="157"/>
      <c r="BD574" s="157"/>
      <c r="BE574" s="157"/>
      <c r="BF574" s="157"/>
      <c r="BG574" s="157"/>
      <c r="BH574" s="157"/>
      <c r="BI574" s="157"/>
      <c r="BJ574" s="157"/>
    </row>
    <row r="575" spans="1:62" ht="15.75" customHeight="1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57"/>
      <c r="AG575" s="157"/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  <c r="AV575" s="157"/>
      <c r="AW575" s="157"/>
      <c r="AX575" s="157"/>
      <c r="AY575" s="157"/>
      <c r="AZ575" s="157"/>
      <c r="BA575" s="157"/>
      <c r="BB575" s="157"/>
      <c r="BC575" s="157"/>
      <c r="BD575" s="157"/>
      <c r="BE575" s="157"/>
      <c r="BF575" s="157"/>
      <c r="BG575" s="157"/>
      <c r="BH575" s="157"/>
      <c r="BI575" s="157"/>
      <c r="BJ575" s="157"/>
    </row>
    <row r="576" spans="1:62" ht="15.75" customHeight="1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57"/>
      <c r="AJ576" s="157"/>
      <c r="AK576" s="157"/>
      <c r="AL576" s="157"/>
      <c r="AM576" s="157"/>
      <c r="AN576" s="157"/>
      <c r="AO576" s="157"/>
      <c r="AP576" s="157"/>
      <c r="AQ576" s="157"/>
      <c r="AR576" s="157"/>
      <c r="AS576" s="157"/>
      <c r="AT576" s="157"/>
      <c r="AU576" s="157"/>
      <c r="AV576" s="157"/>
      <c r="AW576" s="157"/>
      <c r="AX576" s="157"/>
      <c r="AY576" s="157"/>
      <c r="AZ576" s="157"/>
      <c r="BA576" s="157"/>
      <c r="BB576" s="157"/>
      <c r="BC576" s="157"/>
      <c r="BD576" s="157"/>
      <c r="BE576" s="157"/>
      <c r="BF576" s="157"/>
      <c r="BG576" s="157"/>
      <c r="BH576" s="157"/>
      <c r="BI576" s="157"/>
      <c r="BJ576" s="157"/>
    </row>
    <row r="577" spans="1:62" ht="15.75" customHeight="1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  <c r="AV577" s="157"/>
      <c r="AW577" s="157"/>
      <c r="AX577" s="157"/>
      <c r="AY577" s="157"/>
      <c r="AZ577" s="157"/>
      <c r="BA577" s="157"/>
      <c r="BB577" s="157"/>
      <c r="BC577" s="157"/>
      <c r="BD577" s="157"/>
      <c r="BE577" s="157"/>
      <c r="BF577" s="157"/>
      <c r="BG577" s="157"/>
      <c r="BH577" s="157"/>
      <c r="BI577" s="157"/>
      <c r="BJ577" s="157"/>
    </row>
    <row r="578" spans="1:62" ht="15.75" customHeight="1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  <c r="AV578" s="157"/>
      <c r="AW578" s="157"/>
      <c r="AX578" s="157"/>
      <c r="AY578" s="157"/>
      <c r="AZ578" s="157"/>
      <c r="BA578" s="157"/>
      <c r="BB578" s="157"/>
      <c r="BC578" s="157"/>
      <c r="BD578" s="157"/>
      <c r="BE578" s="157"/>
      <c r="BF578" s="157"/>
      <c r="BG578" s="157"/>
      <c r="BH578" s="157"/>
      <c r="BI578" s="157"/>
      <c r="BJ578" s="157"/>
    </row>
    <row r="579" spans="1:62" ht="15.75" customHeight="1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  <c r="AV579" s="157"/>
      <c r="AW579" s="157"/>
      <c r="AX579" s="157"/>
      <c r="AY579" s="157"/>
      <c r="AZ579" s="157"/>
      <c r="BA579" s="157"/>
      <c r="BB579" s="157"/>
      <c r="BC579" s="157"/>
      <c r="BD579" s="157"/>
      <c r="BE579" s="157"/>
      <c r="BF579" s="157"/>
      <c r="BG579" s="157"/>
      <c r="BH579" s="157"/>
      <c r="BI579" s="157"/>
      <c r="BJ579" s="157"/>
    </row>
    <row r="580" spans="1:62" ht="15.75" customHeight="1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  <c r="AV580" s="157"/>
      <c r="AW580" s="157"/>
      <c r="AX580" s="157"/>
      <c r="AY580" s="157"/>
      <c r="AZ580" s="157"/>
      <c r="BA580" s="157"/>
      <c r="BB580" s="157"/>
      <c r="BC580" s="157"/>
      <c r="BD580" s="157"/>
      <c r="BE580" s="157"/>
      <c r="BF580" s="157"/>
      <c r="BG580" s="157"/>
      <c r="BH580" s="157"/>
      <c r="BI580" s="157"/>
      <c r="BJ580" s="157"/>
    </row>
    <row r="581" spans="1:62" ht="15.75" customHeight="1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  <c r="AV581" s="157"/>
      <c r="AW581" s="157"/>
      <c r="AX581" s="157"/>
      <c r="AY581" s="157"/>
      <c r="AZ581" s="157"/>
      <c r="BA581" s="157"/>
      <c r="BB581" s="157"/>
      <c r="BC581" s="157"/>
      <c r="BD581" s="157"/>
      <c r="BE581" s="157"/>
      <c r="BF581" s="157"/>
      <c r="BG581" s="157"/>
      <c r="BH581" s="157"/>
      <c r="BI581" s="157"/>
      <c r="BJ581" s="157"/>
    </row>
    <row r="582" spans="1:62" ht="15.75" customHeight="1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  <c r="AV582" s="157"/>
      <c r="AW582" s="157"/>
      <c r="AX582" s="157"/>
      <c r="AY582" s="157"/>
      <c r="AZ582" s="157"/>
      <c r="BA582" s="157"/>
      <c r="BB582" s="157"/>
      <c r="BC582" s="157"/>
      <c r="BD582" s="157"/>
      <c r="BE582" s="157"/>
      <c r="BF582" s="157"/>
      <c r="BG582" s="157"/>
      <c r="BH582" s="157"/>
      <c r="BI582" s="157"/>
      <c r="BJ582" s="157"/>
    </row>
    <row r="583" spans="1:62" ht="15.75" customHeight="1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  <c r="AV583" s="157"/>
      <c r="AW583" s="157"/>
      <c r="AX583" s="157"/>
      <c r="AY583" s="157"/>
      <c r="AZ583" s="157"/>
      <c r="BA583" s="157"/>
      <c r="BB583" s="157"/>
      <c r="BC583" s="157"/>
      <c r="BD583" s="157"/>
      <c r="BE583" s="157"/>
      <c r="BF583" s="157"/>
      <c r="BG583" s="157"/>
      <c r="BH583" s="157"/>
      <c r="BI583" s="157"/>
      <c r="BJ583" s="157"/>
    </row>
    <row r="584" spans="1:62" ht="15.75" customHeight="1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  <c r="AV584" s="157"/>
      <c r="AW584" s="157"/>
      <c r="AX584" s="157"/>
      <c r="AY584" s="157"/>
      <c r="AZ584" s="157"/>
      <c r="BA584" s="157"/>
      <c r="BB584" s="157"/>
      <c r="BC584" s="157"/>
      <c r="BD584" s="157"/>
      <c r="BE584" s="157"/>
      <c r="BF584" s="157"/>
      <c r="BG584" s="157"/>
      <c r="BH584" s="157"/>
      <c r="BI584" s="157"/>
      <c r="BJ584" s="157"/>
    </row>
    <row r="585" spans="1:62" ht="15.75" customHeight="1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  <c r="AV585" s="157"/>
      <c r="AW585" s="157"/>
      <c r="AX585" s="157"/>
      <c r="AY585" s="157"/>
      <c r="AZ585" s="157"/>
      <c r="BA585" s="157"/>
      <c r="BB585" s="157"/>
      <c r="BC585" s="157"/>
      <c r="BD585" s="157"/>
      <c r="BE585" s="157"/>
      <c r="BF585" s="157"/>
      <c r="BG585" s="157"/>
      <c r="BH585" s="157"/>
      <c r="BI585" s="157"/>
      <c r="BJ585" s="157"/>
    </row>
    <row r="586" spans="1:62" ht="15.75" customHeight="1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  <c r="AV586" s="157"/>
      <c r="AW586" s="157"/>
      <c r="AX586" s="157"/>
      <c r="AY586" s="157"/>
      <c r="AZ586" s="157"/>
      <c r="BA586" s="157"/>
      <c r="BB586" s="157"/>
      <c r="BC586" s="157"/>
      <c r="BD586" s="157"/>
      <c r="BE586" s="157"/>
      <c r="BF586" s="157"/>
      <c r="BG586" s="157"/>
      <c r="BH586" s="157"/>
      <c r="BI586" s="157"/>
      <c r="BJ586" s="157"/>
    </row>
    <row r="587" spans="1:62" ht="15.75" customHeight="1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  <c r="AV587" s="157"/>
      <c r="AW587" s="157"/>
      <c r="AX587" s="157"/>
      <c r="AY587" s="157"/>
      <c r="AZ587" s="157"/>
      <c r="BA587" s="157"/>
      <c r="BB587" s="157"/>
      <c r="BC587" s="157"/>
      <c r="BD587" s="157"/>
      <c r="BE587" s="157"/>
      <c r="BF587" s="157"/>
      <c r="BG587" s="157"/>
      <c r="BH587" s="157"/>
      <c r="BI587" s="157"/>
      <c r="BJ587" s="157"/>
    </row>
    <row r="588" spans="1:62" ht="15.75" customHeight="1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  <c r="AV588" s="157"/>
      <c r="AW588" s="157"/>
      <c r="AX588" s="157"/>
      <c r="AY588" s="157"/>
      <c r="AZ588" s="157"/>
      <c r="BA588" s="157"/>
      <c r="BB588" s="157"/>
      <c r="BC588" s="157"/>
      <c r="BD588" s="157"/>
      <c r="BE588" s="157"/>
      <c r="BF588" s="157"/>
      <c r="BG588" s="157"/>
      <c r="BH588" s="157"/>
      <c r="BI588" s="157"/>
      <c r="BJ588" s="157"/>
    </row>
    <row r="589" spans="1:62" ht="15.75" customHeight="1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  <c r="AV589" s="157"/>
      <c r="AW589" s="157"/>
      <c r="AX589" s="157"/>
      <c r="AY589" s="157"/>
      <c r="AZ589" s="157"/>
      <c r="BA589" s="157"/>
      <c r="BB589" s="157"/>
      <c r="BC589" s="157"/>
      <c r="BD589" s="157"/>
      <c r="BE589" s="157"/>
      <c r="BF589" s="157"/>
      <c r="BG589" s="157"/>
      <c r="BH589" s="157"/>
      <c r="BI589" s="157"/>
      <c r="BJ589" s="157"/>
    </row>
    <row r="590" spans="1:62" ht="15.75" customHeight="1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  <c r="AV590" s="157"/>
      <c r="AW590" s="157"/>
      <c r="AX590" s="157"/>
      <c r="AY590" s="157"/>
      <c r="AZ590" s="157"/>
      <c r="BA590" s="157"/>
      <c r="BB590" s="157"/>
      <c r="BC590" s="157"/>
      <c r="BD590" s="157"/>
      <c r="BE590" s="157"/>
      <c r="BF590" s="157"/>
      <c r="BG590" s="157"/>
      <c r="BH590" s="157"/>
      <c r="BI590" s="157"/>
      <c r="BJ590" s="157"/>
    </row>
    <row r="591" spans="1:62" ht="15.75" customHeight="1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  <c r="AV591" s="157"/>
      <c r="AW591" s="157"/>
      <c r="AX591" s="157"/>
      <c r="AY591" s="157"/>
      <c r="AZ591" s="157"/>
      <c r="BA591" s="157"/>
      <c r="BB591" s="157"/>
      <c r="BC591" s="157"/>
      <c r="BD591" s="157"/>
      <c r="BE591" s="157"/>
      <c r="BF591" s="157"/>
      <c r="BG591" s="157"/>
      <c r="BH591" s="157"/>
      <c r="BI591" s="157"/>
      <c r="BJ591" s="157"/>
    </row>
    <row r="592" spans="1:62" ht="15.75" customHeight="1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  <c r="AV592" s="157"/>
      <c r="AW592" s="157"/>
      <c r="AX592" s="157"/>
      <c r="AY592" s="157"/>
      <c r="AZ592" s="157"/>
      <c r="BA592" s="157"/>
      <c r="BB592" s="157"/>
      <c r="BC592" s="157"/>
      <c r="BD592" s="157"/>
      <c r="BE592" s="157"/>
      <c r="BF592" s="157"/>
      <c r="BG592" s="157"/>
      <c r="BH592" s="157"/>
      <c r="BI592" s="157"/>
      <c r="BJ592" s="157"/>
    </row>
    <row r="593" spans="1:62" ht="15.75" customHeight="1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  <c r="AV593" s="157"/>
      <c r="AW593" s="157"/>
      <c r="AX593" s="157"/>
      <c r="AY593" s="157"/>
      <c r="AZ593" s="157"/>
      <c r="BA593" s="157"/>
      <c r="BB593" s="157"/>
      <c r="BC593" s="157"/>
      <c r="BD593" s="157"/>
      <c r="BE593" s="157"/>
      <c r="BF593" s="157"/>
      <c r="BG593" s="157"/>
      <c r="BH593" s="157"/>
      <c r="BI593" s="157"/>
      <c r="BJ593" s="157"/>
    </row>
    <row r="594" spans="1:62" ht="15.75" customHeight="1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  <c r="AV594" s="157"/>
      <c r="AW594" s="157"/>
      <c r="AX594" s="157"/>
      <c r="AY594" s="157"/>
      <c r="AZ594" s="157"/>
      <c r="BA594" s="157"/>
      <c r="BB594" s="157"/>
      <c r="BC594" s="157"/>
      <c r="BD594" s="157"/>
      <c r="BE594" s="157"/>
      <c r="BF594" s="157"/>
      <c r="BG594" s="157"/>
      <c r="BH594" s="157"/>
      <c r="BI594" s="157"/>
      <c r="BJ594" s="157"/>
    </row>
    <row r="595" spans="1:62" ht="15.75" customHeight="1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  <c r="AV595" s="157"/>
      <c r="AW595" s="157"/>
      <c r="AX595" s="157"/>
      <c r="AY595" s="157"/>
      <c r="AZ595" s="157"/>
      <c r="BA595" s="157"/>
      <c r="BB595" s="157"/>
      <c r="BC595" s="157"/>
      <c r="BD595" s="157"/>
      <c r="BE595" s="157"/>
      <c r="BF595" s="157"/>
      <c r="BG595" s="157"/>
      <c r="BH595" s="157"/>
      <c r="BI595" s="157"/>
      <c r="BJ595" s="157"/>
    </row>
    <row r="596" spans="1:62" ht="15.75" customHeight="1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  <c r="AV596" s="157"/>
      <c r="AW596" s="157"/>
      <c r="AX596" s="157"/>
      <c r="AY596" s="157"/>
      <c r="AZ596" s="157"/>
      <c r="BA596" s="157"/>
      <c r="BB596" s="157"/>
      <c r="BC596" s="157"/>
      <c r="BD596" s="157"/>
      <c r="BE596" s="157"/>
      <c r="BF596" s="157"/>
      <c r="BG596" s="157"/>
      <c r="BH596" s="157"/>
      <c r="BI596" s="157"/>
      <c r="BJ596" s="157"/>
    </row>
    <row r="597" spans="1:62" ht="15.75" customHeight="1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  <c r="AV597" s="157"/>
      <c r="AW597" s="157"/>
      <c r="AX597" s="157"/>
      <c r="AY597" s="157"/>
      <c r="AZ597" s="157"/>
      <c r="BA597" s="157"/>
      <c r="BB597" s="157"/>
      <c r="BC597" s="157"/>
      <c r="BD597" s="157"/>
      <c r="BE597" s="157"/>
      <c r="BF597" s="157"/>
      <c r="BG597" s="157"/>
      <c r="BH597" s="157"/>
      <c r="BI597" s="157"/>
      <c r="BJ597" s="157"/>
    </row>
    <row r="598" spans="1:62" ht="15.75" customHeight="1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  <c r="AV598" s="157"/>
      <c r="AW598" s="157"/>
      <c r="AX598" s="157"/>
      <c r="AY598" s="157"/>
      <c r="AZ598" s="157"/>
      <c r="BA598" s="157"/>
      <c r="BB598" s="157"/>
      <c r="BC598" s="157"/>
      <c r="BD598" s="157"/>
      <c r="BE598" s="157"/>
      <c r="BF598" s="157"/>
      <c r="BG598" s="157"/>
      <c r="BH598" s="157"/>
      <c r="BI598" s="157"/>
      <c r="BJ598" s="157"/>
    </row>
    <row r="599" spans="1:62" ht="15.75" customHeight="1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  <c r="AV599" s="157"/>
      <c r="AW599" s="157"/>
      <c r="AX599" s="157"/>
      <c r="AY599" s="157"/>
      <c r="AZ599" s="157"/>
      <c r="BA599" s="157"/>
      <c r="BB599" s="157"/>
      <c r="BC599" s="157"/>
      <c r="BD599" s="157"/>
      <c r="BE599" s="157"/>
      <c r="BF599" s="157"/>
      <c r="BG599" s="157"/>
      <c r="BH599" s="157"/>
      <c r="BI599" s="157"/>
      <c r="BJ599" s="157"/>
    </row>
    <row r="600" spans="1:62" ht="15.75" customHeight="1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  <c r="AV600" s="157"/>
      <c r="AW600" s="157"/>
      <c r="AX600" s="157"/>
      <c r="AY600" s="157"/>
      <c r="AZ600" s="157"/>
      <c r="BA600" s="157"/>
      <c r="BB600" s="157"/>
      <c r="BC600" s="157"/>
      <c r="BD600" s="157"/>
      <c r="BE600" s="157"/>
      <c r="BF600" s="157"/>
      <c r="BG600" s="157"/>
      <c r="BH600" s="157"/>
      <c r="BI600" s="157"/>
      <c r="BJ600" s="157"/>
    </row>
    <row r="601" spans="1:62" ht="15.75" customHeight="1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  <c r="AV601" s="157"/>
      <c r="AW601" s="157"/>
      <c r="AX601" s="157"/>
      <c r="AY601" s="157"/>
      <c r="AZ601" s="157"/>
      <c r="BA601" s="157"/>
      <c r="BB601" s="157"/>
      <c r="BC601" s="157"/>
      <c r="BD601" s="157"/>
      <c r="BE601" s="157"/>
      <c r="BF601" s="157"/>
      <c r="BG601" s="157"/>
      <c r="BH601" s="157"/>
      <c r="BI601" s="157"/>
      <c r="BJ601" s="157"/>
    </row>
    <row r="602" spans="1:62" ht="15.75" customHeight="1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  <c r="AV602" s="157"/>
      <c r="AW602" s="157"/>
      <c r="AX602" s="157"/>
      <c r="AY602" s="157"/>
      <c r="AZ602" s="157"/>
      <c r="BA602" s="157"/>
      <c r="BB602" s="157"/>
      <c r="BC602" s="157"/>
      <c r="BD602" s="157"/>
      <c r="BE602" s="157"/>
      <c r="BF602" s="157"/>
      <c r="BG602" s="157"/>
      <c r="BH602" s="157"/>
      <c r="BI602" s="157"/>
      <c r="BJ602" s="157"/>
    </row>
    <row r="603" spans="1:62" ht="15.75" customHeight="1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  <c r="AV603" s="157"/>
      <c r="AW603" s="157"/>
      <c r="AX603" s="157"/>
      <c r="AY603" s="157"/>
      <c r="AZ603" s="157"/>
      <c r="BA603" s="157"/>
      <c r="BB603" s="157"/>
      <c r="BC603" s="157"/>
      <c r="BD603" s="157"/>
      <c r="BE603" s="157"/>
      <c r="BF603" s="157"/>
      <c r="BG603" s="157"/>
      <c r="BH603" s="157"/>
      <c r="BI603" s="157"/>
      <c r="BJ603" s="157"/>
    </row>
    <row r="604" spans="1:62" ht="15.75" customHeight="1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  <c r="AV604" s="157"/>
      <c r="AW604" s="157"/>
      <c r="AX604" s="157"/>
      <c r="AY604" s="157"/>
      <c r="AZ604" s="157"/>
      <c r="BA604" s="157"/>
      <c r="BB604" s="157"/>
      <c r="BC604" s="157"/>
      <c r="BD604" s="157"/>
      <c r="BE604" s="157"/>
      <c r="BF604" s="157"/>
      <c r="BG604" s="157"/>
      <c r="BH604" s="157"/>
      <c r="BI604" s="157"/>
      <c r="BJ604" s="157"/>
    </row>
    <row r="605" spans="1:62" ht="15.75" customHeight="1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  <c r="AV605" s="157"/>
      <c r="AW605" s="157"/>
      <c r="AX605" s="157"/>
      <c r="AY605" s="157"/>
      <c r="AZ605" s="157"/>
      <c r="BA605" s="157"/>
      <c r="BB605" s="157"/>
      <c r="BC605" s="157"/>
      <c r="BD605" s="157"/>
      <c r="BE605" s="157"/>
      <c r="BF605" s="157"/>
      <c r="BG605" s="157"/>
      <c r="BH605" s="157"/>
      <c r="BI605" s="157"/>
      <c r="BJ605" s="157"/>
    </row>
    <row r="606" spans="1:62" ht="15.75" customHeight="1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  <c r="AV606" s="157"/>
      <c r="AW606" s="157"/>
      <c r="AX606" s="157"/>
      <c r="AY606" s="157"/>
      <c r="AZ606" s="157"/>
      <c r="BA606" s="157"/>
      <c r="BB606" s="157"/>
      <c r="BC606" s="157"/>
      <c r="BD606" s="157"/>
      <c r="BE606" s="157"/>
      <c r="BF606" s="157"/>
      <c r="BG606" s="157"/>
      <c r="BH606" s="157"/>
      <c r="BI606" s="157"/>
      <c r="BJ606" s="157"/>
    </row>
    <row r="607" spans="1:62" ht="15.75" customHeight="1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  <c r="AV607" s="157"/>
      <c r="AW607" s="157"/>
      <c r="AX607" s="157"/>
      <c r="AY607" s="157"/>
      <c r="AZ607" s="157"/>
      <c r="BA607" s="157"/>
      <c r="BB607" s="157"/>
      <c r="BC607" s="157"/>
      <c r="BD607" s="157"/>
      <c r="BE607" s="157"/>
      <c r="BF607" s="157"/>
      <c r="BG607" s="157"/>
      <c r="BH607" s="157"/>
      <c r="BI607" s="157"/>
      <c r="BJ607" s="157"/>
    </row>
    <row r="608" spans="1:62" ht="15.75" customHeight="1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  <c r="AV608" s="157"/>
      <c r="AW608" s="157"/>
      <c r="AX608" s="157"/>
      <c r="AY608" s="157"/>
      <c r="AZ608" s="157"/>
      <c r="BA608" s="157"/>
      <c r="BB608" s="157"/>
      <c r="BC608" s="157"/>
      <c r="BD608" s="157"/>
      <c r="BE608" s="157"/>
      <c r="BF608" s="157"/>
      <c r="BG608" s="157"/>
      <c r="BH608" s="157"/>
      <c r="BI608" s="157"/>
      <c r="BJ608" s="157"/>
    </row>
    <row r="609" spans="1:62" ht="15.75" customHeight="1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  <c r="AV609" s="157"/>
      <c r="AW609" s="157"/>
      <c r="AX609" s="157"/>
      <c r="AY609" s="157"/>
      <c r="AZ609" s="157"/>
      <c r="BA609" s="157"/>
      <c r="BB609" s="157"/>
      <c r="BC609" s="157"/>
      <c r="BD609" s="157"/>
      <c r="BE609" s="157"/>
      <c r="BF609" s="157"/>
      <c r="BG609" s="157"/>
      <c r="BH609" s="157"/>
      <c r="BI609" s="157"/>
      <c r="BJ609" s="157"/>
    </row>
    <row r="610" spans="1:62" ht="15.75" customHeight="1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  <c r="AV610" s="157"/>
      <c r="AW610" s="157"/>
      <c r="AX610" s="157"/>
      <c r="AY610" s="157"/>
      <c r="AZ610" s="157"/>
      <c r="BA610" s="157"/>
      <c r="BB610" s="157"/>
      <c r="BC610" s="157"/>
      <c r="BD610" s="157"/>
      <c r="BE610" s="157"/>
      <c r="BF610" s="157"/>
      <c r="BG610" s="157"/>
      <c r="BH610" s="157"/>
      <c r="BI610" s="157"/>
      <c r="BJ610" s="157"/>
    </row>
    <row r="611" spans="1:62" ht="15.75" customHeight="1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  <c r="AV611" s="157"/>
      <c r="AW611" s="157"/>
      <c r="AX611" s="157"/>
      <c r="AY611" s="157"/>
      <c r="AZ611" s="157"/>
      <c r="BA611" s="157"/>
      <c r="BB611" s="157"/>
      <c r="BC611" s="157"/>
      <c r="BD611" s="157"/>
      <c r="BE611" s="157"/>
      <c r="BF611" s="157"/>
      <c r="BG611" s="157"/>
      <c r="BH611" s="157"/>
      <c r="BI611" s="157"/>
      <c r="BJ611" s="157"/>
    </row>
    <row r="612" spans="1:62" ht="15.75" customHeight="1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  <c r="AV612" s="157"/>
      <c r="AW612" s="157"/>
      <c r="AX612" s="157"/>
      <c r="AY612" s="157"/>
      <c r="AZ612" s="157"/>
      <c r="BA612" s="157"/>
      <c r="BB612" s="157"/>
      <c r="BC612" s="157"/>
      <c r="BD612" s="157"/>
      <c r="BE612" s="157"/>
      <c r="BF612" s="157"/>
      <c r="BG612" s="157"/>
      <c r="BH612" s="157"/>
      <c r="BI612" s="157"/>
      <c r="BJ612" s="157"/>
    </row>
    <row r="613" spans="1:62" ht="15.75" customHeight="1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  <c r="AH613" s="157"/>
      <c r="AI613" s="157"/>
      <c r="AJ613" s="157"/>
      <c r="AK613" s="157"/>
      <c r="AL613" s="157"/>
      <c r="AM613" s="157"/>
      <c r="AN613" s="157"/>
      <c r="AO613" s="157"/>
      <c r="AP613" s="157"/>
      <c r="AQ613" s="157"/>
      <c r="AR613" s="157"/>
      <c r="AS613" s="157"/>
      <c r="AT613" s="157"/>
      <c r="AU613" s="157"/>
      <c r="AV613" s="157"/>
      <c r="AW613" s="157"/>
      <c r="AX613" s="157"/>
      <c r="AY613" s="157"/>
      <c r="AZ613" s="157"/>
      <c r="BA613" s="157"/>
      <c r="BB613" s="157"/>
      <c r="BC613" s="157"/>
      <c r="BD613" s="157"/>
      <c r="BE613" s="157"/>
      <c r="BF613" s="157"/>
      <c r="BG613" s="157"/>
      <c r="BH613" s="157"/>
      <c r="BI613" s="157"/>
      <c r="BJ613" s="157"/>
    </row>
    <row r="614" spans="1:62" ht="15.75" customHeight="1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  <c r="AH614" s="157"/>
      <c r="AI614" s="157"/>
      <c r="AJ614" s="157"/>
      <c r="AK614" s="157"/>
      <c r="AL614" s="157"/>
      <c r="AM614" s="157"/>
      <c r="AN614" s="157"/>
      <c r="AO614" s="157"/>
      <c r="AP614" s="157"/>
      <c r="AQ614" s="157"/>
      <c r="AR614" s="157"/>
      <c r="AS614" s="157"/>
      <c r="AT614" s="157"/>
      <c r="AU614" s="157"/>
      <c r="AV614" s="157"/>
      <c r="AW614" s="157"/>
      <c r="AX614" s="157"/>
      <c r="AY614" s="157"/>
      <c r="AZ614" s="157"/>
      <c r="BA614" s="157"/>
      <c r="BB614" s="157"/>
      <c r="BC614" s="157"/>
      <c r="BD614" s="157"/>
      <c r="BE614" s="157"/>
      <c r="BF614" s="157"/>
      <c r="BG614" s="157"/>
      <c r="BH614" s="157"/>
      <c r="BI614" s="157"/>
      <c r="BJ614" s="157"/>
    </row>
    <row r="615" spans="1:62" ht="15.75" customHeight="1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  <c r="AH615" s="157"/>
      <c r="AI615" s="157"/>
      <c r="AJ615" s="157"/>
      <c r="AK615" s="157"/>
      <c r="AL615" s="157"/>
      <c r="AM615" s="157"/>
      <c r="AN615" s="157"/>
      <c r="AO615" s="157"/>
      <c r="AP615" s="157"/>
      <c r="AQ615" s="157"/>
      <c r="AR615" s="157"/>
      <c r="AS615" s="157"/>
      <c r="AT615" s="157"/>
      <c r="AU615" s="157"/>
      <c r="AV615" s="157"/>
      <c r="AW615" s="157"/>
      <c r="AX615" s="157"/>
      <c r="AY615" s="157"/>
      <c r="AZ615" s="157"/>
      <c r="BA615" s="157"/>
      <c r="BB615" s="157"/>
      <c r="BC615" s="157"/>
      <c r="BD615" s="157"/>
      <c r="BE615" s="157"/>
      <c r="BF615" s="157"/>
      <c r="BG615" s="157"/>
      <c r="BH615" s="157"/>
      <c r="BI615" s="157"/>
      <c r="BJ615" s="157"/>
    </row>
    <row r="616" spans="1:62" ht="15.75" customHeight="1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  <c r="AH616" s="157"/>
      <c r="AI616" s="157"/>
      <c r="AJ616" s="157"/>
      <c r="AK616" s="157"/>
      <c r="AL616" s="157"/>
      <c r="AM616" s="157"/>
      <c r="AN616" s="157"/>
      <c r="AO616" s="157"/>
      <c r="AP616" s="157"/>
      <c r="AQ616" s="157"/>
      <c r="AR616" s="157"/>
      <c r="AS616" s="157"/>
      <c r="AT616" s="157"/>
      <c r="AU616" s="157"/>
      <c r="AV616" s="157"/>
      <c r="AW616" s="157"/>
      <c r="AX616" s="157"/>
      <c r="AY616" s="157"/>
      <c r="AZ616" s="157"/>
      <c r="BA616" s="157"/>
      <c r="BB616" s="157"/>
      <c r="BC616" s="157"/>
      <c r="BD616" s="157"/>
      <c r="BE616" s="157"/>
      <c r="BF616" s="157"/>
      <c r="BG616" s="157"/>
      <c r="BH616" s="157"/>
      <c r="BI616" s="157"/>
      <c r="BJ616" s="157"/>
    </row>
    <row r="617" spans="1:62" ht="15.75" customHeight="1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  <c r="AH617" s="157"/>
      <c r="AI617" s="157"/>
      <c r="AJ617" s="157"/>
      <c r="AK617" s="157"/>
      <c r="AL617" s="157"/>
      <c r="AM617" s="157"/>
      <c r="AN617" s="157"/>
      <c r="AO617" s="157"/>
      <c r="AP617" s="157"/>
      <c r="AQ617" s="157"/>
      <c r="AR617" s="157"/>
      <c r="AS617" s="157"/>
      <c r="AT617" s="157"/>
      <c r="AU617" s="157"/>
      <c r="AV617" s="157"/>
      <c r="AW617" s="157"/>
      <c r="AX617" s="157"/>
      <c r="AY617" s="157"/>
      <c r="AZ617" s="157"/>
      <c r="BA617" s="157"/>
      <c r="BB617" s="157"/>
      <c r="BC617" s="157"/>
      <c r="BD617" s="157"/>
      <c r="BE617" s="157"/>
      <c r="BF617" s="157"/>
      <c r="BG617" s="157"/>
      <c r="BH617" s="157"/>
      <c r="BI617" s="157"/>
      <c r="BJ617" s="157"/>
    </row>
    <row r="618" spans="1:62" ht="15.75" customHeight="1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  <c r="AH618" s="157"/>
      <c r="AI618" s="157"/>
      <c r="AJ618" s="157"/>
      <c r="AK618" s="157"/>
      <c r="AL618" s="157"/>
      <c r="AM618" s="157"/>
      <c r="AN618" s="157"/>
      <c r="AO618" s="157"/>
      <c r="AP618" s="157"/>
      <c r="AQ618" s="157"/>
      <c r="AR618" s="157"/>
      <c r="AS618" s="157"/>
      <c r="AT618" s="157"/>
      <c r="AU618" s="157"/>
      <c r="AV618" s="157"/>
      <c r="AW618" s="157"/>
      <c r="AX618" s="157"/>
      <c r="AY618" s="157"/>
      <c r="AZ618" s="157"/>
      <c r="BA618" s="157"/>
      <c r="BB618" s="157"/>
      <c r="BC618" s="157"/>
      <c r="BD618" s="157"/>
      <c r="BE618" s="157"/>
      <c r="BF618" s="157"/>
      <c r="BG618" s="157"/>
      <c r="BH618" s="157"/>
      <c r="BI618" s="157"/>
      <c r="BJ618" s="157"/>
    </row>
    <row r="619" spans="1:62" ht="15.75" customHeight="1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  <c r="AH619" s="157"/>
      <c r="AI619" s="157"/>
      <c r="AJ619" s="157"/>
      <c r="AK619" s="157"/>
      <c r="AL619" s="157"/>
      <c r="AM619" s="157"/>
      <c r="AN619" s="157"/>
      <c r="AO619" s="157"/>
      <c r="AP619" s="157"/>
      <c r="AQ619" s="157"/>
      <c r="AR619" s="157"/>
      <c r="AS619" s="157"/>
      <c r="AT619" s="157"/>
      <c r="AU619" s="157"/>
      <c r="AV619" s="157"/>
      <c r="AW619" s="157"/>
      <c r="AX619" s="157"/>
      <c r="AY619" s="157"/>
      <c r="AZ619" s="157"/>
      <c r="BA619" s="157"/>
      <c r="BB619" s="157"/>
      <c r="BC619" s="157"/>
      <c r="BD619" s="157"/>
      <c r="BE619" s="157"/>
      <c r="BF619" s="157"/>
      <c r="BG619" s="157"/>
      <c r="BH619" s="157"/>
      <c r="BI619" s="157"/>
      <c r="BJ619" s="157"/>
    </row>
    <row r="620" spans="1:62" ht="15.75" customHeight="1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  <c r="AH620" s="157"/>
      <c r="AI620" s="157"/>
      <c r="AJ620" s="157"/>
      <c r="AK620" s="157"/>
      <c r="AL620" s="157"/>
      <c r="AM620" s="157"/>
      <c r="AN620" s="157"/>
      <c r="AO620" s="157"/>
      <c r="AP620" s="157"/>
      <c r="AQ620" s="157"/>
      <c r="AR620" s="157"/>
      <c r="AS620" s="157"/>
      <c r="AT620" s="157"/>
      <c r="AU620" s="157"/>
      <c r="AV620" s="157"/>
      <c r="AW620" s="157"/>
      <c r="AX620" s="157"/>
      <c r="AY620" s="157"/>
      <c r="AZ620" s="157"/>
      <c r="BA620" s="157"/>
      <c r="BB620" s="157"/>
      <c r="BC620" s="157"/>
      <c r="BD620" s="157"/>
      <c r="BE620" s="157"/>
      <c r="BF620" s="157"/>
      <c r="BG620" s="157"/>
      <c r="BH620" s="157"/>
      <c r="BI620" s="157"/>
      <c r="BJ620" s="157"/>
    </row>
    <row r="621" spans="1:62" ht="15.75" customHeight="1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  <c r="AH621" s="157"/>
      <c r="AI621" s="157"/>
      <c r="AJ621" s="157"/>
      <c r="AK621" s="157"/>
      <c r="AL621" s="157"/>
      <c r="AM621" s="157"/>
      <c r="AN621" s="157"/>
      <c r="AO621" s="157"/>
      <c r="AP621" s="157"/>
      <c r="AQ621" s="157"/>
      <c r="AR621" s="157"/>
      <c r="AS621" s="157"/>
      <c r="AT621" s="157"/>
      <c r="AU621" s="157"/>
      <c r="AV621" s="157"/>
      <c r="AW621" s="157"/>
      <c r="AX621" s="157"/>
      <c r="AY621" s="157"/>
      <c r="AZ621" s="157"/>
      <c r="BA621" s="157"/>
      <c r="BB621" s="157"/>
      <c r="BC621" s="157"/>
      <c r="BD621" s="157"/>
      <c r="BE621" s="157"/>
      <c r="BF621" s="157"/>
      <c r="BG621" s="157"/>
      <c r="BH621" s="157"/>
      <c r="BI621" s="157"/>
      <c r="BJ621" s="157"/>
    </row>
    <row r="622" spans="1:62" ht="15.75" customHeight="1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57"/>
      <c r="AT622" s="157"/>
      <c r="AU622" s="157"/>
      <c r="AV622" s="157"/>
      <c r="AW622" s="157"/>
      <c r="AX622" s="157"/>
      <c r="AY622" s="157"/>
      <c r="AZ622" s="157"/>
      <c r="BA622" s="157"/>
      <c r="BB622" s="157"/>
      <c r="BC622" s="157"/>
      <c r="BD622" s="157"/>
      <c r="BE622" s="157"/>
      <c r="BF622" s="157"/>
      <c r="BG622" s="157"/>
      <c r="BH622" s="157"/>
      <c r="BI622" s="157"/>
      <c r="BJ622" s="157"/>
    </row>
    <row r="623" spans="1:62" ht="15.75" customHeight="1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57"/>
      <c r="AT623" s="157"/>
      <c r="AU623" s="157"/>
      <c r="AV623" s="157"/>
      <c r="AW623" s="157"/>
      <c r="AX623" s="157"/>
      <c r="AY623" s="157"/>
      <c r="AZ623" s="157"/>
      <c r="BA623" s="157"/>
      <c r="BB623" s="157"/>
      <c r="BC623" s="157"/>
      <c r="BD623" s="157"/>
      <c r="BE623" s="157"/>
      <c r="BF623" s="157"/>
      <c r="BG623" s="157"/>
      <c r="BH623" s="157"/>
      <c r="BI623" s="157"/>
      <c r="BJ623" s="157"/>
    </row>
    <row r="624" spans="1:62" ht="15.75" customHeight="1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57"/>
      <c r="AT624" s="157"/>
      <c r="AU624" s="157"/>
      <c r="AV624" s="157"/>
      <c r="AW624" s="157"/>
      <c r="AX624" s="157"/>
      <c r="AY624" s="157"/>
      <c r="AZ624" s="157"/>
      <c r="BA624" s="157"/>
      <c r="BB624" s="157"/>
      <c r="BC624" s="157"/>
      <c r="BD624" s="157"/>
      <c r="BE624" s="157"/>
      <c r="BF624" s="157"/>
      <c r="BG624" s="157"/>
      <c r="BH624" s="157"/>
      <c r="BI624" s="157"/>
      <c r="BJ624" s="157"/>
    </row>
    <row r="625" spans="1:62" ht="15.75" customHeight="1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57"/>
      <c r="AT625" s="157"/>
      <c r="AU625" s="157"/>
      <c r="AV625" s="157"/>
      <c r="AW625" s="157"/>
      <c r="AX625" s="157"/>
      <c r="AY625" s="157"/>
      <c r="AZ625" s="157"/>
      <c r="BA625" s="157"/>
      <c r="BB625" s="157"/>
      <c r="BC625" s="157"/>
      <c r="BD625" s="157"/>
      <c r="BE625" s="157"/>
      <c r="BF625" s="157"/>
      <c r="BG625" s="157"/>
      <c r="BH625" s="157"/>
      <c r="BI625" s="157"/>
      <c r="BJ625" s="157"/>
    </row>
    <row r="626" spans="1:62" ht="15.75" customHeight="1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57"/>
      <c r="AT626" s="157"/>
      <c r="AU626" s="157"/>
      <c r="AV626" s="157"/>
      <c r="AW626" s="157"/>
      <c r="AX626" s="157"/>
      <c r="AY626" s="157"/>
      <c r="AZ626" s="157"/>
      <c r="BA626" s="157"/>
      <c r="BB626" s="157"/>
      <c r="BC626" s="157"/>
      <c r="BD626" s="157"/>
      <c r="BE626" s="157"/>
      <c r="BF626" s="157"/>
      <c r="BG626" s="157"/>
      <c r="BH626" s="157"/>
      <c r="BI626" s="157"/>
      <c r="BJ626" s="157"/>
    </row>
    <row r="627" spans="1:62" ht="15.75" customHeight="1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  <c r="AH627" s="157"/>
      <c r="AI627" s="157"/>
      <c r="AJ627" s="157"/>
      <c r="AK627" s="157"/>
      <c r="AL627" s="157"/>
      <c r="AM627" s="157"/>
      <c r="AN627" s="157"/>
      <c r="AO627" s="157"/>
      <c r="AP627" s="157"/>
      <c r="AQ627" s="157"/>
      <c r="AR627" s="157"/>
      <c r="AS627" s="157"/>
      <c r="AT627" s="157"/>
      <c r="AU627" s="157"/>
      <c r="AV627" s="157"/>
      <c r="AW627" s="157"/>
      <c r="AX627" s="157"/>
      <c r="AY627" s="157"/>
      <c r="AZ627" s="157"/>
      <c r="BA627" s="157"/>
      <c r="BB627" s="157"/>
      <c r="BC627" s="157"/>
      <c r="BD627" s="157"/>
      <c r="BE627" s="157"/>
      <c r="BF627" s="157"/>
      <c r="BG627" s="157"/>
      <c r="BH627" s="157"/>
      <c r="BI627" s="157"/>
      <c r="BJ627" s="157"/>
    </row>
    <row r="628" spans="1:62" ht="15.75" customHeight="1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  <c r="AH628" s="157"/>
      <c r="AI628" s="157"/>
      <c r="AJ628" s="157"/>
      <c r="AK628" s="157"/>
      <c r="AL628" s="157"/>
      <c r="AM628" s="157"/>
      <c r="AN628" s="157"/>
      <c r="AO628" s="157"/>
      <c r="AP628" s="157"/>
      <c r="AQ628" s="157"/>
      <c r="AR628" s="157"/>
      <c r="AS628" s="157"/>
      <c r="AT628" s="157"/>
      <c r="AU628" s="157"/>
      <c r="AV628" s="157"/>
      <c r="AW628" s="157"/>
      <c r="AX628" s="157"/>
      <c r="AY628" s="157"/>
      <c r="AZ628" s="157"/>
      <c r="BA628" s="157"/>
      <c r="BB628" s="157"/>
      <c r="BC628" s="157"/>
      <c r="BD628" s="157"/>
      <c r="BE628" s="157"/>
      <c r="BF628" s="157"/>
      <c r="BG628" s="157"/>
      <c r="BH628" s="157"/>
      <c r="BI628" s="157"/>
      <c r="BJ628" s="157"/>
    </row>
    <row r="629" spans="1:62" ht="15.75" customHeight="1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  <c r="AH629" s="157"/>
      <c r="AI629" s="157"/>
      <c r="AJ629" s="157"/>
      <c r="AK629" s="157"/>
      <c r="AL629" s="157"/>
      <c r="AM629" s="157"/>
      <c r="AN629" s="157"/>
      <c r="AO629" s="157"/>
      <c r="AP629" s="157"/>
      <c r="AQ629" s="157"/>
      <c r="AR629" s="157"/>
      <c r="AS629" s="157"/>
      <c r="AT629" s="157"/>
      <c r="AU629" s="157"/>
      <c r="AV629" s="157"/>
      <c r="AW629" s="157"/>
      <c r="AX629" s="157"/>
      <c r="AY629" s="157"/>
      <c r="AZ629" s="157"/>
      <c r="BA629" s="157"/>
      <c r="BB629" s="157"/>
      <c r="BC629" s="157"/>
      <c r="BD629" s="157"/>
      <c r="BE629" s="157"/>
      <c r="BF629" s="157"/>
      <c r="BG629" s="157"/>
      <c r="BH629" s="157"/>
      <c r="BI629" s="157"/>
      <c r="BJ629" s="157"/>
    </row>
    <row r="630" spans="1:62" ht="15.75" customHeight="1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  <c r="AH630" s="157"/>
      <c r="AI630" s="157"/>
      <c r="AJ630" s="157"/>
      <c r="AK630" s="157"/>
      <c r="AL630" s="157"/>
      <c r="AM630" s="157"/>
      <c r="AN630" s="157"/>
      <c r="AO630" s="157"/>
      <c r="AP630" s="157"/>
      <c r="AQ630" s="157"/>
      <c r="AR630" s="157"/>
      <c r="AS630" s="157"/>
      <c r="AT630" s="157"/>
      <c r="AU630" s="157"/>
      <c r="AV630" s="157"/>
      <c r="AW630" s="157"/>
      <c r="AX630" s="157"/>
      <c r="AY630" s="157"/>
      <c r="AZ630" s="157"/>
      <c r="BA630" s="157"/>
      <c r="BB630" s="157"/>
      <c r="BC630" s="157"/>
      <c r="BD630" s="157"/>
      <c r="BE630" s="157"/>
      <c r="BF630" s="157"/>
      <c r="BG630" s="157"/>
      <c r="BH630" s="157"/>
      <c r="BI630" s="157"/>
      <c r="BJ630" s="157"/>
    </row>
    <row r="631" spans="1:62" ht="15.75" customHeight="1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  <c r="AH631" s="157"/>
      <c r="AI631" s="157"/>
      <c r="AJ631" s="157"/>
      <c r="AK631" s="157"/>
      <c r="AL631" s="157"/>
      <c r="AM631" s="157"/>
      <c r="AN631" s="157"/>
      <c r="AO631" s="157"/>
      <c r="AP631" s="157"/>
      <c r="AQ631" s="157"/>
      <c r="AR631" s="157"/>
      <c r="AS631" s="157"/>
      <c r="AT631" s="157"/>
      <c r="AU631" s="157"/>
      <c r="AV631" s="157"/>
      <c r="AW631" s="157"/>
      <c r="AX631" s="157"/>
      <c r="AY631" s="157"/>
      <c r="AZ631" s="157"/>
      <c r="BA631" s="157"/>
      <c r="BB631" s="157"/>
      <c r="BC631" s="157"/>
      <c r="BD631" s="157"/>
      <c r="BE631" s="157"/>
      <c r="BF631" s="157"/>
      <c r="BG631" s="157"/>
      <c r="BH631" s="157"/>
      <c r="BI631" s="157"/>
      <c r="BJ631" s="157"/>
    </row>
    <row r="632" spans="1:62" ht="15.75" customHeight="1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  <c r="AH632" s="157"/>
      <c r="AI632" s="157"/>
      <c r="AJ632" s="157"/>
      <c r="AK632" s="157"/>
      <c r="AL632" s="157"/>
      <c r="AM632" s="157"/>
      <c r="AN632" s="157"/>
      <c r="AO632" s="157"/>
      <c r="AP632" s="157"/>
      <c r="AQ632" s="157"/>
      <c r="AR632" s="157"/>
      <c r="AS632" s="157"/>
      <c r="AT632" s="157"/>
      <c r="AU632" s="157"/>
      <c r="AV632" s="157"/>
      <c r="AW632" s="157"/>
      <c r="AX632" s="157"/>
      <c r="AY632" s="157"/>
      <c r="AZ632" s="157"/>
      <c r="BA632" s="157"/>
      <c r="BB632" s="157"/>
      <c r="BC632" s="157"/>
      <c r="BD632" s="157"/>
      <c r="BE632" s="157"/>
      <c r="BF632" s="157"/>
      <c r="BG632" s="157"/>
      <c r="BH632" s="157"/>
      <c r="BI632" s="157"/>
      <c r="BJ632" s="157"/>
    </row>
    <row r="633" spans="1:62" ht="15.75" customHeight="1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  <c r="AH633" s="157"/>
      <c r="AI633" s="157"/>
      <c r="AJ633" s="157"/>
      <c r="AK633" s="157"/>
      <c r="AL633" s="157"/>
      <c r="AM633" s="157"/>
      <c r="AN633" s="157"/>
      <c r="AO633" s="157"/>
      <c r="AP633" s="157"/>
      <c r="AQ633" s="157"/>
      <c r="AR633" s="157"/>
      <c r="AS633" s="157"/>
      <c r="AT633" s="157"/>
      <c r="AU633" s="157"/>
      <c r="AV633" s="157"/>
      <c r="AW633" s="157"/>
      <c r="AX633" s="157"/>
      <c r="AY633" s="157"/>
      <c r="AZ633" s="157"/>
      <c r="BA633" s="157"/>
      <c r="BB633" s="157"/>
      <c r="BC633" s="157"/>
      <c r="BD633" s="157"/>
      <c r="BE633" s="157"/>
      <c r="BF633" s="157"/>
      <c r="BG633" s="157"/>
      <c r="BH633" s="157"/>
      <c r="BI633" s="157"/>
      <c r="BJ633" s="157"/>
    </row>
    <row r="634" spans="1:62" ht="15.75" customHeight="1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  <c r="AH634" s="157"/>
      <c r="AI634" s="157"/>
      <c r="AJ634" s="157"/>
      <c r="AK634" s="157"/>
      <c r="AL634" s="157"/>
      <c r="AM634" s="157"/>
      <c r="AN634" s="157"/>
      <c r="AO634" s="157"/>
      <c r="AP634" s="157"/>
      <c r="AQ634" s="157"/>
      <c r="AR634" s="157"/>
      <c r="AS634" s="157"/>
      <c r="AT634" s="157"/>
      <c r="AU634" s="157"/>
      <c r="AV634" s="157"/>
      <c r="AW634" s="157"/>
      <c r="AX634" s="157"/>
      <c r="AY634" s="157"/>
      <c r="AZ634" s="157"/>
      <c r="BA634" s="157"/>
      <c r="BB634" s="157"/>
      <c r="BC634" s="157"/>
      <c r="BD634" s="157"/>
      <c r="BE634" s="157"/>
      <c r="BF634" s="157"/>
      <c r="BG634" s="157"/>
      <c r="BH634" s="157"/>
      <c r="BI634" s="157"/>
      <c r="BJ634" s="157"/>
    </row>
    <row r="635" spans="1:62" ht="15.75" customHeight="1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  <c r="AH635" s="157"/>
      <c r="AI635" s="157"/>
      <c r="AJ635" s="157"/>
      <c r="AK635" s="157"/>
      <c r="AL635" s="157"/>
      <c r="AM635" s="157"/>
      <c r="AN635" s="157"/>
      <c r="AO635" s="157"/>
      <c r="AP635" s="157"/>
      <c r="AQ635" s="157"/>
      <c r="AR635" s="157"/>
      <c r="AS635" s="157"/>
      <c r="AT635" s="157"/>
      <c r="AU635" s="157"/>
      <c r="AV635" s="157"/>
      <c r="AW635" s="157"/>
      <c r="AX635" s="157"/>
      <c r="AY635" s="157"/>
      <c r="AZ635" s="157"/>
      <c r="BA635" s="157"/>
      <c r="BB635" s="157"/>
      <c r="BC635" s="157"/>
      <c r="BD635" s="157"/>
      <c r="BE635" s="157"/>
      <c r="BF635" s="157"/>
      <c r="BG635" s="157"/>
      <c r="BH635" s="157"/>
      <c r="BI635" s="157"/>
      <c r="BJ635" s="157"/>
    </row>
    <row r="636" spans="1:62" ht="15.75" customHeight="1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  <c r="AH636" s="157"/>
      <c r="AI636" s="157"/>
      <c r="AJ636" s="157"/>
      <c r="AK636" s="157"/>
      <c r="AL636" s="157"/>
      <c r="AM636" s="157"/>
      <c r="AN636" s="157"/>
      <c r="AO636" s="157"/>
      <c r="AP636" s="157"/>
      <c r="AQ636" s="157"/>
      <c r="AR636" s="157"/>
      <c r="AS636" s="157"/>
      <c r="AT636" s="157"/>
      <c r="AU636" s="157"/>
      <c r="AV636" s="157"/>
      <c r="AW636" s="157"/>
      <c r="AX636" s="157"/>
      <c r="AY636" s="157"/>
      <c r="AZ636" s="157"/>
      <c r="BA636" s="157"/>
      <c r="BB636" s="157"/>
      <c r="BC636" s="157"/>
      <c r="BD636" s="157"/>
      <c r="BE636" s="157"/>
      <c r="BF636" s="157"/>
      <c r="BG636" s="157"/>
      <c r="BH636" s="157"/>
      <c r="BI636" s="157"/>
      <c r="BJ636" s="157"/>
    </row>
    <row r="637" spans="1:62" ht="15.75" customHeight="1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  <c r="AH637" s="157"/>
      <c r="AI637" s="157"/>
      <c r="AJ637" s="157"/>
      <c r="AK637" s="157"/>
      <c r="AL637" s="157"/>
      <c r="AM637" s="157"/>
      <c r="AN637" s="157"/>
      <c r="AO637" s="157"/>
      <c r="AP637" s="157"/>
      <c r="AQ637" s="157"/>
      <c r="AR637" s="157"/>
      <c r="AS637" s="157"/>
      <c r="AT637" s="157"/>
      <c r="AU637" s="157"/>
      <c r="AV637" s="157"/>
      <c r="AW637" s="157"/>
      <c r="AX637" s="157"/>
      <c r="AY637" s="157"/>
      <c r="AZ637" s="157"/>
      <c r="BA637" s="157"/>
      <c r="BB637" s="157"/>
      <c r="BC637" s="157"/>
      <c r="BD637" s="157"/>
      <c r="BE637" s="157"/>
      <c r="BF637" s="157"/>
      <c r="BG637" s="157"/>
      <c r="BH637" s="157"/>
      <c r="BI637" s="157"/>
      <c r="BJ637" s="157"/>
    </row>
    <row r="638" spans="1:62" ht="15.75" customHeight="1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  <c r="AH638" s="157"/>
      <c r="AI638" s="157"/>
      <c r="AJ638" s="157"/>
      <c r="AK638" s="157"/>
      <c r="AL638" s="157"/>
      <c r="AM638" s="157"/>
      <c r="AN638" s="157"/>
      <c r="AO638" s="157"/>
      <c r="AP638" s="157"/>
      <c r="AQ638" s="157"/>
      <c r="AR638" s="157"/>
      <c r="AS638" s="157"/>
      <c r="AT638" s="157"/>
      <c r="AU638" s="157"/>
      <c r="AV638" s="157"/>
      <c r="AW638" s="157"/>
      <c r="AX638" s="157"/>
      <c r="AY638" s="157"/>
      <c r="AZ638" s="157"/>
      <c r="BA638" s="157"/>
      <c r="BB638" s="157"/>
      <c r="BC638" s="157"/>
      <c r="BD638" s="157"/>
      <c r="BE638" s="157"/>
      <c r="BF638" s="157"/>
      <c r="BG638" s="157"/>
      <c r="BH638" s="157"/>
      <c r="BI638" s="157"/>
      <c r="BJ638" s="157"/>
    </row>
    <row r="639" spans="1:62" ht="15.75" customHeight="1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  <c r="AH639" s="157"/>
      <c r="AI639" s="157"/>
      <c r="AJ639" s="157"/>
      <c r="AK639" s="157"/>
      <c r="AL639" s="157"/>
      <c r="AM639" s="157"/>
      <c r="AN639" s="157"/>
      <c r="AO639" s="157"/>
      <c r="AP639" s="157"/>
      <c r="AQ639" s="157"/>
      <c r="AR639" s="157"/>
      <c r="AS639" s="157"/>
      <c r="AT639" s="157"/>
      <c r="AU639" s="157"/>
      <c r="AV639" s="157"/>
      <c r="AW639" s="157"/>
      <c r="AX639" s="157"/>
      <c r="AY639" s="157"/>
      <c r="AZ639" s="157"/>
      <c r="BA639" s="157"/>
      <c r="BB639" s="157"/>
      <c r="BC639" s="157"/>
      <c r="BD639" s="157"/>
      <c r="BE639" s="157"/>
      <c r="BF639" s="157"/>
      <c r="BG639" s="157"/>
      <c r="BH639" s="157"/>
      <c r="BI639" s="157"/>
      <c r="BJ639" s="157"/>
    </row>
    <row r="640" spans="1:62" ht="15.75" customHeight="1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  <c r="AH640" s="157"/>
      <c r="AI640" s="157"/>
      <c r="AJ640" s="157"/>
      <c r="AK640" s="157"/>
      <c r="AL640" s="157"/>
      <c r="AM640" s="157"/>
      <c r="AN640" s="157"/>
      <c r="AO640" s="157"/>
      <c r="AP640" s="157"/>
      <c r="AQ640" s="157"/>
      <c r="AR640" s="157"/>
      <c r="AS640" s="157"/>
      <c r="AT640" s="157"/>
      <c r="AU640" s="157"/>
      <c r="AV640" s="157"/>
      <c r="AW640" s="157"/>
      <c r="AX640" s="157"/>
      <c r="AY640" s="157"/>
      <c r="AZ640" s="157"/>
      <c r="BA640" s="157"/>
      <c r="BB640" s="157"/>
      <c r="BC640" s="157"/>
      <c r="BD640" s="157"/>
      <c r="BE640" s="157"/>
      <c r="BF640" s="157"/>
      <c r="BG640" s="157"/>
      <c r="BH640" s="157"/>
      <c r="BI640" s="157"/>
      <c r="BJ640" s="157"/>
    </row>
    <row r="641" spans="1:62" ht="15.75" customHeight="1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  <c r="AH641" s="157"/>
      <c r="AI641" s="157"/>
      <c r="AJ641" s="157"/>
      <c r="AK641" s="157"/>
      <c r="AL641" s="157"/>
      <c r="AM641" s="157"/>
      <c r="AN641" s="157"/>
      <c r="AO641" s="157"/>
      <c r="AP641" s="157"/>
      <c r="AQ641" s="157"/>
      <c r="AR641" s="157"/>
      <c r="AS641" s="157"/>
      <c r="AT641" s="157"/>
      <c r="AU641" s="157"/>
      <c r="AV641" s="157"/>
      <c r="AW641" s="157"/>
      <c r="AX641" s="157"/>
      <c r="AY641" s="157"/>
      <c r="AZ641" s="157"/>
      <c r="BA641" s="157"/>
      <c r="BB641" s="157"/>
      <c r="BC641" s="157"/>
      <c r="BD641" s="157"/>
      <c r="BE641" s="157"/>
      <c r="BF641" s="157"/>
      <c r="BG641" s="157"/>
      <c r="BH641" s="157"/>
      <c r="BI641" s="157"/>
      <c r="BJ641" s="157"/>
    </row>
    <row r="642" spans="1:62" ht="15.75" customHeight="1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  <c r="AH642" s="157"/>
      <c r="AI642" s="157"/>
      <c r="AJ642" s="157"/>
      <c r="AK642" s="157"/>
      <c r="AL642" s="157"/>
      <c r="AM642" s="157"/>
      <c r="AN642" s="157"/>
      <c r="AO642" s="157"/>
      <c r="AP642" s="157"/>
      <c r="AQ642" s="157"/>
      <c r="AR642" s="157"/>
      <c r="AS642" s="157"/>
      <c r="AT642" s="157"/>
      <c r="AU642" s="157"/>
      <c r="AV642" s="157"/>
      <c r="AW642" s="157"/>
      <c r="AX642" s="157"/>
      <c r="AY642" s="157"/>
      <c r="AZ642" s="157"/>
      <c r="BA642" s="157"/>
      <c r="BB642" s="157"/>
      <c r="BC642" s="157"/>
      <c r="BD642" s="157"/>
      <c r="BE642" s="157"/>
      <c r="BF642" s="157"/>
      <c r="BG642" s="157"/>
      <c r="BH642" s="157"/>
      <c r="BI642" s="157"/>
      <c r="BJ642" s="157"/>
    </row>
    <row r="643" spans="1:62" ht="15.75" customHeight="1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  <c r="AH643" s="157"/>
      <c r="AI643" s="157"/>
      <c r="AJ643" s="157"/>
      <c r="AK643" s="157"/>
      <c r="AL643" s="157"/>
      <c r="AM643" s="157"/>
      <c r="AN643" s="157"/>
      <c r="AO643" s="157"/>
      <c r="AP643" s="157"/>
      <c r="AQ643" s="157"/>
      <c r="AR643" s="157"/>
      <c r="AS643" s="157"/>
      <c r="AT643" s="157"/>
      <c r="AU643" s="157"/>
      <c r="AV643" s="157"/>
      <c r="AW643" s="157"/>
      <c r="AX643" s="157"/>
      <c r="AY643" s="157"/>
      <c r="AZ643" s="157"/>
      <c r="BA643" s="157"/>
      <c r="BB643" s="157"/>
      <c r="BC643" s="157"/>
      <c r="BD643" s="157"/>
      <c r="BE643" s="157"/>
      <c r="BF643" s="157"/>
      <c r="BG643" s="157"/>
      <c r="BH643" s="157"/>
      <c r="BI643" s="157"/>
      <c r="BJ643" s="157"/>
    </row>
    <row r="644" spans="1:62" ht="15.75" customHeight="1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  <c r="AH644" s="157"/>
      <c r="AI644" s="157"/>
      <c r="AJ644" s="157"/>
      <c r="AK644" s="157"/>
      <c r="AL644" s="157"/>
      <c r="AM644" s="157"/>
      <c r="AN644" s="157"/>
      <c r="AO644" s="157"/>
      <c r="AP644" s="157"/>
      <c r="AQ644" s="157"/>
      <c r="AR644" s="157"/>
      <c r="AS644" s="157"/>
      <c r="AT644" s="157"/>
      <c r="AU644" s="157"/>
      <c r="AV644" s="157"/>
      <c r="AW644" s="157"/>
      <c r="AX644" s="157"/>
      <c r="AY644" s="157"/>
      <c r="AZ644" s="157"/>
      <c r="BA644" s="157"/>
      <c r="BB644" s="157"/>
      <c r="BC644" s="157"/>
      <c r="BD644" s="157"/>
      <c r="BE644" s="157"/>
      <c r="BF644" s="157"/>
      <c r="BG644" s="157"/>
      <c r="BH644" s="157"/>
      <c r="BI644" s="157"/>
      <c r="BJ644" s="157"/>
    </row>
    <row r="645" spans="1:62" ht="15.75" customHeight="1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  <c r="AH645" s="157"/>
      <c r="AI645" s="157"/>
      <c r="AJ645" s="157"/>
      <c r="AK645" s="157"/>
      <c r="AL645" s="157"/>
      <c r="AM645" s="157"/>
      <c r="AN645" s="157"/>
      <c r="AO645" s="157"/>
      <c r="AP645" s="157"/>
      <c r="AQ645" s="157"/>
      <c r="AR645" s="157"/>
      <c r="AS645" s="157"/>
      <c r="AT645" s="157"/>
      <c r="AU645" s="157"/>
      <c r="AV645" s="157"/>
      <c r="AW645" s="157"/>
      <c r="AX645" s="157"/>
      <c r="AY645" s="157"/>
      <c r="AZ645" s="157"/>
      <c r="BA645" s="157"/>
      <c r="BB645" s="157"/>
      <c r="BC645" s="157"/>
      <c r="BD645" s="157"/>
      <c r="BE645" s="157"/>
      <c r="BF645" s="157"/>
      <c r="BG645" s="157"/>
      <c r="BH645" s="157"/>
      <c r="BI645" s="157"/>
      <c r="BJ645" s="157"/>
    </row>
    <row r="646" spans="1:62" ht="15.75" customHeight="1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  <c r="AH646" s="157"/>
      <c r="AI646" s="157"/>
      <c r="AJ646" s="157"/>
      <c r="AK646" s="157"/>
      <c r="AL646" s="157"/>
      <c r="AM646" s="157"/>
      <c r="AN646" s="157"/>
      <c r="AO646" s="157"/>
      <c r="AP646" s="157"/>
      <c r="AQ646" s="157"/>
      <c r="AR646" s="157"/>
      <c r="AS646" s="157"/>
      <c r="AT646" s="157"/>
      <c r="AU646" s="157"/>
      <c r="AV646" s="157"/>
      <c r="AW646" s="157"/>
      <c r="AX646" s="157"/>
      <c r="AY646" s="157"/>
      <c r="AZ646" s="157"/>
      <c r="BA646" s="157"/>
      <c r="BB646" s="157"/>
      <c r="BC646" s="157"/>
      <c r="BD646" s="157"/>
      <c r="BE646" s="157"/>
      <c r="BF646" s="157"/>
      <c r="BG646" s="157"/>
      <c r="BH646" s="157"/>
      <c r="BI646" s="157"/>
      <c r="BJ646" s="157"/>
    </row>
    <row r="647" spans="1:62" ht="15.75" customHeight="1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  <c r="AH647" s="157"/>
      <c r="AI647" s="157"/>
      <c r="AJ647" s="157"/>
      <c r="AK647" s="157"/>
      <c r="AL647" s="157"/>
      <c r="AM647" s="157"/>
      <c r="AN647" s="157"/>
      <c r="AO647" s="157"/>
      <c r="AP647" s="157"/>
      <c r="AQ647" s="157"/>
      <c r="AR647" s="157"/>
      <c r="AS647" s="157"/>
      <c r="AT647" s="157"/>
      <c r="AU647" s="157"/>
      <c r="AV647" s="157"/>
      <c r="AW647" s="157"/>
      <c r="AX647" s="157"/>
      <c r="AY647" s="157"/>
      <c r="AZ647" s="157"/>
      <c r="BA647" s="157"/>
      <c r="BB647" s="157"/>
      <c r="BC647" s="157"/>
      <c r="BD647" s="157"/>
      <c r="BE647" s="157"/>
      <c r="BF647" s="157"/>
      <c r="BG647" s="157"/>
      <c r="BH647" s="157"/>
      <c r="BI647" s="157"/>
      <c r="BJ647" s="157"/>
    </row>
    <row r="648" spans="1:62" ht="15.75" customHeight="1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  <c r="AH648" s="157"/>
      <c r="AI648" s="157"/>
      <c r="AJ648" s="157"/>
      <c r="AK648" s="157"/>
      <c r="AL648" s="157"/>
      <c r="AM648" s="157"/>
      <c r="AN648" s="157"/>
      <c r="AO648" s="157"/>
      <c r="AP648" s="157"/>
      <c r="AQ648" s="157"/>
      <c r="AR648" s="157"/>
      <c r="AS648" s="157"/>
      <c r="AT648" s="157"/>
      <c r="AU648" s="157"/>
      <c r="AV648" s="157"/>
      <c r="AW648" s="157"/>
      <c r="AX648" s="157"/>
      <c r="AY648" s="157"/>
      <c r="AZ648" s="157"/>
      <c r="BA648" s="157"/>
      <c r="BB648" s="157"/>
      <c r="BC648" s="157"/>
      <c r="BD648" s="157"/>
      <c r="BE648" s="157"/>
      <c r="BF648" s="157"/>
      <c r="BG648" s="157"/>
      <c r="BH648" s="157"/>
      <c r="BI648" s="157"/>
      <c r="BJ648" s="157"/>
    </row>
    <row r="649" spans="1:62" ht="15.75" customHeight="1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  <c r="AH649" s="157"/>
      <c r="AI649" s="157"/>
      <c r="AJ649" s="157"/>
      <c r="AK649" s="157"/>
      <c r="AL649" s="157"/>
      <c r="AM649" s="157"/>
      <c r="AN649" s="157"/>
      <c r="AO649" s="157"/>
      <c r="AP649" s="157"/>
      <c r="AQ649" s="157"/>
      <c r="AR649" s="157"/>
      <c r="AS649" s="157"/>
      <c r="AT649" s="157"/>
      <c r="AU649" s="157"/>
      <c r="AV649" s="157"/>
      <c r="AW649" s="157"/>
      <c r="AX649" s="157"/>
      <c r="AY649" s="157"/>
      <c r="AZ649" s="157"/>
      <c r="BA649" s="157"/>
      <c r="BB649" s="157"/>
      <c r="BC649" s="157"/>
      <c r="BD649" s="157"/>
      <c r="BE649" s="157"/>
      <c r="BF649" s="157"/>
      <c r="BG649" s="157"/>
      <c r="BH649" s="157"/>
      <c r="BI649" s="157"/>
      <c r="BJ649" s="157"/>
    </row>
    <row r="650" spans="1:62" ht="15.75" customHeight="1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  <c r="AH650" s="157"/>
      <c r="AI650" s="157"/>
      <c r="AJ650" s="157"/>
      <c r="AK650" s="157"/>
      <c r="AL650" s="157"/>
      <c r="AM650" s="157"/>
      <c r="AN650" s="157"/>
      <c r="AO650" s="157"/>
      <c r="AP650" s="157"/>
      <c r="AQ650" s="157"/>
      <c r="AR650" s="157"/>
      <c r="AS650" s="157"/>
      <c r="AT650" s="157"/>
      <c r="AU650" s="157"/>
      <c r="AV650" s="157"/>
      <c r="AW650" s="157"/>
      <c r="AX650" s="157"/>
      <c r="AY650" s="157"/>
      <c r="AZ650" s="157"/>
      <c r="BA650" s="157"/>
      <c r="BB650" s="157"/>
      <c r="BC650" s="157"/>
      <c r="BD650" s="157"/>
      <c r="BE650" s="157"/>
      <c r="BF650" s="157"/>
      <c r="BG650" s="157"/>
      <c r="BH650" s="157"/>
      <c r="BI650" s="157"/>
      <c r="BJ650" s="157"/>
    </row>
    <row r="651" spans="1:62" ht="15.75" customHeight="1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  <c r="AH651" s="157"/>
      <c r="AI651" s="157"/>
      <c r="AJ651" s="157"/>
      <c r="AK651" s="157"/>
      <c r="AL651" s="157"/>
      <c r="AM651" s="157"/>
      <c r="AN651" s="157"/>
      <c r="AO651" s="157"/>
      <c r="AP651" s="157"/>
      <c r="AQ651" s="157"/>
      <c r="AR651" s="157"/>
      <c r="AS651" s="157"/>
      <c r="AT651" s="157"/>
      <c r="AU651" s="157"/>
      <c r="AV651" s="157"/>
      <c r="AW651" s="157"/>
      <c r="AX651" s="157"/>
      <c r="AY651" s="157"/>
      <c r="AZ651" s="157"/>
      <c r="BA651" s="157"/>
      <c r="BB651" s="157"/>
      <c r="BC651" s="157"/>
      <c r="BD651" s="157"/>
      <c r="BE651" s="157"/>
      <c r="BF651" s="157"/>
      <c r="BG651" s="157"/>
      <c r="BH651" s="157"/>
      <c r="BI651" s="157"/>
      <c r="BJ651" s="157"/>
    </row>
    <row r="652" spans="1:62" ht="15.75" customHeight="1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  <c r="AH652" s="157"/>
      <c r="AI652" s="157"/>
      <c r="AJ652" s="157"/>
      <c r="AK652" s="157"/>
      <c r="AL652" s="157"/>
      <c r="AM652" s="157"/>
      <c r="AN652" s="157"/>
      <c r="AO652" s="157"/>
      <c r="AP652" s="157"/>
      <c r="AQ652" s="157"/>
      <c r="AR652" s="157"/>
      <c r="AS652" s="157"/>
      <c r="AT652" s="157"/>
      <c r="AU652" s="157"/>
      <c r="AV652" s="157"/>
      <c r="AW652" s="157"/>
      <c r="AX652" s="157"/>
      <c r="AY652" s="157"/>
      <c r="AZ652" s="157"/>
      <c r="BA652" s="157"/>
      <c r="BB652" s="157"/>
      <c r="BC652" s="157"/>
      <c r="BD652" s="157"/>
      <c r="BE652" s="157"/>
      <c r="BF652" s="157"/>
      <c r="BG652" s="157"/>
      <c r="BH652" s="157"/>
      <c r="BI652" s="157"/>
      <c r="BJ652" s="157"/>
    </row>
    <row r="653" spans="1:62" ht="15.75" customHeight="1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  <c r="AH653" s="157"/>
      <c r="AI653" s="157"/>
      <c r="AJ653" s="157"/>
      <c r="AK653" s="157"/>
      <c r="AL653" s="157"/>
      <c r="AM653" s="157"/>
      <c r="AN653" s="157"/>
      <c r="AO653" s="157"/>
      <c r="AP653" s="157"/>
      <c r="AQ653" s="157"/>
      <c r="AR653" s="157"/>
      <c r="AS653" s="157"/>
      <c r="AT653" s="157"/>
      <c r="AU653" s="157"/>
      <c r="AV653" s="157"/>
      <c r="AW653" s="157"/>
      <c r="AX653" s="157"/>
      <c r="AY653" s="157"/>
      <c r="AZ653" s="157"/>
      <c r="BA653" s="157"/>
      <c r="BB653" s="157"/>
      <c r="BC653" s="157"/>
      <c r="BD653" s="157"/>
      <c r="BE653" s="157"/>
      <c r="BF653" s="157"/>
      <c r="BG653" s="157"/>
      <c r="BH653" s="157"/>
      <c r="BI653" s="157"/>
      <c r="BJ653" s="157"/>
    </row>
    <row r="654" spans="1:62" ht="15.75" customHeight="1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  <c r="AH654" s="157"/>
      <c r="AI654" s="157"/>
      <c r="AJ654" s="157"/>
      <c r="AK654" s="157"/>
      <c r="AL654" s="157"/>
      <c r="AM654" s="157"/>
      <c r="AN654" s="157"/>
      <c r="AO654" s="157"/>
      <c r="AP654" s="157"/>
      <c r="AQ654" s="157"/>
      <c r="AR654" s="157"/>
      <c r="AS654" s="157"/>
      <c r="AT654" s="157"/>
      <c r="AU654" s="157"/>
      <c r="AV654" s="157"/>
      <c r="AW654" s="157"/>
      <c r="AX654" s="157"/>
      <c r="AY654" s="157"/>
      <c r="AZ654" s="157"/>
      <c r="BA654" s="157"/>
      <c r="BB654" s="157"/>
      <c r="BC654" s="157"/>
      <c r="BD654" s="157"/>
      <c r="BE654" s="157"/>
      <c r="BF654" s="157"/>
      <c r="BG654" s="157"/>
      <c r="BH654" s="157"/>
      <c r="BI654" s="157"/>
      <c r="BJ654" s="157"/>
    </row>
    <row r="655" spans="1:62" ht="15.75" customHeight="1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  <c r="AH655" s="157"/>
      <c r="AI655" s="157"/>
      <c r="AJ655" s="157"/>
      <c r="AK655" s="157"/>
      <c r="AL655" s="157"/>
      <c r="AM655" s="157"/>
      <c r="AN655" s="157"/>
      <c r="AO655" s="157"/>
      <c r="AP655" s="157"/>
      <c r="AQ655" s="157"/>
      <c r="AR655" s="157"/>
      <c r="AS655" s="157"/>
      <c r="AT655" s="157"/>
      <c r="AU655" s="157"/>
      <c r="AV655" s="157"/>
      <c r="AW655" s="157"/>
      <c r="AX655" s="157"/>
      <c r="AY655" s="157"/>
      <c r="AZ655" s="157"/>
      <c r="BA655" s="157"/>
      <c r="BB655" s="157"/>
      <c r="BC655" s="157"/>
      <c r="BD655" s="157"/>
      <c r="BE655" s="157"/>
      <c r="BF655" s="157"/>
      <c r="BG655" s="157"/>
      <c r="BH655" s="157"/>
      <c r="BI655" s="157"/>
      <c r="BJ655" s="157"/>
    </row>
    <row r="656" spans="1:62" ht="15.75" customHeight="1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  <c r="AH656" s="157"/>
      <c r="AI656" s="157"/>
      <c r="AJ656" s="157"/>
      <c r="AK656" s="157"/>
      <c r="AL656" s="157"/>
      <c r="AM656" s="157"/>
      <c r="AN656" s="157"/>
      <c r="AO656" s="157"/>
      <c r="AP656" s="157"/>
      <c r="AQ656" s="157"/>
      <c r="AR656" s="157"/>
      <c r="AS656" s="157"/>
      <c r="AT656" s="157"/>
      <c r="AU656" s="157"/>
      <c r="AV656" s="157"/>
      <c r="AW656" s="157"/>
      <c r="AX656" s="157"/>
      <c r="AY656" s="157"/>
      <c r="AZ656" s="157"/>
      <c r="BA656" s="157"/>
      <c r="BB656" s="157"/>
      <c r="BC656" s="157"/>
      <c r="BD656" s="157"/>
      <c r="BE656" s="157"/>
      <c r="BF656" s="157"/>
      <c r="BG656" s="157"/>
      <c r="BH656" s="157"/>
      <c r="BI656" s="157"/>
      <c r="BJ656" s="157"/>
    </row>
    <row r="657" spans="1:62" ht="15.75" customHeight="1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  <c r="AH657" s="157"/>
      <c r="AI657" s="157"/>
      <c r="AJ657" s="157"/>
      <c r="AK657" s="157"/>
      <c r="AL657" s="157"/>
      <c r="AM657" s="157"/>
      <c r="AN657" s="157"/>
      <c r="AO657" s="157"/>
      <c r="AP657" s="157"/>
      <c r="AQ657" s="157"/>
      <c r="AR657" s="157"/>
      <c r="AS657" s="157"/>
      <c r="AT657" s="157"/>
      <c r="AU657" s="157"/>
      <c r="AV657" s="157"/>
      <c r="AW657" s="157"/>
      <c r="AX657" s="157"/>
      <c r="AY657" s="157"/>
      <c r="AZ657" s="157"/>
      <c r="BA657" s="157"/>
      <c r="BB657" s="157"/>
      <c r="BC657" s="157"/>
      <c r="BD657" s="157"/>
      <c r="BE657" s="157"/>
      <c r="BF657" s="157"/>
      <c r="BG657" s="157"/>
      <c r="BH657" s="157"/>
      <c r="BI657" s="157"/>
      <c r="BJ657" s="157"/>
    </row>
    <row r="658" spans="1:62" ht="15.75" customHeight="1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  <c r="AH658" s="157"/>
      <c r="AI658" s="157"/>
      <c r="AJ658" s="157"/>
      <c r="AK658" s="157"/>
      <c r="AL658" s="157"/>
      <c r="AM658" s="157"/>
      <c r="AN658" s="157"/>
      <c r="AO658" s="157"/>
      <c r="AP658" s="157"/>
      <c r="AQ658" s="157"/>
      <c r="AR658" s="157"/>
      <c r="AS658" s="157"/>
      <c r="AT658" s="157"/>
      <c r="AU658" s="157"/>
      <c r="AV658" s="157"/>
      <c r="AW658" s="157"/>
      <c r="AX658" s="157"/>
      <c r="AY658" s="157"/>
      <c r="AZ658" s="157"/>
      <c r="BA658" s="157"/>
      <c r="BB658" s="157"/>
      <c r="BC658" s="157"/>
      <c r="BD658" s="157"/>
      <c r="BE658" s="157"/>
      <c r="BF658" s="157"/>
      <c r="BG658" s="157"/>
      <c r="BH658" s="157"/>
      <c r="BI658" s="157"/>
      <c r="BJ658" s="157"/>
    </row>
    <row r="659" spans="1:62" ht="15.75" customHeight="1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  <c r="AH659" s="157"/>
      <c r="AI659" s="157"/>
      <c r="AJ659" s="157"/>
      <c r="AK659" s="157"/>
      <c r="AL659" s="157"/>
      <c r="AM659" s="157"/>
      <c r="AN659" s="157"/>
      <c r="AO659" s="157"/>
      <c r="AP659" s="157"/>
      <c r="AQ659" s="157"/>
      <c r="AR659" s="157"/>
      <c r="AS659" s="157"/>
      <c r="AT659" s="157"/>
      <c r="AU659" s="157"/>
      <c r="AV659" s="157"/>
      <c r="AW659" s="157"/>
      <c r="AX659" s="157"/>
      <c r="AY659" s="157"/>
      <c r="AZ659" s="157"/>
      <c r="BA659" s="157"/>
      <c r="BB659" s="157"/>
      <c r="BC659" s="157"/>
      <c r="BD659" s="157"/>
      <c r="BE659" s="157"/>
      <c r="BF659" s="157"/>
      <c r="BG659" s="157"/>
      <c r="BH659" s="157"/>
      <c r="BI659" s="157"/>
      <c r="BJ659" s="157"/>
    </row>
    <row r="660" spans="1:62" ht="15.75" customHeight="1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  <c r="AH660" s="157"/>
      <c r="AI660" s="157"/>
      <c r="AJ660" s="157"/>
      <c r="AK660" s="157"/>
      <c r="AL660" s="157"/>
      <c r="AM660" s="157"/>
      <c r="AN660" s="157"/>
      <c r="AO660" s="157"/>
      <c r="AP660" s="157"/>
      <c r="AQ660" s="157"/>
      <c r="AR660" s="157"/>
      <c r="AS660" s="157"/>
      <c r="AT660" s="157"/>
      <c r="AU660" s="157"/>
      <c r="AV660" s="157"/>
      <c r="AW660" s="157"/>
      <c r="AX660" s="157"/>
      <c r="AY660" s="157"/>
      <c r="AZ660" s="157"/>
      <c r="BA660" s="157"/>
      <c r="BB660" s="157"/>
      <c r="BC660" s="157"/>
      <c r="BD660" s="157"/>
      <c r="BE660" s="157"/>
      <c r="BF660" s="157"/>
      <c r="BG660" s="157"/>
      <c r="BH660" s="157"/>
      <c r="BI660" s="157"/>
      <c r="BJ660" s="157"/>
    </row>
    <row r="661" spans="1:62" ht="15.75" customHeight="1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  <c r="AH661" s="157"/>
      <c r="AI661" s="157"/>
      <c r="AJ661" s="157"/>
      <c r="AK661" s="157"/>
      <c r="AL661" s="157"/>
      <c r="AM661" s="157"/>
      <c r="AN661" s="157"/>
      <c r="AO661" s="157"/>
      <c r="AP661" s="157"/>
      <c r="AQ661" s="157"/>
      <c r="AR661" s="157"/>
      <c r="AS661" s="157"/>
      <c r="AT661" s="157"/>
      <c r="AU661" s="157"/>
      <c r="AV661" s="157"/>
      <c r="AW661" s="157"/>
      <c r="AX661" s="157"/>
      <c r="AY661" s="157"/>
      <c r="AZ661" s="157"/>
      <c r="BA661" s="157"/>
      <c r="BB661" s="157"/>
      <c r="BC661" s="157"/>
      <c r="BD661" s="157"/>
      <c r="BE661" s="157"/>
      <c r="BF661" s="157"/>
      <c r="BG661" s="157"/>
      <c r="BH661" s="157"/>
      <c r="BI661" s="157"/>
      <c r="BJ661" s="157"/>
    </row>
    <row r="662" spans="1:62" ht="15.75" customHeight="1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  <c r="AH662" s="157"/>
      <c r="AI662" s="157"/>
      <c r="AJ662" s="157"/>
      <c r="AK662" s="157"/>
      <c r="AL662" s="157"/>
      <c r="AM662" s="157"/>
      <c r="AN662" s="157"/>
      <c r="AO662" s="157"/>
      <c r="AP662" s="157"/>
      <c r="AQ662" s="157"/>
      <c r="AR662" s="157"/>
      <c r="AS662" s="157"/>
      <c r="AT662" s="157"/>
      <c r="AU662" s="157"/>
      <c r="AV662" s="157"/>
      <c r="AW662" s="157"/>
      <c r="AX662" s="157"/>
      <c r="AY662" s="157"/>
      <c r="AZ662" s="157"/>
      <c r="BA662" s="157"/>
      <c r="BB662" s="157"/>
      <c r="BC662" s="157"/>
      <c r="BD662" s="157"/>
      <c r="BE662" s="157"/>
      <c r="BF662" s="157"/>
      <c r="BG662" s="157"/>
      <c r="BH662" s="157"/>
      <c r="BI662" s="157"/>
      <c r="BJ662" s="157"/>
    </row>
    <row r="663" spans="1:62" ht="15.75" customHeight="1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  <c r="AH663" s="157"/>
      <c r="AI663" s="157"/>
      <c r="AJ663" s="157"/>
      <c r="AK663" s="157"/>
      <c r="AL663" s="157"/>
      <c r="AM663" s="157"/>
      <c r="AN663" s="157"/>
      <c r="AO663" s="157"/>
      <c r="AP663" s="157"/>
      <c r="AQ663" s="157"/>
      <c r="AR663" s="157"/>
      <c r="AS663" s="157"/>
      <c r="AT663" s="157"/>
      <c r="AU663" s="157"/>
      <c r="AV663" s="157"/>
      <c r="AW663" s="157"/>
      <c r="AX663" s="157"/>
      <c r="AY663" s="157"/>
      <c r="AZ663" s="157"/>
      <c r="BA663" s="157"/>
      <c r="BB663" s="157"/>
      <c r="BC663" s="157"/>
      <c r="BD663" s="157"/>
      <c r="BE663" s="157"/>
      <c r="BF663" s="157"/>
      <c r="BG663" s="157"/>
      <c r="BH663" s="157"/>
      <c r="BI663" s="157"/>
      <c r="BJ663" s="157"/>
    </row>
    <row r="664" spans="1:62" ht="15.75" customHeight="1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  <c r="AH664" s="157"/>
      <c r="AI664" s="157"/>
      <c r="AJ664" s="157"/>
      <c r="AK664" s="157"/>
      <c r="AL664" s="157"/>
      <c r="AM664" s="157"/>
      <c r="AN664" s="157"/>
      <c r="AO664" s="157"/>
      <c r="AP664" s="157"/>
      <c r="AQ664" s="157"/>
      <c r="AR664" s="157"/>
      <c r="AS664" s="157"/>
      <c r="AT664" s="157"/>
      <c r="AU664" s="157"/>
      <c r="AV664" s="157"/>
      <c r="AW664" s="157"/>
      <c r="AX664" s="157"/>
      <c r="AY664" s="157"/>
      <c r="AZ664" s="157"/>
      <c r="BA664" s="157"/>
      <c r="BB664" s="157"/>
      <c r="BC664" s="157"/>
      <c r="BD664" s="157"/>
      <c r="BE664" s="157"/>
      <c r="BF664" s="157"/>
      <c r="BG664" s="157"/>
      <c r="BH664" s="157"/>
      <c r="BI664" s="157"/>
      <c r="BJ664" s="157"/>
    </row>
    <row r="665" spans="1:62" ht="15.75" customHeight="1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  <c r="AH665" s="157"/>
      <c r="AI665" s="157"/>
      <c r="AJ665" s="157"/>
      <c r="AK665" s="157"/>
      <c r="AL665" s="157"/>
      <c r="AM665" s="157"/>
      <c r="AN665" s="157"/>
      <c r="AO665" s="157"/>
      <c r="AP665" s="157"/>
      <c r="AQ665" s="157"/>
      <c r="AR665" s="157"/>
      <c r="AS665" s="157"/>
      <c r="AT665" s="157"/>
      <c r="AU665" s="157"/>
      <c r="AV665" s="157"/>
      <c r="AW665" s="157"/>
      <c r="AX665" s="157"/>
      <c r="AY665" s="157"/>
      <c r="AZ665" s="157"/>
      <c r="BA665" s="157"/>
      <c r="BB665" s="157"/>
      <c r="BC665" s="157"/>
      <c r="BD665" s="157"/>
      <c r="BE665" s="157"/>
      <c r="BF665" s="157"/>
      <c r="BG665" s="157"/>
      <c r="BH665" s="157"/>
      <c r="BI665" s="157"/>
      <c r="BJ665" s="157"/>
    </row>
    <row r="666" spans="1:62" ht="15.75" customHeight="1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  <c r="AH666" s="157"/>
      <c r="AI666" s="157"/>
      <c r="AJ666" s="157"/>
      <c r="AK666" s="157"/>
      <c r="AL666" s="157"/>
      <c r="AM666" s="157"/>
      <c r="AN666" s="157"/>
      <c r="AO666" s="157"/>
      <c r="AP666" s="157"/>
      <c r="AQ666" s="157"/>
      <c r="AR666" s="157"/>
      <c r="AS666" s="157"/>
      <c r="AT666" s="157"/>
      <c r="AU666" s="157"/>
      <c r="AV666" s="157"/>
      <c r="AW666" s="157"/>
      <c r="AX666" s="157"/>
      <c r="AY666" s="157"/>
      <c r="AZ666" s="157"/>
      <c r="BA666" s="157"/>
      <c r="BB666" s="157"/>
      <c r="BC666" s="157"/>
      <c r="BD666" s="157"/>
      <c r="BE666" s="157"/>
      <c r="BF666" s="157"/>
      <c r="BG666" s="157"/>
      <c r="BH666" s="157"/>
      <c r="BI666" s="157"/>
      <c r="BJ666" s="157"/>
    </row>
    <row r="667" spans="1:62" ht="15.75" customHeight="1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  <c r="AH667" s="157"/>
      <c r="AI667" s="157"/>
      <c r="AJ667" s="157"/>
      <c r="AK667" s="157"/>
      <c r="AL667" s="157"/>
      <c r="AM667" s="157"/>
      <c r="AN667" s="157"/>
      <c r="AO667" s="157"/>
      <c r="AP667" s="157"/>
      <c r="AQ667" s="157"/>
      <c r="AR667" s="157"/>
      <c r="AS667" s="157"/>
      <c r="AT667" s="157"/>
      <c r="AU667" s="157"/>
      <c r="AV667" s="157"/>
      <c r="AW667" s="157"/>
      <c r="AX667" s="157"/>
      <c r="AY667" s="157"/>
      <c r="AZ667" s="157"/>
      <c r="BA667" s="157"/>
      <c r="BB667" s="157"/>
      <c r="BC667" s="157"/>
      <c r="BD667" s="157"/>
      <c r="BE667" s="157"/>
      <c r="BF667" s="157"/>
      <c r="BG667" s="157"/>
      <c r="BH667" s="157"/>
      <c r="BI667" s="157"/>
      <c r="BJ667" s="157"/>
    </row>
    <row r="668" spans="1:62" ht="15.75" customHeight="1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  <c r="AH668" s="157"/>
      <c r="AI668" s="157"/>
      <c r="AJ668" s="157"/>
      <c r="AK668" s="157"/>
      <c r="AL668" s="157"/>
      <c r="AM668" s="157"/>
      <c r="AN668" s="157"/>
      <c r="AO668" s="157"/>
      <c r="AP668" s="157"/>
      <c r="AQ668" s="157"/>
      <c r="AR668" s="157"/>
      <c r="AS668" s="157"/>
      <c r="AT668" s="157"/>
      <c r="AU668" s="157"/>
      <c r="AV668" s="157"/>
      <c r="AW668" s="157"/>
      <c r="AX668" s="157"/>
      <c r="AY668" s="157"/>
      <c r="AZ668" s="157"/>
      <c r="BA668" s="157"/>
      <c r="BB668" s="157"/>
      <c r="BC668" s="157"/>
      <c r="BD668" s="157"/>
      <c r="BE668" s="157"/>
      <c r="BF668" s="157"/>
      <c r="BG668" s="157"/>
      <c r="BH668" s="157"/>
      <c r="BI668" s="157"/>
      <c r="BJ668" s="157"/>
    </row>
    <row r="669" spans="1:62" ht="15.75" customHeight="1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  <c r="AH669" s="157"/>
      <c r="AI669" s="157"/>
      <c r="AJ669" s="157"/>
      <c r="AK669" s="157"/>
      <c r="AL669" s="157"/>
      <c r="AM669" s="157"/>
      <c r="AN669" s="157"/>
      <c r="AO669" s="157"/>
      <c r="AP669" s="157"/>
      <c r="AQ669" s="157"/>
      <c r="AR669" s="157"/>
      <c r="AS669" s="157"/>
      <c r="AT669" s="157"/>
      <c r="AU669" s="157"/>
      <c r="AV669" s="157"/>
      <c r="AW669" s="157"/>
      <c r="AX669" s="157"/>
      <c r="AY669" s="157"/>
      <c r="AZ669" s="157"/>
      <c r="BA669" s="157"/>
      <c r="BB669" s="157"/>
      <c r="BC669" s="157"/>
      <c r="BD669" s="157"/>
      <c r="BE669" s="157"/>
      <c r="BF669" s="157"/>
      <c r="BG669" s="157"/>
      <c r="BH669" s="157"/>
      <c r="BI669" s="157"/>
      <c r="BJ669" s="157"/>
    </row>
    <row r="670" spans="1:62" ht="15.75" customHeight="1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  <c r="AH670" s="157"/>
      <c r="AI670" s="157"/>
      <c r="AJ670" s="157"/>
      <c r="AK670" s="157"/>
      <c r="AL670" s="157"/>
      <c r="AM670" s="157"/>
      <c r="AN670" s="157"/>
      <c r="AO670" s="157"/>
      <c r="AP670" s="157"/>
      <c r="AQ670" s="157"/>
      <c r="AR670" s="157"/>
      <c r="AS670" s="157"/>
      <c r="AT670" s="157"/>
      <c r="AU670" s="157"/>
      <c r="AV670" s="157"/>
      <c r="AW670" s="157"/>
      <c r="AX670" s="157"/>
      <c r="AY670" s="157"/>
      <c r="AZ670" s="157"/>
      <c r="BA670" s="157"/>
      <c r="BB670" s="157"/>
      <c r="BC670" s="157"/>
      <c r="BD670" s="157"/>
      <c r="BE670" s="157"/>
      <c r="BF670" s="157"/>
      <c r="BG670" s="157"/>
      <c r="BH670" s="157"/>
      <c r="BI670" s="157"/>
      <c r="BJ670" s="157"/>
    </row>
    <row r="671" spans="1:62" ht="15.75" customHeight="1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  <c r="AH671" s="157"/>
      <c r="AI671" s="157"/>
      <c r="AJ671" s="157"/>
      <c r="AK671" s="157"/>
      <c r="AL671" s="157"/>
      <c r="AM671" s="157"/>
      <c r="AN671" s="157"/>
      <c r="AO671" s="157"/>
      <c r="AP671" s="157"/>
      <c r="AQ671" s="157"/>
      <c r="AR671" s="157"/>
      <c r="AS671" s="157"/>
      <c r="AT671" s="157"/>
      <c r="AU671" s="157"/>
      <c r="AV671" s="157"/>
      <c r="AW671" s="157"/>
      <c r="AX671" s="157"/>
      <c r="AY671" s="157"/>
      <c r="AZ671" s="157"/>
      <c r="BA671" s="157"/>
      <c r="BB671" s="157"/>
      <c r="BC671" s="157"/>
      <c r="BD671" s="157"/>
      <c r="BE671" s="157"/>
      <c r="BF671" s="157"/>
      <c r="BG671" s="157"/>
      <c r="BH671" s="157"/>
      <c r="BI671" s="157"/>
      <c r="BJ671" s="157"/>
    </row>
    <row r="672" spans="1:62" ht="15.75" customHeight="1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  <c r="AH672" s="157"/>
      <c r="AI672" s="157"/>
      <c r="AJ672" s="157"/>
      <c r="AK672" s="157"/>
      <c r="AL672" s="157"/>
      <c r="AM672" s="157"/>
      <c r="AN672" s="157"/>
      <c r="AO672" s="157"/>
      <c r="AP672" s="157"/>
      <c r="AQ672" s="157"/>
      <c r="AR672" s="157"/>
      <c r="AS672" s="157"/>
      <c r="AT672" s="157"/>
      <c r="AU672" s="157"/>
      <c r="AV672" s="157"/>
      <c r="AW672" s="157"/>
      <c r="AX672" s="157"/>
      <c r="AY672" s="157"/>
      <c r="AZ672" s="157"/>
      <c r="BA672" s="157"/>
      <c r="BB672" s="157"/>
      <c r="BC672" s="157"/>
      <c r="BD672" s="157"/>
      <c r="BE672" s="157"/>
      <c r="BF672" s="157"/>
      <c r="BG672" s="157"/>
      <c r="BH672" s="157"/>
      <c r="BI672" s="157"/>
      <c r="BJ672" s="157"/>
    </row>
    <row r="673" spans="1:62" ht="15.75" customHeight="1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  <c r="AH673" s="157"/>
      <c r="AI673" s="157"/>
      <c r="AJ673" s="157"/>
      <c r="AK673" s="157"/>
      <c r="AL673" s="157"/>
      <c r="AM673" s="157"/>
      <c r="AN673" s="157"/>
      <c r="AO673" s="157"/>
      <c r="AP673" s="157"/>
      <c r="AQ673" s="157"/>
      <c r="AR673" s="157"/>
      <c r="AS673" s="157"/>
      <c r="AT673" s="157"/>
      <c r="AU673" s="157"/>
      <c r="AV673" s="157"/>
      <c r="AW673" s="157"/>
      <c r="AX673" s="157"/>
      <c r="AY673" s="157"/>
      <c r="AZ673" s="157"/>
      <c r="BA673" s="157"/>
      <c r="BB673" s="157"/>
      <c r="BC673" s="157"/>
      <c r="BD673" s="157"/>
      <c r="BE673" s="157"/>
      <c r="BF673" s="157"/>
      <c r="BG673" s="157"/>
      <c r="BH673" s="157"/>
      <c r="BI673" s="157"/>
      <c r="BJ673" s="157"/>
    </row>
    <row r="674" spans="1:62" ht="15.75" customHeight="1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  <c r="AH674" s="157"/>
      <c r="AI674" s="157"/>
      <c r="AJ674" s="157"/>
      <c r="AK674" s="157"/>
      <c r="AL674" s="157"/>
      <c r="AM674" s="157"/>
      <c r="AN674" s="157"/>
      <c r="AO674" s="157"/>
      <c r="AP674" s="157"/>
      <c r="AQ674" s="157"/>
      <c r="AR674" s="157"/>
      <c r="AS674" s="157"/>
      <c r="AT674" s="157"/>
      <c r="AU674" s="157"/>
      <c r="AV674" s="157"/>
      <c r="AW674" s="157"/>
      <c r="AX674" s="157"/>
      <c r="AY674" s="157"/>
      <c r="AZ674" s="157"/>
      <c r="BA674" s="157"/>
      <c r="BB674" s="157"/>
      <c r="BC674" s="157"/>
      <c r="BD674" s="157"/>
      <c r="BE674" s="157"/>
      <c r="BF674" s="157"/>
      <c r="BG674" s="157"/>
      <c r="BH674" s="157"/>
      <c r="BI674" s="157"/>
      <c r="BJ674" s="157"/>
    </row>
    <row r="675" spans="1:62" ht="15.75" customHeight="1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  <c r="AH675" s="157"/>
      <c r="AI675" s="157"/>
      <c r="AJ675" s="157"/>
      <c r="AK675" s="157"/>
      <c r="AL675" s="157"/>
      <c r="AM675" s="157"/>
      <c r="AN675" s="157"/>
      <c r="AO675" s="157"/>
      <c r="AP675" s="157"/>
      <c r="AQ675" s="157"/>
      <c r="AR675" s="157"/>
      <c r="AS675" s="157"/>
      <c r="AT675" s="157"/>
      <c r="AU675" s="157"/>
      <c r="AV675" s="157"/>
      <c r="AW675" s="157"/>
      <c r="AX675" s="157"/>
      <c r="AY675" s="157"/>
      <c r="AZ675" s="157"/>
      <c r="BA675" s="157"/>
      <c r="BB675" s="157"/>
      <c r="BC675" s="157"/>
      <c r="BD675" s="157"/>
      <c r="BE675" s="157"/>
      <c r="BF675" s="157"/>
      <c r="BG675" s="157"/>
      <c r="BH675" s="157"/>
      <c r="BI675" s="157"/>
      <c r="BJ675" s="157"/>
    </row>
    <row r="676" spans="1:62" ht="15.75" customHeight="1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  <c r="AH676" s="157"/>
      <c r="AI676" s="157"/>
      <c r="AJ676" s="157"/>
      <c r="AK676" s="157"/>
      <c r="AL676" s="157"/>
      <c r="AM676" s="157"/>
      <c r="AN676" s="157"/>
      <c r="AO676" s="157"/>
      <c r="AP676" s="157"/>
      <c r="AQ676" s="157"/>
      <c r="AR676" s="157"/>
      <c r="AS676" s="157"/>
      <c r="AT676" s="157"/>
      <c r="AU676" s="157"/>
      <c r="AV676" s="157"/>
      <c r="AW676" s="157"/>
      <c r="AX676" s="157"/>
      <c r="AY676" s="157"/>
      <c r="AZ676" s="157"/>
      <c r="BA676" s="157"/>
      <c r="BB676" s="157"/>
      <c r="BC676" s="157"/>
      <c r="BD676" s="157"/>
      <c r="BE676" s="157"/>
      <c r="BF676" s="157"/>
      <c r="BG676" s="157"/>
      <c r="BH676" s="157"/>
      <c r="BI676" s="157"/>
      <c r="BJ676" s="157"/>
    </row>
    <row r="677" spans="1:62" ht="15.75" customHeight="1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  <c r="AH677" s="157"/>
      <c r="AI677" s="157"/>
      <c r="AJ677" s="157"/>
      <c r="AK677" s="157"/>
      <c r="AL677" s="157"/>
      <c r="AM677" s="157"/>
      <c r="AN677" s="157"/>
      <c r="AO677" s="157"/>
      <c r="AP677" s="157"/>
      <c r="AQ677" s="157"/>
      <c r="AR677" s="157"/>
      <c r="AS677" s="157"/>
      <c r="AT677" s="157"/>
      <c r="AU677" s="157"/>
      <c r="AV677" s="157"/>
      <c r="AW677" s="157"/>
      <c r="AX677" s="157"/>
      <c r="AY677" s="157"/>
      <c r="AZ677" s="157"/>
      <c r="BA677" s="157"/>
      <c r="BB677" s="157"/>
      <c r="BC677" s="157"/>
      <c r="BD677" s="157"/>
      <c r="BE677" s="157"/>
      <c r="BF677" s="157"/>
      <c r="BG677" s="157"/>
      <c r="BH677" s="157"/>
      <c r="BI677" s="157"/>
      <c r="BJ677" s="157"/>
    </row>
    <row r="678" spans="1:62" ht="15.75" customHeight="1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  <c r="AH678" s="157"/>
      <c r="AI678" s="157"/>
      <c r="AJ678" s="157"/>
      <c r="AK678" s="157"/>
      <c r="AL678" s="157"/>
      <c r="AM678" s="157"/>
      <c r="AN678" s="157"/>
      <c r="AO678" s="157"/>
      <c r="AP678" s="157"/>
      <c r="AQ678" s="157"/>
      <c r="AR678" s="157"/>
      <c r="AS678" s="157"/>
      <c r="AT678" s="157"/>
      <c r="AU678" s="157"/>
      <c r="AV678" s="157"/>
      <c r="AW678" s="157"/>
      <c r="AX678" s="157"/>
      <c r="AY678" s="157"/>
      <c r="AZ678" s="157"/>
      <c r="BA678" s="157"/>
      <c r="BB678" s="157"/>
      <c r="BC678" s="157"/>
      <c r="BD678" s="157"/>
      <c r="BE678" s="157"/>
      <c r="BF678" s="157"/>
      <c r="BG678" s="157"/>
      <c r="BH678" s="157"/>
      <c r="BI678" s="157"/>
      <c r="BJ678" s="157"/>
    </row>
    <row r="679" spans="1:62" ht="15.75" customHeight="1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  <c r="AH679" s="157"/>
      <c r="AI679" s="157"/>
      <c r="AJ679" s="157"/>
      <c r="AK679" s="157"/>
      <c r="AL679" s="157"/>
      <c r="AM679" s="157"/>
      <c r="AN679" s="157"/>
      <c r="AO679" s="157"/>
      <c r="AP679" s="157"/>
      <c r="AQ679" s="157"/>
      <c r="AR679" s="157"/>
      <c r="AS679" s="157"/>
      <c r="AT679" s="157"/>
      <c r="AU679" s="157"/>
      <c r="AV679" s="157"/>
      <c r="AW679" s="157"/>
      <c r="AX679" s="157"/>
      <c r="AY679" s="157"/>
      <c r="AZ679" s="157"/>
      <c r="BA679" s="157"/>
      <c r="BB679" s="157"/>
      <c r="BC679" s="157"/>
      <c r="BD679" s="157"/>
      <c r="BE679" s="157"/>
      <c r="BF679" s="157"/>
      <c r="BG679" s="157"/>
      <c r="BH679" s="157"/>
      <c r="BI679" s="157"/>
      <c r="BJ679" s="157"/>
    </row>
    <row r="680" spans="1:62" ht="15.75" customHeight="1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  <c r="AH680" s="157"/>
      <c r="AI680" s="157"/>
      <c r="AJ680" s="157"/>
      <c r="AK680" s="157"/>
      <c r="AL680" s="157"/>
      <c r="AM680" s="157"/>
      <c r="AN680" s="157"/>
      <c r="AO680" s="157"/>
      <c r="AP680" s="157"/>
      <c r="AQ680" s="157"/>
      <c r="AR680" s="157"/>
      <c r="AS680" s="157"/>
      <c r="AT680" s="157"/>
      <c r="AU680" s="157"/>
      <c r="AV680" s="157"/>
      <c r="AW680" s="157"/>
      <c r="AX680" s="157"/>
      <c r="AY680" s="157"/>
      <c r="AZ680" s="157"/>
      <c r="BA680" s="157"/>
      <c r="BB680" s="157"/>
      <c r="BC680" s="157"/>
      <c r="BD680" s="157"/>
      <c r="BE680" s="157"/>
      <c r="BF680" s="157"/>
      <c r="BG680" s="157"/>
      <c r="BH680" s="157"/>
      <c r="BI680" s="157"/>
      <c r="BJ680" s="157"/>
    </row>
    <row r="681" spans="1:62" ht="15.75" customHeight="1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  <c r="AH681" s="157"/>
      <c r="AI681" s="157"/>
      <c r="AJ681" s="157"/>
      <c r="AK681" s="157"/>
      <c r="AL681" s="157"/>
      <c r="AM681" s="157"/>
      <c r="AN681" s="157"/>
      <c r="AO681" s="157"/>
      <c r="AP681" s="157"/>
      <c r="AQ681" s="157"/>
      <c r="AR681" s="157"/>
      <c r="AS681" s="157"/>
      <c r="AT681" s="157"/>
      <c r="AU681" s="157"/>
      <c r="AV681" s="157"/>
      <c r="AW681" s="157"/>
      <c r="AX681" s="157"/>
      <c r="AY681" s="157"/>
      <c r="AZ681" s="157"/>
      <c r="BA681" s="157"/>
      <c r="BB681" s="157"/>
      <c r="BC681" s="157"/>
      <c r="BD681" s="157"/>
      <c r="BE681" s="157"/>
      <c r="BF681" s="157"/>
      <c r="BG681" s="157"/>
      <c r="BH681" s="157"/>
      <c r="BI681" s="157"/>
      <c r="BJ681" s="157"/>
    </row>
    <row r="682" spans="1:62" ht="15.75" customHeight="1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  <c r="AH682" s="157"/>
      <c r="AI682" s="157"/>
      <c r="AJ682" s="157"/>
      <c r="AK682" s="157"/>
      <c r="AL682" s="157"/>
      <c r="AM682" s="157"/>
      <c r="AN682" s="157"/>
      <c r="AO682" s="157"/>
      <c r="AP682" s="157"/>
      <c r="AQ682" s="157"/>
      <c r="AR682" s="157"/>
      <c r="AS682" s="157"/>
      <c r="AT682" s="157"/>
      <c r="AU682" s="157"/>
      <c r="AV682" s="157"/>
      <c r="AW682" s="157"/>
      <c r="AX682" s="157"/>
      <c r="AY682" s="157"/>
      <c r="AZ682" s="157"/>
      <c r="BA682" s="157"/>
      <c r="BB682" s="157"/>
      <c r="BC682" s="157"/>
      <c r="BD682" s="157"/>
      <c r="BE682" s="157"/>
      <c r="BF682" s="157"/>
      <c r="BG682" s="157"/>
      <c r="BH682" s="157"/>
      <c r="BI682" s="157"/>
      <c r="BJ682" s="157"/>
    </row>
    <row r="683" spans="1:62" ht="15.75" customHeight="1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  <c r="AH683" s="157"/>
      <c r="AI683" s="157"/>
      <c r="AJ683" s="157"/>
      <c r="AK683" s="157"/>
      <c r="AL683" s="157"/>
      <c r="AM683" s="157"/>
      <c r="AN683" s="157"/>
      <c r="AO683" s="157"/>
      <c r="AP683" s="157"/>
      <c r="AQ683" s="157"/>
      <c r="AR683" s="157"/>
      <c r="AS683" s="157"/>
      <c r="AT683" s="157"/>
      <c r="AU683" s="157"/>
      <c r="AV683" s="157"/>
      <c r="AW683" s="157"/>
      <c r="AX683" s="157"/>
      <c r="AY683" s="157"/>
      <c r="AZ683" s="157"/>
      <c r="BA683" s="157"/>
      <c r="BB683" s="157"/>
      <c r="BC683" s="157"/>
      <c r="BD683" s="157"/>
      <c r="BE683" s="157"/>
      <c r="BF683" s="157"/>
      <c r="BG683" s="157"/>
      <c r="BH683" s="157"/>
      <c r="BI683" s="157"/>
      <c r="BJ683" s="157"/>
    </row>
    <row r="684" spans="1:62" ht="15.75" customHeight="1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  <c r="AH684" s="157"/>
      <c r="AI684" s="157"/>
      <c r="AJ684" s="157"/>
      <c r="AK684" s="157"/>
      <c r="AL684" s="157"/>
      <c r="AM684" s="157"/>
      <c r="AN684" s="157"/>
      <c r="AO684" s="157"/>
      <c r="AP684" s="157"/>
      <c r="AQ684" s="157"/>
      <c r="AR684" s="157"/>
      <c r="AS684" s="157"/>
      <c r="AT684" s="157"/>
      <c r="AU684" s="157"/>
      <c r="AV684" s="157"/>
      <c r="AW684" s="157"/>
      <c r="AX684" s="157"/>
      <c r="AY684" s="157"/>
      <c r="AZ684" s="157"/>
      <c r="BA684" s="157"/>
      <c r="BB684" s="157"/>
      <c r="BC684" s="157"/>
      <c r="BD684" s="157"/>
      <c r="BE684" s="157"/>
      <c r="BF684" s="157"/>
      <c r="BG684" s="157"/>
      <c r="BH684" s="157"/>
      <c r="BI684" s="157"/>
      <c r="BJ684" s="157"/>
    </row>
    <row r="685" spans="1:62" ht="15.75" customHeight="1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  <c r="AH685" s="157"/>
      <c r="AI685" s="157"/>
      <c r="AJ685" s="157"/>
      <c r="AK685" s="157"/>
      <c r="AL685" s="157"/>
      <c r="AM685" s="157"/>
      <c r="AN685" s="157"/>
      <c r="AO685" s="157"/>
      <c r="AP685" s="157"/>
      <c r="AQ685" s="157"/>
      <c r="AR685" s="157"/>
      <c r="AS685" s="157"/>
      <c r="AT685" s="157"/>
      <c r="AU685" s="157"/>
      <c r="AV685" s="157"/>
      <c r="AW685" s="157"/>
      <c r="AX685" s="157"/>
      <c r="AY685" s="157"/>
      <c r="AZ685" s="157"/>
      <c r="BA685" s="157"/>
      <c r="BB685" s="157"/>
      <c r="BC685" s="157"/>
      <c r="BD685" s="157"/>
      <c r="BE685" s="157"/>
      <c r="BF685" s="157"/>
      <c r="BG685" s="157"/>
      <c r="BH685" s="157"/>
      <c r="BI685" s="157"/>
      <c r="BJ685" s="157"/>
    </row>
    <row r="686" spans="1:62" ht="15.75" customHeight="1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  <c r="AH686" s="157"/>
      <c r="AI686" s="157"/>
      <c r="AJ686" s="157"/>
      <c r="AK686" s="157"/>
      <c r="AL686" s="157"/>
      <c r="AM686" s="157"/>
      <c r="AN686" s="157"/>
      <c r="AO686" s="157"/>
      <c r="AP686" s="157"/>
      <c r="AQ686" s="157"/>
      <c r="AR686" s="157"/>
      <c r="AS686" s="157"/>
      <c r="AT686" s="157"/>
      <c r="AU686" s="157"/>
      <c r="AV686" s="157"/>
      <c r="AW686" s="157"/>
      <c r="AX686" s="157"/>
      <c r="AY686" s="157"/>
      <c r="AZ686" s="157"/>
      <c r="BA686" s="157"/>
      <c r="BB686" s="157"/>
      <c r="BC686" s="157"/>
      <c r="BD686" s="157"/>
      <c r="BE686" s="157"/>
      <c r="BF686" s="157"/>
      <c r="BG686" s="157"/>
      <c r="BH686" s="157"/>
      <c r="BI686" s="157"/>
      <c r="BJ686" s="157"/>
    </row>
    <row r="687" spans="1:62" ht="15.75" customHeight="1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  <c r="AH687" s="157"/>
      <c r="AI687" s="157"/>
      <c r="AJ687" s="157"/>
      <c r="AK687" s="157"/>
      <c r="AL687" s="157"/>
      <c r="AM687" s="157"/>
      <c r="AN687" s="157"/>
      <c r="AO687" s="157"/>
      <c r="AP687" s="157"/>
      <c r="AQ687" s="157"/>
      <c r="AR687" s="157"/>
      <c r="AS687" s="157"/>
      <c r="AT687" s="157"/>
      <c r="AU687" s="157"/>
      <c r="AV687" s="157"/>
      <c r="AW687" s="157"/>
      <c r="AX687" s="157"/>
      <c r="AY687" s="157"/>
      <c r="AZ687" s="157"/>
      <c r="BA687" s="157"/>
      <c r="BB687" s="157"/>
      <c r="BC687" s="157"/>
      <c r="BD687" s="157"/>
      <c r="BE687" s="157"/>
      <c r="BF687" s="157"/>
      <c r="BG687" s="157"/>
      <c r="BH687" s="157"/>
      <c r="BI687" s="157"/>
      <c r="BJ687" s="157"/>
    </row>
    <row r="688" spans="1:62" ht="15.75" customHeight="1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  <c r="AH688" s="157"/>
      <c r="AI688" s="157"/>
      <c r="AJ688" s="157"/>
      <c r="AK688" s="157"/>
      <c r="AL688" s="157"/>
      <c r="AM688" s="157"/>
      <c r="AN688" s="157"/>
      <c r="AO688" s="157"/>
      <c r="AP688" s="157"/>
      <c r="AQ688" s="157"/>
      <c r="AR688" s="157"/>
      <c r="AS688" s="157"/>
      <c r="AT688" s="157"/>
      <c r="AU688" s="157"/>
      <c r="AV688" s="157"/>
      <c r="AW688" s="157"/>
      <c r="AX688" s="157"/>
      <c r="AY688" s="157"/>
      <c r="AZ688" s="157"/>
      <c r="BA688" s="157"/>
      <c r="BB688" s="157"/>
      <c r="BC688" s="157"/>
      <c r="BD688" s="157"/>
      <c r="BE688" s="157"/>
      <c r="BF688" s="157"/>
      <c r="BG688" s="157"/>
      <c r="BH688" s="157"/>
      <c r="BI688" s="157"/>
      <c r="BJ688" s="157"/>
    </row>
    <row r="689" spans="1:62" ht="15.75" customHeight="1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  <c r="AH689" s="157"/>
      <c r="AI689" s="157"/>
      <c r="AJ689" s="157"/>
      <c r="AK689" s="157"/>
      <c r="AL689" s="157"/>
      <c r="AM689" s="157"/>
      <c r="AN689" s="157"/>
      <c r="AO689" s="157"/>
      <c r="AP689" s="157"/>
      <c r="AQ689" s="157"/>
      <c r="AR689" s="157"/>
      <c r="AS689" s="157"/>
      <c r="AT689" s="157"/>
      <c r="AU689" s="157"/>
      <c r="AV689" s="157"/>
      <c r="AW689" s="157"/>
      <c r="AX689" s="157"/>
      <c r="AY689" s="157"/>
      <c r="AZ689" s="157"/>
      <c r="BA689" s="157"/>
      <c r="BB689" s="157"/>
      <c r="BC689" s="157"/>
      <c r="BD689" s="157"/>
      <c r="BE689" s="157"/>
      <c r="BF689" s="157"/>
      <c r="BG689" s="157"/>
      <c r="BH689" s="157"/>
      <c r="BI689" s="157"/>
      <c r="BJ689" s="157"/>
    </row>
    <row r="690" spans="1:62" ht="15.75" customHeight="1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  <c r="AH690" s="157"/>
      <c r="AI690" s="157"/>
      <c r="AJ690" s="157"/>
      <c r="AK690" s="157"/>
      <c r="AL690" s="157"/>
      <c r="AM690" s="157"/>
      <c r="AN690" s="157"/>
      <c r="AO690" s="157"/>
      <c r="AP690" s="157"/>
      <c r="AQ690" s="157"/>
      <c r="AR690" s="157"/>
      <c r="AS690" s="157"/>
      <c r="AT690" s="157"/>
      <c r="AU690" s="157"/>
      <c r="AV690" s="157"/>
      <c r="AW690" s="157"/>
      <c r="AX690" s="157"/>
      <c r="AY690" s="157"/>
      <c r="AZ690" s="157"/>
      <c r="BA690" s="157"/>
      <c r="BB690" s="157"/>
      <c r="BC690" s="157"/>
      <c r="BD690" s="157"/>
      <c r="BE690" s="157"/>
      <c r="BF690" s="157"/>
      <c r="BG690" s="157"/>
      <c r="BH690" s="157"/>
      <c r="BI690" s="157"/>
      <c r="BJ690" s="157"/>
    </row>
    <row r="691" spans="1:62" ht="15.75" customHeight="1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  <c r="AH691" s="157"/>
      <c r="AI691" s="157"/>
      <c r="AJ691" s="157"/>
      <c r="AK691" s="157"/>
      <c r="AL691" s="157"/>
      <c r="AM691" s="157"/>
      <c r="AN691" s="157"/>
      <c r="AO691" s="157"/>
      <c r="AP691" s="157"/>
      <c r="AQ691" s="157"/>
      <c r="AR691" s="157"/>
      <c r="AS691" s="157"/>
      <c r="AT691" s="157"/>
      <c r="AU691" s="157"/>
      <c r="AV691" s="157"/>
      <c r="AW691" s="157"/>
      <c r="AX691" s="157"/>
      <c r="AY691" s="157"/>
      <c r="AZ691" s="157"/>
      <c r="BA691" s="157"/>
      <c r="BB691" s="157"/>
      <c r="BC691" s="157"/>
      <c r="BD691" s="157"/>
      <c r="BE691" s="157"/>
      <c r="BF691" s="157"/>
      <c r="BG691" s="157"/>
      <c r="BH691" s="157"/>
      <c r="BI691" s="157"/>
      <c r="BJ691" s="157"/>
    </row>
    <row r="692" spans="1:62" ht="15.75" customHeight="1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  <c r="AH692" s="157"/>
      <c r="AI692" s="157"/>
      <c r="AJ692" s="157"/>
      <c r="AK692" s="157"/>
      <c r="AL692" s="157"/>
      <c r="AM692" s="157"/>
      <c r="AN692" s="157"/>
      <c r="AO692" s="157"/>
      <c r="AP692" s="157"/>
      <c r="AQ692" s="157"/>
      <c r="AR692" s="157"/>
      <c r="AS692" s="157"/>
      <c r="AT692" s="157"/>
      <c r="AU692" s="157"/>
      <c r="AV692" s="157"/>
      <c r="AW692" s="157"/>
      <c r="AX692" s="157"/>
      <c r="AY692" s="157"/>
      <c r="AZ692" s="157"/>
      <c r="BA692" s="157"/>
      <c r="BB692" s="157"/>
      <c r="BC692" s="157"/>
      <c r="BD692" s="157"/>
      <c r="BE692" s="157"/>
      <c r="BF692" s="157"/>
      <c r="BG692" s="157"/>
      <c r="BH692" s="157"/>
      <c r="BI692" s="157"/>
      <c r="BJ692" s="157"/>
    </row>
    <row r="693" spans="1:62" ht="15.75" customHeight="1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  <c r="AH693" s="157"/>
      <c r="AI693" s="157"/>
      <c r="AJ693" s="157"/>
      <c r="AK693" s="157"/>
      <c r="AL693" s="157"/>
      <c r="AM693" s="157"/>
      <c r="AN693" s="157"/>
      <c r="AO693" s="157"/>
      <c r="AP693" s="157"/>
      <c r="AQ693" s="157"/>
      <c r="AR693" s="157"/>
      <c r="AS693" s="157"/>
      <c r="AT693" s="157"/>
      <c r="AU693" s="157"/>
      <c r="AV693" s="157"/>
      <c r="AW693" s="157"/>
      <c r="AX693" s="157"/>
      <c r="AY693" s="157"/>
      <c r="AZ693" s="157"/>
      <c r="BA693" s="157"/>
      <c r="BB693" s="157"/>
      <c r="BC693" s="157"/>
      <c r="BD693" s="157"/>
      <c r="BE693" s="157"/>
      <c r="BF693" s="157"/>
      <c r="BG693" s="157"/>
      <c r="BH693" s="157"/>
      <c r="BI693" s="157"/>
      <c r="BJ693" s="157"/>
    </row>
    <row r="694" spans="1:62" ht="15.75" customHeight="1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  <c r="AH694" s="157"/>
      <c r="AI694" s="157"/>
      <c r="AJ694" s="157"/>
      <c r="AK694" s="157"/>
      <c r="AL694" s="157"/>
      <c r="AM694" s="157"/>
      <c r="AN694" s="157"/>
      <c r="AO694" s="157"/>
      <c r="AP694" s="157"/>
      <c r="AQ694" s="157"/>
      <c r="AR694" s="157"/>
      <c r="AS694" s="157"/>
      <c r="AT694" s="157"/>
      <c r="AU694" s="157"/>
      <c r="AV694" s="157"/>
      <c r="AW694" s="157"/>
      <c r="AX694" s="157"/>
      <c r="AY694" s="157"/>
      <c r="AZ694" s="157"/>
      <c r="BA694" s="157"/>
      <c r="BB694" s="157"/>
      <c r="BC694" s="157"/>
      <c r="BD694" s="157"/>
      <c r="BE694" s="157"/>
      <c r="BF694" s="157"/>
      <c r="BG694" s="157"/>
      <c r="BH694" s="157"/>
      <c r="BI694" s="157"/>
      <c r="BJ694" s="157"/>
    </row>
    <row r="695" spans="1:62" ht="15.75" customHeight="1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  <c r="AH695" s="157"/>
      <c r="AI695" s="157"/>
      <c r="AJ695" s="157"/>
      <c r="AK695" s="157"/>
      <c r="AL695" s="157"/>
      <c r="AM695" s="157"/>
      <c r="AN695" s="157"/>
      <c r="AO695" s="157"/>
      <c r="AP695" s="157"/>
      <c r="AQ695" s="157"/>
      <c r="AR695" s="157"/>
      <c r="AS695" s="157"/>
      <c r="AT695" s="157"/>
      <c r="AU695" s="157"/>
      <c r="AV695" s="157"/>
      <c r="AW695" s="157"/>
      <c r="AX695" s="157"/>
      <c r="AY695" s="157"/>
      <c r="AZ695" s="157"/>
      <c r="BA695" s="157"/>
      <c r="BB695" s="157"/>
      <c r="BC695" s="157"/>
      <c r="BD695" s="157"/>
      <c r="BE695" s="157"/>
      <c r="BF695" s="157"/>
      <c r="BG695" s="157"/>
      <c r="BH695" s="157"/>
      <c r="BI695" s="157"/>
      <c r="BJ695" s="157"/>
    </row>
    <row r="696" spans="1:62" ht="15.75" customHeight="1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  <c r="AH696" s="157"/>
      <c r="AI696" s="157"/>
      <c r="AJ696" s="157"/>
      <c r="AK696" s="157"/>
      <c r="AL696" s="157"/>
      <c r="AM696" s="157"/>
      <c r="AN696" s="157"/>
      <c r="AO696" s="157"/>
      <c r="AP696" s="157"/>
      <c r="AQ696" s="157"/>
      <c r="AR696" s="157"/>
      <c r="AS696" s="157"/>
      <c r="AT696" s="157"/>
      <c r="AU696" s="157"/>
      <c r="AV696" s="157"/>
      <c r="AW696" s="157"/>
      <c r="AX696" s="157"/>
      <c r="AY696" s="157"/>
      <c r="AZ696" s="157"/>
      <c r="BA696" s="157"/>
      <c r="BB696" s="157"/>
      <c r="BC696" s="157"/>
      <c r="BD696" s="157"/>
      <c r="BE696" s="157"/>
      <c r="BF696" s="157"/>
      <c r="BG696" s="157"/>
      <c r="BH696" s="157"/>
      <c r="BI696" s="157"/>
      <c r="BJ696" s="157"/>
    </row>
    <row r="697" spans="1:62" ht="15.75" customHeight="1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  <c r="AH697" s="157"/>
      <c r="AI697" s="157"/>
      <c r="AJ697" s="157"/>
      <c r="AK697" s="157"/>
      <c r="AL697" s="157"/>
      <c r="AM697" s="157"/>
      <c r="AN697" s="157"/>
      <c r="AO697" s="157"/>
      <c r="AP697" s="157"/>
      <c r="AQ697" s="157"/>
      <c r="AR697" s="157"/>
      <c r="AS697" s="157"/>
      <c r="AT697" s="157"/>
      <c r="AU697" s="157"/>
      <c r="AV697" s="157"/>
      <c r="AW697" s="157"/>
      <c r="AX697" s="157"/>
      <c r="AY697" s="157"/>
      <c r="AZ697" s="157"/>
      <c r="BA697" s="157"/>
      <c r="BB697" s="157"/>
      <c r="BC697" s="157"/>
      <c r="BD697" s="157"/>
      <c r="BE697" s="157"/>
      <c r="BF697" s="157"/>
      <c r="BG697" s="157"/>
      <c r="BH697" s="157"/>
      <c r="BI697" s="157"/>
      <c r="BJ697" s="157"/>
    </row>
    <row r="698" spans="1:62" ht="15.75" customHeight="1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  <c r="AH698" s="157"/>
      <c r="AI698" s="157"/>
      <c r="AJ698" s="157"/>
      <c r="AK698" s="157"/>
      <c r="AL698" s="157"/>
      <c r="AM698" s="157"/>
      <c r="AN698" s="157"/>
      <c r="AO698" s="157"/>
      <c r="AP698" s="157"/>
      <c r="AQ698" s="157"/>
      <c r="AR698" s="157"/>
      <c r="AS698" s="157"/>
      <c r="AT698" s="157"/>
      <c r="AU698" s="157"/>
      <c r="AV698" s="157"/>
      <c r="AW698" s="157"/>
      <c r="AX698" s="157"/>
      <c r="AY698" s="157"/>
      <c r="AZ698" s="157"/>
      <c r="BA698" s="157"/>
      <c r="BB698" s="157"/>
      <c r="BC698" s="157"/>
      <c r="BD698" s="157"/>
      <c r="BE698" s="157"/>
      <c r="BF698" s="157"/>
      <c r="BG698" s="157"/>
      <c r="BH698" s="157"/>
      <c r="BI698" s="157"/>
      <c r="BJ698" s="157"/>
    </row>
    <row r="699" spans="1:62" ht="15.75" customHeight="1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  <c r="AH699" s="157"/>
      <c r="AI699" s="157"/>
      <c r="AJ699" s="157"/>
      <c r="AK699" s="157"/>
      <c r="AL699" s="157"/>
      <c r="AM699" s="157"/>
      <c r="AN699" s="157"/>
      <c r="AO699" s="157"/>
      <c r="AP699" s="157"/>
      <c r="AQ699" s="157"/>
      <c r="AR699" s="157"/>
      <c r="AS699" s="157"/>
      <c r="AT699" s="157"/>
      <c r="AU699" s="157"/>
      <c r="AV699" s="157"/>
      <c r="AW699" s="157"/>
      <c r="AX699" s="157"/>
      <c r="AY699" s="157"/>
      <c r="AZ699" s="157"/>
      <c r="BA699" s="157"/>
      <c r="BB699" s="157"/>
      <c r="BC699" s="157"/>
      <c r="BD699" s="157"/>
      <c r="BE699" s="157"/>
      <c r="BF699" s="157"/>
      <c r="BG699" s="157"/>
      <c r="BH699" s="157"/>
      <c r="BI699" s="157"/>
      <c r="BJ699" s="157"/>
    </row>
    <row r="700" spans="1:62" ht="15.75" customHeight="1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  <c r="AH700" s="157"/>
      <c r="AI700" s="157"/>
      <c r="AJ700" s="157"/>
      <c r="AK700" s="157"/>
      <c r="AL700" s="157"/>
      <c r="AM700" s="157"/>
      <c r="AN700" s="157"/>
      <c r="AO700" s="157"/>
      <c r="AP700" s="157"/>
      <c r="AQ700" s="157"/>
      <c r="AR700" s="157"/>
      <c r="AS700" s="157"/>
      <c r="AT700" s="157"/>
      <c r="AU700" s="157"/>
      <c r="AV700" s="157"/>
      <c r="AW700" s="157"/>
      <c r="AX700" s="157"/>
      <c r="AY700" s="157"/>
      <c r="AZ700" s="157"/>
      <c r="BA700" s="157"/>
      <c r="BB700" s="157"/>
      <c r="BC700" s="157"/>
      <c r="BD700" s="157"/>
      <c r="BE700" s="157"/>
      <c r="BF700" s="157"/>
      <c r="BG700" s="157"/>
      <c r="BH700" s="157"/>
      <c r="BI700" s="157"/>
      <c r="BJ700" s="157"/>
    </row>
    <row r="701" spans="1:62" ht="15.75" customHeight="1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  <c r="AH701" s="157"/>
      <c r="AI701" s="157"/>
      <c r="AJ701" s="157"/>
      <c r="AK701" s="157"/>
      <c r="AL701" s="157"/>
      <c r="AM701" s="157"/>
      <c r="AN701" s="157"/>
      <c r="AO701" s="157"/>
      <c r="AP701" s="157"/>
      <c r="AQ701" s="157"/>
      <c r="AR701" s="157"/>
      <c r="AS701" s="157"/>
      <c r="AT701" s="157"/>
      <c r="AU701" s="157"/>
      <c r="AV701" s="157"/>
      <c r="AW701" s="157"/>
      <c r="AX701" s="157"/>
      <c r="AY701" s="157"/>
      <c r="AZ701" s="157"/>
      <c r="BA701" s="157"/>
      <c r="BB701" s="157"/>
      <c r="BC701" s="157"/>
      <c r="BD701" s="157"/>
      <c r="BE701" s="157"/>
      <c r="BF701" s="157"/>
      <c r="BG701" s="157"/>
      <c r="BH701" s="157"/>
      <c r="BI701" s="157"/>
      <c r="BJ701" s="157"/>
    </row>
    <row r="702" spans="1:62" ht="15.75" customHeight="1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  <c r="AH702" s="157"/>
      <c r="AI702" s="157"/>
      <c r="AJ702" s="157"/>
      <c r="AK702" s="157"/>
      <c r="AL702" s="157"/>
      <c r="AM702" s="157"/>
      <c r="AN702" s="157"/>
      <c r="AO702" s="157"/>
      <c r="AP702" s="157"/>
      <c r="AQ702" s="157"/>
      <c r="AR702" s="157"/>
      <c r="AS702" s="157"/>
      <c r="AT702" s="157"/>
      <c r="AU702" s="157"/>
      <c r="AV702" s="157"/>
      <c r="AW702" s="157"/>
      <c r="AX702" s="157"/>
      <c r="AY702" s="157"/>
      <c r="AZ702" s="157"/>
      <c r="BA702" s="157"/>
      <c r="BB702" s="157"/>
      <c r="BC702" s="157"/>
      <c r="BD702" s="157"/>
      <c r="BE702" s="157"/>
      <c r="BF702" s="157"/>
      <c r="BG702" s="157"/>
      <c r="BH702" s="157"/>
      <c r="BI702" s="157"/>
      <c r="BJ702" s="157"/>
    </row>
    <row r="703" spans="1:62" ht="15.75" customHeight="1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  <c r="AH703" s="157"/>
      <c r="AI703" s="157"/>
      <c r="AJ703" s="157"/>
      <c r="AK703" s="157"/>
      <c r="AL703" s="157"/>
      <c r="AM703" s="157"/>
      <c r="AN703" s="157"/>
      <c r="AO703" s="157"/>
      <c r="AP703" s="157"/>
      <c r="AQ703" s="157"/>
      <c r="AR703" s="157"/>
      <c r="AS703" s="157"/>
      <c r="AT703" s="157"/>
      <c r="AU703" s="157"/>
      <c r="AV703" s="157"/>
      <c r="AW703" s="157"/>
      <c r="AX703" s="157"/>
      <c r="AY703" s="157"/>
      <c r="AZ703" s="157"/>
      <c r="BA703" s="157"/>
      <c r="BB703" s="157"/>
      <c r="BC703" s="157"/>
      <c r="BD703" s="157"/>
      <c r="BE703" s="157"/>
      <c r="BF703" s="157"/>
      <c r="BG703" s="157"/>
      <c r="BH703" s="157"/>
      <c r="BI703" s="157"/>
      <c r="BJ703" s="157"/>
    </row>
    <row r="704" spans="1:62" ht="15.75" customHeight="1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  <c r="AH704" s="157"/>
      <c r="AI704" s="157"/>
      <c r="AJ704" s="157"/>
      <c r="AK704" s="157"/>
      <c r="AL704" s="157"/>
      <c r="AM704" s="157"/>
      <c r="AN704" s="157"/>
      <c r="AO704" s="157"/>
      <c r="AP704" s="157"/>
      <c r="AQ704" s="157"/>
      <c r="AR704" s="157"/>
      <c r="AS704" s="157"/>
      <c r="AT704" s="157"/>
      <c r="AU704" s="157"/>
      <c r="AV704" s="157"/>
      <c r="AW704" s="157"/>
      <c r="AX704" s="157"/>
      <c r="AY704" s="157"/>
      <c r="AZ704" s="157"/>
      <c r="BA704" s="157"/>
      <c r="BB704" s="157"/>
      <c r="BC704" s="157"/>
      <c r="BD704" s="157"/>
      <c r="BE704" s="157"/>
      <c r="BF704" s="157"/>
      <c r="BG704" s="157"/>
      <c r="BH704" s="157"/>
      <c r="BI704" s="157"/>
      <c r="BJ704" s="157"/>
    </row>
    <row r="705" spans="1:62" ht="15.75" customHeight="1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  <c r="AH705" s="157"/>
      <c r="AI705" s="157"/>
      <c r="AJ705" s="157"/>
      <c r="AK705" s="157"/>
      <c r="AL705" s="157"/>
      <c r="AM705" s="157"/>
      <c r="AN705" s="157"/>
      <c r="AO705" s="157"/>
      <c r="AP705" s="157"/>
      <c r="AQ705" s="157"/>
      <c r="AR705" s="157"/>
      <c r="AS705" s="157"/>
      <c r="AT705" s="157"/>
      <c r="AU705" s="157"/>
      <c r="AV705" s="157"/>
      <c r="AW705" s="157"/>
      <c r="AX705" s="157"/>
      <c r="AY705" s="157"/>
      <c r="AZ705" s="157"/>
      <c r="BA705" s="157"/>
      <c r="BB705" s="157"/>
      <c r="BC705" s="157"/>
      <c r="BD705" s="157"/>
      <c r="BE705" s="157"/>
      <c r="BF705" s="157"/>
      <c r="BG705" s="157"/>
      <c r="BH705" s="157"/>
      <c r="BI705" s="157"/>
      <c r="BJ705" s="157"/>
    </row>
    <row r="706" spans="1:62" ht="15.75" customHeight="1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  <c r="AH706" s="157"/>
      <c r="AI706" s="157"/>
      <c r="AJ706" s="157"/>
      <c r="AK706" s="157"/>
      <c r="AL706" s="157"/>
      <c r="AM706" s="157"/>
      <c r="AN706" s="157"/>
      <c r="AO706" s="157"/>
      <c r="AP706" s="157"/>
      <c r="AQ706" s="157"/>
      <c r="AR706" s="157"/>
      <c r="AS706" s="157"/>
      <c r="AT706" s="157"/>
      <c r="AU706" s="157"/>
      <c r="AV706" s="157"/>
      <c r="AW706" s="157"/>
      <c r="AX706" s="157"/>
      <c r="AY706" s="157"/>
      <c r="AZ706" s="157"/>
      <c r="BA706" s="157"/>
      <c r="BB706" s="157"/>
      <c r="BC706" s="157"/>
      <c r="BD706" s="157"/>
      <c r="BE706" s="157"/>
      <c r="BF706" s="157"/>
      <c r="BG706" s="157"/>
      <c r="BH706" s="157"/>
      <c r="BI706" s="157"/>
      <c r="BJ706" s="157"/>
    </row>
    <row r="707" spans="1:62" ht="15.75" customHeight="1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  <c r="AH707" s="157"/>
      <c r="AI707" s="157"/>
      <c r="AJ707" s="157"/>
      <c r="AK707" s="157"/>
      <c r="AL707" s="157"/>
      <c r="AM707" s="157"/>
      <c r="AN707" s="157"/>
      <c r="AO707" s="157"/>
      <c r="AP707" s="157"/>
      <c r="AQ707" s="157"/>
      <c r="AR707" s="157"/>
      <c r="AS707" s="157"/>
      <c r="AT707" s="157"/>
      <c r="AU707" s="157"/>
      <c r="AV707" s="157"/>
      <c r="AW707" s="157"/>
      <c r="AX707" s="157"/>
      <c r="AY707" s="157"/>
      <c r="AZ707" s="157"/>
      <c r="BA707" s="157"/>
      <c r="BB707" s="157"/>
      <c r="BC707" s="157"/>
      <c r="BD707" s="157"/>
      <c r="BE707" s="157"/>
      <c r="BF707" s="157"/>
      <c r="BG707" s="157"/>
      <c r="BH707" s="157"/>
      <c r="BI707" s="157"/>
      <c r="BJ707" s="157"/>
    </row>
    <row r="708" spans="1:62" ht="15.75" customHeight="1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  <c r="AH708" s="157"/>
      <c r="AI708" s="157"/>
      <c r="AJ708" s="157"/>
      <c r="AK708" s="157"/>
      <c r="AL708" s="157"/>
      <c r="AM708" s="157"/>
      <c r="AN708" s="157"/>
      <c r="AO708" s="157"/>
      <c r="AP708" s="157"/>
      <c r="AQ708" s="157"/>
      <c r="AR708" s="157"/>
      <c r="AS708" s="157"/>
      <c r="AT708" s="157"/>
      <c r="AU708" s="157"/>
      <c r="AV708" s="157"/>
      <c r="AW708" s="157"/>
      <c r="AX708" s="157"/>
      <c r="AY708" s="157"/>
      <c r="AZ708" s="157"/>
      <c r="BA708" s="157"/>
      <c r="BB708" s="157"/>
      <c r="BC708" s="157"/>
      <c r="BD708" s="157"/>
      <c r="BE708" s="157"/>
      <c r="BF708" s="157"/>
      <c r="BG708" s="157"/>
      <c r="BH708" s="157"/>
      <c r="BI708" s="157"/>
      <c r="BJ708" s="157"/>
    </row>
    <row r="709" spans="1:62" ht="15.75" customHeight="1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  <c r="AH709" s="157"/>
      <c r="AI709" s="157"/>
      <c r="AJ709" s="157"/>
      <c r="AK709" s="157"/>
      <c r="AL709" s="157"/>
      <c r="AM709" s="157"/>
      <c r="AN709" s="157"/>
      <c r="AO709" s="157"/>
      <c r="AP709" s="157"/>
      <c r="AQ709" s="157"/>
      <c r="AR709" s="157"/>
      <c r="AS709" s="157"/>
      <c r="AT709" s="157"/>
      <c r="AU709" s="157"/>
      <c r="AV709" s="157"/>
      <c r="AW709" s="157"/>
      <c r="AX709" s="157"/>
      <c r="AY709" s="157"/>
      <c r="AZ709" s="157"/>
      <c r="BA709" s="157"/>
      <c r="BB709" s="157"/>
      <c r="BC709" s="157"/>
      <c r="BD709" s="157"/>
      <c r="BE709" s="157"/>
      <c r="BF709" s="157"/>
      <c r="BG709" s="157"/>
      <c r="BH709" s="157"/>
      <c r="BI709" s="157"/>
      <c r="BJ709" s="157"/>
    </row>
    <row r="710" spans="1:62" ht="15.75" customHeight="1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  <c r="AH710" s="157"/>
      <c r="AI710" s="157"/>
      <c r="AJ710" s="157"/>
      <c r="AK710" s="157"/>
      <c r="AL710" s="157"/>
      <c r="AM710" s="157"/>
      <c r="AN710" s="157"/>
      <c r="AO710" s="157"/>
      <c r="AP710" s="157"/>
      <c r="AQ710" s="157"/>
      <c r="AR710" s="157"/>
      <c r="AS710" s="157"/>
      <c r="AT710" s="157"/>
      <c r="AU710" s="157"/>
      <c r="AV710" s="157"/>
      <c r="AW710" s="157"/>
      <c r="AX710" s="157"/>
      <c r="AY710" s="157"/>
      <c r="AZ710" s="157"/>
      <c r="BA710" s="157"/>
      <c r="BB710" s="157"/>
      <c r="BC710" s="157"/>
      <c r="BD710" s="157"/>
      <c r="BE710" s="157"/>
      <c r="BF710" s="157"/>
      <c r="BG710" s="157"/>
      <c r="BH710" s="157"/>
      <c r="BI710" s="157"/>
      <c r="BJ710" s="157"/>
    </row>
    <row r="711" spans="1:62" ht="15.75" customHeight="1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  <c r="AH711" s="157"/>
      <c r="AI711" s="157"/>
      <c r="AJ711" s="157"/>
      <c r="AK711" s="157"/>
      <c r="AL711" s="157"/>
      <c r="AM711" s="157"/>
      <c r="AN711" s="157"/>
      <c r="AO711" s="157"/>
      <c r="AP711" s="157"/>
      <c r="AQ711" s="157"/>
      <c r="AR711" s="157"/>
      <c r="AS711" s="157"/>
      <c r="AT711" s="157"/>
      <c r="AU711" s="157"/>
      <c r="AV711" s="157"/>
      <c r="AW711" s="157"/>
      <c r="AX711" s="157"/>
      <c r="AY711" s="157"/>
      <c r="AZ711" s="157"/>
      <c r="BA711" s="157"/>
      <c r="BB711" s="157"/>
      <c r="BC711" s="157"/>
      <c r="BD711" s="157"/>
      <c r="BE711" s="157"/>
      <c r="BF711" s="157"/>
      <c r="BG711" s="157"/>
      <c r="BH711" s="157"/>
      <c r="BI711" s="157"/>
      <c r="BJ711" s="157"/>
    </row>
    <row r="712" spans="1:62" ht="15.75" customHeight="1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  <c r="AH712" s="157"/>
      <c r="AI712" s="157"/>
      <c r="AJ712" s="157"/>
      <c r="AK712" s="157"/>
      <c r="AL712" s="157"/>
      <c r="AM712" s="157"/>
      <c r="AN712" s="157"/>
      <c r="AO712" s="157"/>
      <c r="AP712" s="157"/>
      <c r="AQ712" s="157"/>
      <c r="AR712" s="157"/>
      <c r="AS712" s="157"/>
      <c r="AT712" s="157"/>
      <c r="AU712" s="157"/>
      <c r="AV712" s="157"/>
      <c r="AW712" s="157"/>
      <c r="AX712" s="157"/>
      <c r="AY712" s="157"/>
      <c r="AZ712" s="157"/>
      <c r="BA712" s="157"/>
      <c r="BB712" s="157"/>
      <c r="BC712" s="157"/>
      <c r="BD712" s="157"/>
      <c r="BE712" s="157"/>
      <c r="BF712" s="157"/>
      <c r="BG712" s="157"/>
      <c r="BH712" s="157"/>
      <c r="BI712" s="157"/>
      <c r="BJ712" s="157"/>
    </row>
    <row r="713" spans="1:62" ht="15.75" customHeight="1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  <c r="AH713" s="157"/>
      <c r="AI713" s="157"/>
      <c r="AJ713" s="157"/>
      <c r="AK713" s="157"/>
      <c r="AL713" s="157"/>
      <c r="AM713" s="157"/>
      <c r="AN713" s="157"/>
      <c r="AO713" s="157"/>
      <c r="AP713" s="157"/>
      <c r="AQ713" s="157"/>
      <c r="AR713" s="157"/>
      <c r="AS713" s="157"/>
      <c r="AT713" s="157"/>
      <c r="AU713" s="157"/>
      <c r="AV713" s="157"/>
      <c r="AW713" s="157"/>
      <c r="AX713" s="157"/>
      <c r="AY713" s="157"/>
      <c r="AZ713" s="157"/>
      <c r="BA713" s="157"/>
      <c r="BB713" s="157"/>
      <c r="BC713" s="157"/>
      <c r="BD713" s="157"/>
      <c r="BE713" s="157"/>
      <c r="BF713" s="157"/>
      <c r="BG713" s="157"/>
      <c r="BH713" s="157"/>
      <c r="BI713" s="157"/>
      <c r="BJ713" s="157"/>
    </row>
    <row r="714" spans="1:62" ht="15.75" customHeight="1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  <c r="AH714" s="157"/>
      <c r="AI714" s="157"/>
      <c r="AJ714" s="157"/>
      <c r="AK714" s="157"/>
      <c r="AL714" s="157"/>
      <c r="AM714" s="157"/>
      <c r="AN714" s="157"/>
      <c r="AO714" s="157"/>
      <c r="AP714" s="157"/>
      <c r="AQ714" s="157"/>
      <c r="AR714" s="157"/>
      <c r="AS714" s="157"/>
      <c r="AT714" s="157"/>
      <c r="AU714" s="157"/>
      <c r="AV714" s="157"/>
      <c r="AW714" s="157"/>
      <c r="AX714" s="157"/>
      <c r="AY714" s="157"/>
      <c r="AZ714" s="157"/>
      <c r="BA714" s="157"/>
      <c r="BB714" s="157"/>
      <c r="BC714" s="157"/>
      <c r="BD714" s="157"/>
      <c r="BE714" s="157"/>
      <c r="BF714" s="157"/>
      <c r="BG714" s="157"/>
      <c r="BH714" s="157"/>
      <c r="BI714" s="157"/>
      <c r="BJ714" s="157"/>
    </row>
    <row r="715" spans="1:62" ht="15.75" customHeight="1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  <c r="AH715" s="157"/>
      <c r="AI715" s="157"/>
      <c r="AJ715" s="157"/>
      <c r="AK715" s="157"/>
      <c r="AL715" s="157"/>
      <c r="AM715" s="157"/>
      <c r="AN715" s="157"/>
      <c r="AO715" s="157"/>
      <c r="AP715" s="157"/>
      <c r="AQ715" s="157"/>
      <c r="AR715" s="157"/>
      <c r="AS715" s="157"/>
      <c r="AT715" s="157"/>
      <c r="AU715" s="157"/>
      <c r="AV715" s="157"/>
      <c r="AW715" s="157"/>
      <c r="AX715" s="157"/>
      <c r="AY715" s="157"/>
      <c r="AZ715" s="157"/>
      <c r="BA715" s="157"/>
      <c r="BB715" s="157"/>
      <c r="BC715" s="157"/>
      <c r="BD715" s="157"/>
      <c r="BE715" s="157"/>
      <c r="BF715" s="157"/>
      <c r="BG715" s="157"/>
      <c r="BH715" s="157"/>
      <c r="BI715" s="157"/>
      <c r="BJ715" s="157"/>
    </row>
    <row r="716" spans="1:62" ht="15.75" customHeight="1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  <c r="AH716" s="157"/>
      <c r="AI716" s="157"/>
      <c r="AJ716" s="157"/>
      <c r="AK716" s="157"/>
      <c r="AL716" s="157"/>
      <c r="AM716" s="157"/>
      <c r="AN716" s="157"/>
      <c r="AO716" s="157"/>
      <c r="AP716" s="157"/>
      <c r="AQ716" s="157"/>
      <c r="AR716" s="157"/>
      <c r="AS716" s="157"/>
      <c r="AT716" s="157"/>
      <c r="AU716" s="157"/>
      <c r="AV716" s="157"/>
      <c r="AW716" s="157"/>
      <c r="AX716" s="157"/>
      <c r="AY716" s="157"/>
      <c r="AZ716" s="157"/>
      <c r="BA716" s="157"/>
      <c r="BB716" s="157"/>
      <c r="BC716" s="157"/>
      <c r="BD716" s="157"/>
      <c r="BE716" s="157"/>
      <c r="BF716" s="157"/>
      <c r="BG716" s="157"/>
      <c r="BH716" s="157"/>
      <c r="BI716" s="157"/>
      <c r="BJ716" s="157"/>
    </row>
    <row r="717" spans="1:62" ht="15.75" customHeight="1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  <c r="AH717" s="157"/>
      <c r="AI717" s="157"/>
      <c r="AJ717" s="157"/>
      <c r="AK717" s="157"/>
      <c r="AL717" s="157"/>
      <c r="AM717" s="157"/>
      <c r="AN717" s="157"/>
      <c r="AO717" s="157"/>
      <c r="AP717" s="157"/>
      <c r="AQ717" s="157"/>
      <c r="AR717" s="157"/>
      <c r="AS717" s="157"/>
      <c r="AT717" s="157"/>
      <c r="AU717" s="157"/>
      <c r="AV717" s="157"/>
      <c r="AW717" s="157"/>
      <c r="AX717" s="157"/>
      <c r="AY717" s="157"/>
      <c r="AZ717" s="157"/>
      <c r="BA717" s="157"/>
      <c r="BB717" s="157"/>
      <c r="BC717" s="157"/>
      <c r="BD717" s="157"/>
      <c r="BE717" s="157"/>
      <c r="BF717" s="157"/>
      <c r="BG717" s="157"/>
      <c r="BH717" s="157"/>
      <c r="BI717" s="157"/>
      <c r="BJ717" s="157"/>
    </row>
    <row r="718" spans="1:62" ht="15.75" customHeight="1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  <c r="AH718" s="157"/>
      <c r="AI718" s="157"/>
      <c r="AJ718" s="157"/>
      <c r="AK718" s="157"/>
      <c r="AL718" s="157"/>
      <c r="AM718" s="157"/>
      <c r="AN718" s="157"/>
      <c r="AO718" s="157"/>
      <c r="AP718" s="157"/>
      <c r="AQ718" s="157"/>
      <c r="AR718" s="157"/>
      <c r="AS718" s="157"/>
      <c r="AT718" s="157"/>
      <c r="AU718" s="157"/>
      <c r="AV718" s="157"/>
      <c r="AW718" s="157"/>
      <c r="AX718" s="157"/>
      <c r="AY718" s="157"/>
      <c r="AZ718" s="157"/>
      <c r="BA718" s="157"/>
      <c r="BB718" s="157"/>
      <c r="BC718" s="157"/>
      <c r="BD718" s="157"/>
      <c r="BE718" s="157"/>
      <c r="BF718" s="157"/>
      <c r="BG718" s="157"/>
      <c r="BH718" s="157"/>
      <c r="BI718" s="157"/>
      <c r="BJ718" s="157"/>
    </row>
    <row r="719" spans="1:62" ht="15.75" customHeight="1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  <c r="AH719" s="157"/>
      <c r="AI719" s="157"/>
      <c r="AJ719" s="157"/>
      <c r="AK719" s="157"/>
      <c r="AL719" s="157"/>
      <c r="AM719" s="157"/>
      <c r="AN719" s="157"/>
      <c r="AO719" s="157"/>
      <c r="AP719" s="157"/>
      <c r="AQ719" s="157"/>
      <c r="AR719" s="157"/>
      <c r="AS719" s="157"/>
      <c r="AT719" s="157"/>
      <c r="AU719" s="157"/>
      <c r="AV719" s="157"/>
      <c r="AW719" s="157"/>
      <c r="AX719" s="157"/>
      <c r="AY719" s="157"/>
      <c r="AZ719" s="157"/>
      <c r="BA719" s="157"/>
      <c r="BB719" s="157"/>
      <c r="BC719" s="157"/>
      <c r="BD719" s="157"/>
      <c r="BE719" s="157"/>
      <c r="BF719" s="157"/>
      <c r="BG719" s="157"/>
      <c r="BH719" s="157"/>
      <c r="BI719" s="157"/>
      <c r="BJ719" s="157"/>
    </row>
    <row r="720" spans="1:62" ht="15.75" customHeight="1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  <c r="AH720" s="157"/>
      <c r="AI720" s="157"/>
      <c r="AJ720" s="157"/>
      <c r="AK720" s="157"/>
      <c r="AL720" s="157"/>
      <c r="AM720" s="157"/>
      <c r="AN720" s="157"/>
      <c r="AO720" s="157"/>
      <c r="AP720" s="157"/>
      <c r="AQ720" s="157"/>
      <c r="AR720" s="157"/>
      <c r="AS720" s="157"/>
      <c r="AT720" s="157"/>
      <c r="AU720" s="157"/>
      <c r="AV720" s="157"/>
      <c r="AW720" s="157"/>
      <c r="AX720" s="157"/>
      <c r="AY720" s="157"/>
      <c r="AZ720" s="157"/>
      <c r="BA720" s="157"/>
      <c r="BB720" s="157"/>
      <c r="BC720" s="157"/>
      <c r="BD720" s="157"/>
      <c r="BE720" s="157"/>
      <c r="BF720" s="157"/>
      <c r="BG720" s="157"/>
      <c r="BH720" s="157"/>
      <c r="BI720" s="157"/>
      <c r="BJ720" s="157"/>
    </row>
    <row r="721" spans="1:62" ht="15.75" customHeight="1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  <c r="AH721" s="157"/>
      <c r="AI721" s="157"/>
      <c r="AJ721" s="157"/>
      <c r="AK721" s="157"/>
      <c r="AL721" s="157"/>
      <c r="AM721" s="157"/>
      <c r="AN721" s="157"/>
      <c r="AO721" s="157"/>
      <c r="AP721" s="157"/>
      <c r="AQ721" s="157"/>
      <c r="AR721" s="157"/>
      <c r="AS721" s="157"/>
      <c r="AT721" s="157"/>
      <c r="AU721" s="157"/>
      <c r="AV721" s="157"/>
      <c r="AW721" s="157"/>
      <c r="AX721" s="157"/>
      <c r="AY721" s="157"/>
      <c r="AZ721" s="157"/>
      <c r="BA721" s="157"/>
      <c r="BB721" s="157"/>
      <c r="BC721" s="157"/>
      <c r="BD721" s="157"/>
      <c r="BE721" s="157"/>
      <c r="BF721" s="157"/>
      <c r="BG721" s="157"/>
      <c r="BH721" s="157"/>
      <c r="BI721" s="157"/>
      <c r="BJ721" s="157"/>
    </row>
    <row r="722" spans="1:62" ht="15.75" customHeight="1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  <c r="AH722" s="157"/>
      <c r="AI722" s="157"/>
      <c r="AJ722" s="157"/>
      <c r="AK722" s="157"/>
      <c r="AL722" s="157"/>
      <c r="AM722" s="157"/>
      <c r="AN722" s="157"/>
      <c r="AO722" s="157"/>
      <c r="AP722" s="157"/>
      <c r="AQ722" s="157"/>
      <c r="AR722" s="157"/>
      <c r="AS722" s="157"/>
      <c r="AT722" s="157"/>
      <c r="AU722" s="157"/>
      <c r="AV722" s="157"/>
      <c r="AW722" s="157"/>
      <c r="AX722" s="157"/>
      <c r="AY722" s="157"/>
      <c r="AZ722" s="157"/>
      <c r="BA722" s="157"/>
      <c r="BB722" s="157"/>
      <c r="BC722" s="157"/>
      <c r="BD722" s="157"/>
      <c r="BE722" s="157"/>
      <c r="BF722" s="157"/>
      <c r="BG722" s="157"/>
      <c r="BH722" s="157"/>
      <c r="BI722" s="157"/>
      <c r="BJ722" s="157"/>
    </row>
    <row r="723" spans="1:62" ht="15.75" customHeight="1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  <c r="AH723" s="157"/>
      <c r="AI723" s="157"/>
      <c r="AJ723" s="157"/>
      <c r="AK723" s="157"/>
      <c r="AL723" s="157"/>
      <c r="AM723" s="157"/>
      <c r="AN723" s="157"/>
      <c r="AO723" s="157"/>
      <c r="AP723" s="157"/>
      <c r="AQ723" s="157"/>
      <c r="AR723" s="157"/>
      <c r="AS723" s="157"/>
      <c r="AT723" s="157"/>
      <c r="AU723" s="157"/>
      <c r="AV723" s="157"/>
      <c r="AW723" s="157"/>
      <c r="AX723" s="157"/>
      <c r="AY723" s="157"/>
      <c r="AZ723" s="157"/>
      <c r="BA723" s="157"/>
      <c r="BB723" s="157"/>
      <c r="BC723" s="157"/>
      <c r="BD723" s="157"/>
      <c r="BE723" s="157"/>
      <c r="BF723" s="157"/>
      <c r="BG723" s="157"/>
      <c r="BH723" s="157"/>
      <c r="BI723" s="157"/>
      <c r="BJ723" s="157"/>
    </row>
    <row r="724" spans="1:62" ht="15.75" customHeight="1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  <c r="AH724" s="157"/>
      <c r="AI724" s="157"/>
      <c r="AJ724" s="157"/>
      <c r="AK724" s="157"/>
      <c r="AL724" s="157"/>
      <c r="AM724" s="157"/>
      <c r="AN724" s="157"/>
      <c r="AO724" s="157"/>
      <c r="AP724" s="157"/>
      <c r="AQ724" s="157"/>
      <c r="AR724" s="157"/>
      <c r="AS724" s="157"/>
      <c r="AT724" s="157"/>
      <c r="AU724" s="157"/>
      <c r="AV724" s="157"/>
      <c r="AW724" s="157"/>
      <c r="AX724" s="157"/>
      <c r="AY724" s="157"/>
      <c r="AZ724" s="157"/>
      <c r="BA724" s="157"/>
      <c r="BB724" s="157"/>
      <c r="BC724" s="157"/>
      <c r="BD724" s="157"/>
      <c r="BE724" s="157"/>
      <c r="BF724" s="157"/>
      <c r="BG724" s="157"/>
      <c r="BH724" s="157"/>
      <c r="BI724" s="157"/>
      <c r="BJ724" s="157"/>
    </row>
    <row r="725" spans="1:62" ht="15.75" customHeight="1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  <c r="AH725" s="157"/>
      <c r="AI725" s="157"/>
      <c r="AJ725" s="157"/>
      <c r="AK725" s="157"/>
      <c r="AL725" s="157"/>
      <c r="AM725" s="157"/>
      <c r="AN725" s="157"/>
      <c r="AO725" s="157"/>
      <c r="AP725" s="157"/>
      <c r="AQ725" s="157"/>
      <c r="AR725" s="157"/>
      <c r="AS725" s="157"/>
      <c r="AT725" s="157"/>
      <c r="AU725" s="157"/>
      <c r="AV725" s="157"/>
      <c r="AW725" s="157"/>
      <c r="AX725" s="157"/>
      <c r="AY725" s="157"/>
      <c r="AZ725" s="157"/>
      <c r="BA725" s="157"/>
      <c r="BB725" s="157"/>
      <c r="BC725" s="157"/>
      <c r="BD725" s="157"/>
      <c r="BE725" s="157"/>
      <c r="BF725" s="157"/>
      <c r="BG725" s="157"/>
      <c r="BH725" s="157"/>
      <c r="BI725" s="157"/>
      <c r="BJ725" s="157"/>
    </row>
    <row r="726" spans="1:62" ht="15.75" customHeight="1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  <c r="AH726" s="157"/>
      <c r="AI726" s="157"/>
      <c r="AJ726" s="157"/>
      <c r="AK726" s="157"/>
      <c r="AL726" s="157"/>
      <c r="AM726" s="157"/>
      <c r="AN726" s="157"/>
      <c r="AO726" s="157"/>
      <c r="AP726" s="157"/>
      <c r="AQ726" s="157"/>
      <c r="AR726" s="157"/>
      <c r="AS726" s="157"/>
      <c r="AT726" s="157"/>
      <c r="AU726" s="157"/>
      <c r="AV726" s="157"/>
      <c r="AW726" s="157"/>
      <c r="AX726" s="157"/>
      <c r="AY726" s="157"/>
      <c r="AZ726" s="157"/>
      <c r="BA726" s="157"/>
      <c r="BB726" s="157"/>
      <c r="BC726" s="157"/>
      <c r="BD726" s="157"/>
      <c r="BE726" s="157"/>
      <c r="BF726" s="157"/>
      <c r="BG726" s="157"/>
      <c r="BH726" s="157"/>
      <c r="BI726" s="157"/>
      <c r="BJ726" s="157"/>
    </row>
    <row r="727" spans="1:62" ht="15.75" customHeight="1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  <c r="AH727" s="157"/>
      <c r="AI727" s="157"/>
      <c r="AJ727" s="157"/>
      <c r="AK727" s="157"/>
      <c r="AL727" s="157"/>
      <c r="AM727" s="157"/>
      <c r="AN727" s="157"/>
      <c r="AO727" s="157"/>
      <c r="AP727" s="157"/>
      <c r="AQ727" s="157"/>
      <c r="AR727" s="157"/>
      <c r="AS727" s="157"/>
      <c r="AT727" s="157"/>
      <c r="AU727" s="157"/>
      <c r="AV727" s="157"/>
      <c r="AW727" s="157"/>
      <c r="AX727" s="157"/>
      <c r="AY727" s="157"/>
      <c r="AZ727" s="157"/>
      <c r="BA727" s="157"/>
      <c r="BB727" s="157"/>
      <c r="BC727" s="157"/>
      <c r="BD727" s="157"/>
      <c r="BE727" s="157"/>
      <c r="BF727" s="157"/>
      <c r="BG727" s="157"/>
      <c r="BH727" s="157"/>
      <c r="BI727" s="157"/>
      <c r="BJ727" s="157"/>
    </row>
    <row r="728" spans="1:62" ht="15.75" customHeight="1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  <c r="AH728" s="157"/>
      <c r="AI728" s="157"/>
      <c r="AJ728" s="157"/>
      <c r="AK728" s="157"/>
      <c r="AL728" s="157"/>
      <c r="AM728" s="157"/>
      <c r="AN728" s="157"/>
      <c r="AO728" s="157"/>
      <c r="AP728" s="157"/>
      <c r="AQ728" s="157"/>
      <c r="AR728" s="157"/>
      <c r="AS728" s="157"/>
      <c r="AT728" s="157"/>
      <c r="AU728" s="157"/>
      <c r="AV728" s="157"/>
      <c r="AW728" s="157"/>
      <c r="AX728" s="157"/>
      <c r="AY728" s="157"/>
      <c r="AZ728" s="157"/>
      <c r="BA728" s="157"/>
      <c r="BB728" s="157"/>
      <c r="BC728" s="157"/>
      <c r="BD728" s="157"/>
      <c r="BE728" s="157"/>
      <c r="BF728" s="157"/>
      <c r="BG728" s="157"/>
      <c r="BH728" s="157"/>
      <c r="BI728" s="157"/>
      <c r="BJ728" s="157"/>
    </row>
    <row r="729" spans="1:62" ht="15.75" customHeight="1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  <c r="AH729" s="157"/>
      <c r="AI729" s="157"/>
      <c r="AJ729" s="157"/>
      <c r="AK729" s="157"/>
      <c r="AL729" s="157"/>
      <c r="AM729" s="157"/>
      <c r="AN729" s="157"/>
      <c r="AO729" s="157"/>
      <c r="AP729" s="157"/>
      <c r="AQ729" s="157"/>
      <c r="AR729" s="157"/>
      <c r="AS729" s="157"/>
      <c r="AT729" s="157"/>
      <c r="AU729" s="157"/>
      <c r="AV729" s="157"/>
      <c r="AW729" s="157"/>
      <c r="AX729" s="157"/>
      <c r="AY729" s="157"/>
      <c r="AZ729" s="157"/>
      <c r="BA729" s="157"/>
      <c r="BB729" s="157"/>
      <c r="BC729" s="157"/>
      <c r="BD729" s="157"/>
      <c r="BE729" s="157"/>
      <c r="BF729" s="157"/>
      <c r="BG729" s="157"/>
      <c r="BH729" s="157"/>
      <c r="BI729" s="157"/>
      <c r="BJ729" s="157"/>
    </row>
    <row r="730" spans="1:62" ht="15.75" customHeight="1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  <c r="AH730" s="157"/>
      <c r="AI730" s="157"/>
      <c r="AJ730" s="157"/>
      <c r="AK730" s="157"/>
      <c r="AL730" s="157"/>
      <c r="AM730" s="157"/>
      <c r="AN730" s="157"/>
      <c r="AO730" s="157"/>
      <c r="AP730" s="157"/>
      <c r="AQ730" s="157"/>
      <c r="AR730" s="157"/>
      <c r="AS730" s="157"/>
      <c r="AT730" s="157"/>
      <c r="AU730" s="157"/>
      <c r="AV730" s="157"/>
      <c r="AW730" s="157"/>
      <c r="AX730" s="157"/>
      <c r="AY730" s="157"/>
      <c r="AZ730" s="157"/>
      <c r="BA730" s="157"/>
      <c r="BB730" s="157"/>
      <c r="BC730" s="157"/>
      <c r="BD730" s="157"/>
      <c r="BE730" s="157"/>
      <c r="BF730" s="157"/>
      <c r="BG730" s="157"/>
      <c r="BH730" s="157"/>
      <c r="BI730" s="157"/>
      <c r="BJ730" s="157"/>
    </row>
    <row r="731" spans="1:62" ht="15.75" customHeight="1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  <c r="AH731" s="157"/>
      <c r="AI731" s="157"/>
      <c r="AJ731" s="157"/>
      <c r="AK731" s="157"/>
      <c r="AL731" s="157"/>
      <c r="AM731" s="157"/>
      <c r="AN731" s="157"/>
      <c r="AO731" s="157"/>
      <c r="AP731" s="157"/>
      <c r="AQ731" s="157"/>
      <c r="AR731" s="157"/>
      <c r="AS731" s="157"/>
      <c r="AT731" s="157"/>
      <c r="AU731" s="157"/>
      <c r="AV731" s="157"/>
      <c r="AW731" s="157"/>
      <c r="AX731" s="157"/>
      <c r="AY731" s="157"/>
      <c r="AZ731" s="157"/>
      <c r="BA731" s="157"/>
      <c r="BB731" s="157"/>
      <c r="BC731" s="157"/>
      <c r="BD731" s="157"/>
      <c r="BE731" s="157"/>
      <c r="BF731" s="157"/>
      <c r="BG731" s="157"/>
      <c r="BH731" s="157"/>
      <c r="BI731" s="157"/>
      <c r="BJ731" s="157"/>
    </row>
    <row r="732" spans="1:62" ht="15.75" customHeight="1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  <c r="AH732" s="157"/>
      <c r="AI732" s="157"/>
      <c r="AJ732" s="157"/>
      <c r="AK732" s="157"/>
      <c r="AL732" s="157"/>
      <c r="AM732" s="157"/>
      <c r="AN732" s="157"/>
      <c r="AO732" s="157"/>
      <c r="AP732" s="157"/>
      <c r="AQ732" s="157"/>
      <c r="AR732" s="157"/>
      <c r="AS732" s="157"/>
      <c r="AT732" s="157"/>
      <c r="AU732" s="157"/>
      <c r="AV732" s="157"/>
      <c r="AW732" s="157"/>
      <c r="AX732" s="157"/>
      <c r="AY732" s="157"/>
      <c r="AZ732" s="157"/>
      <c r="BA732" s="157"/>
      <c r="BB732" s="157"/>
      <c r="BC732" s="157"/>
      <c r="BD732" s="157"/>
      <c r="BE732" s="157"/>
      <c r="BF732" s="157"/>
      <c r="BG732" s="157"/>
      <c r="BH732" s="157"/>
      <c r="BI732" s="157"/>
      <c r="BJ732" s="157"/>
    </row>
    <row r="733" spans="1:62" ht="15.75" customHeight="1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  <c r="AH733" s="157"/>
      <c r="AI733" s="157"/>
      <c r="AJ733" s="157"/>
      <c r="AK733" s="157"/>
      <c r="AL733" s="157"/>
      <c r="AM733" s="157"/>
      <c r="AN733" s="157"/>
      <c r="AO733" s="157"/>
      <c r="AP733" s="157"/>
      <c r="AQ733" s="157"/>
      <c r="AR733" s="157"/>
      <c r="AS733" s="157"/>
      <c r="AT733" s="157"/>
      <c r="AU733" s="157"/>
      <c r="AV733" s="157"/>
      <c r="AW733" s="157"/>
      <c r="AX733" s="157"/>
      <c r="AY733" s="157"/>
      <c r="AZ733" s="157"/>
      <c r="BA733" s="157"/>
      <c r="BB733" s="157"/>
      <c r="BC733" s="157"/>
      <c r="BD733" s="157"/>
      <c r="BE733" s="157"/>
      <c r="BF733" s="157"/>
      <c r="BG733" s="157"/>
      <c r="BH733" s="157"/>
      <c r="BI733" s="157"/>
      <c r="BJ733" s="157"/>
    </row>
    <row r="734" spans="1:62" ht="15.75" customHeight="1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  <c r="AH734" s="157"/>
      <c r="AI734" s="157"/>
      <c r="AJ734" s="157"/>
      <c r="AK734" s="157"/>
      <c r="AL734" s="157"/>
      <c r="AM734" s="157"/>
      <c r="AN734" s="157"/>
      <c r="AO734" s="157"/>
      <c r="AP734" s="157"/>
      <c r="AQ734" s="157"/>
      <c r="AR734" s="157"/>
      <c r="AS734" s="157"/>
      <c r="AT734" s="157"/>
      <c r="AU734" s="157"/>
      <c r="AV734" s="157"/>
      <c r="AW734" s="157"/>
      <c r="AX734" s="157"/>
      <c r="AY734" s="157"/>
      <c r="AZ734" s="157"/>
      <c r="BA734" s="157"/>
      <c r="BB734" s="157"/>
      <c r="BC734" s="157"/>
      <c r="BD734" s="157"/>
      <c r="BE734" s="157"/>
      <c r="BF734" s="157"/>
      <c r="BG734" s="157"/>
      <c r="BH734" s="157"/>
      <c r="BI734" s="157"/>
      <c r="BJ734" s="157"/>
    </row>
    <row r="735" spans="1:62" ht="15.75" customHeight="1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  <c r="AH735" s="157"/>
      <c r="AI735" s="157"/>
      <c r="AJ735" s="157"/>
      <c r="AK735" s="157"/>
      <c r="AL735" s="157"/>
      <c r="AM735" s="157"/>
      <c r="AN735" s="157"/>
      <c r="AO735" s="157"/>
      <c r="AP735" s="157"/>
      <c r="AQ735" s="157"/>
      <c r="AR735" s="157"/>
      <c r="AS735" s="157"/>
      <c r="AT735" s="157"/>
      <c r="AU735" s="157"/>
      <c r="AV735" s="157"/>
      <c r="AW735" s="157"/>
      <c r="AX735" s="157"/>
      <c r="AY735" s="157"/>
      <c r="AZ735" s="157"/>
      <c r="BA735" s="157"/>
      <c r="BB735" s="157"/>
      <c r="BC735" s="157"/>
      <c r="BD735" s="157"/>
      <c r="BE735" s="157"/>
      <c r="BF735" s="157"/>
      <c r="BG735" s="157"/>
      <c r="BH735" s="157"/>
      <c r="BI735" s="157"/>
      <c r="BJ735" s="157"/>
    </row>
    <row r="736" spans="1:62" ht="15.75" customHeight="1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  <c r="AA736" s="157"/>
      <c r="AB736" s="157"/>
      <c r="AC736" s="157"/>
      <c r="AD736" s="157"/>
      <c r="AE736" s="157"/>
      <c r="AF736" s="157"/>
      <c r="AG736" s="157"/>
      <c r="AH736" s="157"/>
      <c r="AI736" s="157"/>
      <c r="AJ736" s="157"/>
      <c r="AK736" s="157"/>
      <c r="AL736" s="157"/>
      <c r="AM736" s="157"/>
      <c r="AN736" s="157"/>
      <c r="AO736" s="157"/>
      <c r="AP736" s="157"/>
      <c r="AQ736" s="157"/>
      <c r="AR736" s="157"/>
      <c r="AS736" s="157"/>
      <c r="AT736" s="157"/>
      <c r="AU736" s="157"/>
      <c r="AV736" s="157"/>
      <c r="AW736" s="157"/>
      <c r="AX736" s="157"/>
      <c r="AY736" s="157"/>
      <c r="AZ736" s="157"/>
      <c r="BA736" s="157"/>
      <c r="BB736" s="157"/>
      <c r="BC736" s="157"/>
      <c r="BD736" s="157"/>
      <c r="BE736" s="157"/>
      <c r="BF736" s="157"/>
      <c r="BG736" s="157"/>
      <c r="BH736" s="157"/>
      <c r="BI736" s="157"/>
      <c r="BJ736" s="157"/>
    </row>
    <row r="737" spans="1:62" ht="15.75" customHeight="1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  <c r="AA737" s="157"/>
      <c r="AB737" s="157"/>
      <c r="AC737" s="157"/>
      <c r="AD737" s="157"/>
      <c r="AE737" s="157"/>
      <c r="AF737" s="157"/>
      <c r="AG737" s="157"/>
      <c r="AH737" s="157"/>
      <c r="AI737" s="157"/>
      <c r="AJ737" s="157"/>
      <c r="AK737" s="157"/>
      <c r="AL737" s="157"/>
      <c r="AM737" s="157"/>
      <c r="AN737" s="157"/>
      <c r="AO737" s="157"/>
      <c r="AP737" s="157"/>
      <c r="AQ737" s="157"/>
      <c r="AR737" s="157"/>
      <c r="AS737" s="157"/>
      <c r="AT737" s="157"/>
      <c r="AU737" s="157"/>
      <c r="AV737" s="157"/>
      <c r="AW737" s="157"/>
      <c r="AX737" s="157"/>
      <c r="AY737" s="157"/>
      <c r="AZ737" s="157"/>
      <c r="BA737" s="157"/>
      <c r="BB737" s="157"/>
      <c r="BC737" s="157"/>
      <c r="BD737" s="157"/>
      <c r="BE737" s="157"/>
      <c r="BF737" s="157"/>
      <c r="BG737" s="157"/>
      <c r="BH737" s="157"/>
      <c r="BI737" s="157"/>
      <c r="BJ737" s="157"/>
    </row>
    <row r="738" spans="1:62" ht="15.75" customHeight="1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  <c r="AA738" s="157"/>
      <c r="AB738" s="157"/>
      <c r="AC738" s="157"/>
      <c r="AD738" s="157"/>
      <c r="AE738" s="157"/>
      <c r="AF738" s="157"/>
      <c r="AG738" s="157"/>
      <c r="AH738" s="157"/>
      <c r="AI738" s="157"/>
      <c r="AJ738" s="157"/>
      <c r="AK738" s="157"/>
      <c r="AL738" s="157"/>
      <c r="AM738" s="157"/>
      <c r="AN738" s="157"/>
      <c r="AO738" s="157"/>
      <c r="AP738" s="157"/>
      <c r="AQ738" s="157"/>
      <c r="AR738" s="157"/>
      <c r="AS738" s="157"/>
      <c r="AT738" s="157"/>
      <c r="AU738" s="157"/>
      <c r="AV738" s="157"/>
      <c r="AW738" s="157"/>
      <c r="AX738" s="157"/>
      <c r="AY738" s="157"/>
      <c r="AZ738" s="157"/>
      <c r="BA738" s="157"/>
      <c r="BB738" s="157"/>
      <c r="BC738" s="157"/>
      <c r="BD738" s="157"/>
      <c r="BE738" s="157"/>
      <c r="BF738" s="157"/>
      <c r="BG738" s="157"/>
      <c r="BH738" s="157"/>
      <c r="BI738" s="157"/>
      <c r="BJ738" s="157"/>
    </row>
    <row r="739" spans="1:62" ht="15.75" customHeight="1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  <c r="AA739" s="157"/>
      <c r="AB739" s="157"/>
      <c r="AC739" s="157"/>
      <c r="AD739" s="157"/>
      <c r="AE739" s="157"/>
      <c r="AF739" s="157"/>
      <c r="AG739" s="157"/>
      <c r="AH739" s="157"/>
      <c r="AI739" s="157"/>
      <c r="AJ739" s="157"/>
      <c r="AK739" s="157"/>
      <c r="AL739" s="157"/>
      <c r="AM739" s="157"/>
      <c r="AN739" s="157"/>
      <c r="AO739" s="157"/>
      <c r="AP739" s="157"/>
      <c r="AQ739" s="157"/>
      <c r="AR739" s="157"/>
      <c r="AS739" s="157"/>
      <c r="AT739" s="157"/>
      <c r="AU739" s="157"/>
      <c r="AV739" s="157"/>
      <c r="AW739" s="157"/>
      <c r="AX739" s="157"/>
      <c r="AY739" s="157"/>
      <c r="AZ739" s="157"/>
      <c r="BA739" s="157"/>
      <c r="BB739" s="157"/>
      <c r="BC739" s="157"/>
      <c r="BD739" s="157"/>
      <c r="BE739" s="157"/>
      <c r="BF739" s="157"/>
      <c r="BG739" s="157"/>
      <c r="BH739" s="157"/>
      <c r="BI739" s="157"/>
      <c r="BJ739" s="157"/>
    </row>
    <row r="740" spans="1:62" ht="15.75" customHeight="1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  <c r="AA740" s="157"/>
      <c r="AB740" s="157"/>
      <c r="AC740" s="157"/>
      <c r="AD740" s="157"/>
      <c r="AE740" s="157"/>
      <c r="AF740" s="157"/>
      <c r="AG740" s="157"/>
      <c r="AH740" s="157"/>
      <c r="AI740" s="157"/>
      <c r="AJ740" s="157"/>
      <c r="AK740" s="157"/>
      <c r="AL740" s="157"/>
      <c r="AM740" s="157"/>
      <c r="AN740" s="157"/>
      <c r="AO740" s="157"/>
      <c r="AP740" s="157"/>
      <c r="AQ740" s="157"/>
      <c r="AR740" s="157"/>
      <c r="AS740" s="157"/>
      <c r="AT740" s="157"/>
      <c r="AU740" s="157"/>
      <c r="AV740" s="157"/>
      <c r="AW740" s="157"/>
      <c r="AX740" s="157"/>
      <c r="AY740" s="157"/>
      <c r="AZ740" s="157"/>
      <c r="BA740" s="157"/>
      <c r="BB740" s="157"/>
      <c r="BC740" s="157"/>
      <c r="BD740" s="157"/>
      <c r="BE740" s="157"/>
      <c r="BF740" s="157"/>
      <c r="BG740" s="157"/>
      <c r="BH740" s="157"/>
      <c r="BI740" s="157"/>
      <c r="BJ740" s="157"/>
    </row>
    <row r="741" spans="1:62" ht="15.75" customHeight="1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  <c r="AA741" s="157"/>
      <c r="AB741" s="157"/>
      <c r="AC741" s="157"/>
      <c r="AD741" s="157"/>
      <c r="AE741" s="157"/>
      <c r="AF741" s="157"/>
      <c r="AG741" s="157"/>
      <c r="AH741" s="157"/>
      <c r="AI741" s="157"/>
      <c r="AJ741" s="157"/>
      <c r="AK741" s="157"/>
      <c r="AL741" s="157"/>
      <c r="AM741" s="157"/>
      <c r="AN741" s="157"/>
      <c r="AO741" s="157"/>
      <c r="AP741" s="157"/>
      <c r="AQ741" s="157"/>
      <c r="AR741" s="157"/>
      <c r="AS741" s="157"/>
      <c r="AT741" s="157"/>
      <c r="AU741" s="157"/>
      <c r="AV741" s="157"/>
      <c r="AW741" s="157"/>
      <c r="AX741" s="157"/>
      <c r="AY741" s="157"/>
      <c r="AZ741" s="157"/>
      <c r="BA741" s="157"/>
      <c r="BB741" s="157"/>
      <c r="BC741" s="157"/>
      <c r="BD741" s="157"/>
      <c r="BE741" s="157"/>
      <c r="BF741" s="157"/>
      <c r="BG741" s="157"/>
      <c r="BH741" s="157"/>
      <c r="BI741" s="157"/>
      <c r="BJ741" s="157"/>
    </row>
    <row r="742" spans="1:62" ht="15.75" customHeight="1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  <c r="AA742" s="157"/>
      <c r="AB742" s="157"/>
      <c r="AC742" s="157"/>
      <c r="AD742" s="157"/>
      <c r="AE742" s="157"/>
      <c r="AF742" s="157"/>
      <c r="AG742" s="157"/>
      <c r="AH742" s="157"/>
      <c r="AI742" s="157"/>
      <c r="AJ742" s="157"/>
      <c r="AK742" s="157"/>
      <c r="AL742" s="157"/>
      <c r="AM742" s="157"/>
      <c r="AN742" s="157"/>
      <c r="AO742" s="157"/>
      <c r="AP742" s="157"/>
      <c r="AQ742" s="157"/>
      <c r="AR742" s="157"/>
      <c r="AS742" s="157"/>
      <c r="AT742" s="157"/>
      <c r="AU742" s="157"/>
      <c r="AV742" s="157"/>
      <c r="AW742" s="157"/>
      <c r="AX742" s="157"/>
      <c r="AY742" s="157"/>
      <c r="AZ742" s="157"/>
      <c r="BA742" s="157"/>
      <c r="BB742" s="157"/>
      <c r="BC742" s="157"/>
      <c r="BD742" s="157"/>
      <c r="BE742" s="157"/>
      <c r="BF742" s="157"/>
      <c r="BG742" s="157"/>
      <c r="BH742" s="157"/>
      <c r="BI742" s="157"/>
      <c r="BJ742" s="157"/>
    </row>
    <row r="743" spans="1:62" ht="15.75" customHeight="1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  <c r="AA743" s="157"/>
      <c r="AB743" s="157"/>
      <c r="AC743" s="157"/>
      <c r="AD743" s="157"/>
      <c r="AE743" s="157"/>
      <c r="AF743" s="157"/>
      <c r="AG743" s="157"/>
      <c r="AH743" s="157"/>
      <c r="AI743" s="157"/>
      <c r="AJ743" s="157"/>
      <c r="AK743" s="157"/>
      <c r="AL743" s="157"/>
      <c r="AM743" s="157"/>
      <c r="AN743" s="157"/>
      <c r="AO743" s="157"/>
      <c r="AP743" s="157"/>
      <c r="AQ743" s="157"/>
      <c r="AR743" s="157"/>
      <c r="AS743" s="157"/>
      <c r="AT743" s="157"/>
      <c r="AU743" s="157"/>
      <c r="AV743" s="157"/>
      <c r="AW743" s="157"/>
      <c r="AX743" s="157"/>
      <c r="AY743" s="157"/>
      <c r="AZ743" s="157"/>
      <c r="BA743" s="157"/>
      <c r="BB743" s="157"/>
      <c r="BC743" s="157"/>
      <c r="BD743" s="157"/>
      <c r="BE743" s="157"/>
      <c r="BF743" s="157"/>
      <c r="BG743" s="157"/>
      <c r="BH743" s="157"/>
      <c r="BI743" s="157"/>
      <c r="BJ743" s="157"/>
    </row>
    <row r="744" spans="1:62" ht="15.75" customHeight="1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  <c r="AA744" s="157"/>
      <c r="AB744" s="157"/>
      <c r="AC744" s="157"/>
      <c r="AD744" s="157"/>
      <c r="AE744" s="157"/>
      <c r="AF744" s="157"/>
      <c r="AG744" s="157"/>
      <c r="AH744" s="157"/>
      <c r="AI744" s="157"/>
      <c r="AJ744" s="157"/>
      <c r="AK744" s="157"/>
      <c r="AL744" s="157"/>
      <c r="AM744" s="157"/>
      <c r="AN744" s="157"/>
      <c r="AO744" s="157"/>
      <c r="AP744" s="157"/>
      <c r="AQ744" s="157"/>
      <c r="AR744" s="157"/>
      <c r="AS744" s="157"/>
      <c r="AT744" s="157"/>
      <c r="AU744" s="157"/>
      <c r="AV744" s="157"/>
      <c r="AW744" s="157"/>
      <c r="AX744" s="157"/>
      <c r="AY744" s="157"/>
      <c r="AZ744" s="157"/>
      <c r="BA744" s="157"/>
      <c r="BB744" s="157"/>
      <c r="BC744" s="157"/>
      <c r="BD744" s="157"/>
      <c r="BE744" s="157"/>
      <c r="BF744" s="157"/>
      <c r="BG744" s="157"/>
      <c r="BH744" s="157"/>
      <c r="BI744" s="157"/>
      <c r="BJ744" s="157"/>
    </row>
    <row r="745" spans="1:62" ht="15.75" customHeight="1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  <c r="AA745" s="157"/>
      <c r="AB745" s="157"/>
      <c r="AC745" s="157"/>
      <c r="AD745" s="157"/>
      <c r="AE745" s="157"/>
      <c r="AF745" s="157"/>
      <c r="AG745" s="157"/>
      <c r="AH745" s="157"/>
      <c r="AI745" s="157"/>
      <c r="AJ745" s="157"/>
      <c r="AK745" s="157"/>
      <c r="AL745" s="157"/>
      <c r="AM745" s="157"/>
      <c r="AN745" s="157"/>
      <c r="AO745" s="157"/>
      <c r="AP745" s="157"/>
      <c r="AQ745" s="157"/>
      <c r="AR745" s="157"/>
      <c r="AS745" s="157"/>
      <c r="AT745" s="157"/>
      <c r="AU745" s="157"/>
      <c r="AV745" s="157"/>
      <c r="AW745" s="157"/>
      <c r="AX745" s="157"/>
      <c r="AY745" s="157"/>
      <c r="AZ745" s="157"/>
      <c r="BA745" s="157"/>
      <c r="BB745" s="157"/>
      <c r="BC745" s="157"/>
      <c r="BD745" s="157"/>
      <c r="BE745" s="157"/>
      <c r="BF745" s="157"/>
      <c r="BG745" s="157"/>
      <c r="BH745" s="157"/>
      <c r="BI745" s="157"/>
      <c r="BJ745" s="157"/>
    </row>
    <row r="746" spans="1:62" ht="15.75" customHeight="1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  <c r="AA746" s="157"/>
      <c r="AB746" s="157"/>
      <c r="AC746" s="157"/>
      <c r="AD746" s="157"/>
      <c r="AE746" s="157"/>
      <c r="AF746" s="157"/>
      <c r="AG746" s="157"/>
      <c r="AH746" s="157"/>
      <c r="AI746" s="157"/>
      <c r="AJ746" s="157"/>
      <c r="AK746" s="157"/>
      <c r="AL746" s="157"/>
      <c r="AM746" s="157"/>
      <c r="AN746" s="157"/>
      <c r="AO746" s="157"/>
      <c r="AP746" s="157"/>
      <c r="AQ746" s="157"/>
      <c r="AR746" s="157"/>
      <c r="AS746" s="157"/>
      <c r="AT746" s="157"/>
      <c r="AU746" s="157"/>
      <c r="AV746" s="157"/>
      <c r="AW746" s="157"/>
      <c r="AX746" s="157"/>
      <c r="AY746" s="157"/>
      <c r="AZ746" s="157"/>
      <c r="BA746" s="157"/>
      <c r="BB746" s="157"/>
      <c r="BC746" s="157"/>
      <c r="BD746" s="157"/>
      <c r="BE746" s="157"/>
      <c r="BF746" s="157"/>
      <c r="BG746" s="157"/>
      <c r="BH746" s="157"/>
      <c r="BI746" s="157"/>
      <c r="BJ746" s="157"/>
    </row>
    <row r="747" spans="1:62" ht="15.75" customHeight="1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  <c r="AA747" s="157"/>
      <c r="AB747" s="157"/>
      <c r="AC747" s="157"/>
      <c r="AD747" s="157"/>
      <c r="AE747" s="157"/>
      <c r="AF747" s="157"/>
      <c r="AG747" s="157"/>
      <c r="AH747" s="157"/>
      <c r="AI747" s="157"/>
      <c r="AJ747" s="157"/>
      <c r="AK747" s="157"/>
      <c r="AL747" s="157"/>
      <c r="AM747" s="157"/>
      <c r="AN747" s="157"/>
      <c r="AO747" s="157"/>
      <c r="AP747" s="157"/>
      <c r="AQ747" s="157"/>
      <c r="AR747" s="157"/>
      <c r="AS747" s="157"/>
      <c r="AT747" s="157"/>
      <c r="AU747" s="157"/>
      <c r="AV747" s="157"/>
      <c r="AW747" s="157"/>
      <c r="AX747" s="157"/>
      <c r="AY747" s="157"/>
      <c r="AZ747" s="157"/>
      <c r="BA747" s="157"/>
      <c r="BB747" s="157"/>
      <c r="BC747" s="157"/>
      <c r="BD747" s="157"/>
      <c r="BE747" s="157"/>
      <c r="BF747" s="157"/>
      <c r="BG747" s="157"/>
      <c r="BH747" s="157"/>
      <c r="BI747" s="157"/>
      <c r="BJ747" s="157"/>
    </row>
    <row r="748" spans="1:62" ht="15.75" customHeight="1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  <c r="AA748" s="157"/>
      <c r="AB748" s="157"/>
      <c r="AC748" s="157"/>
      <c r="AD748" s="157"/>
      <c r="AE748" s="157"/>
      <c r="AF748" s="157"/>
      <c r="AG748" s="157"/>
      <c r="AH748" s="157"/>
      <c r="AI748" s="157"/>
      <c r="AJ748" s="157"/>
      <c r="AK748" s="157"/>
      <c r="AL748" s="157"/>
      <c r="AM748" s="157"/>
      <c r="AN748" s="157"/>
      <c r="AO748" s="157"/>
      <c r="AP748" s="157"/>
      <c r="AQ748" s="157"/>
      <c r="AR748" s="157"/>
      <c r="AS748" s="157"/>
      <c r="AT748" s="157"/>
      <c r="AU748" s="157"/>
      <c r="AV748" s="157"/>
      <c r="AW748" s="157"/>
      <c r="AX748" s="157"/>
      <c r="AY748" s="157"/>
      <c r="AZ748" s="157"/>
      <c r="BA748" s="157"/>
      <c r="BB748" s="157"/>
      <c r="BC748" s="157"/>
      <c r="BD748" s="157"/>
      <c r="BE748" s="157"/>
      <c r="BF748" s="157"/>
      <c r="BG748" s="157"/>
      <c r="BH748" s="157"/>
      <c r="BI748" s="157"/>
      <c r="BJ748" s="157"/>
    </row>
    <row r="749" spans="1:62" ht="15.75" customHeight="1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  <c r="AA749" s="157"/>
      <c r="AB749" s="157"/>
      <c r="AC749" s="157"/>
      <c r="AD749" s="157"/>
      <c r="AE749" s="157"/>
      <c r="AF749" s="157"/>
      <c r="AG749" s="157"/>
      <c r="AH749" s="157"/>
      <c r="AI749" s="157"/>
      <c r="AJ749" s="157"/>
      <c r="AK749" s="157"/>
      <c r="AL749" s="157"/>
      <c r="AM749" s="157"/>
      <c r="AN749" s="157"/>
      <c r="AO749" s="157"/>
      <c r="AP749" s="157"/>
      <c r="AQ749" s="157"/>
      <c r="AR749" s="157"/>
      <c r="AS749" s="157"/>
      <c r="AT749" s="157"/>
      <c r="AU749" s="157"/>
      <c r="AV749" s="157"/>
      <c r="AW749" s="157"/>
      <c r="AX749" s="157"/>
      <c r="AY749" s="157"/>
      <c r="AZ749" s="157"/>
      <c r="BA749" s="157"/>
      <c r="BB749" s="157"/>
      <c r="BC749" s="157"/>
      <c r="BD749" s="157"/>
      <c r="BE749" s="157"/>
      <c r="BF749" s="157"/>
      <c r="BG749" s="157"/>
      <c r="BH749" s="157"/>
      <c r="BI749" s="157"/>
      <c r="BJ749" s="157"/>
    </row>
    <row r="750" spans="1:62" ht="15.75" customHeight="1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  <c r="AA750" s="157"/>
      <c r="AB750" s="157"/>
      <c r="AC750" s="157"/>
      <c r="AD750" s="157"/>
      <c r="AE750" s="157"/>
      <c r="AF750" s="157"/>
      <c r="AG750" s="157"/>
      <c r="AH750" s="157"/>
      <c r="AI750" s="157"/>
      <c r="AJ750" s="157"/>
      <c r="AK750" s="157"/>
      <c r="AL750" s="157"/>
      <c r="AM750" s="157"/>
      <c r="AN750" s="157"/>
      <c r="AO750" s="157"/>
      <c r="AP750" s="157"/>
      <c r="AQ750" s="157"/>
      <c r="AR750" s="157"/>
      <c r="AS750" s="157"/>
      <c r="AT750" s="157"/>
      <c r="AU750" s="157"/>
      <c r="AV750" s="157"/>
      <c r="AW750" s="157"/>
      <c r="AX750" s="157"/>
      <c r="AY750" s="157"/>
      <c r="AZ750" s="157"/>
      <c r="BA750" s="157"/>
      <c r="BB750" s="157"/>
      <c r="BC750" s="157"/>
      <c r="BD750" s="157"/>
      <c r="BE750" s="157"/>
      <c r="BF750" s="157"/>
      <c r="BG750" s="157"/>
      <c r="BH750" s="157"/>
      <c r="BI750" s="157"/>
      <c r="BJ750" s="157"/>
    </row>
    <row r="751" spans="1:62" ht="15.75" customHeight="1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  <c r="AA751" s="157"/>
      <c r="AB751" s="157"/>
      <c r="AC751" s="157"/>
      <c r="AD751" s="157"/>
      <c r="AE751" s="157"/>
      <c r="AF751" s="157"/>
      <c r="AG751" s="157"/>
      <c r="AH751" s="157"/>
      <c r="AI751" s="157"/>
      <c r="AJ751" s="157"/>
      <c r="AK751" s="157"/>
      <c r="AL751" s="157"/>
      <c r="AM751" s="157"/>
      <c r="AN751" s="157"/>
      <c r="AO751" s="157"/>
      <c r="AP751" s="157"/>
      <c r="AQ751" s="157"/>
      <c r="AR751" s="157"/>
      <c r="AS751" s="157"/>
      <c r="AT751" s="157"/>
      <c r="AU751" s="157"/>
      <c r="AV751" s="157"/>
      <c r="AW751" s="157"/>
      <c r="AX751" s="157"/>
      <c r="AY751" s="157"/>
      <c r="AZ751" s="157"/>
      <c r="BA751" s="157"/>
      <c r="BB751" s="157"/>
      <c r="BC751" s="157"/>
      <c r="BD751" s="157"/>
      <c r="BE751" s="157"/>
      <c r="BF751" s="157"/>
      <c r="BG751" s="157"/>
      <c r="BH751" s="157"/>
      <c r="BI751" s="157"/>
      <c r="BJ751" s="157"/>
    </row>
    <row r="752" spans="1:62" ht="15.75" customHeight="1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  <c r="AA752" s="157"/>
      <c r="AB752" s="157"/>
      <c r="AC752" s="157"/>
      <c r="AD752" s="157"/>
      <c r="AE752" s="157"/>
      <c r="AF752" s="157"/>
      <c r="AG752" s="157"/>
      <c r="AH752" s="157"/>
      <c r="AI752" s="157"/>
      <c r="AJ752" s="157"/>
      <c r="AK752" s="157"/>
      <c r="AL752" s="157"/>
      <c r="AM752" s="157"/>
      <c r="AN752" s="157"/>
      <c r="AO752" s="157"/>
      <c r="AP752" s="157"/>
      <c r="AQ752" s="157"/>
      <c r="AR752" s="157"/>
      <c r="AS752" s="157"/>
      <c r="AT752" s="157"/>
      <c r="AU752" s="157"/>
      <c r="AV752" s="157"/>
      <c r="AW752" s="157"/>
      <c r="AX752" s="157"/>
      <c r="AY752" s="157"/>
      <c r="AZ752" s="157"/>
      <c r="BA752" s="157"/>
      <c r="BB752" s="157"/>
      <c r="BC752" s="157"/>
      <c r="BD752" s="157"/>
      <c r="BE752" s="157"/>
      <c r="BF752" s="157"/>
      <c r="BG752" s="157"/>
      <c r="BH752" s="157"/>
      <c r="BI752" s="157"/>
      <c r="BJ752" s="157"/>
    </row>
    <row r="753" spans="1:62" ht="15.75" customHeight="1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  <c r="AA753" s="157"/>
      <c r="AB753" s="157"/>
      <c r="AC753" s="157"/>
      <c r="AD753" s="157"/>
      <c r="AE753" s="157"/>
      <c r="AF753" s="157"/>
      <c r="AG753" s="157"/>
      <c r="AH753" s="157"/>
      <c r="AI753" s="157"/>
      <c r="AJ753" s="157"/>
      <c r="AK753" s="157"/>
      <c r="AL753" s="157"/>
      <c r="AM753" s="157"/>
      <c r="AN753" s="157"/>
      <c r="AO753" s="157"/>
      <c r="AP753" s="157"/>
      <c r="AQ753" s="157"/>
      <c r="AR753" s="157"/>
      <c r="AS753" s="157"/>
      <c r="AT753" s="157"/>
      <c r="AU753" s="157"/>
      <c r="AV753" s="157"/>
      <c r="AW753" s="157"/>
      <c r="AX753" s="157"/>
      <c r="AY753" s="157"/>
      <c r="AZ753" s="157"/>
      <c r="BA753" s="157"/>
      <c r="BB753" s="157"/>
      <c r="BC753" s="157"/>
      <c r="BD753" s="157"/>
      <c r="BE753" s="157"/>
      <c r="BF753" s="157"/>
      <c r="BG753" s="157"/>
      <c r="BH753" s="157"/>
      <c r="BI753" s="157"/>
      <c r="BJ753" s="157"/>
    </row>
    <row r="754" spans="1:62" ht="15.75" customHeight="1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  <c r="AA754" s="157"/>
      <c r="AB754" s="157"/>
      <c r="AC754" s="157"/>
      <c r="AD754" s="157"/>
      <c r="AE754" s="157"/>
      <c r="AF754" s="157"/>
      <c r="AG754" s="157"/>
      <c r="AH754" s="157"/>
      <c r="AI754" s="157"/>
      <c r="AJ754" s="157"/>
      <c r="AK754" s="157"/>
      <c r="AL754" s="157"/>
      <c r="AM754" s="157"/>
      <c r="AN754" s="157"/>
      <c r="AO754" s="157"/>
      <c r="AP754" s="157"/>
      <c r="AQ754" s="157"/>
      <c r="AR754" s="157"/>
      <c r="AS754" s="157"/>
      <c r="AT754" s="157"/>
      <c r="AU754" s="157"/>
      <c r="AV754" s="157"/>
      <c r="AW754" s="157"/>
      <c r="AX754" s="157"/>
      <c r="AY754" s="157"/>
      <c r="AZ754" s="157"/>
      <c r="BA754" s="157"/>
      <c r="BB754" s="157"/>
      <c r="BC754" s="157"/>
      <c r="BD754" s="157"/>
      <c r="BE754" s="157"/>
      <c r="BF754" s="157"/>
      <c r="BG754" s="157"/>
      <c r="BH754" s="157"/>
      <c r="BI754" s="157"/>
      <c r="BJ754" s="157"/>
    </row>
    <row r="755" spans="1:62" ht="15.75" customHeight="1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  <c r="AA755" s="157"/>
      <c r="AB755" s="157"/>
      <c r="AC755" s="157"/>
      <c r="AD755" s="157"/>
      <c r="AE755" s="157"/>
      <c r="AF755" s="157"/>
      <c r="AG755" s="157"/>
      <c r="AH755" s="157"/>
      <c r="AI755" s="157"/>
      <c r="AJ755" s="157"/>
      <c r="AK755" s="157"/>
      <c r="AL755" s="157"/>
      <c r="AM755" s="157"/>
      <c r="AN755" s="157"/>
      <c r="AO755" s="157"/>
      <c r="AP755" s="157"/>
      <c r="AQ755" s="157"/>
      <c r="AR755" s="157"/>
      <c r="AS755" s="157"/>
      <c r="AT755" s="157"/>
      <c r="AU755" s="157"/>
      <c r="AV755" s="157"/>
      <c r="AW755" s="157"/>
      <c r="AX755" s="157"/>
      <c r="AY755" s="157"/>
      <c r="AZ755" s="157"/>
      <c r="BA755" s="157"/>
      <c r="BB755" s="157"/>
      <c r="BC755" s="157"/>
      <c r="BD755" s="157"/>
      <c r="BE755" s="157"/>
      <c r="BF755" s="157"/>
      <c r="BG755" s="157"/>
      <c r="BH755" s="157"/>
      <c r="BI755" s="157"/>
      <c r="BJ755" s="157"/>
    </row>
    <row r="756" spans="1:62" ht="15.75" customHeight="1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  <c r="AA756" s="157"/>
      <c r="AB756" s="157"/>
      <c r="AC756" s="157"/>
      <c r="AD756" s="157"/>
      <c r="AE756" s="157"/>
      <c r="AF756" s="157"/>
      <c r="AG756" s="157"/>
      <c r="AH756" s="157"/>
      <c r="AI756" s="157"/>
      <c r="AJ756" s="157"/>
      <c r="AK756" s="157"/>
      <c r="AL756" s="157"/>
      <c r="AM756" s="157"/>
      <c r="AN756" s="157"/>
      <c r="AO756" s="157"/>
      <c r="AP756" s="157"/>
      <c r="AQ756" s="157"/>
      <c r="AR756" s="157"/>
      <c r="AS756" s="157"/>
      <c r="AT756" s="157"/>
      <c r="AU756" s="157"/>
      <c r="AV756" s="157"/>
      <c r="AW756" s="157"/>
      <c r="AX756" s="157"/>
      <c r="AY756" s="157"/>
      <c r="AZ756" s="157"/>
      <c r="BA756" s="157"/>
      <c r="BB756" s="157"/>
      <c r="BC756" s="157"/>
      <c r="BD756" s="157"/>
      <c r="BE756" s="157"/>
      <c r="BF756" s="157"/>
      <c r="BG756" s="157"/>
      <c r="BH756" s="157"/>
      <c r="BI756" s="157"/>
      <c r="BJ756" s="157"/>
    </row>
    <row r="757" spans="1:62" ht="15.75" customHeight="1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  <c r="AA757" s="157"/>
      <c r="AB757" s="157"/>
      <c r="AC757" s="157"/>
      <c r="AD757" s="157"/>
      <c r="AE757" s="157"/>
      <c r="AF757" s="157"/>
      <c r="AG757" s="157"/>
      <c r="AH757" s="157"/>
      <c r="AI757" s="157"/>
      <c r="AJ757" s="157"/>
      <c r="AK757" s="157"/>
      <c r="AL757" s="157"/>
      <c r="AM757" s="157"/>
      <c r="AN757" s="157"/>
      <c r="AO757" s="157"/>
      <c r="AP757" s="157"/>
      <c r="AQ757" s="157"/>
      <c r="AR757" s="157"/>
      <c r="AS757" s="157"/>
      <c r="AT757" s="157"/>
      <c r="AU757" s="157"/>
      <c r="AV757" s="157"/>
      <c r="AW757" s="157"/>
      <c r="AX757" s="157"/>
      <c r="AY757" s="157"/>
      <c r="AZ757" s="157"/>
      <c r="BA757" s="157"/>
      <c r="BB757" s="157"/>
      <c r="BC757" s="157"/>
      <c r="BD757" s="157"/>
      <c r="BE757" s="157"/>
      <c r="BF757" s="157"/>
      <c r="BG757" s="157"/>
      <c r="BH757" s="157"/>
      <c r="BI757" s="157"/>
      <c r="BJ757" s="157"/>
    </row>
    <row r="758" spans="1:62" ht="15.75" customHeight="1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  <c r="AA758" s="157"/>
      <c r="AB758" s="157"/>
      <c r="AC758" s="157"/>
      <c r="AD758" s="157"/>
      <c r="AE758" s="157"/>
      <c r="AF758" s="157"/>
      <c r="AG758" s="157"/>
      <c r="AH758" s="157"/>
      <c r="AI758" s="157"/>
      <c r="AJ758" s="157"/>
      <c r="AK758" s="157"/>
      <c r="AL758" s="157"/>
      <c r="AM758" s="157"/>
      <c r="AN758" s="157"/>
      <c r="AO758" s="157"/>
      <c r="AP758" s="157"/>
      <c r="AQ758" s="157"/>
      <c r="AR758" s="157"/>
      <c r="AS758" s="157"/>
      <c r="AT758" s="157"/>
      <c r="AU758" s="157"/>
      <c r="AV758" s="157"/>
      <c r="AW758" s="157"/>
      <c r="AX758" s="157"/>
      <c r="AY758" s="157"/>
      <c r="AZ758" s="157"/>
      <c r="BA758" s="157"/>
      <c r="BB758" s="157"/>
      <c r="BC758" s="157"/>
      <c r="BD758" s="157"/>
      <c r="BE758" s="157"/>
      <c r="BF758" s="157"/>
      <c r="BG758" s="157"/>
      <c r="BH758" s="157"/>
      <c r="BI758" s="157"/>
      <c r="BJ758" s="157"/>
    </row>
    <row r="759" spans="1:62" ht="15.75" customHeight="1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  <c r="AA759" s="157"/>
      <c r="AB759" s="157"/>
      <c r="AC759" s="157"/>
      <c r="AD759" s="157"/>
      <c r="AE759" s="157"/>
      <c r="AF759" s="157"/>
      <c r="AG759" s="157"/>
      <c r="AH759" s="157"/>
      <c r="AI759" s="157"/>
      <c r="AJ759" s="157"/>
      <c r="AK759" s="157"/>
      <c r="AL759" s="157"/>
      <c r="AM759" s="157"/>
      <c r="AN759" s="157"/>
      <c r="AO759" s="157"/>
      <c r="AP759" s="157"/>
      <c r="AQ759" s="157"/>
      <c r="AR759" s="157"/>
      <c r="AS759" s="157"/>
      <c r="AT759" s="157"/>
      <c r="AU759" s="157"/>
      <c r="AV759" s="157"/>
      <c r="AW759" s="157"/>
      <c r="AX759" s="157"/>
      <c r="AY759" s="157"/>
      <c r="AZ759" s="157"/>
      <c r="BA759" s="157"/>
      <c r="BB759" s="157"/>
      <c r="BC759" s="157"/>
      <c r="BD759" s="157"/>
      <c r="BE759" s="157"/>
      <c r="BF759" s="157"/>
      <c r="BG759" s="157"/>
      <c r="BH759" s="157"/>
      <c r="BI759" s="157"/>
      <c r="BJ759" s="157"/>
    </row>
    <row r="760" spans="1:62" ht="15.75" customHeight="1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  <c r="AA760" s="157"/>
      <c r="AB760" s="157"/>
      <c r="AC760" s="157"/>
      <c r="AD760" s="157"/>
      <c r="AE760" s="157"/>
      <c r="AF760" s="157"/>
      <c r="AG760" s="157"/>
      <c r="AH760" s="157"/>
      <c r="AI760" s="157"/>
      <c r="AJ760" s="157"/>
      <c r="AK760" s="157"/>
      <c r="AL760" s="157"/>
      <c r="AM760" s="157"/>
      <c r="AN760" s="157"/>
      <c r="AO760" s="157"/>
      <c r="AP760" s="157"/>
      <c r="AQ760" s="157"/>
      <c r="AR760" s="157"/>
      <c r="AS760" s="157"/>
      <c r="AT760" s="157"/>
      <c r="AU760" s="157"/>
      <c r="AV760" s="157"/>
      <c r="AW760" s="157"/>
      <c r="AX760" s="157"/>
      <c r="AY760" s="157"/>
      <c r="AZ760" s="157"/>
      <c r="BA760" s="157"/>
      <c r="BB760" s="157"/>
      <c r="BC760" s="157"/>
      <c r="BD760" s="157"/>
      <c r="BE760" s="157"/>
      <c r="BF760" s="157"/>
      <c r="BG760" s="157"/>
      <c r="BH760" s="157"/>
      <c r="BI760" s="157"/>
      <c r="BJ760" s="157"/>
    </row>
    <row r="761" spans="1:62" ht="15.75" customHeight="1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  <c r="AA761" s="157"/>
      <c r="AB761" s="157"/>
      <c r="AC761" s="157"/>
      <c r="AD761" s="157"/>
      <c r="AE761" s="157"/>
      <c r="AF761" s="157"/>
      <c r="AG761" s="157"/>
      <c r="AH761" s="157"/>
      <c r="AI761" s="157"/>
      <c r="AJ761" s="157"/>
      <c r="AK761" s="157"/>
      <c r="AL761" s="157"/>
      <c r="AM761" s="157"/>
      <c r="AN761" s="157"/>
      <c r="AO761" s="157"/>
      <c r="AP761" s="157"/>
      <c r="AQ761" s="157"/>
      <c r="AR761" s="157"/>
      <c r="AS761" s="157"/>
      <c r="AT761" s="157"/>
      <c r="AU761" s="157"/>
      <c r="AV761" s="157"/>
      <c r="AW761" s="157"/>
      <c r="AX761" s="157"/>
      <c r="AY761" s="157"/>
      <c r="AZ761" s="157"/>
      <c r="BA761" s="157"/>
      <c r="BB761" s="157"/>
      <c r="BC761" s="157"/>
      <c r="BD761" s="157"/>
      <c r="BE761" s="157"/>
      <c r="BF761" s="157"/>
      <c r="BG761" s="157"/>
      <c r="BH761" s="157"/>
      <c r="BI761" s="157"/>
      <c r="BJ761" s="157"/>
    </row>
    <row r="762" spans="1:62" ht="15.75" customHeight="1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  <c r="AA762" s="157"/>
      <c r="AB762" s="157"/>
      <c r="AC762" s="157"/>
      <c r="AD762" s="157"/>
      <c r="AE762" s="157"/>
      <c r="AF762" s="157"/>
      <c r="AG762" s="157"/>
      <c r="AH762" s="157"/>
      <c r="AI762" s="157"/>
      <c r="AJ762" s="157"/>
      <c r="AK762" s="157"/>
      <c r="AL762" s="157"/>
      <c r="AM762" s="157"/>
      <c r="AN762" s="157"/>
      <c r="AO762" s="157"/>
      <c r="AP762" s="157"/>
      <c r="AQ762" s="157"/>
      <c r="AR762" s="157"/>
      <c r="AS762" s="157"/>
      <c r="AT762" s="157"/>
      <c r="AU762" s="157"/>
      <c r="AV762" s="157"/>
      <c r="AW762" s="157"/>
      <c r="AX762" s="157"/>
      <c r="AY762" s="157"/>
      <c r="AZ762" s="157"/>
      <c r="BA762" s="157"/>
      <c r="BB762" s="157"/>
      <c r="BC762" s="157"/>
      <c r="BD762" s="157"/>
      <c r="BE762" s="157"/>
      <c r="BF762" s="157"/>
      <c r="BG762" s="157"/>
      <c r="BH762" s="157"/>
      <c r="BI762" s="157"/>
      <c r="BJ762" s="157"/>
    </row>
    <row r="763" spans="1:62" ht="15.75" customHeight="1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  <c r="AA763" s="157"/>
      <c r="AB763" s="157"/>
      <c r="AC763" s="157"/>
      <c r="AD763" s="157"/>
      <c r="AE763" s="157"/>
      <c r="AF763" s="157"/>
      <c r="AG763" s="157"/>
      <c r="AH763" s="157"/>
      <c r="AI763" s="157"/>
      <c r="AJ763" s="157"/>
      <c r="AK763" s="157"/>
      <c r="AL763" s="157"/>
      <c r="AM763" s="157"/>
      <c r="AN763" s="157"/>
      <c r="AO763" s="157"/>
      <c r="AP763" s="157"/>
      <c r="AQ763" s="157"/>
      <c r="AR763" s="157"/>
      <c r="AS763" s="157"/>
      <c r="AT763" s="157"/>
      <c r="AU763" s="157"/>
      <c r="AV763" s="157"/>
      <c r="AW763" s="157"/>
      <c r="AX763" s="157"/>
      <c r="AY763" s="157"/>
      <c r="AZ763" s="157"/>
      <c r="BA763" s="157"/>
      <c r="BB763" s="157"/>
      <c r="BC763" s="157"/>
      <c r="BD763" s="157"/>
      <c r="BE763" s="157"/>
      <c r="BF763" s="157"/>
      <c r="BG763" s="157"/>
      <c r="BH763" s="157"/>
      <c r="BI763" s="157"/>
      <c r="BJ763" s="157"/>
    </row>
    <row r="764" spans="1:62" ht="15.75" customHeight="1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  <c r="AA764" s="157"/>
      <c r="AB764" s="157"/>
      <c r="AC764" s="157"/>
      <c r="AD764" s="157"/>
      <c r="AE764" s="157"/>
      <c r="AF764" s="157"/>
      <c r="AG764" s="157"/>
      <c r="AH764" s="157"/>
      <c r="AI764" s="157"/>
      <c r="AJ764" s="157"/>
      <c r="AK764" s="157"/>
      <c r="AL764" s="157"/>
      <c r="AM764" s="157"/>
      <c r="AN764" s="157"/>
      <c r="AO764" s="157"/>
      <c r="AP764" s="157"/>
      <c r="AQ764" s="157"/>
      <c r="AR764" s="157"/>
      <c r="AS764" s="157"/>
      <c r="AT764" s="157"/>
      <c r="AU764" s="157"/>
      <c r="AV764" s="157"/>
      <c r="AW764" s="157"/>
      <c r="AX764" s="157"/>
      <c r="AY764" s="157"/>
      <c r="AZ764" s="157"/>
      <c r="BA764" s="157"/>
      <c r="BB764" s="157"/>
      <c r="BC764" s="157"/>
      <c r="BD764" s="157"/>
      <c r="BE764" s="157"/>
      <c r="BF764" s="157"/>
      <c r="BG764" s="157"/>
      <c r="BH764" s="157"/>
      <c r="BI764" s="157"/>
      <c r="BJ764" s="157"/>
    </row>
    <row r="765" spans="1:62" ht="15.75" customHeight="1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  <c r="AA765" s="157"/>
      <c r="AB765" s="157"/>
      <c r="AC765" s="157"/>
      <c r="AD765" s="157"/>
      <c r="AE765" s="157"/>
      <c r="AF765" s="157"/>
      <c r="AG765" s="157"/>
      <c r="AH765" s="157"/>
      <c r="AI765" s="157"/>
      <c r="AJ765" s="157"/>
      <c r="AK765" s="157"/>
      <c r="AL765" s="157"/>
      <c r="AM765" s="157"/>
      <c r="AN765" s="157"/>
      <c r="AO765" s="157"/>
      <c r="AP765" s="157"/>
      <c r="AQ765" s="157"/>
      <c r="AR765" s="157"/>
      <c r="AS765" s="157"/>
      <c r="AT765" s="157"/>
      <c r="AU765" s="157"/>
      <c r="AV765" s="157"/>
      <c r="AW765" s="157"/>
      <c r="AX765" s="157"/>
      <c r="AY765" s="157"/>
      <c r="AZ765" s="157"/>
      <c r="BA765" s="157"/>
      <c r="BB765" s="157"/>
      <c r="BC765" s="157"/>
      <c r="BD765" s="157"/>
      <c r="BE765" s="157"/>
      <c r="BF765" s="157"/>
      <c r="BG765" s="157"/>
      <c r="BH765" s="157"/>
      <c r="BI765" s="157"/>
      <c r="BJ765" s="157"/>
    </row>
    <row r="766" spans="1:62" ht="15.75" customHeight="1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  <c r="AA766" s="157"/>
      <c r="AB766" s="157"/>
      <c r="AC766" s="157"/>
      <c r="AD766" s="157"/>
      <c r="AE766" s="157"/>
      <c r="AF766" s="157"/>
      <c r="AG766" s="157"/>
      <c r="AH766" s="157"/>
      <c r="AI766" s="157"/>
      <c r="AJ766" s="157"/>
      <c r="AK766" s="157"/>
      <c r="AL766" s="157"/>
      <c r="AM766" s="157"/>
      <c r="AN766" s="157"/>
      <c r="AO766" s="157"/>
      <c r="AP766" s="157"/>
      <c r="AQ766" s="157"/>
      <c r="AR766" s="157"/>
      <c r="AS766" s="157"/>
      <c r="AT766" s="157"/>
      <c r="AU766" s="157"/>
      <c r="AV766" s="157"/>
      <c r="AW766" s="157"/>
      <c r="AX766" s="157"/>
      <c r="AY766" s="157"/>
      <c r="AZ766" s="157"/>
      <c r="BA766" s="157"/>
      <c r="BB766" s="157"/>
      <c r="BC766" s="157"/>
      <c r="BD766" s="157"/>
      <c r="BE766" s="157"/>
      <c r="BF766" s="157"/>
      <c r="BG766" s="157"/>
      <c r="BH766" s="157"/>
      <c r="BI766" s="157"/>
      <c r="BJ766" s="157"/>
    </row>
    <row r="767" spans="1:62" ht="15.75" customHeight="1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  <c r="AA767" s="157"/>
      <c r="AB767" s="157"/>
      <c r="AC767" s="157"/>
      <c r="AD767" s="157"/>
      <c r="AE767" s="157"/>
      <c r="AF767" s="157"/>
      <c r="AG767" s="157"/>
      <c r="AH767" s="157"/>
      <c r="AI767" s="157"/>
      <c r="AJ767" s="157"/>
      <c r="AK767" s="157"/>
      <c r="AL767" s="157"/>
      <c r="AM767" s="157"/>
      <c r="AN767" s="157"/>
      <c r="AO767" s="157"/>
      <c r="AP767" s="157"/>
      <c r="AQ767" s="157"/>
      <c r="AR767" s="157"/>
      <c r="AS767" s="157"/>
      <c r="AT767" s="157"/>
      <c r="AU767" s="157"/>
      <c r="AV767" s="157"/>
      <c r="AW767" s="157"/>
      <c r="AX767" s="157"/>
      <c r="AY767" s="157"/>
      <c r="AZ767" s="157"/>
      <c r="BA767" s="157"/>
      <c r="BB767" s="157"/>
      <c r="BC767" s="157"/>
      <c r="BD767" s="157"/>
      <c r="BE767" s="157"/>
      <c r="BF767" s="157"/>
      <c r="BG767" s="157"/>
      <c r="BH767" s="157"/>
      <c r="BI767" s="157"/>
      <c r="BJ767" s="157"/>
    </row>
    <row r="768" spans="1:62" ht="15.75" customHeight="1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  <c r="AA768" s="157"/>
      <c r="AB768" s="157"/>
      <c r="AC768" s="157"/>
      <c r="AD768" s="157"/>
      <c r="AE768" s="157"/>
      <c r="AF768" s="157"/>
      <c r="AG768" s="157"/>
      <c r="AH768" s="157"/>
      <c r="AI768" s="157"/>
      <c r="AJ768" s="157"/>
      <c r="AK768" s="157"/>
      <c r="AL768" s="157"/>
      <c r="AM768" s="157"/>
      <c r="AN768" s="157"/>
      <c r="AO768" s="157"/>
      <c r="AP768" s="157"/>
      <c r="AQ768" s="157"/>
      <c r="AR768" s="157"/>
      <c r="AS768" s="157"/>
      <c r="AT768" s="157"/>
      <c r="AU768" s="157"/>
      <c r="AV768" s="157"/>
      <c r="AW768" s="157"/>
      <c r="AX768" s="157"/>
      <c r="AY768" s="157"/>
      <c r="AZ768" s="157"/>
      <c r="BA768" s="157"/>
      <c r="BB768" s="157"/>
      <c r="BC768" s="157"/>
      <c r="BD768" s="157"/>
      <c r="BE768" s="157"/>
      <c r="BF768" s="157"/>
      <c r="BG768" s="157"/>
      <c r="BH768" s="157"/>
      <c r="BI768" s="157"/>
      <c r="BJ768" s="157"/>
    </row>
    <row r="769" spans="1:62" ht="15.75" customHeight="1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  <c r="AA769" s="157"/>
      <c r="AB769" s="157"/>
      <c r="AC769" s="157"/>
      <c r="AD769" s="157"/>
      <c r="AE769" s="157"/>
      <c r="AF769" s="157"/>
      <c r="AG769" s="157"/>
      <c r="AH769" s="157"/>
      <c r="AI769" s="157"/>
      <c r="AJ769" s="157"/>
      <c r="AK769" s="157"/>
      <c r="AL769" s="157"/>
      <c r="AM769" s="157"/>
      <c r="AN769" s="157"/>
      <c r="AO769" s="157"/>
      <c r="AP769" s="157"/>
      <c r="AQ769" s="157"/>
      <c r="AR769" s="157"/>
      <c r="AS769" s="157"/>
      <c r="AT769" s="157"/>
      <c r="AU769" s="157"/>
      <c r="AV769" s="157"/>
      <c r="AW769" s="157"/>
      <c r="AX769" s="157"/>
      <c r="AY769" s="157"/>
      <c r="AZ769" s="157"/>
      <c r="BA769" s="157"/>
      <c r="BB769" s="157"/>
      <c r="BC769" s="157"/>
      <c r="BD769" s="157"/>
      <c r="BE769" s="157"/>
      <c r="BF769" s="157"/>
      <c r="BG769" s="157"/>
      <c r="BH769" s="157"/>
      <c r="BI769" s="157"/>
      <c r="BJ769" s="157"/>
    </row>
    <row r="770" spans="1:62" ht="15.75" customHeight="1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  <c r="AA770" s="157"/>
      <c r="AB770" s="157"/>
      <c r="AC770" s="157"/>
      <c r="AD770" s="157"/>
      <c r="AE770" s="157"/>
      <c r="AF770" s="157"/>
      <c r="AG770" s="157"/>
      <c r="AH770" s="157"/>
      <c r="AI770" s="157"/>
      <c r="AJ770" s="157"/>
      <c r="AK770" s="157"/>
      <c r="AL770" s="157"/>
      <c r="AM770" s="157"/>
      <c r="AN770" s="157"/>
      <c r="AO770" s="157"/>
      <c r="AP770" s="157"/>
      <c r="AQ770" s="157"/>
      <c r="AR770" s="157"/>
      <c r="AS770" s="157"/>
      <c r="AT770" s="157"/>
      <c r="AU770" s="157"/>
      <c r="AV770" s="157"/>
      <c r="AW770" s="157"/>
      <c r="AX770" s="157"/>
      <c r="AY770" s="157"/>
      <c r="AZ770" s="157"/>
      <c r="BA770" s="157"/>
      <c r="BB770" s="157"/>
      <c r="BC770" s="157"/>
      <c r="BD770" s="157"/>
      <c r="BE770" s="157"/>
      <c r="BF770" s="157"/>
      <c r="BG770" s="157"/>
      <c r="BH770" s="157"/>
      <c r="BI770" s="157"/>
      <c r="BJ770" s="157"/>
    </row>
    <row r="771" spans="1:62" ht="15.75" customHeight="1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  <c r="AA771" s="157"/>
      <c r="AB771" s="157"/>
      <c r="AC771" s="157"/>
      <c r="AD771" s="157"/>
      <c r="AE771" s="157"/>
      <c r="AF771" s="157"/>
      <c r="AG771" s="157"/>
      <c r="AH771" s="157"/>
      <c r="AI771" s="157"/>
      <c r="AJ771" s="157"/>
      <c r="AK771" s="157"/>
      <c r="AL771" s="157"/>
      <c r="AM771" s="157"/>
      <c r="AN771" s="157"/>
      <c r="AO771" s="157"/>
      <c r="AP771" s="157"/>
      <c r="AQ771" s="157"/>
      <c r="AR771" s="157"/>
      <c r="AS771" s="157"/>
      <c r="AT771" s="157"/>
      <c r="AU771" s="157"/>
      <c r="AV771" s="157"/>
      <c r="AW771" s="157"/>
      <c r="AX771" s="157"/>
      <c r="AY771" s="157"/>
      <c r="AZ771" s="157"/>
      <c r="BA771" s="157"/>
      <c r="BB771" s="157"/>
      <c r="BC771" s="157"/>
      <c r="BD771" s="157"/>
      <c r="BE771" s="157"/>
      <c r="BF771" s="157"/>
      <c r="BG771" s="157"/>
      <c r="BH771" s="157"/>
      <c r="BI771" s="157"/>
      <c r="BJ771" s="157"/>
    </row>
    <row r="772" spans="1:62" ht="15.75" customHeight="1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  <c r="AA772" s="157"/>
      <c r="AB772" s="157"/>
      <c r="AC772" s="157"/>
      <c r="AD772" s="157"/>
      <c r="AE772" s="157"/>
      <c r="AF772" s="157"/>
      <c r="AG772" s="157"/>
      <c r="AH772" s="157"/>
      <c r="AI772" s="157"/>
      <c r="AJ772" s="157"/>
      <c r="AK772" s="157"/>
      <c r="AL772" s="157"/>
      <c r="AM772" s="157"/>
      <c r="AN772" s="157"/>
      <c r="AO772" s="157"/>
      <c r="AP772" s="157"/>
      <c r="AQ772" s="157"/>
      <c r="AR772" s="157"/>
      <c r="AS772" s="157"/>
      <c r="AT772" s="157"/>
      <c r="AU772" s="157"/>
      <c r="AV772" s="157"/>
      <c r="AW772" s="157"/>
      <c r="AX772" s="157"/>
      <c r="AY772" s="157"/>
      <c r="AZ772" s="157"/>
      <c r="BA772" s="157"/>
      <c r="BB772" s="157"/>
      <c r="BC772" s="157"/>
      <c r="BD772" s="157"/>
      <c r="BE772" s="157"/>
      <c r="BF772" s="157"/>
      <c r="BG772" s="157"/>
      <c r="BH772" s="157"/>
      <c r="BI772" s="157"/>
      <c r="BJ772" s="157"/>
    </row>
    <row r="773" spans="1:62" ht="15.75" customHeight="1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  <c r="AA773" s="157"/>
      <c r="AB773" s="157"/>
      <c r="AC773" s="157"/>
      <c r="AD773" s="157"/>
      <c r="AE773" s="157"/>
      <c r="AF773" s="157"/>
      <c r="AG773" s="157"/>
      <c r="AH773" s="157"/>
      <c r="AI773" s="157"/>
      <c r="AJ773" s="157"/>
      <c r="AK773" s="157"/>
      <c r="AL773" s="157"/>
      <c r="AM773" s="157"/>
      <c r="AN773" s="157"/>
      <c r="AO773" s="157"/>
      <c r="AP773" s="157"/>
      <c r="AQ773" s="157"/>
      <c r="AR773" s="157"/>
      <c r="AS773" s="157"/>
      <c r="AT773" s="157"/>
      <c r="AU773" s="157"/>
      <c r="AV773" s="157"/>
      <c r="AW773" s="157"/>
      <c r="AX773" s="157"/>
      <c r="AY773" s="157"/>
      <c r="AZ773" s="157"/>
      <c r="BA773" s="157"/>
      <c r="BB773" s="157"/>
      <c r="BC773" s="157"/>
      <c r="BD773" s="157"/>
      <c r="BE773" s="157"/>
      <c r="BF773" s="157"/>
      <c r="BG773" s="157"/>
      <c r="BH773" s="157"/>
      <c r="BI773" s="157"/>
      <c r="BJ773" s="157"/>
    </row>
    <row r="774" spans="1:62" ht="15.75" customHeight="1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  <c r="AA774" s="157"/>
      <c r="AB774" s="157"/>
      <c r="AC774" s="157"/>
      <c r="AD774" s="157"/>
      <c r="AE774" s="157"/>
      <c r="AF774" s="157"/>
      <c r="AG774" s="157"/>
      <c r="AH774" s="157"/>
      <c r="AI774" s="157"/>
      <c r="AJ774" s="157"/>
      <c r="AK774" s="157"/>
      <c r="AL774" s="157"/>
      <c r="AM774" s="157"/>
      <c r="AN774" s="157"/>
      <c r="AO774" s="157"/>
      <c r="AP774" s="157"/>
      <c r="AQ774" s="157"/>
      <c r="AR774" s="157"/>
      <c r="AS774" s="157"/>
      <c r="AT774" s="157"/>
      <c r="AU774" s="157"/>
      <c r="AV774" s="157"/>
      <c r="AW774" s="157"/>
      <c r="AX774" s="157"/>
      <c r="AY774" s="157"/>
      <c r="AZ774" s="157"/>
      <c r="BA774" s="157"/>
      <c r="BB774" s="157"/>
      <c r="BC774" s="157"/>
      <c r="BD774" s="157"/>
      <c r="BE774" s="157"/>
      <c r="BF774" s="157"/>
      <c r="BG774" s="157"/>
      <c r="BH774" s="157"/>
      <c r="BI774" s="157"/>
      <c r="BJ774" s="157"/>
    </row>
    <row r="775" spans="1:62" ht="15.75" customHeight="1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  <c r="AA775" s="157"/>
      <c r="AB775" s="157"/>
      <c r="AC775" s="157"/>
      <c r="AD775" s="157"/>
      <c r="AE775" s="157"/>
      <c r="AF775" s="157"/>
      <c r="AG775" s="157"/>
      <c r="AH775" s="157"/>
      <c r="AI775" s="157"/>
      <c r="AJ775" s="157"/>
      <c r="AK775" s="157"/>
      <c r="AL775" s="157"/>
      <c r="AM775" s="157"/>
      <c r="AN775" s="157"/>
      <c r="AO775" s="157"/>
      <c r="AP775" s="157"/>
      <c r="AQ775" s="157"/>
      <c r="AR775" s="157"/>
      <c r="AS775" s="157"/>
      <c r="AT775" s="157"/>
      <c r="AU775" s="157"/>
      <c r="AV775" s="157"/>
      <c r="AW775" s="157"/>
      <c r="AX775" s="157"/>
      <c r="AY775" s="157"/>
      <c r="AZ775" s="157"/>
      <c r="BA775" s="157"/>
      <c r="BB775" s="157"/>
      <c r="BC775" s="157"/>
      <c r="BD775" s="157"/>
      <c r="BE775" s="157"/>
      <c r="BF775" s="157"/>
      <c r="BG775" s="157"/>
      <c r="BH775" s="157"/>
      <c r="BI775" s="157"/>
      <c r="BJ775" s="157"/>
    </row>
    <row r="776" spans="1:62" ht="15.75" customHeight="1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  <c r="AA776" s="157"/>
      <c r="AB776" s="157"/>
      <c r="AC776" s="157"/>
      <c r="AD776" s="157"/>
      <c r="AE776" s="157"/>
      <c r="AF776" s="157"/>
      <c r="AG776" s="157"/>
      <c r="AH776" s="157"/>
      <c r="AI776" s="157"/>
      <c r="AJ776" s="157"/>
      <c r="AK776" s="157"/>
      <c r="AL776" s="157"/>
      <c r="AM776" s="157"/>
      <c r="AN776" s="157"/>
      <c r="AO776" s="157"/>
      <c r="AP776" s="157"/>
      <c r="AQ776" s="157"/>
      <c r="AR776" s="157"/>
      <c r="AS776" s="157"/>
      <c r="AT776" s="157"/>
      <c r="AU776" s="157"/>
      <c r="AV776" s="157"/>
      <c r="AW776" s="157"/>
      <c r="AX776" s="157"/>
      <c r="AY776" s="157"/>
      <c r="AZ776" s="157"/>
      <c r="BA776" s="157"/>
      <c r="BB776" s="157"/>
      <c r="BC776" s="157"/>
      <c r="BD776" s="157"/>
      <c r="BE776" s="157"/>
      <c r="BF776" s="157"/>
      <c r="BG776" s="157"/>
      <c r="BH776" s="157"/>
      <c r="BI776" s="157"/>
      <c r="BJ776" s="157"/>
    </row>
    <row r="777" spans="1:62" ht="15.75" customHeight="1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  <c r="AA777" s="157"/>
      <c r="AB777" s="157"/>
      <c r="AC777" s="157"/>
      <c r="AD777" s="157"/>
      <c r="AE777" s="157"/>
      <c r="AF777" s="157"/>
      <c r="AG777" s="157"/>
      <c r="AH777" s="157"/>
      <c r="AI777" s="157"/>
      <c r="AJ777" s="157"/>
      <c r="AK777" s="157"/>
      <c r="AL777" s="157"/>
      <c r="AM777" s="157"/>
      <c r="AN777" s="157"/>
      <c r="AO777" s="157"/>
      <c r="AP777" s="157"/>
      <c r="AQ777" s="157"/>
      <c r="AR777" s="157"/>
      <c r="AS777" s="157"/>
      <c r="AT777" s="157"/>
      <c r="AU777" s="157"/>
      <c r="AV777" s="157"/>
      <c r="AW777" s="157"/>
      <c r="AX777" s="157"/>
      <c r="AY777" s="157"/>
      <c r="AZ777" s="157"/>
      <c r="BA777" s="157"/>
      <c r="BB777" s="157"/>
      <c r="BC777" s="157"/>
      <c r="BD777" s="157"/>
      <c r="BE777" s="157"/>
      <c r="BF777" s="157"/>
      <c r="BG777" s="157"/>
      <c r="BH777" s="157"/>
      <c r="BI777" s="157"/>
      <c r="BJ777" s="157"/>
    </row>
    <row r="778" spans="1:62" ht="15.75" customHeight="1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  <c r="AA778" s="157"/>
      <c r="AB778" s="157"/>
      <c r="AC778" s="157"/>
      <c r="AD778" s="157"/>
      <c r="AE778" s="157"/>
      <c r="AF778" s="157"/>
      <c r="AG778" s="157"/>
      <c r="AH778" s="157"/>
      <c r="AI778" s="157"/>
      <c r="AJ778" s="157"/>
      <c r="AK778" s="157"/>
      <c r="AL778" s="157"/>
      <c r="AM778" s="157"/>
      <c r="AN778" s="157"/>
      <c r="AO778" s="157"/>
      <c r="AP778" s="157"/>
      <c r="AQ778" s="157"/>
      <c r="AR778" s="157"/>
      <c r="AS778" s="157"/>
      <c r="AT778" s="157"/>
      <c r="AU778" s="157"/>
      <c r="AV778" s="157"/>
      <c r="AW778" s="157"/>
      <c r="AX778" s="157"/>
      <c r="AY778" s="157"/>
      <c r="AZ778" s="157"/>
      <c r="BA778" s="157"/>
      <c r="BB778" s="157"/>
      <c r="BC778" s="157"/>
      <c r="BD778" s="157"/>
      <c r="BE778" s="157"/>
      <c r="BF778" s="157"/>
      <c r="BG778" s="157"/>
      <c r="BH778" s="157"/>
      <c r="BI778" s="157"/>
      <c r="BJ778" s="157"/>
    </row>
    <row r="779" spans="1:62" ht="15.75" customHeight="1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  <c r="AA779" s="157"/>
      <c r="AB779" s="157"/>
      <c r="AC779" s="157"/>
      <c r="AD779" s="157"/>
      <c r="AE779" s="157"/>
      <c r="AF779" s="157"/>
      <c r="AG779" s="157"/>
      <c r="AH779" s="157"/>
      <c r="AI779" s="157"/>
      <c r="AJ779" s="157"/>
      <c r="AK779" s="157"/>
      <c r="AL779" s="157"/>
      <c r="AM779" s="157"/>
      <c r="AN779" s="157"/>
      <c r="AO779" s="157"/>
      <c r="AP779" s="157"/>
      <c r="AQ779" s="157"/>
      <c r="AR779" s="157"/>
      <c r="AS779" s="157"/>
      <c r="AT779" s="157"/>
      <c r="AU779" s="157"/>
      <c r="AV779" s="157"/>
      <c r="AW779" s="157"/>
      <c r="AX779" s="157"/>
      <c r="AY779" s="157"/>
      <c r="AZ779" s="157"/>
      <c r="BA779" s="157"/>
      <c r="BB779" s="157"/>
      <c r="BC779" s="157"/>
      <c r="BD779" s="157"/>
      <c r="BE779" s="157"/>
      <c r="BF779" s="157"/>
      <c r="BG779" s="157"/>
      <c r="BH779" s="157"/>
      <c r="BI779" s="157"/>
      <c r="BJ779" s="157"/>
    </row>
    <row r="780" spans="1:62" ht="15.75" customHeight="1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  <c r="AA780" s="157"/>
      <c r="AB780" s="157"/>
      <c r="AC780" s="157"/>
      <c r="AD780" s="157"/>
      <c r="AE780" s="157"/>
      <c r="AF780" s="157"/>
      <c r="AG780" s="157"/>
      <c r="AH780" s="157"/>
      <c r="AI780" s="157"/>
      <c r="AJ780" s="157"/>
      <c r="AK780" s="157"/>
      <c r="AL780" s="157"/>
      <c r="AM780" s="157"/>
      <c r="AN780" s="157"/>
      <c r="AO780" s="157"/>
      <c r="AP780" s="157"/>
      <c r="AQ780" s="157"/>
      <c r="AR780" s="157"/>
      <c r="AS780" s="157"/>
      <c r="AT780" s="157"/>
      <c r="AU780" s="157"/>
      <c r="AV780" s="157"/>
      <c r="AW780" s="157"/>
      <c r="AX780" s="157"/>
      <c r="AY780" s="157"/>
      <c r="AZ780" s="157"/>
      <c r="BA780" s="157"/>
      <c r="BB780" s="157"/>
      <c r="BC780" s="157"/>
      <c r="BD780" s="157"/>
      <c r="BE780" s="157"/>
      <c r="BF780" s="157"/>
      <c r="BG780" s="157"/>
      <c r="BH780" s="157"/>
      <c r="BI780" s="157"/>
      <c r="BJ780" s="157"/>
    </row>
    <row r="781" spans="1:62" ht="15.75" customHeight="1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  <c r="AA781" s="157"/>
      <c r="AB781" s="157"/>
      <c r="AC781" s="157"/>
      <c r="AD781" s="157"/>
      <c r="AE781" s="157"/>
      <c r="AF781" s="157"/>
      <c r="AG781" s="157"/>
      <c r="AH781" s="157"/>
      <c r="AI781" s="157"/>
      <c r="AJ781" s="157"/>
      <c r="AK781" s="157"/>
      <c r="AL781" s="157"/>
      <c r="AM781" s="157"/>
      <c r="AN781" s="157"/>
      <c r="AO781" s="157"/>
      <c r="AP781" s="157"/>
      <c r="AQ781" s="157"/>
      <c r="AR781" s="157"/>
      <c r="AS781" s="157"/>
      <c r="AT781" s="157"/>
      <c r="AU781" s="157"/>
      <c r="AV781" s="157"/>
      <c r="AW781" s="157"/>
      <c r="AX781" s="157"/>
      <c r="AY781" s="157"/>
      <c r="AZ781" s="157"/>
      <c r="BA781" s="157"/>
      <c r="BB781" s="157"/>
      <c r="BC781" s="157"/>
      <c r="BD781" s="157"/>
      <c r="BE781" s="157"/>
      <c r="BF781" s="157"/>
      <c r="BG781" s="157"/>
      <c r="BH781" s="157"/>
      <c r="BI781" s="157"/>
      <c r="BJ781" s="157"/>
    </row>
    <row r="782" spans="1:62" ht="15.75" customHeight="1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157"/>
      <c r="AH782" s="157"/>
      <c r="AI782" s="157"/>
      <c r="AJ782" s="157"/>
      <c r="AK782" s="157"/>
      <c r="AL782" s="157"/>
      <c r="AM782" s="157"/>
      <c r="AN782" s="157"/>
      <c r="AO782" s="157"/>
      <c r="AP782" s="157"/>
      <c r="AQ782" s="157"/>
      <c r="AR782" s="157"/>
      <c r="AS782" s="157"/>
      <c r="AT782" s="157"/>
      <c r="AU782" s="157"/>
      <c r="AV782" s="157"/>
      <c r="AW782" s="157"/>
      <c r="AX782" s="157"/>
      <c r="AY782" s="157"/>
      <c r="AZ782" s="157"/>
      <c r="BA782" s="157"/>
      <c r="BB782" s="157"/>
      <c r="BC782" s="157"/>
      <c r="BD782" s="157"/>
      <c r="BE782" s="157"/>
      <c r="BF782" s="157"/>
      <c r="BG782" s="157"/>
      <c r="BH782" s="157"/>
      <c r="BI782" s="157"/>
      <c r="BJ782" s="157"/>
    </row>
    <row r="783" spans="1:62" ht="15.75" customHeight="1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  <c r="AA783" s="157"/>
      <c r="AB783" s="157"/>
      <c r="AC783" s="157"/>
      <c r="AD783" s="157"/>
      <c r="AE783" s="157"/>
      <c r="AF783" s="157"/>
      <c r="AG783" s="157"/>
      <c r="AH783" s="157"/>
      <c r="AI783" s="157"/>
      <c r="AJ783" s="157"/>
      <c r="AK783" s="157"/>
      <c r="AL783" s="157"/>
      <c r="AM783" s="157"/>
      <c r="AN783" s="157"/>
      <c r="AO783" s="157"/>
      <c r="AP783" s="157"/>
      <c r="AQ783" s="157"/>
      <c r="AR783" s="157"/>
      <c r="AS783" s="157"/>
      <c r="AT783" s="157"/>
      <c r="AU783" s="157"/>
      <c r="AV783" s="157"/>
      <c r="AW783" s="157"/>
      <c r="AX783" s="157"/>
      <c r="AY783" s="157"/>
      <c r="AZ783" s="157"/>
      <c r="BA783" s="157"/>
      <c r="BB783" s="157"/>
      <c r="BC783" s="157"/>
      <c r="BD783" s="157"/>
      <c r="BE783" s="157"/>
      <c r="BF783" s="157"/>
      <c r="BG783" s="157"/>
      <c r="BH783" s="157"/>
      <c r="BI783" s="157"/>
      <c r="BJ783" s="157"/>
    </row>
    <row r="784" spans="1:62" ht="15.75" customHeight="1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  <c r="AA784" s="157"/>
      <c r="AB784" s="157"/>
      <c r="AC784" s="157"/>
      <c r="AD784" s="157"/>
      <c r="AE784" s="157"/>
      <c r="AF784" s="157"/>
      <c r="AG784" s="157"/>
      <c r="AH784" s="157"/>
      <c r="AI784" s="157"/>
      <c r="AJ784" s="157"/>
      <c r="AK784" s="157"/>
      <c r="AL784" s="157"/>
      <c r="AM784" s="157"/>
      <c r="AN784" s="157"/>
      <c r="AO784" s="157"/>
      <c r="AP784" s="157"/>
      <c r="AQ784" s="157"/>
      <c r="AR784" s="157"/>
      <c r="AS784" s="157"/>
      <c r="AT784" s="157"/>
      <c r="AU784" s="157"/>
      <c r="AV784" s="157"/>
      <c r="AW784" s="157"/>
      <c r="AX784" s="157"/>
      <c r="AY784" s="157"/>
      <c r="AZ784" s="157"/>
      <c r="BA784" s="157"/>
      <c r="BB784" s="157"/>
      <c r="BC784" s="157"/>
      <c r="BD784" s="157"/>
      <c r="BE784" s="157"/>
      <c r="BF784" s="157"/>
      <c r="BG784" s="157"/>
      <c r="BH784" s="157"/>
      <c r="BI784" s="157"/>
      <c r="BJ784" s="157"/>
    </row>
    <row r="785" spans="1:62" ht="15.75" customHeight="1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  <c r="AA785" s="157"/>
      <c r="AB785" s="157"/>
      <c r="AC785" s="157"/>
      <c r="AD785" s="157"/>
      <c r="AE785" s="157"/>
      <c r="AF785" s="157"/>
      <c r="AG785" s="157"/>
      <c r="AH785" s="157"/>
      <c r="AI785" s="157"/>
      <c r="AJ785" s="157"/>
      <c r="AK785" s="157"/>
      <c r="AL785" s="157"/>
      <c r="AM785" s="157"/>
      <c r="AN785" s="157"/>
      <c r="AO785" s="157"/>
      <c r="AP785" s="157"/>
      <c r="AQ785" s="157"/>
      <c r="AR785" s="157"/>
      <c r="AS785" s="157"/>
      <c r="AT785" s="157"/>
      <c r="AU785" s="157"/>
      <c r="AV785" s="157"/>
      <c r="AW785" s="157"/>
      <c r="AX785" s="157"/>
      <c r="AY785" s="157"/>
      <c r="AZ785" s="157"/>
      <c r="BA785" s="157"/>
      <c r="BB785" s="157"/>
      <c r="BC785" s="157"/>
      <c r="BD785" s="157"/>
      <c r="BE785" s="157"/>
      <c r="BF785" s="157"/>
      <c r="BG785" s="157"/>
      <c r="BH785" s="157"/>
      <c r="BI785" s="157"/>
      <c r="BJ785" s="157"/>
    </row>
    <row r="786" spans="1:62" ht="15.75" customHeight="1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  <c r="AA786" s="157"/>
      <c r="AB786" s="157"/>
      <c r="AC786" s="157"/>
      <c r="AD786" s="157"/>
      <c r="AE786" s="157"/>
      <c r="AF786" s="157"/>
      <c r="AG786" s="157"/>
      <c r="AH786" s="157"/>
      <c r="AI786" s="157"/>
      <c r="AJ786" s="157"/>
      <c r="AK786" s="157"/>
      <c r="AL786" s="157"/>
      <c r="AM786" s="157"/>
      <c r="AN786" s="157"/>
      <c r="AO786" s="157"/>
      <c r="AP786" s="157"/>
      <c r="AQ786" s="157"/>
      <c r="AR786" s="157"/>
      <c r="AS786" s="157"/>
      <c r="AT786" s="157"/>
      <c r="AU786" s="157"/>
      <c r="AV786" s="157"/>
      <c r="AW786" s="157"/>
      <c r="AX786" s="157"/>
      <c r="AY786" s="157"/>
      <c r="AZ786" s="157"/>
      <c r="BA786" s="157"/>
      <c r="BB786" s="157"/>
      <c r="BC786" s="157"/>
      <c r="BD786" s="157"/>
      <c r="BE786" s="157"/>
      <c r="BF786" s="157"/>
      <c r="BG786" s="157"/>
      <c r="BH786" s="157"/>
      <c r="BI786" s="157"/>
      <c r="BJ786" s="157"/>
    </row>
    <row r="787" spans="1:62" ht="15.75" customHeight="1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  <c r="AA787" s="157"/>
      <c r="AB787" s="157"/>
      <c r="AC787" s="157"/>
      <c r="AD787" s="157"/>
      <c r="AE787" s="157"/>
      <c r="AF787" s="157"/>
      <c r="AG787" s="157"/>
      <c r="AH787" s="157"/>
      <c r="AI787" s="157"/>
      <c r="AJ787" s="157"/>
      <c r="AK787" s="157"/>
      <c r="AL787" s="157"/>
      <c r="AM787" s="157"/>
      <c r="AN787" s="157"/>
      <c r="AO787" s="157"/>
      <c r="AP787" s="157"/>
      <c r="AQ787" s="157"/>
      <c r="AR787" s="157"/>
      <c r="AS787" s="157"/>
      <c r="AT787" s="157"/>
      <c r="AU787" s="157"/>
      <c r="AV787" s="157"/>
      <c r="AW787" s="157"/>
      <c r="AX787" s="157"/>
      <c r="AY787" s="157"/>
      <c r="AZ787" s="157"/>
      <c r="BA787" s="157"/>
      <c r="BB787" s="157"/>
      <c r="BC787" s="157"/>
      <c r="BD787" s="157"/>
      <c r="BE787" s="157"/>
      <c r="BF787" s="157"/>
      <c r="BG787" s="157"/>
      <c r="BH787" s="157"/>
      <c r="BI787" s="157"/>
      <c r="BJ787" s="157"/>
    </row>
    <row r="788" spans="1:62" ht="15.75" customHeight="1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157"/>
      <c r="AH788" s="157"/>
      <c r="AI788" s="157"/>
      <c r="AJ788" s="157"/>
      <c r="AK788" s="157"/>
      <c r="AL788" s="157"/>
      <c r="AM788" s="157"/>
      <c r="AN788" s="157"/>
      <c r="AO788" s="157"/>
      <c r="AP788" s="157"/>
      <c r="AQ788" s="157"/>
      <c r="AR788" s="157"/>
      <c r="AS788" s="157"/>
      <c r="AT788" s="157"/>
      <c r="AU788" s="157"/>
      <c r="AV788" s="157"/>
      <c r="AW788" s="157"/>
      <c r="AX788" s="157"/>
      <c r="AY788" s="157"/>
      <c r="AZ788" s="157"/>
      <c r="BA788" s="157"/>
      <c r="BB788" s="157"/>
      <c r="BC788" s="157"/>
      <c r="BD788" s="157"/>
      <c r="BE788" s="157"/>
      <c r="BF788" s="157"/>
      <c r="BG788" s="157"/>
      <c r="BH788" s="157"/>
      <c r="BI788" s="157"/>
      <c r="BJ788" s="157"/>
    </row>
    <row r="789" spans="1:62" ht="15.75" customHeight="1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  <c r="AA789" s="157"/>
      <c r="AB789" s="157"/>
      <c r="AC789" s="157"/>
      <c r="AD789" s="157"/>
      <c r="AE789" s="157"/>
      <c r="AF789" s="157"/>
      <c r="AG789" s="157"/>
      <c r="AH789" s="157"/>
      <c r="AI789" s="157"/>
      <c r="AJ789" s="157"/>
      <c r="AK789" s="157"/>
      <c r="AL789" s="157"/>
      <c r="AM789" s="157"/>
      <c r="AN789" s="157"/>
      <c r="AO789" s="157"/>
      <c r="AP789" s="157"/>
      <c r="AQ789" s="157"/>
      <c r="AR789" s="157"/>
      <c r="AS789" s="157"/>
      <c r="AT789" s="157"/>
      <c r="AU789" s="157"/>
      <c r="AV789" s="157"/>
      <c r="AW789" s="157"/>
      <c r="AX789" s="157"/>
      <c r="AY789" s="157"/>
      <c r="AZ789" s="157"/>
      <c r="BA789" s="157"/>
      <c r="BB789" s="157"/>
      <c r="BC789" s="157"/>
      <c r="BD789" s="157"/>
      <c r="BE789" s="157"/>
      <c r="BF789" s="157"/>
      <c r="BG789" s="157"/>
      <c r="BH789" s="157"/>
      <c r="BI789" s="157"/>
      <c r="BJ789" s="157"/>
    </row>
    <row r="790" spans="1:62" ht="15.75" customHeight="1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  <c r="AA790" s="157"/>
      <c r="AB790" s="157"/>
      <c r="AC790" s="157"/>
      <c r="AD790" s="157"/>
      <c r="AE790" s="157"/>
      <c r="AF790" s="157"/>
      <c r="AG790" s="157"/>
      <c r="AH790" s="157"/>
      <c r="AI790" s="157"/>
      <c r="AJ790" s="157"/>
      <c r="AK790" s="157"/>
      <c r="AL790" s="157"/>
      <c r="AM790" s="157"/>
      <c r="AN790" s="157"/>
      <c r="AO790" s="157"/>
      <c r="AP790" s="157"/>
      <c r="AQ790" s="157"/>
      <c r="AR790" s="157"/>
      <c r="AS790" s="157"/>
      <c r="AT790" s="157"/>
      <c r="AU790" s="157"/>
      <c r="AV790" s="157"/>
      <c r="AW790" s="157"/>
      <c r="AX790" s="157"/>
      <c r="AY790" s="157"/>
      <c r="AZ790" s="157"/>
      <c r="BA790" s="157"/>
      <c r="BB790" s="157"/>
      <c r="BC790" s="157"/>
      <c r="BD790" s="157"/>
      <c r="BE790" s="157"/>
      <c r="BF790" s="157"/>
      <c r="BG790" s="157"/>
      <c r="BH790" s="157"/>
      <c r="BI790" s="157"/>
      <c r="BJ790" s="157"/>
    </row>
    <row r="791" spans="1:62" ht="15.75" customHeight="1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  <c r="AA791" s="157"/>
      <c r="AB791" s="157"/>
      <c r="AC791" s="157"/>
      <c r="AD791" s="157"/>
      <c r="AE791" s="157"/>
      <c r="AF791" s="157"/>
      <c r="AG791" s="157"/>
      <c r="AH791" s="157"/>
      <c r="AI791" s="157"/>
      <c r="AJ791" s="157"/>
      <c r="AK791" s="157"/>
      <c r="AL791" s="157"/>
      <c r="AM791" s="157"/>
      <c r="AN791" s="157"/>
      <c r="AO791" s="157"/>
      <c r="AP791" s="157"/>
      <c r="AQ791" s="157"/>
      <c r="AR791" s="157"/>
      <c r="AS791" s="157"/>
      <c r="AT791" s="157"/>
      <c r="AU791" s="157"/>
      <c r="AV791" s="157"/>
      <c r="AW791" s="157"/>
      <c r="AX791" s="157"/>
      <c r="AY791" s="157"/>
      <c r="AZ791" s="157"/>
      <c r="BA791" s="157"/>
      <c r="BB791" s="157"/>
      <c r="BC791" s="157"/>
      <c r="BD791" s="157"/>
      <c r="BE791" s="157"/>
      <c r="BF791" s="157"/>
      <c r="BG791" s="157"/>
      <c r="BH791" s="157"/>
      <c r="BI791" s="157"/>
      <c r="BJ791" s="157"/>
    </row>
    <row r="792" spans="1:62" ht="15.75" customHeight="1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  <c r="AA792" s="157"/>
      <c r="AB792" s="157"/>
      <c r="AC792" s="157"/>
      <c r="AD792" s="157"/>
      <c r="AE792" s="157"/>
      <c r="AF792" s="157"/>
      <c r="AG792" s="157"/>
      <c r="AH792" s="157"/>
      <c r="AI792" s="157"/>
      <c r="AJ792" s="157"/>
      <c r="AK792" s="157"/>
      <c r="AL792" s="157"/>
      <c r="AM792" s="157"/>
      <c r="AN792" s="157"/>
      <c r="AO792" s="157"/>
      <c r="AP792" s="157"/>
      <c r="AQ792" s="157"/>
      <c r="AR792" s="157"/>
      <c r="AS792" s="157"/>
      <c r="AT792" s="157"/>
      <c r="AU792" s="157"/>
      <c r="AV792" s="157"/>
      <c r="AW792" s="157"/>
      <c r="AX792" s="157"/>
      <c r="AY792" s="157"/>
      <c r="AZ792" s="157"/>
      <c r="BA792" s="157"/>
      <c r="BB792" s="157"/>
      <c r="BC792" s="157"/>
      <c r="BD792" s="157"/>
      <c r="BE792" s="157"/>
      <c r="BF792" s="157"/>
      <c r="BG792" s="157"/>
      <c r="BH792" s="157"/>
      <c r="BI792" s="157"/>
      <c r="BJ792" s="157"/>
    </row>
    <row r="793" spans="1:62" ht="15.75" customHeight="1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  <c r="AA793" s="157"/>
      <c r="AB793" s="157"/>
      <c r="AC793" s="157"/>
      <c r="AD793" s="157"/>
      <c r="AE793" s="157"/>
      <c r="AF793" s="157"/>
      <c r="AG793" s="157"/>
      <c r="AH793" s="157"/>
      <c r="AI793" s="157"/>
      <c r="AJ793" s="157"/>
      <c r="AK793" s="157"/>
      <c r="AL793" s="157"/>
      <c r="AM793" s="157"/>
      <c r="AN793" s="157"/>
      <c r="AO793" s="157"/>
      <c r="AP793" s="157"/>
      <c r="AQ793" s="157"/>
      <c r="AR793" s="157"/>
      <c r="AS793" s="157"/>
      <c r="AT793" s="157"/>
      <c r="AU793" s="157"/>
      <c r="AV793" s="157"/>
      <c r="AW793" s="157"/>
      <c r="AX793" s="157"/>
      <c r="AY793" s="157"/>
      <c r="AZ793" s="157"/>
      <c r="BA793" s="157"/>
      <c r="BB793" s="157"/>
      <c r="BC793" s="157"/>
      <c r="BD793" s="157"/>
      <c r="BE793" s="157"/>
      <c r="BF793" s="157"/>
      <c r="BG793" s="157"/>
      <c r="BH793" s="157"/>
      <c r="BI793" s="157"/>
      <c r="BJ793" s="157"/>
    </row>
    <row r="794" spans="1:62" ht="15.75" customHeight="1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  <c r="AG794" s="157"/>
      <c r="AH794" s="157"/>
      <c r="AI794" s="157"/>
      <c r="AJ794" s="157"/>
      <c r="AK794" s="157"/>
      <c r="AL794" s="157"/>
      <c r="AM794" s="157"/>
      <c r="AN794" s="157"/>
      <c r="AO794" s="157"/>
      <c r="AP794" s="157"/>
      <c r="AQ794" s="157"/>
      <c r="AR794" s="157"/>
      <c r="AS794" s="157"/>
      <c r="AT794" s="157"/>
      <c r="AU794" s="157"/>
      <c r="AV794" s="157"/>
      <c r="AW794" s="157"/>
      <c r="AX794" s="157"/>
      <c r="AY794" s="157"/>
      <c r="AZ794" s="157"/>
      <c r="BA794" s="157"/>
      <c r="BB794" s="157"/>
      <c r="BC794" s="157"/>
      <c r="BD794" s="157"/>
      <c r="BE794" s="157"/>
      <c r="BF794" s="157"/>
      <c r="BG794" s="157"/>
      <c r="BH794" s="157"/>
      <c r="BI794" s="157"/>
      <c r="BJ794" s="157"/>
    </row>
    <row r="795" spans="1:62" ht="15.75" customHeight="1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  <c r="AA795" s="157"/>
      <c r="AB795" s="157"/>
      <c r="AC795" s="157"/>
      <c r="AD795" s="157"/>
      <c r="AE795" s="157"/>
      <c r="AF795" s="157"/>
      <c r="AG795" s="157"/>
      <c r="AH795" s="157"/>
      <c r="AI795" s="157"/>
      <c r="AJ795" s="157"/>
      <c r="AK795" s="157"/>
      <c r="AL795" s="157"/>
      <c r="AM795" s="157"/>
      <c r="AN795" s="157"/>
      <c r="AO795" s="157"/>
      <c r="AP795" s="157"/>
      <c r="AQ795" s="157"/>
      <c r="AR795" s="157"/>
      <c r="AS795" s="157"/>
      <c r="AT795" s="157"/>
      <c r="AU795" s="157"/>
      <c r="AV795" s="157"/>
      <c r="AW795" s="157"/>
      <c r="AX795" s="157"/>
      <c r="AY795" s="157"/>
      <c r="AZ795" s="157"/>
      <c r="BA795" s="157"/>
      <c r="BB795" s="157"/>
      <c r="BC795" s="157"/>
      <c r="BD795" s="157"/>
      <c r="BE795" s="157"/>
      <c r="BF795" s="157"/>
      <c r="BG795" s="157"/>
      <c r="BH795" s="157"/>
      <c r="BI795" s="157"/>
      <c r="BJ795" s="157"/>
    </row>
    <row r="796" spans="1:62" ht="15.75" customHeight="1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  <c r="AA796" s="157"/>
      <c r="AB796" s="157"/>
      <c r="AC796" s="157"/>
      <c r="AD796" s="157"/>
      <c r="AE796" s="157"/>
      <c r="AF796" s="157"/>
      <c r="AG796" s="157"/>
      <c r="AH796" s="157"/>
      <c r="AI796" s="157"/>
      <c r="AJ796" s="157"/>
      <c r="AK796" s="157"/>
      <c r="AL796" s="157"/>
      <c r="AM796" s="157"/>
      <c r="AN796" s="157"/>
      <c r="AO796" s="157"/>
      <c r="AP796" s="157"/>
      <c r="AQ796" s="157"/>
      <c r="AR796" s="157"/>
      <c r="AS796" s="157"/>
      <c r="AT796" s="157"/>
      <c r="AU796" s="157"/>
      <c r="AV796" s="157"/>
      <c r="AW796" s="157"/>
      <c r="AX796" s="157"/>
      <c r="AY796" s="157"/>
      <c r="AZ796" s="157"/>
      <c r="BA796" s="157"/>
      <c r="BB796" s="157"/>
      <c r="BC796" s="157"/>
      <c r="BD796" s="157"/>
      <c r="BE796" s="157"/>
      <c r="BF796" s="157"/>
      <c r="BG796" s="157"/>
      <c r="BH796" s="157"/>
      <c r="BI796" s="157"/>
      <c r="BJ796" s="157"/>
    </row>
    <row r="797" spans="1:62" ht="15.75" customHeight="1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  <c r="AG797" s="157"/>
      <c r="AH797" s="157"/>
      <c r="AI797" s="157"/>
      <c r="AJ797" s="157"/>
      <c r="AK797" s="157"/>
      <c r="AL797" s="157"/>
      <c r="AM797" s="157"/>
      <c r="AN797" s="157"/>
      <c r="AO797" s="157"/>
      <c r="AP797" s="157"/>
      <c r="AQ797" s="157"/>
      <c r="AR797" s="157"/>
      <c r="AS797" s="157"/>
      <c r="AT797" s="157"/>
      <c r="AU797" s="157"/>
      <c r="AV797" s="157"/>
      <c r="AW797" s="157"/>
      <c r="AX797" s="157"/>
      <c r="AY797" s="157"/>
      <c r="AZ797" s="157"/>
      <c r="BA797" s="157"/>
      <c r="BB797" s="157"/>
      <c r="BC797" s="157"/>
      <c r="BD797" s="157"/>
      <c r="BE797" s="157"/>
      <c r="BF797" s="157"/>
      <c r="BG797" s="157"/>
      <c r="BH797" s="157"/>
      <c r="BI797" s="157"/>
      <c r="BJ797" s="157"/>
    </row>
    <row r="798" spans="1:62" ht="15.75" customHeight="1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  <c r="AA798" s="157"/>
      <c r="AB798" s="157"/>
      <c r="AC798" s="157"/>
      <c r="AD798" s="157"/>
      <c r="AE798" s="157"/>
      <c r="AF798" s="157"/>
      <c r="AG798" s="157"/>
      <c r="AH798" s="157"/>
      <c r="AI798" s="157"/>
      <c r="AJ798" s="157"/>
      <c r="AK798" s="157"/>
      <c r="AL798" s="157"/>
      <c r="AM798" s="157"/>
      <c r="AN798" s="157"/>
      <c r="AO798" s="157"/>
      <c r="AP798" s="157"/>
      <c r="AQ798" s="157"/>
      <c r="AR798" s="157"/>
      <c r="AS798" s="157"/>
      <c r="AT798" s="157"/>
      <c r="AU798" s="157"/>
      <c r="AV798" s="157"/>
      <c r="AW798" s="157"/>
      <c r="AX798" s="157"/>
      <c r="AY798" s="157"/>
      <c r="AZ798" s="157"/>
      <c r="BA798" s="157"/>
      <c r="BB798" s="157"/>
      <c r="BC798" s="157"/>
      <c r="BD798" s="157"/>
      <c r="BE798" s="157"/>
      <c r="BF798" s="157"/>
      <c r="BG798" s="157"/>
      <c r="BH798" s="157"/>
      <c r="BI798" s="157"/>
      <c r="BJ798" s="157"/>
    </row>
    <row r="799" spans="1:62" ht="15.75" customHeight="1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  <c r="AA799" s="157"/>
      <c r="AB799" s="157"/>
      <c r="AC799" s="157"/>
      <c r="AD799" s="157"/>
      <c r="AE799" s="157"/>
      <c r="AF799" s="157"/>
      <c r="AG799" s="157"/>
      <c r="AH799" s="157"/>
      <c r="AI799" s="157"/>
      <c r="AJ799" s="157"/>
      <c r="AK799" s="157"/>
      <c r="AL799" s="157"/>
      <c r="AM799" s="157"/>
      <c r="AN799" s="157"/>
      <c r="AO799" s="157"/>
      <c r="AP799" s="157"/>
      <c r="AQ799" s="157"/>
      <c r="AR799" s="157"/>
      <c r="AS799" s="157"/>
      <c r="AT799" s="157"/>
      <c r="AU799" s="157"/>
      <c r="AV799" s="157"/>
      <c r="AW799" s="157"/>
      <c r="AX799" s="157"/>
      <c r="AY799" s="157"/>
      <c r="AZ799" s="157"/>
      <c r="BA799" s="157"/>
      <c r="BB799" s="157"/>
      <c r="BC799" s="157"/>
      <c r="BD799" s="157"/>
      <c r="BE799" s="157"/>
      <c r="BF799" s="157"/>
      <c r="BG799" s="157"/>
      <c r="BH799" s="157"/>
      <c r="BI799" s="157"/>
      <c r="BJ799" s="157"/>
    </row>
    <row r="800" spans="1:62" ht="15.75" customHeight="1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  <c r="AA800" s="157"/>
      <c r="AB800" s="157"/>
      <c r="AC800" s="157"/>
      <c r="AD800" s="157"/>
      <c r="AE800" s="157"/>
      <c r="AF800" s="157"/>
      <c r="AG800" s="157"/>
      <c r="AH800" s="157"/>
      <c r="AI800" s="157"/>
      <c r="AJ800" s="157"/>
      <c r="AK800" s="157"/>
      <c r="AL800" s="157"/>
      <c r="AM800" s="157"/>
      <c r="AN800" s="157"/>
      <c r="AO800" s="157"/>
      <c r="AP800" s="157"/>
      <c r="AQ800" s="157"/>
      <c r="AR800" s="157"/>
      <c r="AS800" s="157"/>
      <c r="AT800" s="157"/>
      <c r="AU800" s="157"/>
      <c r="AV800" s="157"/>
      <c r="AW800" s="157"/>
      <c r="AX800" s="157"/>
      <c r="AY800" s="157"/>
      <c r="AZ800" s="157"/>
      <c r="BA800" s="157"/>
      <c r="BB800" s="157"/>
      <c r="BC800" s="157"/>
      <c r="BD800" s="157"/>
      <c r="BE800" s="157"/>
      <c r="BF800" s="157"/>
      <c r="BG800" s="157"/>
      <c r="BH800" s="157"/>
      <c r="BI800" s="157"/>
      <c r="BJ800" s="157"/>
    </row>
    <row r="801" spans="1:62" ht="15.75" customHeight="1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  <c r="AA801" s="157"/>
      <c r="AB801" s="157"/>
      <c r="AC801" s="157"/>
      <c r="AD801" s="157"/>
      <c r="AE801" s="157"/>
      <c r="AF801" s="157"/>
      <c r="AG801" s="157"/>
      <c r="AH801" s="157"/>
      <c r="AI801" s="157"/>
      <c r="AJ801" s="157"/>
      <c r="AK801" s="157"/>
      <c r="AL801" s="157"/>
      <c r="AM801" s="157"/>
      <c r="AN801" s="157"/>
      <c r="AO801" s="157"/>
      <c r="AP801" s="157"/>
      <c r="AQ801" s="157"/>
      <c r="AR801" s="157"/>
      <c r="AS801" s="157"/>
      <c r="AT801" s="157"/>
      <c r="AU801" s="157"/>
      <c r="AV801" s="157"/>
      <c r="AW801" s="157"/>
      <c r="AX801" s="157"/>
      <c r="AY801" s="157"/>
      <c r="AZ801" s="157"/>
      <c r="BA801" s="157"/>
      <c r="BB801" s="157"/>
      <c r="BC801" s="157"/>
      <c r="BD801" s="157"/>
      <c r="BE801" s="157"/>
      <c r="BF801" s="157"/>
      <c r="BG801" s="157"/>
      <c r="BH801" s="157"/>
      <c r="BI801" s="157"/>
      <c r="BJ801" s="157"/>
    </row>
    <row r="802" spans="1:62" ht="15.75" customHeight="1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  <c r="AA802" s="157"/>
      <c r="AB802" s="157"/>
      <c r="AC802" s="157"/>
      <c r="AD802" s="157"/>
      <c r="AE802" s="157"/>
      <c r="AF802" s="157"/>
      <c r="AG802" s="157"/>
      <c r="AH802" s="157"/>
      <c r="AI802" s="157"/>
      <c r="AJ802" s="157"/>
      <c r="AK802" s="157"/>
      <c r="AL802" s="157"/>
      <c r="AM802" s="157"/>
      <c r="AN802" s="157"/>
      <c r="AO802" s="157"/>
      <c r="AP802" s="157"/>
      <c r="AQ802" s="157"/>
      <c r="AR802" s="157"/>
      <c r="AS802" s="157"/>
      <c r="AT802" s="157"/>
      <c r="AU802" s="157"/>
      <c r="AV802" s="157"/>
      <c r="AW802" s="157"/>
      <c r="AX802" s="157"/>
      <c r="AY802" s="157"/>
      <c r="AZ802" s="157"/>
      <c r="BA802" s="157"/>
      <c r="BB802" s="157"/>
      <c r="BC802" s="157"/>
      <c r="BD802" s="157"/>
      <c r="BE802" s="157"/>
      <c r="BF802" s="157"/>
      <c r="BG802" s="157"/>
      <c r="BH802" s="157"/>
      <c r="BI802" s="157"/>
      <c r="BJ802" s="157"/>
    </row>
    <row r="803" spans="1:62" ht="15.75" customHeight="1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  <c r="AA803" s="157"/>
      <c r="AB803" s="157"/>
      <c r="AC803" s="157"/>
      <c r="AD803" s="157"/>
      <c r="AE803" s="157"/>
      <c r="AF803" s="157"/>
      <c r="AG803" s="157"/>
      <c r="AH803" s="157"/>
      <c r="AI803" s="157"/>
      <c r="AJ803" s="157"/>
      <c r="AK803" s="157"/>
      <c r="AL803" s="157"/>
      <c r="AM803" s="157"/>
      <c r="AN803" s="157"/>
      <c r="AO803" s="157"/>
      <c r="AP803" s="157"/>
      <c r="AQ803" s="157"/>
      <c r="AR803" s="157"/>
      <c r="AS803" s="157"/>
      <c r="AT803" s="157"/>
      <c r="AU803" s="157"/>
      <c r="AV803" s="157"/>
      <c r="AW803" s="157"/>
      <c r="AX803" s="157"/>
      <c r="AY803" s="157"/>
      <c r="AZ803" s="157"/>
      <c r="BA803" s="157"/>
      <c r="BB803" s="157"/>
      <c r="BC803" s="157"/>
      <c r="BD803" s="157"/>
      <c r="BE803" s="157"/>
      <c r="BF803" s="157"/>
      <c r="BG803" s="157"/>
      <c r="BH803" s="157"/>
      <c r="BI803" s="157"/>
      <c r="BJ803" s="157"/>
    </row>
    <row r="804" spans="1:62" ht="15.75" customHeight="1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  <c r="AA804" s="157"/>
      <c r="AB804" s="157"/>
      <c r="AC804" s="157"/>
      <c r="AD804" s="157"/>
      <c r="AE804" s="157"/>
      <c r="AF804" s="157"/>
      <c r="AG804" s="157"/>
      <c r="AH804" s="157"/>
      <c r="AI804" s="157"/>
      <c r="AJ804" s="157"/>
      <c r="AK804" s="157"/>
      <c r="AL804" s="157"/>
      <c r="AM804" s="157"/>
      <c r="AN804" s="157"/>
      <c r="AO804" s="157"/>
      <c r="AP804" s="157"/>
      <c r="AQ804" s="157"/>
      <c r="AR804" s="157"/>
      <c r="AS804" s="157"/>
      <c r="AT804" s="157"/>
      <c r="AU804" s="157"/>
      <c r="AV804" s="157"/>
      <c r="AW804" s="157"/>
      <c r="AX804" s="157"/>
      <c r="AY804" s="157"/>
      <c r="AZ804" s="157"/>
      <c r="BA804" s="157"/>
      <c r="BB804" s="157"/>
      <c r="BC804" s="157"/>
      <c r="BD804" s="157"/>
      <c r="BE804" s="157"/>
      <c r="BF804" s="157"/>
      <c r="BG804" s="157"/>
      <c r="BH804" s="157"/>
      <c r="BI804" s="157"/>
      <c r="BJ804" s="157"/>
    </row>
    <row r="805" spans="1:62" ht="15.75" customHeight="1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  <c r="AA805" s="157"/>
      <c r="AB805" s="157"/>
      <c r="AC805" s="157"/>
      <c r="AD805" s="157"/>
      <c r="AE805" s="157"/>
      <c r="AF805" s="157"/>
      <c r="AG805" s="157"/>
      <c r="AH805" s="157"/>
      <c r="AI805" s="157"/>
      <c r="AJ805" s="157"/>
      <c r="AK805" s="157"/>
      <c r="AL805" s="157"/>
      <c r="AM805" s="157"/>
      <c r="AN805" s="157"/>
      <c r="AO805" s="157"/>
      <c r="AP805" s="157"/>
      <c r="AQ805" s="157"/>
      <c r="AR805" s="157"/>
      <c r="AS805" s="157"/>
      <c r="AT805" s="157"/>
      <c r="AU805" s="157"/>
      <c r="AV805" s="157"/>
      <c r="AW805" s="157"/>
      <c r="AX805" s="157"/>
      <c r="AY805" s="157"/>
      <c r="AZ805" s="157"/>
      <c r="BA805" s="157"/>
      <c r="BB805" s="157"/>
      <c r="BC805" s="157"/>
      <c r="BD805" s="157"/>
      <c r="BE805" s="157"/>
      <c r="BF805" s="157"/>
      <c r="BG805" s="157"/>
      <c r="BH805" s="157"/>
      <c r="BI805" s="157"/>
      <c r="BJ805" s="157"/>
    </row>
    <row r="806" spans="1:62" ht="15.75" customHeight="1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  <c r="AA806" s="157"/>
      <c r="AB806" s="157"/>
      <c r="AC806" s="157"/>
      <c r="AD806" s="157"/>
      <c r="AE806" s="157"/>
      <c r="AF806" s="157"/>
      <c r="AG806" s="157"/>
      <c r="AH806" s="157"/>
      <c r="AI806" s="157"/>
      <c r="AJ806" s="157"/>
      <c r="AK806" s="157"/>
      <c r="AL806" s="157"/>
      <c r="AM806" s="157"/>
      <c r="AN806" s="157"/>
      <c r="AO806" s="157"/>
      <c r="AP806" s="157"/>
      <c r="AQ806" s="157"/>
      <c r="AR806" s="157"/>
      <c r="AS806" s="157"/>
      <c r="AT806" s="157"/>
      <c r="AU806" s="157"/>
      <c r="AV806" s="157"/>
      <c r="AW806" s="157"/>
      <c r="AX806" s="157"/>
      <c r="AY806" s="157"/>
      <c r="AZ806" s="157"/>
      <c r="BA806" s="157"/>
      <c r="BB806" s="157"/>
      <c r="BC806" s="157"/>
      <c r="BD806" s="157"/>
      <c r="BE806" s="157"/>
      <c r="BF806" s="157"/>
      <c r="BG806" s="157"/>
      <c r="BH806" s="157"/>
      <c r="BI806" s="157"/>
      <c r="BJ806" s="157"/>
    </row>
    <row r="807" spans="1:62" ht="15.75" customHeight="1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  <c r="AA807" s="157"/>
      <c r="AB807" s="157"/>
      <c r="AC807" s="157"/>
      <c r="AD807" s="157"/>
      <c r="AE807" s="157"/>
      <c r="AF807" s="157"/>
      <c r="AG807" s="157"/>
      <c r="AH807" s="157"/>
      <c r="AI807" s="157"/>
      <c r="AJ807" s="157"/>
      <c r="AK807" s="157"/>
      <c r="AL807" s="157"/>
      <c r="AM807" s="157"/>
      <c r="AN807" s="157"/>
      <c r="AO807" s="157"/>
      <c r="AP807" s="157"/>
      <c r="AQ807" s="157"/>
      <c r="AR807" s="157"/>
      <c r="AS807" s="157"/>
      <c r="AT807" s="157"/>
      <c r="AU807" s="157"/>
      <c r="AV807" s="157"/>
      <c r="AW807" s="157"/>
      <c r="AX807" s="157"/>
      <c r="AY807" s="157"/>
      <c r="AZ807" s="157"/>
      <c r="BA807" s="157"/>
      <c r="BB807" s="157"/>
      <c r="BC807" s="157"/>
      <c r="BD807" s="157"/>
      <c r="BE807" s="157"/>
      <c r="BF807" s="157"/>
      <c r="BG807" s="157"/>
      <c r="BH807" s="157"/>
      <c r="BI807" s="157"/>
      <c r="BJ807" s="157"/>
    </row>
    <row r="808" spans="1:62" ht="15.75" customHeight="1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  <c r="AA808" s="157"/>
      <c r="AB808" s="157"/>
      <c r="AC808" s="157"/>
      <c r="AD808" s="157"/>
      <c r="AE808" s="157"/>
      <c r="AF808" s="157"/>
      <c r="AG808" s="157"/>
      <c r="AH808" s="157"/>
      <c r="AI808" s="157"/>
      <c r="AJ808" s="157"/>
      <c r="AK808" s="157"/>
      <c r="AL808" s="157"/>
      <c r="AM808" s="157"/>
      <c r="AN808" s="157"/>
      <c r="AO808" s="157"/>
      <c r="AP808" s="157"/>
      <c r="AQ808" s="157"/>
      <c r="AR808" s="157"/>
      <c r="AS808" s="157"/>
      <c r="AT808" s="157"/>
      <c r="AU808" s="157"/>
      <c r="AV808" s="157"/>
      <c r="AW808" s="157"/>
      <c r="AX808" s="157"/>
      <c r="AY808" s="157"/>
      <c r="AZ808" s="157"/>
      <c r="BA808" s="157"/>
      <c r="BB808" s="157"/>
      <c r="BC808" s="157"/>
      <c r="BD808" s="157"/>
      <c r="BE808" s="157"/>
      <c r="BF808" s="157"/>
      <c r="BG808" s="157"/>
      <c r="BH808" s="157"/>
      <c r="BI808" s="157"/>
      <c r="BJ808" s="157"/>
    </row>
    <row r="809" spans="1:62" ht="15.75" customHeight="1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  <c r="AA809" s="157"/>
      <c r="AB809" s="157"/>
      <c r="AC809" s="157"/>
      <c r="AD809" s="157"/>
      <c r="AE809" s="157"/>
      <c r="AF809" s="157"/>
      <c r="AG809" s="157"/>
      <c r="AH809" s="157"/>
      <c r="AI809" s="157"/>
      <c r="AJ809" s="157"/>
      <c r="AK809" s="157"/>
      <c r="AL809" s="157"/>
      <c r="AM809" s="157"/>
      <c r="AN809" s="157"/>
      <c r="AO809" s="157"/>
      <c r="AP809" s="157"/>
      <c r="AQ809" s="157"/>
      <c r="AR809" s="157"/>
      <c r="AS809" s="157"/>
      <c r="AT809" s="157"/>
      <c r="AU809" s="157"/>
      <c r="AV809" s="157"/>
      <c r="AW809" s="157"/>
      <c r="AX809" s="157"/>
      <c r="AY809" s="157"/>
      <c r="AZ809" s="157"/>
      <c r="BA809" s="157"/>
      <c r="BB809" s="157"/>
      <c r="BC809" s="157"/>
      <c r="BD809" s="157"/>
      <c r="BE809" s="157"/>
      <c r="BF809" s="157"/>
      <c r="BG809" s="157"/>
      <c r="BH809" s="157"/>
      <c r="BI809" s="157"/>
      <c r="BJ809" s="157"/>
    </row>
    <row r="810" spans="1:62" ht="15.75" customHeight="1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  <c r="AA810" s="157"/>
      <c r="AB810" s="157"/>
      <c r="AC810" s="157"/>
      <c r="AD810" s="157"/>
      <c r="AE810" s="157"/>
      <c r="AF810" s="157"/>
      <c r="AG810" s="157"/>
      <c r="AH810" s="157"/>
      <c r="AI810" s="157"/>
      <c r="AJ810" s="157"/>
      <c r="AK810" s="157"/>
      <c r="AL810" s="157"/>
      <c r="AM810" s="157"/>
      <c r="AN810" s="157"/>
      <c r="AO810" s="157"/>
      <c r="AP810" s="157"/>
      <c r="AQ810" s="157"/>
      <c r="AR810" s="157"/>
      <c r="AS810" s="157"/>
      <c r="AT810" s="157"/>
      <c r="AU810" s="157"/>
      <c r="AV810" s="157"/>
      <c r="AW810" s="157"/>
      <c r="AX810" s="157"/>
      <c r="AY810" s="157"/>
      <c r="AZ810" s="157"/>
      <c r="BA810" s="157"/>
      <c r="BB810" s="157"/>
      <c r="BC810" s="157"/>
      <c r="BD810" s="157"/>
      <c r="BE810" s="157"/>
      <c r="BF810" s="157"/>
      <c r="BG810" s="157"/>
      <c r="BH810" s="157"/>
      <c r="BI810" s="157"/>
      <c r="BJ810" s="157"/>
    </row>
    <row r="811" spans="1:62" ht="15.75" customHeight="1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  <c r="AA811" s="157"/>
      <c r="AB811" s="157"/>
      <c r="AC811" s="157"/>
      <c r="AD811" s="157"/>
      <c r="AE811" s="157"/>
      <c r="AF811" s="157"/>
      <c r="AG811" s="157"/>
      <c r="AH811" s="157"/>
      <c r="AI811" s="157"/>
      <c r="AJ811" s="157"/>
      <c r="AK811" s="157"/>
      <c r="AL811" s="157"/>
      <c r="AM811" s="157"/>
      <c r="AN811" s="157"/>
      <c r="AO811" s="157"/>
      <c r="AP811" s="157"/>
      <c r="AQ811" s="157"/>
      <c r="AR811" s="157"/>
      <c r="AS811" s="157"/>
      <c r="AT811" s="157"/>
      <c r="AU811" s="157"/>
      <c r="AV811" s="157"/>
      <c r="AW811" s="157"/>
      <c r="AX811" s="157"/>
      <c r="AY811" s="157"/>
      <c r="AZ811" s="157"/>
      <c r="BA811" s="157"/>
      <c r="BB811" s="157"/>
      <c r="BC811" s="157"/>
      <c r="BD811" s="157"/>
      <c r="BE811" s="157"/>
      <c r="BF811" s="157"/>
      <c r="BG811" s="157"/>
      <c r="BH811" s="157"/>
      <c r="BI811" s="157"/>
      <c r="BJ811" s="157"/>
    </row>
    <row r="812" spans="1:62" ht="15.75" customHeight="1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  <c r="AA812" s="157"/>
      <c r="AB812" s="157"/>
      <c r="AC812" s="157"/>
      <c r="AD812" s="157"/>
      <c r="AE812" s="157"/>
      <c r="AF812" s="157"/>
      <c r="AG812" s="157"/>
      <c r="AH812" s="157"/>
      <c r="AI812" s="157"/>
      <c r="AJ812" s="157"/>
      <c r="AK812" s="157"/>
      <c r="AL812" s="157"/>
      <c r="AM812" s="157"/>
      <c r="AN812" s="157"/>
      <c r="AO812" s="157"/>
      <c r="AP812" s="157"/>
      <c r="AQ812" s="157"/>
      <c r="AR812" s="157"/>
      <c r="AS812" s="157"/>
      <c r="AT812" s="157"/>
      <c r="AU812" s="157"/>
      <c r="AV812" s="157"/>
      <c r="AW812" s="157"/>
      <c r="AX812" s="157"/>
      <c r="AY812" s="157"/>
      <c r="AZ812" s="157"/>
      <c r="BA812" s="157"/>
      <c r="BB812" s="157"/>
      <c r="BC812" s="157"/>
      <c r="BD812" s="157"/>
      <c r="BE812" s="157"/>
      <c r="BF812" s="157"/>
      <c r="BG812" s="157"/>
      <c r="BH812" s="157"/>
      <c r="BI812" s="157"/>
      <c r="BJ812" s="157"/>
    </row>
    <row r="813" spans="1:62" ht="15.75" customHeight="1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  <c r="AA813" s="157"/>
      <c r="AB813" s="157"/>
      <c r="AC813" s="157"/>
      <c r="AD813" s="157"/>
      <c r="AE813" s="157"/>
      <c r="AF813" s="157"/>
      <c r="AG813" s="157"/>
      <c r="AH813" s="157"/>
      <c r="AI813" s="157"/>
      <c r="AJ813" s="157"/>
      <c r="AK813" s="157"/>
      <c r="AL813" s="157"/>
      <c r="AM813" s="157"/>
      <c r="AN813" s="157"/>
      <c r="AO813" s="157"/>
      <c r="AP813" s="157"/>
      <c r="AQ813" s="157"/>
      <c r="AR813" s="157"/>
      <c r="AS813" s="157"/>
      <c r="AT813" s="157"/>
      <c r="AU813" s="157"/>
      <c r="AV813" s="157"/>
      <c r="AW813" s="157"/>
      <c r="AX813" s="157"/>
      <c r="AY813" s="157"/>
      <c r="AZ813" s="157"/>
      <c r="BA813" s="157"/>
      <c r="BB813" s="157"/>
      <c r="BC813" s="157"/>
      <c r="BD813" s="157"/>
      <c r="BE813" s="157"/>
      <c r="BF813" s="157"/>
      <c r="BG813" s="157"/>
      <c r="BH813" s="157"/>
      <c r="BI813" s="157"/>
      <c r="BJ813" s="157"/>
    </row>
    <row r="814" spans="1:62" ht="15.75" customHeight="1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  <c r="AA814" s="157"/>
      <c r="AB814" s="157"/>
      <c r="AC814" s="157"/>
      <c r="AD814" s="157"/>
      <c r="AE814" s="157"/>
      <c r="AF814" s="157"/>
      <c r="AG814" s="157"/>
      <c r="AH814" s="157"/>
      <c r="AI814" s="157"/>
      <c r="AJ814" s="157"/>
      <c r="AK814" s="157"/>
      <c r="AL814" s="157"/>
      <c r="AM814" s="157"/>
      <c r="AN814" s="157"/>
      <c r="AO814" s="157"/>
      <c r="AP814" s="157"/>
      <c r="AQ814" s="157"/>
      <c r="AR814" s="157"/>
      <c r="AS814" s="157"/>
      <c r="AT814" s="157"/>
      <c r="AU814" s="157"/>
      <c r="AV814" s="157"/>
      <c r="AW814" s="157"/>
      <c r="AX814" s="157"/>
      <c r="AY814" s="157"/>
      <c r="AZ814" s="157"/>
      <c r="BA814" s="157"/>
      <c r="BB814" s="157"/>
      <c r="BC814" s="157"/>
      <c r="BD814" s="157"/>
      <c r="BE814" s="157"/>
      <c r="BF814" s="157"/>
      <c r="BG814" s="157"/>
      <c r="BH814" s="157"/>
      <c r="BI814" s="157"/>
      <c r="BJ814" s="157"/>
    </row>
    <row r="815" spans="1:62" ht="15.75" customHeight="1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  <c r="AA815" s="157"/>
      <c r="AB815" s="157"/>
      <c r="AC815" s="157"/>
      <c r="AD815" s="157"/>
      <c r="AE815" s="157"/>
      <c r="AF815" s="157"/>
      <c r="AG815" s="157"/>
      <c r="AH815" s="157"/>
      <c r="AI815" s="157"/>
      <c r="AJ815" s="157"/>
      <c r="AK815" s="157"/>
      <c r="AL815" s="157"/>
      <c r="AM815" s="157"/>
      <c r="AN815" s="157"/>
      <c r="AO815" s="157"/>
      <c r="AP815" s="157"/>
      <c r="AQ815" s="157"/>
      <c r="AR815" s="157"/>
      <c r="AS815" s="157"/>
      <c r="AT815" s="157"/>
      <c r="AU815" s="157"/>
      <c r="AV815" s="157"/>
      <c r="AW815" s="157"/>
      <c r="AX815" s="157"/>
      <c r="AY815" s="157"/>
      <c r="AZ815" s="157"/>
      <c r="BA815" s="157"/>
      <c r="BB815" s="157"/>
      <c r="BC815" s="157"/>
      <c r="BD815" s="157"/>
      <c r="BE815" s="157"/>
      <c r="BF815" s="157"/>
      <c r="BG815" s="157"/>
      <c r="BH815" s="157"/>
      <c r="BI815" s="157"/>
      <c r="BJ815" s="157"/>
    </row>
    <row r="816" spans="1:62" ht="15.75" customHeight="1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  <c r="AA816" s="157"/>
      <c r="AB816" s="157"/>
      <c r="AC816" s="157"/>
      <c r="AD816" s="157"/>
      <c r="AE816" s="157"/>
      <c r="AF816" s="157"/>
      <c r="AG816" s="157"/>
      <c r="AH816" s="157"/>
      <c r="AI816" s="157"/>
      <c r="AJ816" s="157"/>
      <c r="AK816" s="157"/>
      <c r="AL816" s="157"/>
      <c r="AM816" s="157"/>
      <c r="AN816" s="157"/>
      <c r="AO816" s="157"/>
      <c r="AP816" s="157"/>
      <c r="AQ816" s="157"/>
      <c r="AR816" s="157"/>
      <c r="AS816" s="157"/>
      <c r="AT816" s="157"/>
      <c r="AU816" s="157"/>
      <c r="AV816" s="157"/>
      <c r="AW816" s="157"/>
      <c r="AX816" s="157"/>
      <c r="AY816" s="157"/>
      <c r="AZ816" s="157"/>
      <c r="BA816" s="157"/>
      <c r="BB816" s="157"/>
      <c r="BC816" s="157"/>
      <c r="BD816" s="157"/>
      <c r="BE816" s="157"/>
      <c r="BF816" s="157"/>
      <c r="BG816" s="157"/>
      <c r="BH816" s="157"/>
      <c r="BI816" s="157"/>
      <c r="BJ816" s="157"/>
    </row>
    <row r="817" spans="1:62" ht="15.75" customHeight="1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  <c r="AA817" s="157"/>
      <c r="AB817" s="157"/>
      <c r="AC817" s="157"/>
      <c r="AD817" s="157"/>
      <c r="AE817" s="157"/>
      <c r="AF817" s="157"/>
      <c r="AG817" s="157"/>
      <c r="AH817" s="157"/>
      <c r="AI817" s="157"/>
      <c r="AJ817" s="157"/>
      <c r="AK817" s="157"/>
      <c r="AL817" s="157"/>
      <c r="AM817" s="157"/>
      <c r="AN817" s="157"/>
      <c r="AO817" s="157"/>
      <c r="AP817" s="157"/>
      <c r="AQ817" s="157"/>
      <c r="AR817" s="157"/>
      <c r="AS817" s="157"/>
      <c r="AT817" s="157"/>
      <c r="AU817" s="157"/>
      <c r="AV817" s="157"/>
      <c r="AW817" s="157"/>
      <c r="AX817" s="157"/>
      <c r="AY817" s="157"/>
      <c r="AZ817" s="157"/>
      <c r="BA817" s="157"/>
      <c r="BB817" s="157"/>
      <c r="BC817" s="157"/>
      <c r="BD817" s="157"/>
      <c r="BE817" s="157"/>
      <c r="BF817" s="157"/>
      <c r="BG817" s="157"/>
      <c r="BH817" s="157"/>
      <c r="BI817" s="157"/>
      <c r="BJ817" s="157"/>
    </row>
    <row r="818" spans="1:62" ht="15.75" customHeight="1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  <c r="AA818" s="157"/>
      <c r="AB818" s="157"/>
      <c r="AC818" s="157"/>
      <c r="AD818" s="157"/>
      <c r="AE818" s="157"/>
      <c r="AF818" s="157"/>
      <c r="AG818" s="157"/>
      <c r="AH818" s="157"/>
      <c r="AI818" s="157"/>
      <c r="AJ818" s="157"/>
      <c r="AK818" s="157"/>
      <c r="AL818" s="157"/>
      <c r="AM818" s="157"/>
      <c r="AN818" s="157"/>
      <c r="AO818" s="157"/>
      <c r="AP818" s="157"/>
      <c r="AQ818" s="157"/>
      <c r="AR818" s="157"/>
      <c r="AS818" s="157"/>
      <c r="AT818" s="157"/>
      <c r="AU818" s="157"/>
      <c r="AV818" s="157"/>
      <c r="AW818" s="157"/>
      <c r="AX818" s="157"/>
      <c r="AY818" s="157"/>
      <c r="AZ818" s="157"/>
      <c r="BA818" s="157"/>
      <c r="BB818" s="157"/>
      <c r="BC818" s="157"/>
      <c r="BD818" s="157"/>
      <c r="BE818" s="157"/>
      <c r="BF818" s="157"/>
      <c r="BG818" s="157"/>
      <c r="BH818" s="157"/>
      <c r="BI818" s="157"/>
      <c r="BJ818" s="157"/>
    </row>
    <row r="819" spans="1:62" ht="15.75" customHeight="1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  <c r="AA819" s="157"/>
      <c r="AB819" s="157"/>
      <c r="AC819" s="157"/>
      <c r="AD819" s="157"/>
      <c r="AE819" s="157"/>
      <c r="AF819" s="157"/>
      <c r="AG819" s="157"/>
      <c r="AH819" s="157"/>
      <c r="AI819" s="157"/>
      <c r="AJ819" s="157"/>
      <c r="AK819" s="157"/>
      <c r="AL819" s="157"/>
      <c r="AM819" s="157"/>
      <c r="AN819" s="157"/>
      <c r="AO819" s="157"/>
      <c r="AP819" s="157"/>
      <c r="AQ819" s="157"/>
      <c r="AR819" s="157"/>
      <c r="AS819" s="157"/>
      <c r="AT819" s="157"/>
      <c r="AU819" s="157"/>
      <c r="AV819" s="157"/>
      <c r="AW819" s="157"/>
      <c r="AX819" s="157"/>
      <c r="AY819" s="157"/>
      <c r="AZ819" s="157"/>
      <c r="BA819" s="157"/>
      <c r="BB819" s="157"/>
      <c r="BC819" s="157"/>
      <c r="BD819" s="157"/>
      <c r="BE819" s="157"/>
      <c r="BF819" s="157"/>
      <c r="BG819" s="157"/>
      <c r="BH819" s="157"/>
      <c r="BI819" s="157"/>
      <c r="BJ819" s="157"/>
    </row>
    <row r="820" spans="1:62" ht="15.75" customHeight="1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  <c r="AA820" s="157"/>
      <c r="AB820" s="157"/>
      <c r="AC820" s="157"/>
      <c r="AD820" s="157"/>
      <c r="AE820" s="157"/>
      <c r="AF820" s="157"/>
      <c r="AG820" s="157"/>
      <c r="AH820" s="157"/>
      <c r="AI820" s="157"/>
      <c r="AJ820" s="157"/>
      <c r="AK820" s="157"/>
      <c r="AL820" s="157"/>
      <c r="AM820" s="157"/>
      <c r="AN820" s="157"/>
      <c r="AO820" s="157"/>
      <c r="AP820" s="157"/>
      <c r="AQ820" s="157"/>
      <c r="AR820" s="157"/>
      <c r="AS820" s="157"/>
      <c r="AT820" s="157"/>
      <c r="AU820" s="157"/>
      <c r="AV820" s="157"/>
      <c r="AW820" s="157"/>
      <c r="AX820" s="157"/>
      <c r="AY820" s="157"/>
      <c r="AZ820" s="157"/>
      <c r="BA820" s="157"/>
      <c r="BB820" s="157"/>
      <c r="BC820" s="157"/>
      <c r="BD820" s="157"/>
      <c r="BE820" s="157"/>
      <c r="BF820" s="157"/>
      <c r="BG820" s="157"/>
      <c r="BH820" s="157"/>
      <c r="BI820" s="157"/>
      <c r="BJ820" s="157"/>
    </row>
    <row r="821" spans="1:62" ht="15.75" customHeight="1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  <c r="AA821" s="157"/>
      <c r="AB821" s="157"/>
      <c r="AC821" s="157"/>
      <c r="AD821" s="157"/>
      <c r="AE821" s="157"/>
      <c r="AF821" s="157"/>
      <c r="AG821" s="157"/>
      <c r="AH821" s="157"/>
      <c r="AI821" s="157"/>
      <c r="AJ821" s="157"/>
      <c r="AK821" s="157"/>
      <c r="AL821" s="157"/>
      <c r="AM821" s="157"/>
      <c r="AN821" s="157"/>
      <c r="AO821" s="157"/>
      <c r="AP821" s="157"/>
      <c r="AQ821" s="157"/>
      <c r="AR821" s="157"/>
      <c r="AS821" s="157"/>
      <c r="AT821" s="157"/>
      <c r="AU821" s="157"/>
      <c r="AV821" s="157"/>
      <c r="AW821" s="157"/>
      <c r="AX821" s="157"/>
      <c r="AY821" s="157"/>
      <c r="AZ821" s="157"/>
      <c r="BA821" s="157"/>
      <c r="BB821" s="157"/>
      <c r="BC821" s="157"/>
      <c r="BD821" s="157"/>
      <c r="BE821" s="157"/>
      <c r="BF821" s="157"/>
      <c r="BG821" s="157"/>
      <c r="BH821" s="157"/>
      <c r="BI821" s="157"/>
      <c r="BJ821" s="157"/>
    </row>
    <row r="822" spans="1:62" ht="15.75" customHeight="1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  <c r="AA822" s="157"/>
      <c r="AB822" s="157"/>
      <c r="AC822" s="157"/>
      <c r="AD822" s="157"/>
      <c r="AE822" s="157"/>
      <c r="AF822" s="157"/>
      <c r="AG822" s="157"/>
      <c r="AH822" s="157"/>
      <c r="AI822" s="157"/>
      <c r="AJ822" s="157"/>
      <c r="AK822" s="157"/>
      <c r="AL822" s="157"/>
      <c r="AM822" s="157"/>
      <c r="AN822" s="157"/>
      <c r="AO822" s="157"/>
      <c r="AP822" s="157"/>
      <c r="AQ822" s="157"/>
      <c r="AR822" s="157"/>
      <c r="AS822" s="157"/>
      <c r="AT822" s="157"/>
      <c r="AU822" s="157"/>
      <c r="AV822" s="157"/>
      <c r="AW822" s="157"/>
      <c r="AX822" s="157"/>
      <c r="AY822" s="157"/>
      <c r="AZ822" s="157"/>
      <c r="BA822" s="157"/>
      <c r="BB822" s="157"/>
      <c r="BC822" s="157"/>
      <c r="BD822" s="157"/>
      <c r="BE822" s="157"/>
      <c r="BF822" s="157"/>
      <c r="BG822" s="157"/>
      <c r="BH822" s="157"/>
      <c r="BI822" s="157"/>
      <c r="BJ822" s="157"/>
    </row>
    <row r="823" spans="1:62" ht="15.75" customHeight="1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  <c r="AA823" s="157"/>
      <c r="AB823" s="157"/>
      <c r="AC823" s="157"/>
      <c r="AD823" s="157"/>
      <c r="AE823" s="157"/>
      <c r="AF823" s="157"/>
      <c r="AG823" s="157"/>
      <c r="AH823" s="157"/>
      <c r="AI823" s="157"/>
      <c r="AJ823" s="157"/>
      <c r="AK823" s="157"/>
      <c r="AL823" s="157"/>
      <c r="AM823" s="157"/>
      <c r="AN823" s="157"/>
      <c r="AO823" s="157"/>
      <c r="AP823" s="157"/>
      <c r="AQ823" s="157"/>
      <c r="AR823" s="157"/>
      <c r="AS823" s="157"/>
      <c r="AT823" s="157"/>
      <c r="AU823" s="157"/>
      <c r="AV823" s="157"/>
      <c r="AW823" s="157"/>
      <c r="AX823" s="157"/>
      <c r="AY823" s="157"/>
      <c r="AZ823" s="157"/>
      <c r="BA823" s="157"/>
      <c r="BB823" s="157"/>
      <c r="BC823" s="157"/>
      <c r="BD823" s="157"/>
      <c r="BE823" s="157"/>
      <c r="BF823" s="157"/>
      <c r="BG823" s="157"/>
      <c r="BH823" s="157"/>
      <c r="BI823" s="157"/>
      <c r="BJ823" s="157"/>
    </row>
    <row r="824" spans="1:62" ht="15.75" customHeight="1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  <c r="AA824" s="157"/>
      <c r="AB824" s="157"/>
      <c r="AC824" s="157"/>
      <c r="AD824" s="157"/>
      <c r="AE824" s="157"/>
      <c r="AF824" s="157"/>
      <c r="AG824" s="157"/>
      <c r="AH824" s="157"/>
      <c r="AI824" s="157"/>
      <c r="AJ824" s="157"/>
      <c r="AK824" s="157"/>
      <c r="AL824" s="157"/>
      <c r="AM824" s="157"/>
      <c r="AN824" s="157"/>
      <c r="AO824" s="157"/>
      <c r="AP824" s="157"/>
      <c r="AQ824" s="157"/>
      <c r="AR824" s="157"/>
      <c r="AS824" s="157"/>
      <c r="AT824" s="157"/>
      <c r="AU824" s="157"/>
      <c r="AV824" s="157"/>
      <c r="AW824" s="157"/>
      <c r="AX824" s="157"/>
      <c r="AY824" s="157"/>
      <c r="AZ824" s="157"/>
      <c r="BA824" s="157"/>
      <c r="BB824" s="157"/>
      <c r="BC824" s="157"/>
      <c r="BD824" s="157"/>
      <c r="BE824" s="157"/>
      <c r="BF824" s="157"/>
      <c r="BG824" s="157"/>
      <c r="BH824" s="157"/>
      <c r="BI824" s="157"/>
      <c r="BJ824" s="157"/>
    </row>
    <row r="825" spans="1:62" ht="15.75" customHeight="1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  <c r="AA825" s="157"/>
      <c r="AB825" s="157"/>
      <c r="AC825" s="157"/>
      <c r="AD825" s="157"/>
      <c r="AE825" s="157"/>
      <c r="AF825" s="157"/>
      <c r="AG825" s="157"/>
      <c r="AH825" s="157"/>
      <c r="AI825" s="157"/>
      <c r="AJ825" s="157"/>
      <c r="AK825" s="157"/>
      <c r="AL825" s="157"/>
      <c r="AM825" s="157"/>
      <c r="AN825" s="157"/>
      <c r="AO825" s="157"/>
      <c r="AP825" s="157"/>
      <c r="AQ825" s="157"/>
      <c r="AR825" s="157"/>
      <c r="AS825" s="157"/>
      <c r="AT825" s="157"/>
      <c r="AU825" s="157"/>
      <c r="AV825" s="157"/>
      <c r="AW825" s="157"/>
      <c r="AX825" s="157"/>
      <c r="AY825" s="157"/>
      <c r="AZ825" s="157"/>
      <c r="BA825" s="157"/>
      <c r="BB825" s="157"/>
      <c r="BC825" s="157"/>
      <c r="BD825" s="157"/>
      <c r="BE825" s="157"/>
      <c r="BF825" s="157"/>
      <c r="BG825" s="157"/>
      <c r="BH825" s="157"/>
      <c r="BI825" s="157"/>
      <c r="BJ825" s="157"/>
    </row>
    <row r="826" spans="1:62" ht="15.75" customHeight="1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  <c r="AA826" s="157"/>
      <c r="AB826" s="157"/>
      <c r="AC826" s="157"/>
      <c r="AD826" s="157"/>
      <c r="AE826" s="157"/>
      <c r="AF826" s="157"/>
      <c r="AG826" s="157"/>
      <c r="AH826" s="157"/>
      <c r="AI826" s="157"/>
      <c r="AJ826" s="157"/>
      <c r="AK826" s="157"/>
      <c r="AL826" s="157"/>
      <c r="AM826" s="157"/>
      <c r="AN826" s="157"/>
      <c r="AO826" s="157"/>
      <c r="AP826" s="157"/>
      <c r="AQ826" s="157"/>
      <c r="AR826" s="157"/>
      <c r="AS826" s="157"/>
      <c r="AT826" s="157"/>
      <c r="AU826" s="157"/>
      <c r="AV826" s="157"/>
      <c r="AW826" s="157"/>
      <c r="AX826" s="157"/>
      <c r="AY826" s="157"/>
      <c r="AZ826" s="157"/>
      <c r="BA826" s="157"/>
      <c r="BB826" s="157"/>
      <c r="BC826" s="157"/>
      <c r="BD826" s="157"/>
      <c r="BE826" s="157"/>
      <c r="BF826" s="157"/>
      <c r="BG826" s="157"/>
      <c r="BH826" s="157"/>
      <c r="BI826" s="157"/>
      <c r="BJ826" s="157"/>
    </row>
    <row r="827" spans="1:62" ht="15.75" customHeight="1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  <c r="AA827" s="157"/>
      <c r="AB827" s="157"/>
      <c r="AC827" s="157"/>
      <c r="AD827" s="157"/>
      <c r="AE827" s="157"/>
      <c r="AF827" s="157"/>
      <c r="AG827" s="157"/>
      <c r="AH827" s="157"/>
      <c r="AI827" s="157"/>
      <c r="AJ827" s="157"/>
      <c r="AK827" s="157"/>
      <c r="AL827" s="157"/>
      <c r="AM827" s="157"/>
      <c r="AN827" s="157"/>
      <c r="AO827" s="157"/>
      <c r="AP827" s="157"/>
      <c r="AQ827" s="157"/>
      <c r="AR827" s="157"/>
      <c r="AS827" s="157"/>
      <c r="AT827" s="157"/>
      <c r="AU827" s="157"/>
      <c r="AV827" s="157"/>
      <c r="AW827" s="157"/>
      <c r="AX827" s="157"/>
      <c r="AY827" s="157"/>
      <c r="AZ827" s="157"/>
      <c r="BA827" s="157"/>
      <c r="BB827" s="157"/>
      <c r="BC827" s="157"/>
      <c r="BD827" s="157"/>
      <c r="BE827" s="157"/>
      <c r="BF827" s="157"/>
      <c r="BG827" s="157"/>
      <c r="BH827" s="157"/>
      <c r="BI827" s="157"/>
      <c r="BJ827" s="157"/>
    </row>
    <row r="828" spans="1:62" ht="15.75" customHeight="1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  <c r="AA828" s="157"/>
      <c r="AB828" s="157"/>
      <c r="AC828" s="157"/>
      <c r="AD828" s="157"/>
      <c r="AE828" s="157"/>
      <c r="AF828" s="157"/>
      <c r="AG828" s="157"/>
      <c r="AH828" s="157"/>
      <c r="AI828" s="157"/>
      <c r="AJ828" s="157"/>
      <c r="AK828" s="157"/>
      <c r="AL828" s="157"/>
      <c r="AM828" s="157"/>
      <c r="AN828" s="157"/>
      <c r="AO828" s="157"/>
      <c r="AP828" s="157"/>
      <c r="AQ828" s="157"/>
      <c r="AR828" s="157"/>
      <c r="AS828" s="157"/>
      <c r="AT828" s="157"/>
      <c r="AU828" s="157"/>
      <c r="AV828" s="157"/>
      <c r="AW828" s="157"/>
      <c r="AX828" s="157"/>
      <c r="AY828" s="157"/>
      <c r="AZ828" s="157"/>
      <c r="BA828" s="157"/>
      <c r="BB828" s="157"/>
      <c r="BC828" s="157"/>
      <c r="BD828" s="157"/>
      <c r="BE828" s="157"/>
      <c r="BF828" s="157"/>
      <c r="BG828" s="157"/>
      <c r="BH828" s="157"/>
      <c r="BI828" s="157"/>
      <c r="BJ828" s="157"/>
    </row>
    <row r="829" spans="1:62" ht="15.75" customHeight="1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  <c r="AA829" s="157"/>
      <c r="AB829" s="157"/>
      <c r="AC829" s="157"/>
      <c r="AD829" s="157"/>
      <c r="AE829" s="157"/>
      <c r="AF829" s="157"/>
      <c r="AG829" s="157"/>
      <c r="AH829" s="157"/>
      <c r="AI829" s="157"/>
      <c r="AJ829" s="157"/>
      <c r="AK829" s="157"/>
      <c r="AL829" s="157"/>
      <c r="AM829" s="157"/>
      <c r="AN829" s="157"/>
      <c r="AO829" s="157"/>
      <c r="AP829" s="157"/>
      <c r="AQ829" s="157"/>
      <c r="AR829" s="157"/>
      <c r="AS829" s="157"/>
      <c r="AT829" s="157"/>
      <c r="AU829" s="157"/>
      <c r="AV829" s="157"/>
      <c r="AW829" s="157"/>
      <c r="AX829" s="157"/>
      <c r="AY829" s="157"/>
      <c r="AZ829" s="157"/>
      <c r="BA829" s="157"/>
      <c r="BB829" s="157"/>
      <c r="BC829" s="157"/>
      <c r="BD829" s="157"/>
      <c r="BE829" s="157"/>
      <c r="BF829" s="157"/>
      <c r="BG829" s="157"/>
      <c r="BH829" s="157"/>
      <c r="BI829" s="157"/>
      <c r="BJ829" s="157"/>
    </row>
    <row r="830" spans="1:62" ht="15.75" customHeight="1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  <c r="AA830" s="157"/>
      <c r="AB830" s="157"/>
      <c r="AC830" s="157"/>
      <c r="AD830" s="157"/>
      <c r="AE830" s="157"/>
      <c r="AF830" s="157"/>
      <c r="AG830" s="157"/>
      <c r="AH830" s="157"/>
      <c r="AI830" s="157"/>
      <c r="AJ830" s="157"/>
      <c r="AK830" s="157"/>
      <c r="AL830" s="157"/>
      <c r="AM830" s="157"/>
      <c r="AN830" s="157"/>
      <c r="AO830" s="157"/>
      <c r="AP830" s="157"/>
      <c r="AQ830" s="157"/>
      <c r="AR830" s="157"/>
      <c r="AS830" s="157"/>
      <c r="AT830" s="157"/>
      <c r="AU830" s="157"/>
      <c r="AV830" s="157"/>
      <c r="AW830" s="157"/>
      <c r="AX830" s="157"/>
      <c r="AY830" s="157"/>
      <c r="AZ830" s="157"/>
      <c r="BA830" s="157"/>
      <c r="BB830" s="157"/>
      <c r="BC830" s="157"/>
      <c r="BD830" s="157"/>
      <c r="BE830" s="157"/>
      <c r="BF830" s="157"/>
      <c r="BG830" s="157"/>
      <c r="BH830" s="157"/>
      <c r="BI830" s="157"/>
      <c r="BJ830" s="157"/>
    </row>
    <row r="831" spans="1:62" ht="15.75" customHeight="1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  <c r="AA831" s="157"/>
      <c r="AB831" s="157"/>
      <c r="AC831" s="157"/>
      <c r="AD831" s="157"/>
      <c r="AE831" s="157"/>
      <c r="AF831" s="157"/>
      <c r="AG831" s="157"/>
      <c r="AH831" s="157"/>
      <c r="AI831" s="157"/>
      <c r="AJ831" s="157"/>
      <c r="AK831" s="157"/>
      <c r="AL831" s="157"/>
      <c r="AM831" s="157"/>
      <c r="AN831" s="157"/>
      <c r="AO831" s="157"/>
      <c r="AP831" s="157"/>
      <c r="AQ831" s="157"/>
      <c r="AR831" s="157"/>
      <c r="AS831" s="157"/>
      <c r="AT831" s="157"/>
      <c r="AU831" s="157"/>
      <c r="AV831" s="157"/>
      <c r="AW831" s="157"/>
      <c r="AX831" s="157"/>
      <c r="AY831" s="157"/>
      <c r="AZ831" s="157"/>
      <c r="BA831" s="157"/>
      <c r="BB831" s="157"/>
      <c r="BC831" s="157"/>
      <c r="BD831" s="157"/>
      <c r="BE831" s="157"/>
      <c r="BF831" s="157"/>
      <c r="BG831" s="157"/>
      <c r="BH831" s="157"/>
      <c r="BI831" s="157"/>
      <c r="BJ831" s="157"/>
    </row>
    <row r="832" spans="1:62" ht="15.75" customHeight="1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  <c r="AA832" s="157"/>
      <c r="AB832" s="157"/>
      <c r="AC832" s="157"/>
      <c r="AD832" s="157"/>
      <c r="AE832" s="157"/>
      <c r="AF832" s="157"/>
      <c r="AG832" s="157"/>
      <c r="AH832" s="157"/>
      <c r="AI832" s="157"/>
      <c r="AJ832" s="157"/>
      <c r="AK832" s="157"/>
      <c r="AL832" s="157"/>
      <c r="AM832" s="157"/>
      <c r="AN832" s="157"/>
      <c r="AO832" s="157"/>
      <c r="AP832" s="157"/>
      <c r="AQ832" s="157"/>
      <c r="AR832" s="157"/>
      <c r="AS832" s="157"/>
      <c r="AT832" s="157"/>
      <c r="AU832" s="157"/>
      <c r="AV832" s="157"/>
      <c r="AW832" s="157"/>
      <c r="AX832" s="157"/>
      <c r="AY832" s="157"/>
      <c r="AZ832" s="157"/>
      <c r="BA832" s="157"/>
      <c r="BB832" s="157"/>
      <c r="BC832" s="157"/>
      <c r="BD832" s="157"/>
      <c r="BE832" s="157"/>
      <c r="BF832" s="157"/>
      <c r="BG832" s="157"/>
      <c r="BH832" s="157"/>
      <c r="BI832" s="157"/>
      <c r="BJ832" s="157"/>
    </row>
    <row r="833" spans="1:62" ht="15.75" customHeight="1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  <c r="AA833" s="157"/>
      <c r="AB833" s="157"/>
      <c r="AC833" s="157"/>
      <c r="AD833" s="157"/>
      <c r="AE833" s="157"/>
      <c r="AF833" s="157"/>
      <c r="AG833" s="157"/>
      <c r="AH833" s="157"/>
      <c r="AI833" s="157"/>
      <c r="AJ833" s="157"/>
      <c r="AK833" s="157"/>
      <c r="AL833" s="157"/>
      <c r="AM833" s="157"/>
      <c r="AN833" s="157"/>
      <c r="AO833" s="157"/>
      <c r="AP833" s="157"/>
      <c r="AQ833" s="157"/>
      <c r="AR833" s="157"/>
      <c r="AS833" s="157"/>
      <c r="AT833" s="157"/>
      <c r="AU833" s="157"/>
      <c r="AV833" s="157"/>
      <c r="AW833" s="157"/>
      <c r="AX833" s="157"/>
      <c r="AY833" s="157"/>
      <c r="AZ833" s="157"/>
      <c r="BA833" s="157"/>
      <c r="BB833" s="157"/>
      <c r="BC833" s="157"/>
      <c r="BD833" s="157"/>
      <c r="BE833" s="157"/>
      <c r="BF833" s="157"/>
      <c r="BG833" s="157"/>
      <c r="BH833" s="157"/>
      <c r="BI833" s="157"/>
      <c r="BJ833" s="157"/>
    </row>
    <row r="834" spans="1:62" ht="15.75" customHeight="1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  <c r="AA834" s="157"/>
      <c r="AB834" s="157"/>
      <c r="AC834" s="157"/>
      <c r="AD834" s="157"/>
      <c r="AE834" s="157"/>
      <c r="AF834" s="157"/>
      <c r="AG834" s="157"/>
      <c r="AH834" s="157"/>
      <c r="AI834" s="157"/>
      <c r="AJ834" s="157"/>
      <c r="AK834" s="157"/>
      <c r="AL834" s="157"/>
      <c r="AM834" s="157"/>
      <c r="AN834" s="157"/>
      <c r="AO834" s="157"/>
      <c r="AP834" s="157"/>
      <c r="AQ834" s="157"/>
      <c r="AR834" s="157"/>
      <c r="AS834" s="157"/>
      <c r="AT834" s="157"/>
      <c r="AU834" s="157"/>
      <c r="AV834" s="157"/>
      <c r="AW834" s="157"/>
      <c r="AX834" s="157"/>
      <c r="AY834" s="157"/>
      <c r="AZ834" s="157"/>
      <c r="BA834" s="157"/>
      <c r="BB834" s="157"/>
      <c r="BC834" s="157"/>
      <c r="BD834" s="157"/>
      <c r="BE834" s="157"/>
      <c r="BF834" s="157"/>
      <c r="BG834" s="157"/>
      <c r="BH834" s="157"/>
      <c r="BI834" s="157"/>
      <c r="BJ834" s="157"/>
    </row>
    <row r="835" spans="1:62" ht="15.75" customHeight="1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  <c r="AA835" s="157"/>
      <c r="AB835" s="157"/>
      <c r="AC835" s="157"/>
      <c r="AD835" s="157"/>
      <c r="AE835" s="157"/>
      <c r="AF835" s="157"/>
      <c r="AG835" s="157"/>
      <c r="AH835" s="157"/>
      <c r="AI835" s="157"/>
      <c r="AJ835" s="157"/>
      <c r="AK835" s="157"/>
      <c r="AL835" s="157"/>
      <c r="AM835" s="157"/>
      <c r="AN835" s="157"/>
      <c r="AO835" s="157"/>
      <c r="AP835" s="157"/>
      <c r="AQ835" s="157"/>
      <c r="AR835" s="157"/>
      <c r="AS835" s="157"/>
      <c r="AT835" s="157"/>
      <c r="AU835" s="157"/>
      <c r="AV835" s="157"/>
      <c r="AW835" s="157"/>
      <c r="AX835" s="157"/>
      <c r="AY835" s="157"/>
      <c r="AZ835" s="157"/>
      <c r="BA835" s="157"/>
      <c r="BB835" s="157"/>
      <c r="BC835" s="157"/>
      <c r="BD835" s="157"/>
      <c r="BE835" s="157"/>
      <c r="BF835" s="157"/>
      <c r="BG835" s="157"/>
      <c r="BH835" s="157"/>
      <c r="BI835" s="157"/>
      <c r="BJ835" s="157"/>
    </row>
    <row r="836" spans="1:62" ht="15.75" customHeight="1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  <c r="AA836" s="157"/>
      <c r="AB836" s="157"/>
      <c r="AC836" s="157"/>
      <c r="AD836" s="157"/>
      <c r="AE836" s="157"/>
      <c r="AF836" s="157"/>
      <c r="AG836" s="157"/>
      <c r="AH836" s="157"/>
      <c r="AI836" s="157"/>
      <c r="AJ836" s="157"/>
      <c r="AK836" s="157"/>
      <c r="AL836" s="157"/>
      <c r="AM836" s="157"/>
      <c r="AN836" s="157"/>
      <c r="AO836" s="157"/>
      <c r="AP836" s="157"/>
      <c r="AQ836" s="157"/>
      <c r="AR836" s="157"/>
      <c r="AS836" s="157"/>
      <c r="AT836" s="157"/>
      <c r="AU836" s="157"/>
      <c r="AV836" s="157"/>
      <c r="AW836" s="157"/>
      <c r="AX836" s="157"/>
      <c r="AY836" s="157"/>
      <c r="AZ836" s="157"/>
      <c r="BA836" s="157"/>
      <c r="BB836" s="157"/>
      <c r="BC836" s="157"/>
      <c r="BD836" s="157"/>
      <c r="BE836" s="157"/>
      <c r="BF836" s="157"/>
      <c r="BG836" s="157"/>
      <c r="BH836" s="157"/>
      <c r="BI836" s="157"/>
      <c r="BJ836" s="157"/>
    </row>
    <row r="837" spans="1:62" ht="15.75" customHeight="1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  <c r="AA837" s="157"/>
      <c r="AB837" s="157"/>
      <c r="AC837" s="157"/>
      <c r="AD837" s="157"/>
      <c r="AE837" s="157"/>
      <c r="AF837" s="157"/>
      <c r="AG837" s="157"/>
      <c r="AH837" s="157"/>
      <c r="AI837" s="157"/>
      <c r="AJ837" s="157"/>
      <c r="AK837" s="157"/>
      <c r="AL837" s="157"/>
      <c r="AM837" s="157"/>
      <c r="AN837" s="157"/>
      <c r="AO837" s="157"/>
      <c r="AP837" s="157"/>
      <c r="AQ837" s="157"/>
      <c r="AR837" s="157"/>
      <c r="AS837" s="157"/>
      <c r="AT837" s="157"/>
      <c r="AU837" s="157"/>
      <c r="AV837" s="157"/>
      <c r="AW837" s="157"/>
      <c r="AX837" s="157"/>
      <c r="AY837" s="157"/>
      <c r="AZ837" s="157"/>
      <c r="BA837" s="157"/>
      <c r="BB837" s="157"/>
      <c r="BC837" s="157"/>
      <c r="BD837" s="157"/>
      <c r="BE837" s="157"/>
      <c r="BF837" s="157"/>
      <c r="BG837" s="157"/>
      <c r="BH837" s="157"/>
      <c r="BI837" s="157"/>
      <c r="BJ837" s="157"/>
    </row>
    <row r="838" spans="1:62" ht="15.75" customHeight="1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  <c r="AA838" s="157"/>
      <c r="AB838" s="157"/>
      <c r="AC838" s="157"/>
      <c r="AD838" s="157"/>
      <c r="AE838" s="157"/>
      <c r="AF838" s="157"/>
      <c r="AG838" s="157"/>
      <c r="AH838" s="157"/>
      <c r="AI838" s="157"/>
      <c r="AJ838" s="157"/>
      <c r="AK838" s="157"/>
      <c r="AL838" s="157"/>
      <c r="AM838" s="157"/>
      <c r="AN838" s="157"/>
      <c r="AO838" s="157"/>
      <c r="AP838" s="157"/>
      <c r="AQ838" s="157"/>
      <c r="AR838" s="157"/>
      <c r="AS838" s="157"/>
      <c r="AT838" s="157"/>
      <c r="AU838" s="157"/>
      <c r="AV838" s="157"/>
      <c r="AW838" s="157"/>
      <c r="AX838" s="157"/>
      <c r="AY838" s="157"/>
      <c r="AZ838" s="157"/>
      <c r="BA838" s="157"/>
      <c r="BB838" s="157"/>
      <c r="BC838" s="157"/>
      <c r="BD838" s="157"/>
      <c r="BE838" s="157"/>
      <c r="BF838" s="157"/>
      <c r="BG838" s="157"/>
      <c r="BH838" s="157"/>
      <c r="BI838" s="157"/>
      <c r="BJ838" s="157"/>
    </row>
    <row r="839" spans="1:62" ht="15.75" customHeight="1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  <c r="AA839" s="157"/>
      <c r="AB839" s="157"/>
      <c r="AC839" s="157"/>
      <c r="AD839" s="157"/>
      <c r="AE839" s="157"/>
      <c r="AF839" s="157"/>
      <c r="AG839" s="157"/>
      <c r="AH839" s="157"/>
      <c r="AI839" s="157"/>
      <c r="AJ839" s="157"/>
      <c r="AK839" s="157"/>
      <c r="AL839" s="157"/>
      <c r="AM839" s="157"/>
      <c r="AN839" s="157"/>
      <c r="AO839" s="157"/>
      <c r="AP839" s="157"/>
      <c r="AQ839" s="157"/>
      <c r="AR839" s="157"/>
      <c r="AS839" s="157"/>
      <c r="AT839" s="157"/>
      <c r="AU839" s="157"/>
      <c r="AV839" s="157"/>
      <c r="AW839" s="157"/>
      <c r="AX839" s="157"/>
      <c r="AY839" s="157"/>
      <c r="AZ839" s="157"/>
      <c r="BA839" s="157"/>
      <c r="BB839" s="157"/>
      <c r="BC839" s="157"/>
      <c r="BD839" s="157"/>
      <c r="BE839" s="157"/>
      <c r="BF839" s="157"/>
      <c r="BG839" s="157"/>
      <c r="BH839" s="157"/>
      <c r="BI839" s="157"/>
      <c r="BJ839" s="157"/>
    </row>
    <row r="840" spans="1:62" ht="15.75" customHeight="1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  <c r="AA840" s="157"/>
      <c r="AB840" s="157"/>
      <c r="AC840" s="157"/>
      <c r="AD840" s="157"/>
      <c r="AE840" s="157"/>
      <c r="AF840" s="157"/>
      <c r="AG840" s="157"/>
      <c r="AH840" s="157"/>
      <c r="AI840" s="157"/>
      <c r="AJ840" s="157"/>
      <c r="AK840" s="157"/>
      <c r="AL840" s="157"/>
      <c r="AM840" s="157"/>
      <c r="AN840" s="157"/>
      <c r="AO840" s="157"/>
      <c r="AP840" s="157"/>
      <c r="AQ840" s="157"/>
      <c r="AR840" s="157"/>
      <c r="AS840" s="157"/>
      <c r="AT840" s="157"/>
      <c r="AU840" s="157"/>
      <c r="AV840" s="157"/>
      <c r="AW840" s="157"/>
      <c r="AX840" s="157"/>
      <c r="AY840" s="157"/>
      <c r="AZ840" s="157"/>
      <c r="BA840" s="157"/>
      <c r="BB840" s="157"/>
      <c r="BC840" s="157"/>
      <c r="BD840" s="157"/>
      <c r="BE840" s="157"/>
      <c r="BF840" s="157"/>
      <c r="BG840" s="157"/>
      <c r="BH840" s="157"/>
      <c r="BI840" s="157"/>
      <c r="BJ840" s="157"/>
    </row>
    <row r="841" spans="1:62" ht="15.75" customHeight="1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  <c r="AA841" s="157"/>
      <c r="AB841" s="157"/>
      <c r="AC841" s="157"/>
      <c r="AD841" s="157"/>
      <c r="AE841" s="157"/>
      <c r="AF841" s="157"/>
      <c r="AG841" s="157"/>
      <c r="AH841" s="157"/>
      <c r="AI841" s="157"/>
      <c r="AJ841" s="157"/>
      <c r="AK841" s="157"/>
      <c r="AL841" s="157"/>
      <c r="AM841" s="157"/>
      <c r="AN841" s="157"/>
      <c r="AO841" s="157"/>
      <c r="AP841" s="157"/>
      <c r="AQ841" s="157"/>
      <c r="AR841" s="157"/>
      <c r="AS841" s="157"/>
      <c r="AT841" s="157"/>
      <c r="AU841" s="157"/>
      <c r="AV841" s="157"/>
      <c r="AW841" s="157"/>
      <c r="AX841" s="157"/>
      <c r="AY841" s="157"/>
      <c r="AZ841" s="157"/>
      <c r="BA841" s="157"/>
      <c r="BB841" s="157"/>
      <c r="BC841" s="157"/>
      <c r="BD841" s="157"/>
      <c r="BE841" s="157"/>
      <c r="BF841" s="157"/>
      <c r="BG841" s="157"/>
      <c r="BH841" s="157"/>
      <c r="BI841" s="157"/>
      <c r="BJ841" s="157"/>
    </row>
    <row r="842" spans="1:62" ht="15.75" customHeight="1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  <c r="AA842" s="157"/>
      <c r="AB842" s="157"/>
      <c r="AC842" s="157"/>
      <c r="AD842" s="157"/>
      <c r="AE842" s="157"/>
      <c r="AF842" s="157"/>
      <c r="AG842" s="157"/>
      <c r="AH842" s="157"/>
      <c r="AI842" s="157"/>
      <c r="AJ842" s="157"/>
      <c r="AK842" s="157"/>
      <c r="AL842" s="157"/>
      <c r="AM842" s="157"/>
      <c r="AN842" s="157"/>
      <c r="AO842" s="157"/>
      <c r="AP842" s="157"/>
      <c r="AQ842" s="157"/>
      <c r="AR842" s="157"/>
      <c r="AS842" s="157"/>
      <c r="AT842" s="157"/>
      <c r="AU842" s="157"/>
      <c r="AV842" s="157"/>
      <c r="AW842" s="157"/>
      <c r="AX842" s="157"/>
      <c r="AY842" s="157"/>
      <c r="AZ842" s="157"/>
      <c r="BA842" s="157"/>
      <c r="BB842" s="157"/>
      <c r="BC842" s="157"/>
      <c r="BD842" s="157"/>
      <c r="BE842" s="157"/>
      <c r="BF842" s="157"/>
      <c r="BG842" s="157"/>
      <c r="BH842" s="157"/>
      <c r="BI842" s="157"/>
      <c r="BJ842" s="157"/>
    </row>
    <row r="843" spans="1:62" ht="15.75" customHeight="1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  <c r="AA843" s="157"/>
      <c r="AB843" s="157"/>
      <c r="AC843" s="157"/>
      <c r="AD843" s="157"/>
      <c r="AE843" s="157"/>
      <c r="AF843" s="157"/>
      <c r="AG843" s="157"/>
      <c r="AH843" s="157"/>
      <c r="AI843" s="157"/>
      <c r="AJ843" s="157"/>
      <c r="AK843" s="157"/>
      <c r="AL843" s="157"/>
      <c r="AM843" s="157"/>
      <c r="AN843" s="157"/>
      <c r="AO843" s="157"/>
      <c r="AP843" s="157"/>
      <c r="AQ843" s="157"/>
      <c r="AR843" s="157"/>
      <c r="AS843" s="157"/>
      <c r="AT843" s="157"/>
      <c r="AU843" s="157"/>
      <c r="AV843" s="157"/>
      <c r="AW843" s="157"/>
      <c r="AX843" s="157"/>
      <c r="AY843" s="157"/>
      <c r="AZ843" s="157"/>
      <c r="BA843" s="157"/>
      <c r="BB843" s="157"/>
      <c r="BC843" s="157"/>
      <c r="BD843" s="157"/>
      <c r="BE843" s="157"/>
      <c r="BF843" s="157"/>
      <c r="BG843" s="157"/>
      <c r="BH843" s="157"/>
      <c r="BI843" s="157"/>
      <c r="BJ843" s="157"/>
    </row>
    <row r="844" spans="1:62" ht="15.75" customHeight="1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  <c r="AA844" s="157"/>
      <c r="AB844" s="157"/>
      <c r="AC844" s="157"/>
      <c r="AD844" s="157"/>
      <c r="AE844" s="157"/>
      <c r="AF844" s="157"/>
      <c r="AG844" s="157"/>
      <c r="AH844" s="157"/>
      <c r="AI844" s="157"/>
      <c r="AJ844" s="157"/>
      <c r="AK844" s="157"/>
      <c r="AL844" s="157"/>
      <c r="AM844" s="157"/>
      <c r="AN844" s="157"/>
      <c r="AO844" s="157"/>
      <c r="AP844" s="157"/>
      <c r="AQ844" s="157"/>
      <c r="AR844" s="157"/>
      <c r="AS844" s="157"/>
      <c r="AT844" s="157"/>
      <c r="AU844" s="157"/>
      <c r="AV844" s="157"/>
      <c r="AW844" s="157"/>
      <c r="AX844" s="157"/>
      <c r="AY844" s="157"/>
      <c r="AZ844" s="157"/>
      <c r="BA844" s="157"/>
      <c r="BB844" s="157"/>
      <c r="BC844" s="157"/>
      <c r="BD844" s="157"/>
      <c r="BE844" s="157"/>
      <c r="BF844" s="157"/>
      <c r="BG844" s="157"/>
      <c r="BH844" s="157"/>
      <c r="BI844" s="157"/>
      <c r="BJ844" s="157"/>
    </row>
    <row r="845" spans="1:62" ht="15.75" customHeight="1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  <c r="AA845" s="157"/>
      <c r="AB845" s="157"/>
      <c r="AC845" s="157"/>
      <c r="AD845" s="157"/>
      <c r="AE845" s="157"/>
      <c r="AF845" s="157"/>
      <c r="AG845" s="157"/>
      <c r="AH845" s="157"/>
      <c r="AI845" s="157"/>
      <c r="AJ845" s="157"/>
      <c r="AK845" s="157"/>
      <c r="AL845" s="157"/>
      <c r="AM845" s="157"/>
      <c r="AN845" s="157"/>
      <c r="AO845" s="157"/>
      <c r="AP845" s="157"/>
      <c r="AQ845" s="157"/>
      <c r="AR845" s="157"/>
      <c r="AS845" s="157"/>
      <c r="AT845" s="157"/>
      <c r="AU845" s="157"/>
      <c r="AV845" s="157"/>
      <c r="AW845" s="157"/>
      <c r="AX845" s="157"/>
      <c r="AY845" s="157"/>
      <c r="AZ845" s="157"/>
      <c r="BA845" s="157"/>
      <c r="BB845" s="157"/>
      <c r="BC845" s="157"/>
      <c r="BD845" s="157"/>
      <c r="BE845" s="157"/>
      <c r="BF845" s="157"/>
      <c r="BG845" s="157"/>
      <c r="BH845" s="157"/>
      <c r="BI845" s="157"/>
      <c r="BJ845" s="157"/>
    </row>
    <row r="846" spans="1:62" ht="15.75" customHeight="1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  <c r="AA846" s="157"/>
      <c r="AB846" s="157"/>
      <c r="AC846" s="157"/>
      <c r="AD846" s="157"/>
      <c r="AE846" s="157"/>
      <c r="AF846" s="157"/>
      <c r="AG846" s="157"/>
      <c r="AH846" s="157"/>
      <c r="AI846" s="157"/>
      <c r="AJ846" s="157"/>
      <c r="AK846" s="157"/>
      <c r="AL846" s="157"/>
      <c r="AM846" s="157"/>
      <c r="AN846" s="157"/>
      <c r="AO846" s="157"/>
      <c r="AP846" s="157"/>
      <c r="AQ846" s="157"/>
      <c r="AR846" s="157"/>
      <c r="AS846" s="157"/>
      <c r="AT846" s="157"/>
      <c r="AU846" s="157"/>
      <c r="AV846" s="157"/>
      <c r="AW846" s="157"/>
      <c r="AX846" s="157"/>
      <c r="AY846" s="157"/>
      <c r="AZ846" s="157"/>
      <c r="BA846" s="157"/>
      <c r="BB846" s="157"/>
      <c r="BC846" s="157"/>
      <c r="BD846" s="157"/>
      <c r="BE846" s="157"/>
      <c r="BF846" s="157"/>
      <c r="BG846" s="157"/>
      <c r="BH846" s="157"/>
      <c r="BI846" s="157"/>
      <c r="BJ846" s="157"/>
    </row>
    <row r="847" spans="1:62" ht="15.75" customHeight="1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  <c r="AA847" s="157"/>
      <c r="AB847" s="157"/>
      <c r="AC847" s="157"/>
      <c r="AD847" s="157"/>
      <c r="AE847" s="157"/>
      <c r="AF847" s="157"/>
      <c r="AG847" s="157"/>
      <c r="AH847" s="157"/>
      <c r="AI847" s="157"/>
      <c r="AJ847" s="157"/>
      <c r="AK847" s="157"/>
      <c r="AL847" s="157"/>
      <c r="AM847" s="157"/>
      <c r="AN847" s="157"/>
      <c r="AO847" s="157"/>
      <c r="AP847" s="157"/>
      <c r="AQ847" s="157"/>
      <c r="AR847" s="157"/>
      <c r="AS847" s="157"/>
      <c r="AT847" s="157"/>
      <c r="AU847" s="157"/>
      <c r="AV847" s="157"/>
      <c r="AW847" s="157"/>
      <c r="AX847" s="157"/>
      <c r="AY847" s="157"/>
      <c r="AZ847" s="157"/>
      <c r="BA847" s="157"/>
      <c r="BB847" s="157"/>
      <c r="BC847" s="157"/>
      <c r="BD847" s="157"/>
      <c r="BE847" s="157"/>
      <c r="BF847" s="157"/>
      <c r="BG847" s="157"/>
      <c r="BH847" s="157"/>
      <c r="BI847" s="157"/>
      <c r="BJ847" s="157"/>
    </row>
    <row r="848" spans="1:62" ht="15.75" customHeight="1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  <c r="AA848" s="157"/>
      <c r="AB848" s="157"/>
      <c r="AC848" s="157"/>
      <c r="AD848" s="157"/>
      <c r="AE848" s="157"/>
      <c r="AF848" s="157"/>
      <c r="AG848" s="157"/>
      <c r="AH848" s="157"/>
      <c r="AI848" s="157"/>
      <c r="AJ848" s="157"/>
      <c r="AK848" s="157"/>
      <c r="AL848" s="157"/>
      <c r="AM848" s="157"/>
      <c r="AN848" s="157"/>
      <c r="AO848" s="157"/>
      <c r="AP848" s="157"/>
      <c r="AQ848" s="157"/>
      <c r="AR848" s="157"/>
      <c r="AS848" s="157"/>
      <c r="AT848" s="157"/>
      <c r="AU848" s="157"/>
      <c r="AV848" s="157"/>
      <c r="AW848" s="157"/>
      <c r="AX848" s="157"/>
      <c r="AY848" s="157"/>
      <c r="AZ848" s="157"/>
      <c r="BA848" s="157"/>
      <c r="BB848" s="157"/>
      <c r="BC848" s="157"/>
      <c r="BD848" s="157"/>
      <c r="BE848" s="157"/>
      <c r="BF848" s="157"/>
      <c r="BG848" s="157"/>
      <c r="BH848" s="157"/>
      <c r="BI848" s="157"/>
      <c r="BJ848" s="157"/>
    </row>
    <row r="849" spans="1:62" ht="15.75" customHeight="1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  <c r="AA849" s="157"/>
      <c r="AB849" s="157"/>
      <c r="AC849" s="157"/>
      <c r="AD849" s="157"/>
      <c r="AE849" s="157"/>
      <c r="AF849" s="157"/>
      <c r="AG849" s="157"/>
      <c r="AH849" s="157"/>
      <c r="AI849" s="157"/>
      <c r="AJ849" s="157"/>
      <c r="AK849" s="157"/>
      <c r="AL849" s="157"/>
      <c r="AM849" s="157"/>
      <c r="AN849" s="157"/>
      <c r="AO849" s="157"/>
      <c r="AP849" s="157"/>
      <c r="AQ849" s="157"/>
      <c r="AR849" s="157"/>
      <c r="AS849" s="157"/>
      <c r="AT849" s="157"/>
      <c r="AU849" s="157"/>
      <c r="AV849" s="157"/>
      <c r="AW849" s="157"/>
      <c r="AX849" s="157"/>
      <c r="AY849" s="157"/>
      <c r="AZ849" s="157"/>
      <c r="BA849" s="157"/>
      <c r="BB849" s="157"/>
      <c r="BC849" s="157"/>
      <c r="BD849" s="157"/>
      <c r="BE849" s="157"/>
      <c r="BF849" s="157"/>
      <c r="BG849" s="157"/>
      <c r="BH849" s="157"/>
      <c r="BI849" s="157"/>
      <c r="BJ849" s="157"/>
    </row>
    <row r="850" spans="1:62" ht="15.75" customHeight="1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  <c r="AA850" s="157"/>
      <c r="AB850" s="157"/>
      <c r="AC850" s="157"/>
      <c r="AD850" s="157"/>
      <c r="AE850" s="157"/>
      <c r="AF850" s="157"/>
      <c r="AG850" s="157"/>
      <c r="AH850" s="157"/>
      <c r="AI850" s="157"/>
      <c r="AJ850" s="157"/>
      <c r="AK850" s="157"/>
      <c r="AL850" s="157"/>
      <c r="AM850" s="157"/>
      <c r="AN850" s="157"/>
      <c r="AO850" s="157"/>
      <c r="AP850" s="157"/>
      <c r="AQ850" s="157"/>
      <c r="AR850" s="157"/>
      <c r="AS850" s="157"/>
      <c r="AT850" s="157"/>
      <c r="AU850" s="157"/>
      <c r="AV850" s="157"/>
      <c r="AW850" s="157"/>
      <c r="AX850" s="157"/>
      <c r="AY850" s="157"/>
      <c r="AZ850" s="157"/>
      <c r="BA850" s="157"/>
      <c r="BB850" s="157"/>
      <c r="BC850" s="157"/>
      <c r="BD850" s="157"/>
      <c r="BE850" s="157"/>
      <c r="BF850" s="157"/>
      <c r="BG850" s="157"/>
      <c r="BH850" s="157"/>
      <c r="BI850" s="157"/>
      <c r="BJ850" s="157"/>
    </row>
    <row r="851" spans="1:62" ht="15.75" customHeight="1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  <c r="AA851" s="157"/>
      <c r="AB851" s="157"/>
      <c r="AC851" s="157"/>
      <c r="AD851" s="157"/>
      <c r="AE851" s="157"/>
      <c r="AF851" s="157"/>
      <c r="AG851" s="157"/>
      <c r="AH851" s="157"/>
      <c r="AI851" s="157"/>
      <c r="AJ851" s="157"/>
      <c r="AK851" s="157"/>
      <c r="AL851" s="157"/>
      <c r="AM851" s="157"/>
      <c r="AN851" s="157"/>
      <c r="AO851" s="157"/>
      <c r="AP851" s="157"/>
      <c r="AQ851" s="157"/>
      <c r="AR851" s="157"/>
      <c r="AS851" s="157"/>
      <c r="AT851" s="157"/>
      <c r="AU851" s="157"/>
      <c r="AV851" s="157"/>
      <c r="AW851" s="157"/>
      <c r="AX851" s="157"/>
      <c r="AY851" s="157"/>
      <c r="AZ851" s="157"/>
      <c r="BA851" s="157"/>
      <c r="BB851" s="157"/>
      <c r="BC851" s="157"/>
      <c r="BD851" s="157"/>
      <c r="BE851" s="157"/>
      <c r="BF851" s="157"/>
      <c r="BG851" s="157"/>
      <c r="BH851" s="157"/>
      <c r="BI851" s="157"/>
      <c r="BJ851" s="157"/>
    </row>
    <row r="852" spans="1:62" ht="15.75" customHeight="1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  <c r="AA852" s="157"/>
      <c r="AB852" s="157"/>
      <c r="AC852" s="157"/>
      <c r="AD852" s="157"/>
      <c r="AE852" s="157"/>
      <c r="AF852" s="157"/>
      <c r="AG852" s="157"/>
      <c r="AH852" s="157"/>
      <c r="AI852" s="157"/>
      <c r="AJ852" s="157"/>
      <c r="AK852" s="157"/>
      <c r="AL852" s="157"/>
      <c r="AM852" s="157"/>
      <c r="AN852" s="157"/>
      <c r="AO852" s="157"/>
      <c r="AP852" s="157"/>
      <c r="AQ852" s="157"/>
      <c r="AR852" s="157"/>
      <c r="AS852" s="157"/>
      <c r="AT852" s="157"/>
      <c r="AU852" s="157"/>
      <c r="AV852" s="157"/>
      <c r="AW852" s="157"/>
      <c r="AX852" s="157"/>
      <c r="AY852" s="157"/>
      <c r="AZ852" s="157"/>
      <c r="BA852" s="157"/>
      <c r="BB852" s="157"/>
      <c r="BC852" s="157"/>
      <c r="BD852" s="157"/>
      <c r="BE852" s="157"/>
      <c r="BF852" s="157"/>
      <c r="BG852" s="157"/>
      <c r="BH852" s="157"/>
      <c r="BI852" s="157"/>
      <c r="BJ852" s="157"/>
    </row>
    <row r="853" spans="1:62" ht="15.75" customHeight="1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  <c r="AA853" s="157"/>
      <c r="AB853" s="157"/>
      <c r="AC853" s="157"/>
      <c r="AD853" s="157"/>
      <c r="AE853" s="157"/>
      <c r="AF853" s="157"/>
      <c r="AG853" s="157"/>
      <c r="AH853" s="157"/>
      <c r="AI853" s="157"/>
      <c r="AJ853" s="157"/>
      <c r="AK853" s="157"/>
      <c r="AL853" s="157"/>
      <c r="AM853" s="157"/>
      <c r="AN853" s="157"/>
      <c r="AO853" s="157"/>
      <c r="AP853" s="157"/>
      <c r="AQ853" s="157"/>
      <c r="AR853" s="157"/>
      <c r="AS853" s="157"/>
      <c r="AT853" s="157"/>
      <c r="AU853" s="157"/>
      <c r="AV853" s="157"/>
      <c r="AW853" s="157"/>
      <c r="AX853" s="157"/>
      <c r="AY853" s="157"/>
      <c r="AZ853" s="157"/>
      <c r="BA853" s="157"/>
      <c r="BB853" s="157"/>
      <c r="BC853" s="157"/>
      <c r="BD853" s="157"/>
      <c r="BE853" s="157"/>
      <c r="BF853" s="157"/>
      <c r="BG853" s="157"/>
      <c r="BH853" s="157"/>
      <c r="BI853" s="157"/>
      <c r="BJ853" s="157"/>
    </row>
    <row r="854" spans="1:62" ht="15.75" customHeight="1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  <c r="AA854" s="157"/>
      <c r="AB854" s="157"/>
      <c r="AC854" s="157"/>
      <c r="AD854" s="157"/>
      <c r="AE854" s="157"/>
      <c r="AF854" s="157"/>
      <c r="AG854" s="157"/>
      <c r="AH854" s="157"/>
      <c r="AI854" s="157"/>
      <c r="AJ854" s="157"/>
      <c r="AK854" s="157"/>
      <c r="AL854" s="157"/>
      <c r="AM854" s="157"/>
      <c r="AN854" s="157"/>
      <c r="AO854" s="157"/>
      <c r="AP854" s="157"/>
      <c r="AQ854" s="157"/>
      <c r="AR854" s="157"/>
      <c r="AS854" s="157"/>
      <c r="AT854" s="157"/>
      <c r="AU854" s="157"/>
      <c r="AV854" s="157"/>
      <c r="AW854" s="157"/>
      <c r="AX854" s="157"/>
      <c r="AY854" s="157"/>
      <c r="AZ854" s="157"/>
      <c r="BA854" s="157"/>
      <c r="BB854" s="157"/>
      <c r="BC854" s="157"/>
      <c r="BD854" s="157"/>
      <c r="BE854" s="157"/>
      <c r="BF854" s="157"/>
      <c r="BG854" s="157"/>
      <c r="BH854" s="157"/>
      <c r="BI854" s="157"/>
      <c r="BJ854" s="157"/>
    </row>
    <row r="855" spans="1:62" ht="15.75" customHeight="1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  <c r="AA855" s="157"/>
      <c r="AB855" s="157"/>
      <c r="AC855" s="157"/>
      <c r="AD855" s="157"/>
      <c r="AE855" s="157"/>
      <c r="AF855" s="157"/>
      <c r="AG855" s="157"/>
      <c r="AH855" s="157"/>
      <c r="AI855" s="157"/>
      <c r="AJ855" s="157"/>
      <c r="AK855" s="157"/>
      <c r="AL855" s="157"/>
      <c r="AM855" s="157"/>
      <c r="AN855" s="157"/>
      <c r="AO855" s="157"/>
      <c r="AP855" s="157"/>
      <c r="AQ855" s="157"/>
      <c r="AR855" s="157"/>
      <c r="AS855" s="157"/>
      <c r="AT855" s="157"/>
      <c r="AU855" s="157"/>
      <c r="AV855" s="157"/>
      <c r="AW855" s="157"/>
      <c r="AX855" s="157"/>
      <c r="AY855" s="157"/>
      <c r="AZ855" s="157"/>
      <c r="BA855" s="157"/>
      <c r="BB855" s="157"/>
      <c r="BC855" s="157"/>
      <c r="BD855" s="157"/>
      <c r="BE855" s="157"/>
      <c r="BF855" s="157"/>
      <c r="BG855" s="157"/>
      <c r="BH855" s="157"/>
      <c r="BI855" s="157"/>
      <c r="BJ855" s="157"/>
    </row>
    <row r="856" spans="1:62" ht="15.75" customHeight="1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  <c r="AA856" s="157"/>
      <c r="AB856" s="157"/>
      <c r="AC856" s="157"/>
      <c r="AD856" s="157"/>
      <c r="AE856" s="157"/>
      <c r="AF856" s="157"/>
      <c r="AG856" s="157"/>
      <c r="AH856" s="157"/>
      <c r="AI856" s="157"/>
      <c r="AJ856" s="157"/>
      <c r="AK856" s="157"/>
      <c r="AL856" s="157"/>
      <c r="AM856" s="157"/>
      <c r="AN856" s="157"/>
      <c r="AO856" s="157"/>
      <c r="AP856" s="157"/>
      <c r="AQ856" s="157"/>
      <c r="AR856" s="157"/>
      <c r="AS856" s="157"/>
      <c r="AT856" s="157"/>
      <c r="AU856" s="157"/>
      <c r="AV856" s="157"/>
      <c r="AW856" s="157"/>
      <c r="AX856" s="157"/>
      <c r="AY856" s="157"/>
      <c r="AZ856" s="157"/>
      <c r="BA856" s="157"/>
      <c r="BB856" s="157"/>
      <c r="BC856" s="157"/>
      <c r="BD856" s="157"/>
      <c r="BE856" s="157"/>
      <c r="BF856" s="157"/>
      <c r="BG856" s="157"/>
      <c r="BH856" s="157"/>
      <c r="BI856" s="157"/>
      <c r="BJ856" s="157"/>
    </row>
    <row r="857" spans="1:62" ht="15.75" customHeight="1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  <c r="AA857" s="157"/>
      <c r="AB857" s="157"/>
      <c r="AC857" s="157"/>
      <c r="AD857" s="157"/>
      <c r="AE857" s="157"/>
      <c r="AF857" s="157"/>
      <c r="AG857" s="157"/>
      <c r="AH857" s="157"/>
      <c r="AI857" s="157"/>
      <c r="AJ857" s="157"/>
      <c r="AK857" s="157"/>
      <c r="AL857" s="157"/>
      <c r="AM857" s="157"/>
      <c r="AN857" s="157"/>
      <c r="AO857" s="157"/>
      <c r="AP857" s="157"/>
      <c r="AQ857" s="157"/>
      <c r="AR857" s="157"/>
      <c r="AS857" s="157"/>
      <c r="AT857" s="157"/>
      <c r="AU857" s="157"/>
      <c r="AV857" s="157"/>
      <c r="AW857" s="157"/>
      <c r="AX857" s="157"/>
      <c r="AY857" s="157"/>
      <c r="AZ857" s="157"/>
      <c r="BA857" s="157"/>
      <c r="BB857" s="157"/>
      <c r="BC857" s="157"/>
      <c r="BD857" s="157"/>
      <c r="BE857" s="157"/>
      <c r="BF857" s="157"/>
      <c r="BG857" s="157"/>
      <c r="BH857" s="157"/>
      <c r="BI857" s="157"/>
      <c r="BJ857" s="157"/>
    </row>
    <row r="858" spans="1:62" ht="15.75" customHeight="1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  <c r="AA858" s="157"/>
      <c r="AB858" s="157"/>
      <c r="AC858" s="157"/>
      <c r="AD858" s="157"/>
      <c r="AE858" s="157"/>
      <c r="AF858" s="157"/>
      <c r="AG858" s="157"/>
      <c r="AH858" s="157"/>
      <c r="AI858" s="157"/>
      <c r="AJ858" s="157"/>
      <c r="AK858" s="157"/>
      <c r="AL858" s="157"/>
      <c r="AM858" s="157"/>
      <c r="AN858" s="157"/>
      <c r="AO858" s="157"/>
      <c r="AP858" s="157"/>
      <c r="AQ858" s="157"/>
      <c r="AR858" s="157"/>
      <c r="AS858" s="157"/>
      <c r="AT858" s="157"/>
      <c r="AU858" s="157"/>
      <c r="AV858" s="157"/>
      <c r="AW858" s="157"/>
      <c r="AX858" s="157"/>
      <c r="AY858" s="157"/>
      <c r="AZ858" s="157"/>
      <c r="BA858" s="157"/>
      <c r="BB858" s="157"/>
      <c r="BC858" s="157"/>
      <c r="BD858" s="157"/>
      <c r="BE858" s="157"/>
      <c r="BF858" s="157"/>
      <c r="BG858" s="157"/>
      <c r="BH858" s="157"/>
      <c r="BI858" s="157"/>
      <c r="BJ858" s="157"/>
    </row>
    <row r="859" spans="1:62" ht="15.75" customHeight="1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  <c r="AA859" s="157"/>
      <c r="AB859" s="157"/>
      <c r="AC859" s="157"/>
      <c r="AD859" s="157"/>
      <c r="AE859" s="157"/>
      <c r="AF859" s="157"/>
      <c r="AG859" s="157"/>
      <c r="AH859" s="157"/>
      <c r="AI859" s="157"/>
      <c r="AJ859" s="157"/>
      <c r="AK859" s="157"/>
      <c r="AL859" s="157"/>
      <c r="AM859" s="157"/>
      <c r="AN859" s="157"/>
      <c r="AO859" s="157"/>
      <c r="AP859" s="157"/>
      <c r="AQ859" s="157"/>
      <c r="AR859" s="157"/>
      <c r="AS859" s="157"/>
      <c r="AT859" s="157"/>
      <c r="AU859" s="157"/>
      <c r="AV859" s="157"/>
      <c r="AW859" s="157"/>
      <c r="AX859" s="157"/>
      <c r="AY859" s="157"/>
      <c r="AZ859" s="157"/>
      <c r="BA859" s="157"/>
      <c r="BB859" s="157"/>
      <c r="BC859" s="157"/>
      <c r="BD859" s="157"/>
      <c r="BE859" s="157"/>
      <c r="BF859" s="157"/>
      <c r="BG859" s="157"/>
      <c r="BH859" s="157"/>
      <c r="BI859" s="157"/>
      <c r="BJ859" s="157"/>
    </row>
    <row r="860" spans="1:62" ht="15.75" customHeight="1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  <c r="AA860" s="157"/>
      <c r="AB860" s="157"/>
      <c r="AC860" s="157"/>
      <c r="AD860" s="157"/>
      <c r="AE860" s="157"/>
      <c r="AF860" s="157"/>
      <c r="AG860" s="157"/>
      <c r="AH860" s="157"/>
      <c r="AI860" s="157"/>
      <c r="AJ860" s="157"/>
      <c r="AK860" s="157"/>
      <c r="AL860" s="157"/>
      <c r="AM860" s="157"/>
      <c r="AN860" s="157"/>
      <c r="AO860" s="157"/>
      <c r="AP860" s="157"/>
      <c r="AQ860" s="157"/>
      <c r="AR860" s="157"/>
      <c r="AS860" s="157"/>
      <c r="AT860" s="157"/>
      <c r="AU860" s="157"/>
      <c r="AV860" s="157"/>
      <c r="AW860" s="157"/>
      <c r="AX860" s="157"/>
      <c r="AY860" s="157"/>
      <c r="AZ860" s="157"/>
      <c r="BA860" s="157"/>
      <c r="BB860" s="157"/>
      <c r="BC860" s="157"/>
      <c r="BD860" s="157"/>
      <c r="BE860" s="157"/>
      <c r="BF860" s="157"/>
      <c r="BG860" s="157"/>
      <c r="BH860" s="157"/>
      <c r="BI860" s="157"/>
      <c r="BJ860" s="157"/>
    </row>
    <row r="861" spans="1:62" ht="15.75" customHeight="1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  <c r="AA861" s="157"/>
      <c r="AB861" s="157"/>
      <c r="AC861" s="157"/>
      <c r="AD861" s="157"/>
      <c r="AE861" s="157"/>
      <c r="AF861" s="157"/>
      <c r="AG861" s="157"/>
      <c r="AH861" s="157"/>
      <c r="AI861" s="157"/>
      <c r="AJ861" s="157"/>
      <c r="AK861" s="157"/>
      <c r="AL861" s="157"/>
      <c r="AM861" s="157"/>
      <c r="AN861" s="157"/>
      <c r="AO861" s="157"/>
      <c r="AP861" s="157"/>
      <c r="AQ861" s="157"/>
      <c r="AR861" s="157"/>
      <c r="AS861" s="157"/>
      <c r="AT861" s="157"/>
      <c r="AU861" s="157"/>
      <c r="AV861" s="157"/>
      <c r="AW861" s="157"/>
      <c r="AX861" s="157"/>
      <c r="AY861" s="157"/>
      <c r="AZ861" s="157"/>
      <c r="BA861" s="157"/>
      <c r="BB861" s="157"/>
      <c r="BC861" s="157"/>
      <c r="BD861" s="157"/>
      <c r="BE861" s="157"/>
      <c r="BF861" s="157"/>
      <c r="BG861" s="157"/>
      <c r="BH861" s="157"/>
      <c r="BI861" s="157"/>
      <c r="BJ861" s="157"/>
    </row>
    <row r="862" spans="1:62" ht="15.75" customHeight="1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  <c r="AA862" s="157"/>
      <c r="AB862" s="157"/>
      <c r="AC862" s="157"/>
      <c r="AD862" s="157"/>
      <c r="AE862" s="157"/>
      <c r="AF862" s="157"/>
      <c r="AG862" s="157"/>
      <c r="AH862" s="157"/>
      <c r="AI862" s="157"/>
      <c r="AJ862" s="157"/>
      <c r="AK862" s="157"/>
      <c r="AL862" s="157"/>
      <c r="AM862" s="157"/>
      <c r="AN862" s="157"/>
      <c r="AO862" s="157"/>
      <c r="AP862" s="157"/>
      <c r="AQ862" s="157"/>
      <c r="AR862" s="157"/>
      <c r="AS862" s="157"/>
      <c r="AT862" s="157"/>
      <c r="AU862" s="157"/>
      <c r="AV862" s="157"/>
      <c r="AW862" s="157"/>
      <c r="AX862" s="157"/>
      <c r="AY862" s="157"/>
      <c r="AZ862" s="157"/>
      <c r="BA862" s="157"/>
      <c r="BB862" s="157"/>
      <c r="BC862" s="157"/>
      <c r="BD862" s="157"/>
      <c r="BE862" s="157"/>
      <c r="BF862" s="157"/>
      <c r="BG862" s="157"/>
      <c r="BH862" s="157"/>
      <c r="BI862" s="157"/>
      <c r="BJ862" s="157"/>
    </row>
    <row r="863" spans="1:62" ht="15.75" customHeight="1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  <c r="AA863" s="157"/>
      <c r="AB863" s="157"/>
      <c r="AC863" s="157"/>
      <c r="AD863" s="157"/>
      <c r="AE863" s="157"/>
      <c r="AF863" s="157"/>
      <c r="AG863" s="157"/>
      <c r="AH863" s="157"/>
      <c r="AI863" s="157"/>
      <c r="AJ863" s="157"/>
      <c r="AK863" s="157"/>
      <c r="AL863" s="157"/>
      <c r="AM863" s="157"/>
      <c r="AN863" s="157"/>
      <c r="AO863" s="157"/>
      <c r="AP863" s="157"/>
      <c r="AQ863" s="157"/>
      <c r="AR863" s="157"/>
      <c r="AS863" s="157"/>
      <c r="AT863" s="157"/>
      <c r="AU863" s="157"/>
      <c r="AV863" s="157"/>
      <c r="AW863" s="157"/>
      <c r="AX863" s="157"/>
      <c r="AY863" s="157"/>
      <c r="AZ863" s="157"/>
      <c r="BA863" s="157"/>
      <c r="BB863" s="157"/>
      <c r="BC863" s="157"/>
      <c r="BD863" s="157"/>
      <c r="BE863" s="157"/>
      <c r="BF863" s="157"/>
      <c r="BG863" s="157"/>
      <c r="BH863" s="157"/>
      <c r="BI863" s="157"/>
      <c r="BJ863" s="157"/>
    </row>
    <row r="864" spans="1:62" ht="15.75" customHeight="1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  <c r="AA864" s="157"/>
      <c r="AB864" s="157"/>
      <c r="AC864" s="157"/>
      <c r="AD864" s="157"/>
      <c r="AE864" s="157"/>
      <c r="AF864" s="157"/>
      <c r="AG864" s="157"/>
      <c r="AH864" s="157"/>
      <c r="AI864" s="157"/>
      <c r="AJ864" s="157"/>
      <c r="AK864" s="157"/>
      <c r="AL864" s="157"/>
      <c r="AM864" s="157"/>
      <c r="AN864" s="157"/>
      <c r="AO864" s="157"/>
      <c r="AP864" s="157"/>
      <c r="AQ864" s="157"/>
      <c r="AR864" s="157"/>
      <c r="AS864" s="157"/>
      <c r="AT864" s="157"/>
      <c r="AU864" s="157"/>
      <c r="AV864" s="157"/>
      <c r="AW864" s="157"/>
      <c r="AX864" s="157"/>
      <c r="AY864" s="157"/>
      <c r="AZ864" s="157"/>
      <c r="BA864" s="157"/>
      <c r="BB864" s="157"/>
      <c r="BC864" s="157"/>
      <c r="BD864" s="157"/>
      <c r="BE864" s="157"/>
      <c r="BF864" s="157"/>
      <c r="BG864" s="157"/>
      <c r="BH864" s="157"/>
      <c r="BI864" s="157"/>
      <c r="BJ864" s="157"/>
    </row>
    <row r="865" spans="1:62" ht="15.75" customHeight="1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  <c r="AA865" s="157"/>
      <c r="AB865" s="157"/>
      <c r="AC865" s="157"/>
      <c r="AD865" s="157"/>
      <c r="AE865" s="157"/>
      <c r="AF865" s="157"/>
      <c r="AG865" s="157"/>
      <c r="AH865" s="157"/>
      <c r="AI865" s="157"/>
      <c r="AJ865" s="157"/>
      <c r="AK865" s="157"/>
      <c r="AL865" s="157"/>
      <c r="AM865" s="157"/>
      <c r="AN865" s="157"/>
      <c r="AO865" s="157"/>
      <c r="AP865" s="157"/>
      <c r="AQ865" s="157"/>
      <c r="AR865" s="157"/>
      <c r="AS865" s="157"/>
      <c r="AT865" s="157"/>
      <c r="AU865" s="157"/>
      <c r="AV865" s="157"/>
      <c r="AW865" s="157"/>
      <c r="AX865" s="157"/>
      <c r="AY865" s="157"/>
      <c r="AZ865" s="157"/>
      <c r="BA865" s="157"/>
      <c r="BB865" s="157"/>
      <c r="BC865" s="157"/>
      <c r="BD865" s="157"/>
      <c r="BE865" s="157"/>
      <c r="BF865" s="157"/>
      <c r="BG865" s="157"/>
      <c r="BH865" s="157"/>
      <c r="BI865" s="157"/>
      <c r="BJ865" s="157"/>
    </row>
    <row r="866" spans="1:62" ht="15.75" customHeight="1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  <c r="AA866" s="157"/>
      <c r="AB866" s="157"/>
      <c r="AC866" s="157"/>
      <c r="AD866" s="157"/>
      <c r="AE866" s="157"/>
      <c r="AF866" s="157"/>
      <c r="AG866" s="157"/>
      <c r="AH866" s="157"/>
      <c r="AI866" s="157"/>
      <c r="AJ866" s="157"/>
      <c r="AK866" s="157"/>
      <c r="AL866" s="157"/>
      <c r="AM866" s="157"/>
      <c r="AN866" s="157"/>
      <c r="AO866" s="157"/>
      <c r="AP866" s="157"/>
      <c r="AQ866" s="157"/>
      <c r="AR866" s="157"/>
      <c r="AS866" s="157"/>
      <c r="AT866" s="157"/>
      <c r="AU866" s="157"/>
      <c r="AV866" s="157"/>
      <c r="AW866" s="157"/>
      <c r="AX866" s="157"/>
      <c r="AY866" s="157"/>
      <c r="AZ866" s="157"/>
      <c r="BA866" s="157"/>
      <c r="BB866" s="157"/>
      <c r="BC866" s="157"/>
      <c r="BD866" s="157"/>
      <c r="BE866" s="157"/>
      <c r="BF866" s="157"/>
      <c r="BG866" s="157"/>
      <c r="BH866" s="157"/>
      <c r="BI866" s="157"/>
      <c r="BJ866" s="157"/>
    </row>
    <row r="867" spans="1:62" ht="15.75" customHeight="1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  <c r="AA867" s="157"/>
      <c r="AB867" s="157"/>
      <c r="AC867" s="157"/>
      <c r="AD867" s="157"/>
      <c r="AE867" s="157"/>
      <c r="AF867" s="157"/>
      <c r="AG867" s="157"/>
      <c r="AH867" s="157"/>
      <c r="AI867" s="157"/>
      <c r="AJ867" s="157"/>
      <c r="AK867" s="157"/>
      <c r="AL867" s="157"/>
      <c r="AM867" s="157"/>
      <c r="AN867" s="157"/>
      <c r="AO867" s="157"/>
      <c r="AP867" s="157"/>
      <c r="AQ867" s="157"/>
      <c r="AR867" s="157"/>
      <c r="AS867" s="157"/>
      <c r="AT867" s="157"/>
      <c r="AU867" s="157"/>
      <c r="AV867" s="157"/>
      <c r="AW867" s="157"/>
      <c r="AX867" s="157"/>
      <c r="AY867" s="157"/>
      <c r="AZ867" s="157"/>
      <c r="BA867" s="157"/>
      <c r="BB867" s="157"/>
      <c r="BC867" s="157"/>
      <c r="BD867" s="157"/>
      <c r="BE867" s="157"/>
      <c r="BF867" s="157"/>
      <c r="BG867" s="157"/>
      <c r="BH867" s="157"/>
      <c r="BI867" s="157"/>
      <c r="BJ867" s="157"/>
    </row>
    <row r="868" spans="1:62" ht="15.75" customHeight="1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  <c r="AA868" s="157"/>
      <c r="AB868" s="157"/>
      <c r="AC868" s="157"/>
      <c r="AD868" s="157"/>
      <c r="AE868" s="157"/>
      <c r="AF868" s="157"/>
      <c r="AG868" s="157"/>
      <c r="AH868" s="157"/>
      <c r="AI868" s="157"/>
      <c r="AJ868" s="157"/>
      <c r="AK868" s="157"/>
      <c r="AL868" s="157"/>
      <c r="AM868" s="157"/>
      <c r="AN868" s="157"/>
      <c r="AO868" s="157"/>
      <c r="AP868" s="157"/>
      <c r="AQ868" s="157"/>
      <c r="AR868" s="157"/>
      <c r="AS868" s="157"/>
      <c r="AT868" s="157"/>
      <c r="AU868" s="157"/>
      <c r="AV868" s="157"/>
      <c r="AW868" s="157"/>
      <c r="AX868" s="157"/>
      <c r="AY868" s="157"/>
      <c r="AZ868" s="157"/>
      <c r="BA868" s="157"/>
      <c r="BB868" s="157"/>
      <c r="BC868" s="157"/>
      <c r="BD868" s="157"/>
      <c r="BE868" s="157"/>
      <c r="BF868" s="157"/>
      <c r="BG868" s="157"/>
      <c r="BH868" s="157"/>
      <c r="BI868" s="157"/>
      <c r="BJ868" s="157"/>
    </row>
    <row r="869" spans="1:62" ht="15.75" customHeight="1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  <c r="AA869" s="157"/>
      <c r="AB869" s="157"/>
      <c r="AC869" s="157"/>
      <c r="AD869" s="157"/>
      <c r="AE869" s="157"/>
      <c r="AF869" s="157"/>
      <c r="AG869" s="157"/>
      <c r="AH869" s="157"/>
      <c r="AI869" s="157"/>
      <c r="AJ869" s="157"/>
      <c r="AK869" s="157"/>
      <c r="AL869" s="157"/>
      <c r="AM869" s="157"/>
      <c r="AN869" s="157"/>
      <c r="AO869" s="157"/>
      <c r="AP869" s="157"/>
      <c r="AQ869" s="157"/>
      <c r="AR869" s="157"/>
      <c r="AS869" s="157"/>
      <c r="AT869" s="157"/>
      <c r="AU869" s="157"/>
      <c r="AV869" s="157"/>
      <c r="AW869" s="157"/>
      <c r="AX869" s="157"/>
      <c r="AY869" s="157"/>
      <c r="AZ869" s="157"/>
      <c r="BA869" s="157"/>
      <c r="BB869" s="157"/>
      <c r="BC869" s="157"/>
      <c r="BD869" s="157"/>
      <c r="BE869" s="157"/>
      <c r="BF869" s="157"/>
      <c r="BG869" s="157"/>
      <c r="BH869" s="157"/>
      <c r="BI869" s="157"/>
      <c r="BJ869" s="157"/>
    </row>
    <row r="870" spans="1:62" ht="15.75" customHeight="1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  <c r="AA870" s="157"/>
      <c r="AB870" s="157"/>
      <c r="AC870" s="157"/>
      <c r="AD870" s="157"/>
      <c r="AE870" s="157"/>
      <c r="AF870" s="157"/>
      <c r="AG870" s="157"/>
      <c r="AH870" s="157"/>
      <c r="AI870" s="157"/>
      <c r="AJ870" s="157"/>
      <c r="AK870" s="157"/>
      <c r="AL870" s="157"/>
      <c r="AM870" s="157"/>
      <c r="AN870" s="157"/>
      <c r="AO870" s="157"/>
      <c r="AP870" s="157"/>
      <c r="AQ870" s="157"/>
      <c r="AR870" s="157"/>
      <c r="AS870" s="157"/>
      <c r="AT870" s="157"/>
      <c r="AU870" s="157"/>
      <c r="AV870" s="157"/>
      <c r="AW870" s="157"/>
      <c r="AX870" s="157"/>
      <c r="AY870" s="157"/>
      <c r="AZ870" s="157"/>
      <c r="BA870" s="157"/>
      <c r="BB870" s="157"/>
      <c r="BC870" s="157"/>
      <c r="BD870" s="157"/>
      <c r="BE870" s="157"/>
      <c r="BF870" s="157"/>
      <c r="BG870" s="157"/>
      <c r="BH870" s="157"/>
      <c r="BI870" s="157"/>
      <c r="BJ870" s="157"/>
    </row>
    <row r="871" spans="1:62" ht="15.75" customHeight="1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  <c r="AA871" s="157"/>
      <c r="AB871" s="157"/>
      <c r="AC871" s="157"/>
      <c r="AD871" s="157"/>
      <c r="AE871" s="157"/>
      <c r="AF871" s="157"/>
      <c r="AG871" s="157"/>
      <c r="AH871" s="157"/>
      <c r="AI871" s="157"/>
      <c r="AJ871" s="157"/>
      <c r="AK871" s="157"/>
      <c r="AL871" s="157"/>
      <c r="AM871" s="157"/>
      <c r="AN871" s="157"/>
      <c r="AO871" s="157"/>
      <c r="AP871" s="157"/>
      <c r="AQ871" s="157"/>
      <c r="AR871" s="157"/>
      <c r="AS871" s="157"/>
      <c r="AT871" s="157"/>
      <c r="AU871" s="157"/>
      <c r="AV871" s="157"/>
      <c r="AW871" s="157"/>
      <c r="AX871" s="157"/>
      <c r="AY871" s="157"/>
      <c r="AZ871" s="157"/>
      <c r="BA871" s="157"/>
      <c r="BB871" s="157"/>
      <c r="BC871" s="157"/>
      <c r="BD871" s="157"/>
      <c r="BE871" s="157"/>
      <c r="BF871" s="157"/>
      <c r="BG871" s="157"/>
      <c r="BH871" s="157"/>
      <c r="BI871" s="157"/>
      <c r="BJ871" s="157"/>
    </row>
    <row r="872" spans="1:62" ht="15.75" customHeight="1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  <c r="AA872" s="157"/>
      <c r="AB872" s="157"/>
      <c r="AC872" s="157"/>
      <c r="AD872" s="157"/>
      <c r="AE872" s="157"/>
      <c r="AF872" s="157"/>
      <c r="AG872" s="157"/>
      <c r="AH872" s="157"/>
      <c r="AI872" s="157"/>
      <c r="AJ872" s="157"/>
      <c r="AK872" s="157"/>
      <c r="AL872" s="157"/>
      <c r="AM872" s="157"/>
      <c r="AN872" s="157"/>
      <c r="AO872" s="157"/>
      <c r="AP872" s="157"/>
      <c r="AQ872" s="157"/>
      <c r="AR872" s="157"/>
      <c r="AS872" s="157"/>
      <c r="AT872" s="157"/>
      <c r="AU872" s="157"/>
      <c r="AV872" s="157"/>
      <c r="AW872" s="157"/>
      <c r="AX872" s="157"/>
      <c r="AY872" s="157"/>
      <c r="AZ872" s="157"/>
      <c r="BA872" s="157"/>
      <c r="BB872" s="157"/>
      <c r="BC872" s="157"/>
      <c r="BD872" s="157"/>
      <c r="BE872" s="157"/>
      <c r="BF872" s="157"/>
      <c r="BG872" s="157"/>
      <c r="BH872" s="157"/>
      <c r="BI872" s="157"/>
      <c r="BJ872" s="157"/>
    </row>
    <row r="873" spans="1:62" ht="15.75" customHeight="1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  <c r="AA873" s="157"/>
      <c r="AB873" s="157"/>
      <c r="AC873" s="157"/>
      <c r="AD873" s="157"/>
      <c r="AE873" s="157"/>
      <c r="AF873" s="157"/>
      <c r="AG873" s="157"/>
      <c r="AH873" s="157"/>
      <c r="AI873" s="157"/>
      <c r="AJ873" s="157"/>
      <c r="AK873" s="157"/>
      <c r="AL873" s="157"/>
      <c r="AM873" s="157"/>
      <c r="AN873" s="157"/>
      <c r="AO873" s="157"/>
      <c r="AP873" s="157"/>
      <c r="AQ873" s="157"/>
      <c r="AR873" s="157"/>
      <c r="AS873" s="157"/>
      <c r="AT873" s="157"/>
      <c r="AU873" s="157"/>
      <c r="AV873" s="157"/>
      <c r="AW873" s="157"/>
      <c r="AX873" s="157"/>
      <c r="AY873" s="157"/>
      <c r="AZ873" s="157"/>
      <c r="BA873" s="157"/>
      <c r="BB873" s="157"/>
      <c r="BC873" s="157"/>
      <c r="BD873" s="157"/>
      <c r="BE873" s="157"/>
      <c r="BF873" s="157"/>
      <c r="BG873" s="157"/>
      <c r="BH873" s="157"/>
      <c r="BI873" s="157"/>
      <c r="BJ873" s="157"/>
    </row>
    <row r="874" spans="1:62" ht="15.75" customHeight="1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  <c r="AA874" s="157"/>
      <c r="AB874" s="157"/>
      <c r="AC874" s="157"/>
      <c r="AD874" s="157"/>
      <c r="AE874" s="157"/>
      <c r="AF874" s="157"/>
      <c r="AG874" s="157"/>
      <c r="AH874" s="157"/>
      <c r="AI874" s="157"/>
      <c r="AJ874" s="157"/>
      <c r="AK874" s="157"/>
      <c r="AL874" s="157"/>
      <c r="AM874" s="157"/>
      <c r="AN874" s="157"/>
      <c r="AO874" s="157"/>
      <c r="AP874" s="157"/>
      <c r="AQ874" s="157"/>
      <c r="AR874" s="157"/>
      <c r="AS874" s="157"/>
      <c r="AT874" s="157"/>
      <c r="AU874" s="157"/>
      <c r="AV874" s="157"/>
      <c r="AW874" s="157"/>
      <c r="AX874" s="157"/>
      <c r="AY874" s="157"/>
      <c r="AZ874" s="157"/>
      <c r="BA874" s="157"/>
      <c r="BB874" s="157"/>
      <c r="BC874" s="157"/>
      <c r="BD874" s="157"/>
      <c r="BE874" s="157"/>
      <c r="BF874" s="157"/>
      <c r="BG874" s="157"/>
      <c r="BH874" s="157"/>
      <c r="BI874" s="157"/>
      <c r="BJ874" s="157"/>
    </row>
    <row r="875" spans="1:62" ht="15.75" customHeight="1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  <c r="AA875" s="157"/>
      <c r="AB875" s="157"/>
      <c r="AC875" s="157"/>
      <c r="AD875" s="157"/>
      <c r="AE875" s="157"/>
      <c r="AF875" s="157"/>
      <c r="AG875" s="157"/>
      <c r="AH875" s="157"/>
      <c r="AI875" s="157"/>
      <c r="AJ875" s="157"/>
      <c r="AK875" s="157"/>
      <c r="AL875" s="157"/>
      <c r="AM875" s="157"/>
      <c r="AN875" s="157"/>
      <c r="AO875" s="157"/>
      <c r="AP875" s="157"/>
      <c r="AQ875" s="157"/>
      <c r="AR875" s="157"/>
      <c r="AS875" s="157"/>
      <c r="AT875" s="157"/>
      <c r="AU875" s="157"/>
      <c r="AV875" s="157"/>
      <c r="AW875" s="157"/>
      <c r="AX875" s="157"/>
      <c r="AY875" s="157"/>
      <c r="AZ875" s="157"/>
      <c r="BA875" s="157"/>
      <c r="BB875" s="157"/>
      <c r="BC875" s="157"/>
      <c r="BD875" s="157"/>
      <c r="BE875" s="157"/>
      <c r="BF875" s="157"/>
      <c r="BG875" s="157"/>
      <c r="BH875" s="157"/>
      <c r="BI875" s="157"/>
      <c r="BJ875" s="157"/>
    </row>
    <row r="876" spans="1:62" ht="15.75" customHeight="1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  <c r="AA876" s="157"/>
      <c r="AB876" s="157"/>
      <c r="AC876" s="157"/>
      <c r="AD876" s="157"/>
      <c r="AE876" s="157"/>
      <c r="AF876" s="157"/>
      <c r="AG876" s="157"/>
      <c r="AH876" s="157"/>
      <c r="AI876" s="157"/>
      <c r="AJ876" s="157"/>
      <c r="AK876" s="157"/>
      <c r="AL876" s="157"/>
      <c r="AM876" s="157"/>
      <c r="AN876" s="157"/>
      <c r="AO876" s="157"/>
      <c r="AP876" s="157"/>
      <c r="AQ876" s="157"/>
      <c r="AR876" s="157"/>
      <c r="AS876" s="157"/>
      <c r="AT876" s="157"/>
      <c r="AU876" s="157"/>
      <c r="AV876" s="157"/>
      <c r="AW876" s="157"/>
      <c r="AX876" s="157"/>
      <c r="AY876" s="157"/>
      <c r="AZ876" s="157"/>
      <c r="BA876" s="157"/>
      <c r="BB876" s="157"/>
      <c r="BC876" s="157"/>
      <c r="BD876" s="157"/>
      <c r="BE876" s="157"/>
      <c r="BF876" s="157"/>
      <c r="BG876" s="157"/>
      <c r="BH876" s="157"/>
      <c r="BI876" s="157"/>
      <c r="BJ876" s="157"/>
    </row>
    <row r="877" spans="1:62" ht="15.75" customHeight="1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  <c r="AA877" s="157"/>
      <c r="AB877" s="157"/>
      <c r="AC877" s="157"/>
      <c r="AD877" s="157"/>
      <c r="AE877" s="157"/>
      <c r="AF877" s="157"/>
      <c r="AG877" s="157"/>
      <c r="AH877" s="157"/>
      <c r="AI877" s="157"/>
      <c r="AJ877" s="157"/>
      <c r="AK877" s="157"/>
      <c r="AL877" s="157"/>
      <c r="AM877" s="157"/>
      <c r="AN877" s="157"/>
      <c r="AO877" s="157"/>
      <c r="AP877" s="157"/>
      <c r="AQ877" s="157"/>
      <c r="AR877" s="157"/>
      <c r="AS877" s="157"/>
      <c r="AT877" s="157"/>
      <c r="AU877" s="157"/>
      <c r="AV877" s="157"/>
      <c r="AW877" s="157"/>
      <c r="AX877" s="157"/>
      <c r="AY877" s="157"/>
      <c r="AZ877" s="157"/>
      <c r="BA877" s="157"/>
      <c r="BB877" s="157"/>
      <c r="BC877" s="157"/>
      <c r="BD877" s="157"/>
      <c r="BE877" s="157"/>
      <c r="BF877" s="157"/>
      <c r="BG877" s="157"/>
      <c r="BH877" s="157"/>
      <c r="BI877" s="157"/>
      <c r="BJ877" s="157"/>
    </row>
    <row r="878" spans="1:62" ht="15.75" customHeight="1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  <c r="AA878" s="157"/>
      <c r="AB878" s="157"/>
      <c r="AC878" s="157"/>
      <c r="AD878" s="157"/>
      <c r="AE878" s="157"/>
      <c r="AF878" s="157"/>
      <c r="AG878" s="157"/>
      <c r="AH878" s="157"/>
      <c r="AI878" s="157"/>
      <c r="AJ878" s="157"/>
      <c r="AK878" s="157"/>
      <c r="AL878" s="157"/>
      <c r="AM878" s="157"/>
      <c r="AN878" s="157"/>
      <c r="AO878" s="157"/>
      <c r="AP878" s="157"/>
      <c r="AQ878" s="157"/>
      <c r="AR878" s="157"/>
      <c r="AS878" s="157"/>
      <c r="AT878" s="157"/>
      <c r="AU878" s="157"/>
      <c r="AV878" s="157"/>
      <c r="AW878" s="157"/>
      <c r="AX878" s="157"/>
      <c r="AY878" s="157"/>
      <c r="AZ878" s="157"/>
      <c r="BA878" s="157"/>
      <c r="BB878" s="157"/>
      <c r="BC878" s="157"/>
      <c r="BD878" s="157"/>
      <c r="BE878" s="157"/>
      <c r="BF878" s="157"/>
      <c r="BG878" s="157"/>
      <c r="BH878" s="157"/>
      <c r="BI878" s="157"/>
      <c r="BJ878" s="157"/>
    </row>
    <row r="879" spans="1:62" ht="15.75" customHeight="1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  <c r="AA879" s="157"/>
      <c r="AB879" s="157"/>
      <c r="AC879" s="157"/>
      <c r="AD879" s="157"/>
      <c r="AE879" s="157"/>
      <c r="AF879" s="157"/>
      <c r="AG879" s="157"/>
      <c r="AH879" s="157"/>
      <c r="AI879" s="157"/>
      <c r="AJ879" s="157"/>
      <c r="AK879" s="157"/>
      <c r="AL879" s="157"/>
      <c r="AM879" s="157"/>
      <c r="AN879" s="157"/>
      <c r="AO879" s="157"/>
      <c r="AP879" s="157"/>
      <c r="AQ879" s="157"/>
      <c r="AR879" s="157"/>
      <c r="AS879" s="157"/>
      <c r="AT879" s="157"/>
      <c r="AU879" s="157"/>
      <c r="AV879" s="157"/>
      <c r="AW879" s="157"/>
      <c r="AX879" s="157"/>
      <c r="AY879" s="157"/>
      <c r="AZ879" s="157"/>
      <c r="BA879" s="157"/>
      <c r="BB879" s="157"/>
      <c r="BC879" s="157"/>
      <c r="BD879" s="157"/>
      <c r="BE879" s="157"/>
      <c r="BF879" s="157"/>
      <c r="BG879" s="157"/>
      <c r="BH879" s="157"/>
      <c r="BI879" s="157"/>
      <c r="BJ879" s="157"/>
    </row>
    <row r="880" spans="1:62" ht="15.75" customHeight="1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  <c r="AA880" s="157"/>
      <c r="AB880" s="157"/>
      <c r="AC880" s="157"/>
      <c r="AD880" s="157"/>
      <c r="AE880" s="157"/>
      <c r="AF880" s="157"/>
      <c r="AG880" s="157"/>
      <c r="AH880" s="157"/>
      <c r="AI880" s="157"/>
      <c r="AJ880" s="157"/>
      <c r="AK880" s="157"/>
      <c r="AL880" s="157"/>
      <c r="AM880" s="157"/>
      <c r="AN880" s="157"/>
      <c r="AO880" s="157"/>
      <c r="AP880" s="157"/>
      <c r="AQ880" s="157"/>
      <c r="AR880" s="157"/>
      <c r="AS880" s="157"/>
      <c r="AT880" s="157"/>
      <c r="AU880" s="157"/>
      <c r="AV880" s="157"/>
      <c r="AW880" s="157"/>
      <c r="AX880" s="157"/>
      <c r="AY880" s="157"/>
      <c r="AZ880" s="157"/>
      <c r="BA880" s="157"/>
      <c r="BB880" s="157"/>
      <c r="BC880" s="157"/>
      <c r="BD880" s="157"/>
      <c r="BE880" s="157"/>
      <c r="BF880" s="157"/>
      <c r="BG880" s="157"/>
      <c r="BH880" s="157"/>
      <c r="BI880" s="157"/>
      <c r="BJ880" s="157"/>
    </row>
    <row r="881" spans="1:62" ht="15.75" customHeight="1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  <c r="AA881" s="157"/>
      <c r="AB881" s="157"/>
      <c r="AC881" s="157"/>
      <c r="AD881" s="157"/>
      <c r="AE881" s="157"/>
      <c r="AF881" s="157"/>
      <c r="AG881" s="157"/>
      <c r="AH881" s="157"/>
      <c r="AI881" s="157"/>
      <c r="AJ881" s="157"/>
      <c r="AK881" s="157"/>
      <c r="AL881" s="157"/>
      <c r="AM881" s="157"/>
      <c r="AN881" s="157"/>
      <c r="AO881" s="157"/>
      <c r="AP881" s="157"/>
      <c r="AQ881" s="157"/>
      <c r="AR881" s="157"/>
      <c r="AS881" s="157"/>
      <c r="AT881" s="157"/>
      <c r="AU881" s="157"/>
      <c r="AV881" s="157"/>
      <c r="AW881" s="157"/>
      <c r="AX881" s="157"/>
      <c r="AY881" s="157"/>
      <c r="AZ881" s="157"/>
      <c r="BA881" s="157"/>
      <c r="BB881" s="157"/>
      <c r="BC881" s="157"/>
      <c r="BD881" s="157"/>
      <c r="BE881" s="157"/>
      <c r="BF881" s="157"/>
      <c r="BG881" s="157"/>
      <c r="BH881" s="157"/>
      <c r="BI881" s="157"/>
      <c r="BJ881" s="157"/>
    </row>
    <row r="882" spans="1:62" ht="15.75" customHeight="1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  <c r="AA882" s="157"/>
      <c r="AB882" s="157"/>
      <c r="AC882" s="157"/>
      <c r="AD882" s="157"/>
      <c r="AE882" s="157"/>
      <c r="AF882" s="157"/>
      <c r="AG882" s="157"/>
      <c r="AH882" s="157"/>
      <c r="AI882" s="157"/>
      <c r="AJ882" s="157"/>
      <c r="AK882" s="157"/>
      <c r="AL882" s="157"/>
      <c r="AM882" s="157"/>
      <c r="AN882" s="157"/>
      <c r="AO882" s="157"/>
      <c r="AP882" s="157"/>
      <c r="AQ882" s="157"/>
      <c r="AR882" s="157"/>
      <c r="AS882" s="157"/>
      <c r="AT882" s="157"/>
      <c r="AU882" s="157"/>
      <c r="AV882" s="157"/>
      <c r="AW882" s="157"/>
      <c r="AX882" s="157"/>
      <c r="AY882" s="157"/>
      <c r="AZ882" s="157"/>
      <c r="BA882" s="157"/>
      <c r="BB882" s="157"/>
      <c r="BC882" s="157"/>
      <c r="BD882" s="157"/>
      <c r="BE882" s="157"/>
      <c r="BF882" s="157"/>
      <c r="BG882" s="157"/>
      <c r="BH882" s="157"/>
      <c r="BI882" s="157"/>
      <c r="BJ882" s="157"/>
    </row>
    <row r="883" spans="1:62" ht="15.75" customHeight="1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  <c r="AA883" s="157"/>
      <c r="AB883" s="157"/>
      <c r="AC883" s="157"/>
      <c r="AD883" s="157"/>
      <c r="AE883" s="157"/>
      <c r="AF883" s="157"/>
      <c r="AG883" s="157"/>
      <c r="AH883" s="157"/>
      <c r="AI883" s="157"/>
      <c r="AJ883" s="157"/>
      <c r="AK883" s="157"/>
      <c r="AL883" s="157"/>
      <c r="AM883" s="157"/>
      <c r="AN883" s="157"/>
      <c r="AO883" s="157"/>
      <c r="AP883" s="157"/>
      <c r="AQ883" s="157"/>
      <c r="AR883" s="157"/>
      <c r="AS883" s="157"/>
      <c r="AT883" s="157"/>
      <c r="AU883" s="157"/>
      <c r="AV883" s="157"/>
      <c r="AW883" s="157"/>
      <c r="AX883" s="157"/>
      <c r="AY883" s="157"/>
      <c r="AZ883" s="157"/>
      <c r="BA883" s="157"/>
      <c r="BB883" s="157"/>
      <c r="BC883" s="157"/>
      <c r="BD883" s="157"/>
      <c r="BE883" s="157"/>
      <c r="BF883" s="157"/>
      <c r="BG883" s="157"/>
      <c r="BH883" s="157"/>
      <c r="BI883" s="157"/>
      <c r="BJ883" s="157"/>
    </row>
    <row r="884" spans="1:62" ht="15.75" customHeight="1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  <c r="AA884" s="157"/>
      <c r="AB884" s="157"/>
      <c r="AC884" s="157"/>
      <c r="AD884" s="157"/>
      <c r="AE884" s="157"/>
      <c r="AF884" s="157"/>
      <c r="AG884" s="157"/>
      <c r="AH884" s="157"/>
      <c r="AI884" s="157"/>
      <c r="AJ884" s="157"/>
      <c r="AK884" s="157"/>
      <c r="AL884" s="157"/>
      <c r="AM884" s="157"/>
      <c r="AN884" s="157"/>
      <c r="AO884" s="157"/>
      <c r="AP884" s="157"/>
      <c r="AQ884" s="157"/>
      <c r="AR884" s="157"/>
      <c r="AS884" s="157"/>
      <c r="AT884" s="157"/>
      <c r="AU884" s="157"/>
      <c r="AV884" s="157"/>
      <c r="AW884" s="157"/>
      <c r="AX884" s="157"/>
      <c r="AY884" s="157"/>
      <c r="AZ884" s="157"/>
      <c r="BA884" s="157"/>
      <c r="BB884" s="157"/>
      <c r="BC884" s="157"/>
      <c r="BD884" s="157"/>
      <c r="BE884" s="157"/>
      <c r="BF884" s="157"/>
      <c r="BG884" s="157"/>
      <c r="BH884" s="157"/>
      <c r="BI884" s="157"/>
      <c r="BJ884" s="157"/>
    </row>
    <row r="885" spans="1:62" ht="15.75" customHeight="1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  <c r="AA885" s="157"/>
      <c r="AB885" s="157"/>
      <c r="AC885" s="157"/>
      <c r="AD885" s="157"/>
      <c r="AE885" s="157"/>
      <c r="AF885" s="157"/>
      <c r="AG885" s="157"/>
      <c r="AH885" s="157"/>
      <c r="AI885" s="157"/>
      <c r="AJ885" s="157"/>
      <c r="AK885" s="157"/>
      <c r="AL885" s="157"/>
      <c r="AM885" s="157"/>
      <c r="AN885" s="157"/>
      <c r="AO885" s="157"/>
      <c r="AP885" s="157"/>
      <c r="AQ885" s="157"/>
      <c r="AR885" s="157"/>
      <c r="AS885" s="157"/>
      <c r="AT885" s="157"/>
      <c r="AU885" s="157"/>
      <c r="AV885" s="157"/>
      <c r="AW885" s="157"/>
      <c r="AX885" s="157"/>
      <c r="AY885" s="157"/>
      <c r="AZ885" s="157"/>
      <c r="BA885" s="157"/>
      <c r="BB885" s="157"/>
      <c r="BC885" s="157"/>
      <c r="BD885" s="157"/>
      <c r="BE885" s="157"/>
      <c r="BF885" s="157"/>
      <c r="BG885" s="157"/>
      <c r="BH885" s="157"/>
      <c r="BI885" s="157"/>
      <c r="BJ885" s="157"/>
    </row>
    <row r="886" spans="1:62" ht="15.75" customHeight="1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  <c r="AA886" s="157"/>
      <c r="AB886" s="157"/>
      <c r="AC886" s="157"/>
      <c r="AD886" s="157"/>
      <c r="AE886" s="157"/>
      <c r="AF886" s="157"/>
      <c r="AG886" s="157"/>
      <c r="AH886" s="157"/>
      <c r="AI886" s="157"/>
      <c r="AJ886" s="157"/>
      <c r="AK886" s="157"/>
      <c r="AL886" s="157"/>
      <c r="AM886" s="157"/>
      <c r="AN886" s="157"/>
      <c r="AO886" s="157"/>
      <c r="AP886" s="157"/>
      <c r="AQ886" s="157"/>
      <c r="AR886" s="157"/>
      <c r="AS886" s="157"/>
      <c r="AT886" s="157"/>
      <c r="AU886" s="157"/>
      <c r="AV886" s="157"/>
      <c r="AW886" s="157"/>
      <c r="AX886" s="157"/>
      <c r="AY886" s="157"/>
      <c r="AZ886" s="157"/>
      <c r="BA886" s="157"/>
      <c r="BB886" s="157"/>
      <c r="BC886" s="157"/>
      <c r="BD886" s="157"/>
      <c r="BE886" s="157"/>
      <c r="BF886" s="157"/>
      <c r="BG886" s="157"/>
      <c r="BH886" s="157"/>
      <c r="BI886" s="157"/>
      <c r="BJ886" s="157"/>
    </row>
    <row r="887" spans="1:62" ht="15.75" customHeight="1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  <c r="AA887" s="157"/>
      <c r="AB887" s="157"/>
      <c r="AC887" s="157"/>
      <c r="AD887" s="157"/>
      <c r="AE887" s="157"/>
      <c r="AF887" s="157"/>
      <c r="AG887" s="157"/>
      <c r="AH887" s="157"/>
      <c r="AI887" s="157"/>
      <c r="AJ887" s="157"/>
      <c r="AK887" s="157"/>
      <c r="AL887" s="157"/>
      <c r="AM887" s="157"/>
      <c r="AN887" s="157"/>
      <c r="AO887" s="157"/>
      <c r="AP887" s="157"/>
      <c r="AQ887" s="157"/>
      <c r="AR887" s="157"/>
      <c r="AS887" s="157"/>
      <c r="AT887" s="157"/>
      <c r="AU887" s="157"/>
      <c r="AV887" s="157"/>
      <c r="AW887" s="157"/>
      <c r="AX887" s="157"/>
      <c r="AY887" s="157"/>
      <c r="AZ887" s="157"/>
      <c r="BA887" s="157"/>
      <c r="BB887" s="157"/>
      <c r="BC887" s="157"/>
      <c r="BD887" s="157"/>
      <c r="BE887" s="157"/>
      <c r="BF887" s="157"/>
      <c r="BG887" s="157"/>
      <c r="BH887" s="157"/>
      <c r="BI887" s="157"/>
      <c r="BJ887" s="157"/>
    </row>
    <row r="888" spans="1:62" ht="15.75" customHeight="1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  <c r="AA888" s="157"/>
      <c r="AB888" s="157"/>
      <c r="AC888" s="157"/>
      <c r="AD888" s="157"/>
      <c r="AE888" s="157"/>
      <c r="AF888" s="157"/>
      <c r="AG888" s="157"/>
      <c r="AH888" s="157"/>
      <c r="AI888" s="157"/>
      <c r="AJ888" s="157"/>
      <c r="AK888" s="157"/>
      <c r="AL888" s="157"/>
      <c r="AM888" s="157"/>
      <c r="AN888" s="157"/>
      <c r="AO888" s="157"/>
      <c r="AP888" s="157"/>
      <c r="AQ888" s="157"/>
      <c r="AR888" s="157"/>
      <c r="AS888" s="157"/>
      <c r="AT888" s="157"/>
      <c r="AU888" s="157"/>
      <c r="AV888" s="157"/>
      <c r="AW888" s="157"/>
      <c r="AX888" s="157"/>
      <c r="AY888" s="157"/>
      <c r="AZ888" s="157"/>
      <c r="BA888" s="157"/>
      <c r="BB888" s="157"/>
      <c r="BC888" s="157"/>
      <c r="BD888" s="157"/>
      <c r="BE888" s="157"/>
      <c r="BF888" s="157"/>
      <c r="BG888" s="157"/>
      <c r="BH888" s="157"/>
      <c r="BI888" s="157"/>
      <c r="BJ888" s="157"/>
    </row>
    <row r="889" spans="1:62" ht="15.75" customHeight="1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  <c r="AA889" s="157"/>
      <c r="AB889" s="157"/>
      <c r="AC889" s="157"/>
      <c r="AD889" s="157"/>
      <c r="AE889" s="157"/>
      <c r="AF889" s="157"/>
      <c r="AG889" s="157"/>
      <c r="AH889" s="157"/>
      <c r="AI889" s="157"/>
      <c r="AJ889" s="157"/>
      <c r="AK889" s="157"/>
      <c r="AL889" s="157"/>
      <c r="AM889" s="157"/>
      <c r="AN889" s="157"/>
      <c r="AO889" s="157"/>
      <c r="AP889" s="157"/>
      <c r="AQ889" s="157"/>
      <c r="AR889" s="157"/>
      <c r="AS889" s="157"/>
      <c r="AT889" s="157"/>
      <c r="AU889" s="157"/>
      <c r="AV889" s="157"/>
      <c r="AW889" s="157"/>
      <c r="AX889" s="157"/>
      <c r="AY889" s="157"/>
      <c r="AZ889" s="157"/>
      <c r="BA889" s="157"/>
      <c r="BB889" s="157"/>
      <c r="BC889" s="157"/>
      <c r="BD889" s="157"/>
      <c r="BE889" s="157"/>
      <c r="BF889" s="157"/>
      <c r="BG889" s="157"/>
      <c r="BH889" s="157"/>
      <c r="BI889" s="157"/>
      <c r="BJ889" s="157"/>
    </row>
    <row r="890" spans="1:62" ht="15.75" customHeight="1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  <c r="AA890" s="157"/>
      <c r="AB890" s="157"/>
      <c r="AC890" s="157"/>
      <c r="AD890" s="157"/>
      <c r="AE890" s="157"/>
      <c r="AF890" s="157"/>
      <c r="AG890" s="157"/>
      <c r="AH890" s="157"/>
      <c r="AI890" s="157"/>
      <c r="AJ890" s="157"/>
      <c r="AK890" s="157"/>
      <c r="AL890" s="157"/>
      <c r="AM890" s="157"/>
      <c r="AN890" s="157"/>
      <c r="AO890" s="157"/>
      <c r="AP890" s="157"/>
      <c r="AQ890" s="157"/>
      <c r="AR890" s="157"/>
      <c r="AS890" s="157"/>
      <c r="AT890" s="157"/>
      <c r="AU890" s="157"/>
      <c r="AV890" s="157"/>
      <c r="AW890" s="157"/>
      <c r="AX890" s="157"/>
      <c r="AY890" s="157"/>
      <c r="AZ890" s="157"/>
      <c r="BA890" s="157"/>
      <c r="BB890" s="157"/>
      <c r="BC890" s="157"/>
      <c r="BD890" s="157"/>
      <c r="BE890" s="157"/>
      <c r="BF890" s="157"/>
      <c r="BG890" s="157"/>
      <c r="BH890" s="157"/>
      <c r="BI890" s="157"/>
      <c r="BJ890" s="157"/>
    </row>
    <row r="891" spans="1:62" ht="15.75" customHeight="1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  <c r="AA891" s="157"/>
      <c r="AB891" s="157"/>
      <c r="AC891" s="157"/>
      <c r="AD891" s="157"/>
      <c r="AE891" s="157"/>
      <c r="AF891" s="157"/>
      <c r="AG891" s="157"/>
      <c r="AH891" s="157"/>
      <c r="AI891" s="157"/>
      <c r="AJ891" s="157"/>
      <c r="AK891" s="157"/>
      <c r="AL891" s="157"/>
      <c r="AM891" s="157"/>
      <c r="AN891" s="157"/>
      <c r="AO891" s="157"/>
      <c r="AP891" s="157"/>
      <c r="AQ891" s="157"/>
      <c r="AR891" s="157"/>
      <c r="AS891" s="157"/>
      <c r="AT891" s="157"/>
      <c r="AU891" s="157"/>
      <c r="AV891" s="157"/>
      <c r="AW891" s="157"/>
      <c r="AX891" s="157"/>
      <c r="AY891" s="157"/>
      <c r="AZ891" s="157"/>
      <c r="BA891" s="157"/>
      <c r="BB891" s="157"/>
      <c r="BC891" s="157"/>
      <c r="BD891" s="157"/>
      <c r="BE891" s="157"/>
      <c r="BF891" s="157"/>
      <c r="BG891" s="157"/>
      <c r="BH891" s="157"/>
      <c r="BI891" s="157"/>
      <c r="BJ891" s="157"/>
    </row>
    <row r="892" spans="1:62" ht="15.75" customHeight="1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  <c r="AA892" s="157"/>
      <c r="AB892" s="157"/>
      <c r="AC892" s="157"/>
      <c r="AD892" s="157"/>
      <c r="AE892" s="157"/>
      <c r="AF892" s="157"/>
      <c r="AG892" s="157"/>
      <c r="AH892" s="157"/>
      <c r="AI892" s="157"/>
      <c r="AJ892" s="157"/>
      <c r="AK892" s="157"/>
      <c r="AL892" s="157"/>
      <c r="AM892" s="157"/>
      <c r="AN892" s="157"/>
      <c r="AO892" s="157"/>
      <c r="AP892" s="157"/>
      <c r="AQ892" s="157"/>
      <c r="AR892" s="157"/>
      <c r="AS892" s="157"/>
      <c r="AT892" s="157"/>
      <c r="AU892" s="157"/>
      <c r="AV892" s="157"/>
      <c r="AW892" s="157"/>
      <c r="AX892" s="157"/>
      <c r="AY892" s="157"/>
      <c r="AZ892" s="157"/>
      <c r="BA892" s="157"/>
      <c r="BB892" s="157"/>
      <c r="BC892" s="157"/>
      <c r="BD892" s="157"/>
      <c r="BE892" s="157"/>
      <c r="BF892" s="157"/>
      <c r="BG892" s="157"/>
      <c r="BH892" s="157"/>
      <c r="BI892" s="157"/>
      <c r="BJ892" s="157"/>
    </row>
    <row r="893" spans="1:62" ht="15.75" customHeight="1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  <c r="AA893" s="157"/>
      <c r="AB893" s="157"/>
      <c r="AC893" s="157"/>
      <c r="AD893" s="157"/>
      <c r="AE893" s="157"/>
      <c r="AF893" s="157"/>
      <c r="AG893" s="157"/>
      <c r="AH893" s="157"/>
      <c r="AI893" s="157"/>
      <c r="AJ893" s="157"/>
      <c r="AK893" s="157"/>
      <c r="AL893" s="157"/>
      <c r="AM893" s="157"/>
      <c r="AN893" s="157"/>
      <c r="AO893" s="157"/>
      <c r="AP893" s="157"/>
      <c r="AQ893" s="157"/>
      <c r="AR893" s="157"/>
      <c r="AS893" s="157"/>
      <c r="AT893" s="157"/>
      <c r="AU893" s="157"/>
      <c r="AV893" s="157"/>
      <c r="AW893" s="157"/>
      <c r="AX893" s="157"/>
      <c r="AY893" s="157"/>
      <c r="AZ893" s="157"/>
      <c r="BA893" s="157"/>
      <c r="BB893" s="157"/>
      <c r="BC893" s="157"/>
      <c r="BD893" s="157"/>
      <c r="BE893" s="157"/>
      <c r="BF893" s="157"/>
      <c r="BG893" s="157"/>
      <c r="BH893" s="157"/>
      <c r="BI893" s="157"/>
      <c r="BJ893" s="157"/>
    </row>
    <row r="894" spans="1:62" ht="15.75" customHeight="1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  <c r="AA894" s="157"/>
      <c r="AB894" s="157"/>
      <c r="AC894" s="157"/>
      <c r="AD894" s="157"/>
      <c r="AE894" s="157"/>
      <c r="AF894" s="157"/>
      <c r="AG894" s="157"/>
      <c r="AH894" s="157"/>
      <c r="AI894" s="157"/>
      <c r="AJ894" s="157"/>
      <c r="AK894" s="157"/>
      <c r="AL894" s="157"/>
      <c r="AM894" s="157"/>
      <c r="AN894" s="157"/>
      <c r="AO894" s="157"/>
      <c r="AP894" s="157"/>
      <c r="AQ894" s="157"/>
      <c r="AR894" s="157"/>
      <c r="AS894" s="157"/>
      <c r="AT894" s="157"/>
      <c r="AU894" s="157"/>
      <c r="AV894" s="157"/>
      <c r="AW894" s="157"/>
      <c r="AX894" s="157"/>
      <c r="AY894" s="157"/>
      <c r="AZ894" s="157"/>
      <c r="BA894" s="157"/>
      <c r="BB894" s="157"/>
      <c r="BC894" s="157"/>
      <c r="BD894" s="157"/>
      <c r="BE894" s="157"/>
      <c r="BF894" s="157"/>
      <c r="BG894" s="157"/>
      <c r="BH894" s="157"/>
      <c r="BI894" s="157"/>
      <c r="BJ894" s="157"/>
    </row>
    <row r="895" spans="1:62" ht="15.75" customHeight="1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  <c r="AA895" s="157"/>
      <c r="AB895" s="157"/>
      <c r="AC895" s="157"/>
      <c r="AD895" s="157"/>
      <c r="AE895" s="157"/>
      <c r="AF895" s="157"/>
      <c r="AG895" s="157"/>
      <c r="AH895" s="157"/>
      <c r="AI895" s="157"/>
      <c r="AJ895" s="157"/>
      <c r="AK895" s="157"/>
      <c r="AL895" s="157"/>
      <c r="AM895" s="157"/>
      <c r="AN895" s="157"/>
      <c r="AO895" s="157"/>
      <c r="AP895" s="157"/>
      <c r="AQ895" s="157"/>
      <c r="AR895" s="157"/>
      <c r="AS895" s="157"/>
      <c r="AT895" s="157"/>
      <c r="AU895" s="157"/>
      <c r="AV895" s="157"/>
      <c r="AW895" s="157"/>
      <c r="AX895" s="157"/>
      <c r="AY895" s="157"/>
      <c r="AZ895" s="157"/>
      <c r="BA895" s="157"/>
      <c r="BB895" s="157"/>
      <c r="BC895" s="157"/>
      <c r="BD895" s="157"/>
      <c r="BE895" s="157"/>
      <c r="BF895" s="157"/>
      <c r="BG895" s="157"/>
      <c r="BH895" s="157"/>
      <c r="BI895" s="157"/>
      <c r="BJ895" s="157"/>
    </row>
    <row r="896" spans="1:62" ht="15.75" customHeight="1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  <c r="AA896" s="157"/>
      <c r="AB896" s="157"/>
      <c r="AC896" s="157"/>
      <c r="AD896" s="157"/>
      <c r="AE896" s="157"/>
      <c r="AF896" s="157"/>
      <c r="AG896" s="157"/>
      <c r="AH896" s="157"/>
      <c r="AI896" s="157"/>
      <c r="AJ896" s="157"/>
      <c r="AK896" s="157"/>
      <c r="AL896" s="157"/>
      <c r="AM896" s="157"/>
      <c r="AN896" s="157"/>
      <c r="AO896" s="157"/>
      <c r="AP896" s="157"/>
      <c r="AQ896" s="157"/>
      <c r="AR896" s="157"/>
      <c r="AS896" s="157"/>
      <c r="AT896" s="157"/>
      <c r="AU896" s="157"/>
      <c r="AV896" s="157"/>
      <c r="AW896" s="157"/>
      <c r="AX896" s="157"/>
      <c r="AY896" s="157"/>
      <c r="AZ896" s="157"/>
      <c r="BA896" s="157"/>
      <c r="BB896" s="157"/>
      <c r="BC896" s="157"/>
      <c r="BD896" s="157"/>
      <c r="BE896" s="157"/>
      <c r="BF896" s="157"/>
      <c r="BG896" s="157"/>
      <c r="BH896" s="157"/>
      <c r="BI896" s="157"/>
      <c r="BJ896" s="157"/>
    </row>
    <row r="897" spans="1:62" ht="15.75" customHeight="1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  <c r="AA897" s="157"/>
      <c r="AB897" s="157"/>
      <c r="AC897" s="157"/>
      <c r="AD897" s="157"/>
      <c r="AE897" s="157"/>
      <c r="AF897" s="157"/>
      <c r="AG897" s="157"/>
      <c r="AH897" s="157"/>
      <c r="AI897" s="157"/>
      <c r="AJ897" s="157"/>
      <c r="AK897" s="157"/>
      <c r="AL897" s="157"/>
      <c r="AM897" s="157"/>
      <c r="AN897" s="157"/>
      <c r="AO897" s="157"/>
      <c r="AP897" s="157"/>
      <c r="AQ897" s="157"/>
      <c r="AR897" s="157"/>
      <c r="AS897" s="157"/>
      <c r="AT897" s="157"/>
      <c r="AU897" s="157"/>
      <c r="AV897" s="157"/>
      <c r="AW897" s="157"/>
      <c r="AX897" s="157"/>
      <c r="AY897" s="157"/>
      <c r="AZ897" s="157"/>
      <c r="BA897" s="157"/>
      <c r="BB897" s="157"/>
      <c r="BC897" s="157"/>
      <c r="BD897" s="157"/>
      <c r="BE897" s="157"/>
      <c r="BF897" s="157"/>
      <c r="BG897" s="157"/>
      <c r="BH897" s="157"/>
      <c r="BI897" s="157"/>
      <c r="BJ897" s="157"/>
    </row>
    <row r="898" spans="1:62" ht="15.75" customHeight="1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  <c r="AA898" s="157"/>
      <c r="AB898" s="157"/>
      <c r="AC898" s="157"/>
      <c r="AD898" s="157"/>
      <c r="AE898" s="157"/>
      <c r="AF898" s="157"/>
      <c r="AG898" s="157"/>
      <c r="AH898" s="157"/>
      <c r="AI898" s="157"/>
      <c r="AJ898" s="157"/>
      <c r="AK898" s="157"/>
      <c r="AL898" s="157"/>
      <c r="AM898" s="157"/>
      <c r="AN898" s="157"/>
      <c r="AO898" s="157"/>
      <c r="AP898" s="157"/>
      <c r="AQ898" s="157"/>
      <c r="AR898" s="157"/>
      <c r="AS898" s="157"/>
      <c r="AT898" s="157"/>
      <c r="AU898" s="157"/>
      <c r="AV898" s="157"/>
      <c r="AW898" s="157"/>
      <c r="AX898" s="157"/>
      <c r="AY898" s="157"/>
      <c r="AZ898" s="157"/>
      <c r="BA898" s="157"/>
      <c r="BB898" s="157"/>
      <c r="BC898" s="157"/>
      <c r="BD898" s="157"/>
      <c r="BE898" s="157"/>
      <c r="BF898" s="157"/>
      <c r="BG898" s="157"/>
      <c r="BH898" s="157"/>
      <c r="BI898" s="157"/>
      <c r="BJ898" s="157"/>
    </row>
    <row r="899" spans="1:62" ht="15.75" customHeight="1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  <c r="AA899" s="157"/>
      <c r="AB899" s="157"/>
      <c r="AC899" s="157"/>
      <c r="AD899" s="157"/>
      <c r="AE899" s="157"/>
      <c r="AF899" s="157"/>
      <c r="AG899" s="157"/>
      <c r="AH899" s="157"/>
      <c r="AI899" s="157"/>
      <c r="AJ899" s="157"/>
      <c r="AK899" s="157"/>
      <c r="AL899" s="157"/>
      <c r="AM899" s="157"/>
      <c r="AN899" s="157"/>
      <c r="AO899" s="157"/>
      <c r="AP899" s="157"/>
      <c r="AQ899" s="157"/>
      <c r="AR899" s="157"/>
      <c r="AS899" s="157"/>
      <c r="AT899" s="157"/>
      <c r="AU899" s="157"/>
      <c r="AV899" s="157"/>
      <c r="AW899" s="157"/>
      <c r="AX899" s="157"/>
      <c r="AY899" s="157"/>
      <c r="AZ899" s="157"/>
      <c r="BA899" s="157"/>
      <c r="BB899" s="157"/>
      <c r="BC899" s="157"/>
      <c r="BD899" s="157"/>
      <c r="BE899" s="157"/>
      <c r="BF899" s="157"/>
      <c r="BG899" s="157"/>
      <c r="BH899" s="157"/>
      <c r="BI899" s="157"/>
      <c r="BJ899" s="157"/>
    </row>
    <row r="900" spans="1:62" ht="15.75" customHeight="1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  <c r="AA900" s="157"/>
      <c r="AB900" s="157"/>
      <c r="AC900" s="157"/>
      <c r="AD900" s="157"/>
      <c r="AE900" s="157"/>
      <c r="AF900" s="157"/>
      <c r="AG900" s="157"/>
      <c r="AH900" s="157"/>
      <c r="AI900" s="157"/>
      <c r="AJ900" s="157"/>
      <c r="AK900" s="157"/>
      <c r="AL900" s="157"/>
      <c r="AM900" s="157"/>
      <c r="AN900" s="157"/>
      <c r="AO900" s="157"/>
      <c r="AP900" s="157"/>
      <c r="AQ900" s="157"/>
      <c r="AR900" s="157"/>
      <c r="AS900" s="157"/>
      <c r="AT900" s="157"/>
      <c r="AU900" s="157"/>
      <c r="AV900" s="157"/>
      <c r="AW900" s="157"/>
      <c r="AX900" s="157"/>
      <c r="AY900" s="157"/>
      <c r="AZ900" s="157"/>
      <c r="BA900" s="157"/>
      <c r="BB900" s="157"/>
      <c r="BC900" s="157"/>
      <c r="BD900" s="157"/>
      <c r="BE900" s="157"/>
      <c r="BF900" s="157"/>
      <c r="BG900" s="157"/>
      <c r="BH900" s="157"/>
      <c r="BI900" s="157"/>
      <c r="BJ900" s="157"/>
    </row>
    <row r="901" spans="1:62" ht="15.75" customHeight="1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  <c r="AA901" s="157"/>
      <c r="AB901" s="157"/>
      <c r="AC901" s="157"/>
      <c r="AD901" s="157"/>
      <c r="AE901" s="157"/>
      <c r="AF901" s="157"/>
      <c r="AG901" s="157"/>
      <c r="AH901" s="157"/>
      <c r="AI901" s="157"/>
      <c r="AJ901" s="157"/>
      <c r="AK901" s="157"/>
      <c r="AL901" s="157"/>
      <c r="AM901" s="157"/>
      <c r="AN901" s="157"/>
      <c r="AO901" s="157"/>
      <c r="AP901" s="157"/>
      <c r="AQ901" s="157"/>
      <c r="AR901" s="157"/>
      <c r="AS901" s="157"/>
      <c r="AT901" s="157"/>
      <c r="AU901" s="157"/>
      <c r="AV901" s="157"/>
      <c r="AW901" s="157"/>
      <c r="AX901" s="157"/>
      <c r="AY901" s="157"/>
      <c r="AZ901" s="157"/>
      <c r="BA901" s="157"/>
      <c r="BB901" s="157"/>
      <c r="BC901" s="157"/>
      <c r="BD901" s="157"/>
      <c r="BE901" s="157"/>
      <c r="BF901" s="157"/>
      <c r="BG901" s="157"/>
      <c r="BH901" s="157"/>
      <c r="BI901" s="157"/>
      <c r="BJ901" s="157"/>
    </row>
    <row r="902" spans="1:62" ht="15.75" customHeight="1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  <c r="AA902" s="157"/>
      <c r="AB902" s="157"/>
      <c r="AC902" s="157"/>
      <c r="AD902" s="157"/>
      <c r="AE902" s="157"/>
      <c r="AF902" s="157"/>
      <c r="AG902" s="157"/>
      <c r="AH902" s="157"/>
      <c r="AI902" s="157"/>
      <c r="AJ902" s="157"/>
      <c r="AK902" s="157"/>
      <c r="AL902" s="157"/>
      <c r="AM902" s="157"/>
      <c r="AN902" s="157"/>
      <c r="AO902" s="157"/>
      <c r="AP902" s="157"/>
      <c r="AQ902" s="157"/>
      <c r="AR902" s="157"/>
      <c r="AS902" s="157"/>
      <c r="AT902" s="157"/>
      <c r="AU902" s="157"/>
      <c r="AV902" s="157"/>
      <c r="AW902" s="157"/>
      <c r="AX902" s="157"/>
      <c r="AY902" s="157"/>
      <c r="AZ902" s="157"/>
      <c r="BA902" s="157"/>
      <c r="BB902" s="157"/>
      <c r="BC902" s="157"/>
      <c r="BD902" s="157"/>
      <c r="BE902" s="157"/>
      <c r="BF902" s="157"/>
      <c r="BG902" s="157"/>
      <c r="BH902" s="157"/>
      <c r="BI902" s="157"/>
      <c r="BJ902" s="157"/>
    </row>
    <row r="903" spans="1:62" ht="15.75" customHeight="1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  <c r="AA903" s="157"/>
      <c r="AB903" s="157"/>
      <c r="AC903" s="157"/>
      <c r="AD903" s="157"/>
      <c r="AE903" s="157"/>
      <c r="AF903" s="157"/>
      <c r="AG903" s="157"/>
      <c r="AH903" s="157"/>
      <c r="AI903" s="157"/>
      <c r="AJ903" s="157"/>
      <c r="AK903" s="157"/>
      <c r="AL903" s="157"/>
      <c r="AM903" s="157"/>
      <c r="AN903" s="157"/>
      <c r="AO903" s="157"/>
      <c r="AP903" s="157"/>
      <c r="AQ903" s="157"/>
      <c r="AR903" s="157"/>
      <c r="AS903" s="157"/>
      <c r="AT903" s="157"/>
      <c r="AU903" s="157"/>
      <c r="AV903" s="157"/>
      <c r="AW903" s="157"/>
      <c r="AX903" s="157"/>
      <c r="AY903" s="157"/>
      <c r="AZ903" s="157"/>
      <c r="BA903" s="157"/>
      <c r="BB903" s="157"/>
      <c r="BC903" s="157"/>
      <c r="BD903" s="157"/>
      <c r="BE903" s="157"/>
      <c r="BF903" s="157"/>
      <c r="BG903" s="157"/>
      <c r="BH903" s="157"/>
      <c r="BI903" s="157"/>
      <c r="BJ903" s="157"/>
    </row>
    <row r="904" spans="1:62" ht="15.75" customHeight="1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  <c r="AA904" s="157"/>
      <c r="AB904" s="157"/>
      <c r="AC904" s="157"/>
      <c r="AD904" s="157"/>
      <c r="AE904" s="157"/>
      <c r="AF904" s="157"/>
      <c r="AG904" s="157"/>
      <c r="AH904" s="157"/>
      <c r="AI904" s="157"/>
      <c r="AJ904" s="157"/>
      <c r="AK904" s="157"/>
      <c r="AL904" s="157"/>
      <c r="AM904" s="157"/>
      <c r="AN904" s="157"/>
      <c r="AO904" s="157"/>
      <c r="AP904" s="157"/>
      <c r="AQ904" s="157"/>
      <c r="AR904" s="157"/>
      <c r="AS904" s="157"/>
      <c r="AT904" s="157"/>
      <c r="AU904" s="157"/>
      <c r="AV904" s="157"/>
      <c r="AW904" s="157"/>
      <c r="AX904" s="157"/>
      <c r="AY904" s="157"/>
      <c r="AZ904" s="157"/>
      <c r="BA904" s="157"/>
      <c r="BB904" s="157"/>
      <c r="BC904" s="157"/>
      <c r="BD904" s="157"/>
      <c r="BE904" s="157"/>
      <c r="BF904" s="157"/>
      <c r="BG904" s="157"/>
      <c r="BH904" s="157"/>
      <c r="BI904" s="157"/>
      <c r="BJ904" s="157"/>
    </row>
    <row r="905" spans="1:62" ht="15.75" customHeight="1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  <c r="AA905" s="157"/>
      <c r="AB905" s="157"/>
      <c r="AC905" s="157"/>
      <c r="AD905" s="157"/>
      <c r="AE905" s="157"/>
      <c r="AF905" s="157"/>
      <c r="AG905" s="157"/>
      <c r="AH905" s="157"/>
      <c r="AI905" s="157"/>
      <c r="AJ905" s="157"/>
      <c r="AK905" s="157"/>
      <c r="AL905" s="157"/>
      <c r="AM905" s="157"/>
      <c r="AN905" s="157"/>
      <c r="AO905" s="157"/>
      <c r="AP905" s="157"/>
      <c r="AQ905" s="157"/>
      <c r="AR905" s="157"/>
      <c r="AS905" s="157"/>
      <c r="AT905" s="157"/>
      <c r="AU905" s="157"/>
      <c r="AV905" s="157"/>
      <c r="AW905" s="157"/>
      <c r="AX905" s="157"/>
      <c r="AY905" s="157"/>
      <c r="AZ905" s="157"/>
      <c r="BA905" s="157"/>
      <c r="BB905" s="157"/>
      <c r="BC905" s="157"/>
      <c r="BD905" s="157"/>
      <c r="BE905" s="157"/>
      <c r="BF905" s="157"/>
      <c r="BG905" s="157"/>
      <c r="BH905" s="157"/>
      <c r="BI905" s="157"/>
      <c r="BJ905" s="157"/>
    </row>
    <row r="906" spans="1:62" ht="15.75" customHeight="1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  <c r="AA906" s="157"/>
      <c r="AB906" s="157"/>
      <c r="AC906" s="157"/>
      <c r="AD906" s="157"/>
      <c r="AE906" s="157"/>
      <c r="AF906" s="157"/>
      <c r="AG906" s="157"/>
      <c r="AH906" s="157"/>
      <c r="AI906" s="157"/>
      <c r="AJ906" s="157"/>
      <c r="AK906" s="157"/>
      <c r="AL906" s="157"/>
      <c r="AM906" s="157"/>
      <c r="AN906" s="157"/>
      <c r="AO906" s="157"/>
      <c r="AP906" s="157"/>
      <c r="AQ906" s="157"/>
      <c r="AR906" s="157"/>
      <c r="AS906" s="157"/>
      <c r="AT906" s="157"/>
      <c r="AU906" s="157"/>
      <c r="AV906" s="157"/>
      <c r="AW906" s="157"/>
      <c r="AX906" s="157"/>
      <c r="AY906" s="157"/>
      <c r="AZ906" s="157"/>
      <c r="BA906" s="157"/>
      <c r="BB906" s="157"/>
      <c r="BC906" s="157"/>
      <c r="BD906" s="157"/>
      <c r="BE906" s="157"/>
      <c r="BF906" s="157"/>
      <c r="BG906" s="157"/>
      <c r="BH906" s="157"/>
      <c r="BI906" s="157"/>
      <c r="BJ906" s="157"/>
    </row>
    <row r="907" spans="1:62" ht="15.75" customHeight="1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  <c r="AA907" s="157"/>
      <c r="AB907" s="157"/>
      <c r="AC907" s="157"/>
      <c r="AD907" s="157"/>
      <c r="AE907" s="157"/>
      <c r="AF907" s="157"/>
      <c r="AG907" s="157"/>
      <c r="AH907" s="157"/>
      <c r="AI907" s="157"/>
      <c r="AJ907" s="157"/>
      <c r="AK907" s="157"/>
      <c r="AL907" s="157"/>
      <c r="AM907" s="157"/>
      <c r="AN907" s="157"/>
      <c r="AO907" s="157"/>
      <c r="AP907" s="157"/>
      <c r="AQ907" s="157"/>
      <c r="AR907" s="157"/>
      <c r="AS907" s="157"/>
      <c r="AT907" s="157"/>
      <c r="AU907" s="157"/>
      <c r="AV907" s="157"/>
      <c r="AW907" s="157"/>
      <c r="AX907" s="157"/>
      <c r="AY907" s="157"/>
      <c r="AZ907" s="157"/>
      <c r="BA907" s="157"/>
      <c r="BB907" s="157"/>
      <c r="BC907" s="157"/>
      <c r="BD907" s="157"/>
      <c r="BE907" s="157"/>
      <c r="BF907" s="157"/>
      <c r="BG907" s="157"/>
      <c r="BH907" s="157"/>
      <c r="BI907" s="157"/>
      <c r="BJ907" s="157"/>
    </row>
    <row r="908" spans="1:62" ht="15.75" customHeight="1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  <c r="AA908" s="157"/>
      <c r="AB908" s="157"/>
      <c r="AC908" s="157"/>
      <c r="AD908" s="157"/>
      <c r="AE908" s="157"/>
      <c r="AF908" s="157"/>
      <c r="AG908" s="157"/>
      <c r="AH908" s="157"/>
      <c r="AI908" s="157"/>
      <c r="AJ908" s="157"/>
      <c r="AK908" s="157"/>
      <c r="AL908" s="157"/>
      <c r="AM908" s="157"/>
      <c r="AN908" s="157"/>
      <c r="AO908" s="157"/>
      <c r="AP908" s="157"/>
      <c r="AQ908" s="157"/>
      <c r="AR908" s="157"/>
      <c r="AS908" s="157"/>
      <c r="AT908" s="157"/>
      <c r="AU908" s="157"/>
      <c r="AV908" s="157"/>
      <c r="AW908" s="157"/>
      <c r="AX908" s="157"/>
      <c r="AY908" s="157"/>
      <c r="AZ908" s="157"/>
      <c r="BA908" s="157"/>
      <c r="BB908" s="157"/>
      <c r="BC908" s="157"/>
      <c r="BD908" s="157"/>
      <c r="BE908" s="157"/>
      <c r="BF908" s="157"/>
      <c r="BG908" s="157"/>
      <c r="BH908" s="157"/>
      <c r="BI908" s="157"/>
      <c r="BJ908" s="157"/>
    </row>
    <row r="909" spans="1:62" ht="15.75" customHeight="1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  <c r="AA909" s="157"/>
      <c r="AB909" s="157"/>
      <c r="AC909" s="157"/>
      <c r="AD909" s="157"/>
      <c r="AE909" s="157"/>
      <c r="AF909" s="157"/>
      <c r="AG909" s="157"/>
      <c r="AH909" s="157"/>
      <c r="AI909" s="157"/>
      <c r="AJ909" s="157"/>
      <c r="AK909" s="157"/>
      <c r="AL909" s="157"/>
      <c r="AM909" s="157"/>
      <c r="AN909" s="157"/>
      <c r="AO909" s="157"/>
      <c r="AP909" s="157"/>
      <c r="AQ909" s="157"/>
      <c r="AR909" s="157"/>
      <c r="AS909" s="157"/>
      <c r="AT909" s="157"/>
      <c r="AU909" s="157"/>
      <c r="AV909" s="157"/>
      <c r="AW909" s="157"/>
      <c r="AX909" s="157"/>
      <c r="AY909" s="157"/>
      <c r="AZ909" s="157"/>
      <c r="BA909" s="157"/>
      <c r="BB909" s="157"/>
      <c r="BC909" s="157"/>
      <c r="BD909" s="157"/>
      <c r="BE909" s="157"/>
      <c r="BF909" s="157"/>
      <c r="BG909" s="157"/>
      <c r="BH909" s="157"/>
      <c r="BI909" s="157"/>
      <c r="BJ909" s="157"/>
    </row>
    <row r="910" spans="1:62" ht="15.75" customHeight="1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  <c r="AA910" s="157"/>
      <c r="AB910" s="157"/>
      <c r="AC910" s="157"/>
      <c r="AD910" s="157"/>
      <c r="AE910" s="157"/>
      <c r="AF910" s="157"/>
      <c r="AG910" s="157"/>
      <c r="AH910" s="157"/>
      <c r="AI910" s="157"/>
      <c r="AJ910" s="157"/>
      <c r="AK910" s="157"/>
      <c r="AL910" s="157"/>
      <c r="AM910" s="157"/>
      <c r="AN910" s="157"/>
      <c r="AO910" s="157"/>
      <c r="AP910" s="157"/>
      <c r="AQ910" s="157"/>
      <c r="AR910" s="157"/>
      <c r="AS910" s="157"/>
      <c r="AT910" s="157"/>
      <c r="AU910" s="157"/>
      <c r="AV910" s="157"/>
      <c r="AW910" s="157"/>
      <c r="AX910" s="157"/>
      <c r="AY910" s="157"/>
      <c r="AZ910" s="157"/>
      <c r="BA910" s="157"/>
      <c r="BB910" s="157"/>
      <c r="BC910" s="157"/>
      <c r="BD910" s="157"/>
      <c r="BE910" s="157"/>
      <c r="BF910" s="157"/>
      <c r="BG910" s="157"/>
      <c r="BH910" s="157"/>
      <c r="BI910" s="157"/>
      <c r="BJ910" s="157"/>
    </row>
    <row r="911" spans="1:62" ht="15.75" customHeight="1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  <c r="AA911" s="157"/>
      <c r="AB911" s="157"/>
      <c r="AC911" s="157"/>
      <c r="AD911" s="157"/>
      <c r="AE911" s="157"/>
      <c r="AF911" s="157"/>
      <c r="AG911" s="157"/>
      <c r="AH911" s="157"/>
      <c r="AI911" s="157"/>
      <c r="AJ911" s="157"/>
      <c r="AK911" s="157"/>
      <c r="AL911" s="157"/>
      <c r="AM911" s="157"/>
      <c r="AN911" s="157"/>
      <c r="AO911" s="157"/>
      <c r="AP911" s="157"/>
      <c r="AQ911" s="157"/>
      <c r="AR911" s="157"/>
      <c r="AS911" s="157"/>
      <c r="AT911" s="157"/>
      <c r="AU911" s="157"/>
      <c r="AV911" s="157"/>
      <c r="AW911" s="157"/>
      <c r="AX911" s="157"/>
      <c r="AY911" s="157"/>
      <c r="AZ911" s="157"/>
      <c r="BA911" s="157"/>
      <c r="BB911" s="157"/>
      <c r="BC911" s="157"/>
      <c r="BD911" s="157"/>
      <c r="BE911" s="157"/>
      <c r="BF911" s="157"/>
      <c r="BG911" s="157"/>
      <c r="BH911" s="157"/>
      <c r="BI911" s="157"/>
      <c r="BJ911" s="157"/>
    </row>
    <row r="912" spans="1:62" ht="15.75" customHeight="1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  <c r="AA912" s="157"/>
      <c r="AB912" s="157"/>
      <c r="AC912" s="157"/>
      <c r="AD912" s="157"/>
      <c r="AE912" s="157"/>
      <c r="AF912" s="157"/>
      <c r="AG912" s="157"/>
      <c r="AH912" s="157"/>
      <c r="AI912" s="157"/>
      <c r="AJ912" s="157"/>
      <c r="AK912" s="157"/>
      <c r="AL912" s="157"/>
      <c r="AM912" s="157"/>
      <c r="AN912" s="157"/>
      <c r="AO912" s="157"/>
      <c r="AP912" s="157"/>
      <c r="AQ912" s="157"/>
      <c r="AR912" s="157"/>
      <c r="AS912" s="157"/>
      <c r="AT912" s="157"/>
      <c r="AU912" s="157"/>
      <c r="AV912" s="157"/>
      <c r="AW912" s="157"/>
      <c r="AX912" s="157"/>
      <c r="AY912" s="157"/>
      <c r="AZ912" s="157"/>
      <c r="BA912" s="157"/>
      <c r="BB912" s="157"/>
      <c r="BC912" s="157"/>
      <c r="BD912" s="157"/>
      <c r="BE912" s="157"/>
      <c r="BF912" s="157"/>
      <c r="BG912" s="157"/>
      <c r="BH912" s="157"/>
      <c r="BI912" s="157"/>
      <c r="BJ912" s="157"/>
    </row>
    <row r="913" spans="1:62" ht="15.75" customHeight="1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  <c r="AA913" s="157"/>
      <c r="AB913" s="157"/>
      <c r="AC913" s="157"/>
      <c r="AD913" s="157"/>
      <c r="AE913" s="157"/>
      <c r="AF913" s="157"/>
      <c r="AG913" s="157"/>
      <c r="AH913" s="157"/>
      <c r="AI913" s="157"/>
      <c r="AJ913" s="157"/>
      <c r="AK913" s="157"/>
      <c r="AL913" s="157"/>
      <c r="AM913" s="157"/>
      <c r="AN913" s="157"/>
      <c r="AO913" s="157"/>
      <c r="AP913" s="157"/>
      <c r="AQ913" s="157"/>
      <c r="AR913" s="157"/>
      <c r="AS913" s="157"/>
      <c r="AT913" s="157"/>
      <c r="AU913" s="157"/>
      <c r="AV913" s="157"/>
      <c r="AW913" s="157"/>
      <c r="AX913" s="157"/>
      <c r="AY913" s="157"/>
      <c r="AZ913" s="157"/>
      <c r="BA913" s="157"/>
      <c r="BB913" s="157"/>
      <c r="BC913" s="157"/>
      <c r="BD913" s="157"/>
      <c r="BE913" s="157"/>
      <c r="BF913" s="157"/>
      <c r="BG913" s="157"/>
      <c r="BH913" s="157"/>
      <c r="BI913" s="157"/>
      <c r="BJ913" s="157"/>
    </row>
    <row r="914" spans="1:62" ht="15.75" customHeight="1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  <c r="AA914" s="157"/>
      <c r="AB914" s="157"/>
      <c r="AC914" s="157"/>
      <c r="AD914" s="157"/>
      <c r="AE914" s="157"/>
      <c r="AF914" s="157"/>
      <c r="AG914" s="157"/>
      <c r="AH914" s="157"/>
      <c r="AI914" s="157"/>
      <c r="AJ914" s="157"/>
      <c r="AK914" s="157"/>
      <c r="AL914" s="157"/>
      <c r="AM914" s="157"/>
      <c r="AN914" s="157"/>
      <c r="AO914" s="157"/>
      <c r="AP914" s="157"/>
      <c r="AQ914" s="157"/>
      <c r="AR914" s="157"/>
      <c r="AS914" s="157"/>
      <c r="AT914" s="157"/>
      <c r="AU914" s="157"/>
      <c r="AV914" s="157"/>
      <c r="AW914" s="157"/>
      <c r="AX914" s="157"/>
      <c r="AY914" s="157"/>
      <c r="AZ914" s="157"/>
      <c r="BA914" s="157"/>
      <c r="BB914" s="157"/>
      <c r="BC914" s="157"/>
      <c r="BD914" s="157"/>
      <c r="BE914" s="157"/>
      <c r="BF914" s="157"/>
      <c r="BG914" s="157"/>
      <c r="BH914" s="157"/>
      <c r="BI914" s="157"/>
      <c r="BJ914" s="157"/>
    </row>
    <row r="915" spans="1:62" ht="15.75" customHeight="1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  <c r="AA915" s="157"/>
      <c r="AB915" s="157"/>
      <c r="AC915" s="157"/>
      <c r="AD915" s="157"/>
      <c r="AE915" s="157"/>
      <c r="AF915" s="157"/>
      <c r="AG915" s="157"/>
      <c r="AH915" s="157"/>
      <c r="AI915" s="157"/>
      <c r="AJ915" s="157"/>
      <c r="AK915" s="157"/>
      <c r="AL915" s="157"/>
      <c r="AM915" s="157"/>
      <c r="AN915" s="157"/>
      <c r="AO915" s="157"/>
      <c r="AP915" s="157"/>
      <c r="AQ915" s="157"/>
      <c r="AR915" s="157"/>
      <c r="AS915" s="157"/>
      <c r="AT915" s="157"/>
      <c r="AU915" s="157"/>
      <c r="AV915" s="157"/>
      <c r="AW915" s="157"/>
      <c r="AX915" s="157"/>
      <c r="AY915" s="157"/>
      <c r="AZ915" s="157"/>
      <c r="BA915" s="157"/>
      <c r="BB915" s="157"/>
      <c r="BC915" s="157"/>
      <c r="BD915" s="157"/>
      <c r="BE915" s="157"/>
      <c r="BF915" s="157"/>
      <c r="BG915" s="157"/>
      <c r="BH915" s="157"/>
      <c r="BI915" s="157"/>
      <c r="BJ915" s="157"/>
    </row>
    <row r="916" spans="1:62" ht="15.75" customHeight="1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  <c r="AA916" s="157"/>
      <c r="AB916" s="157"/>
      <c r="AC916" s="157"/>
      <c r="AD916" s="157"/>
      <c r="AE916" s="157"/>
      <c r="AF916" s="157"/>
      <c r="AG916" s="157"/>
      <c r="AH916" s="157"/>
      <c r="AI916" s="157"/>
      <c r="AJ916" s="157"/>
      <c r="AK916" s="157"/>
      <c r="AL916" s="157"/>
      <c r="AM916" s="157"/>
      <c r="AN916" s="157"/>
      <c r="AO916" s="157"/>
      <c r="AP916" s="157"/>
      <c r="AQ916" s="157"/>
      <c r="AR916" s="157"/>
      <c r="AS916" s="157"/>
      <c r="AT916" s="157"/>
      <c r="AU916" s="157"/>
      <c r="AV916" s="157"/>
      <c r="AW916" s="157"/>
      <c r="AX916" s="157"/>
      <c r="AY916" s="157"/>
      <c r="AZ916" s="157"/>
      <c r="BA916" s="157"/>
      <c r="BB916" s="157"/>
      <c r="BC916" s="157"/>
      <c r="BD916" s="157"/>
      <c r="BE916" s="157"/>
      <c r="BF916" s="157"/>
      <c r="BG916" s="157"/>
      <c r="BH916" s="157"/>
      <c r="BI916" s="157"/>
      <c r="BJ916" s="157"/>
    </row>
    <row r="917" spans="1:62" ht="15.75" customHeight="1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  <c r="AA917" s="157"/>
      <c r="AB917" s="157"/>
      <c r="AC917" s="157"/>
      <c r="AD917" s="157"/>
      <c r="AE917" s="157"/>
      <c r="AF917" s="157"/>
      <c r="AG917" s="157"/>
      <c r="AH917" s="157"/>
      <c r="AI917" s="157"/>
      <c r="AJ917" s="157"/>
      <c r="AK917" s="157"/>
      <c r="AL917" s="157"/>
      <c r="AM917" s="157"/>
      <c r="AN917" s="157"/>
      <c r="AO917" s="157"/>
      <c r="AP917" s="157"/>
      <c r="AQ917" s="157"/>
      <c r="AR917" s="157"/>
      <c r="AS917" s="157"/>
      <c r="AT917" s="157"/>
      <c r="AU917" s="157"/>
      <c r="AV917" s="157"/>
      <c r="AW917" s="157"/>
      <c r="AX917" s="157"/>
      <c r="AY917" s="157"/>
      <c r="AZ917" s="157"/>
      <c r="BA917" s="157"/>
      <c r="BB917" s="157"/>
      <c r="BC917" s="157"/>
      <c r="BD917" s="157"/>
      <c r="BE917" s="157"/>
      <c r="BF917" s="157"/>
      <c r="BG917" s="157"/>
      <c r="BH917" s="157"/>
      <c r="BI917" s="157"/>
      <c r="BJ917" s="157"/>
    </row>
    <row r="918" spans="1:62" ht="15.75" customHeight="1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  <c r="AA918" s="157"/>
      <c r="AB918" s="157"/>
      <c r="AC918" s="157"/>
      <c r="AD918" s="157"/>
      <c r="AE918" s="157"/>
      <c r="AF918" s="157"/>
      <c r="AG918" s="157"/>
      <c r="AH918" s="157"/>
      <c r="AI918" s="157"/>
      <c r="AJ918" s="157"/>
      <c r="AK918" s="157"/>
      <c r="AL918" s="157"/>
      <c r="AM918" s="157"/>
      <c r="AN918" s="157"/>
      <c r="AO918" s="157"/>
      <c r="AP918" s="157"/>
      <c r="AQ918" s="157"/>
      <c r="AR918" s="157"/>
      <c r="AS918" s="157"/>
      <c r="AT918" s="157"/>
      <c r="AU918" s="157"/>
      <c r="AV918" s="157"/>
      <c r="AW918" s="157"/>
      <c r="AX918" s="157"/>
      <c r="AY918" s="157"/>
      <c r="AZ918" s="157"/>
      <c r="BA918" s="157"/>
      <c r="BB918" s="157"/>
      <c r="BC918" s="157"/>
      <c r="BD918" s="157"/>
      <c r="BE918" s="157"/>
      <c r="BF918" s="157"/>
      <c r="BG918" s="157"/>
      <c r="BH918" s="157"/>
      <c r="BI918" s="157"/>
      <c r="BJ918" s="157"/>
    </row>
    <row r="919" spans="1:62" ht="15.75" customHeight="1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  <c r="AA919" s="157"/>
      <c r="AB919" s="157"/>
      <c r="AC919" s="157"/>
      <c r="AD919" s="157"/>
      <c r="AE919" s="157"/>
      <c r="AF919" s="157"/>
      <c r="AG919" s="157"/>
      <c r="AH919" s="157"/>
      <c r="AI919" s="157"/>
      <c r="AJ919" s="157"/>
      <c r="AK919" s="157"/>
      <c r="AL919" s="157"/>
      <c r="AM919" s="157"/>
      <c r="AN919" s="157"/>
      <c r="AO919" s="157"/>
      <c r="AP919" s="157"/>
      <c r="AQ919" s="157"/>
      <c r="AR919" s="157"/>
      <c r="AS919" s="157"/>
      <c r="AT919" s="157"/>
      <c r="AU919" s="157"/>
      <c r="AV919" s="157"/>
      <c r="AW919" s="157"/>
      <c r="AX919" s="157"/>
      <c r="AY919" s="157"/>
      <c r="AZ919" s="157"/>
      <c r="BA919" s="157"/>
      <c r="BB919" s="157"/>
      <c r="BC919" s="157"/>
      <c r="BD919" s="157"/>
      <c r="BE919" s="157"/>
      <c r="BF919" s="157"/>
      <c r="BG919" s="157"/>
      <c r="BH919" s="157"/>
      <c r="BI919" s="157"/>
      <c r="BJ919" s="157"/>
    </row>
    <row r="920" spans="1:62" ht="15.75" customHeight="1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  <c r="AA920" s="157"/>
      <c r="AB920" s="157"/>
      <c r="AC920" s="157"/>
      <c r="AD920" s="157"/>
      <c r="AE920" s="157"/>
      <c r="AF920" s="157"/>
      <c r="AG920" s="157"/>
      <c r="AH920" s="157"/>
      <c r="AI920" s="157"/>
      <c r="AJ920" s="157"/>
      <c r="AK920" s="157"/>
      <c r="AL920" s="157"/>
      <c r="AM920" s="157"/>
      <c r="AN920" s="157"/>
      <c r="AO920" s="157"/>
      <c r="AP920" s="157"/>
      <c r="AQ920" s="157"/>
      <c r="AR920" s="157"/>
      <c r="AS920" s="157"/>
      <c r="AT920" s="157"/>
      <c r="AU920" s="157"/>
      <c r="AV920" s="157"/>
      <c r="AW920" s="157"/>
      <c r="AX920" s="157"/>
      <c r="AY920" s="157"/>
      <c r="AZ920" s="157"/>
      <c r="BA920" s="157"/>
      <c r="BB920" s="157"/>
      <c r="BC920" s="157"/>
      <c r="BD920" s="157"/>
      <c r="BE920" s="157"/>
      <c r="BF920" s="157"/>
      <c r="BG920" s="157"/>
      <c r="BH920" s="157"/>
      <c r="BI920" s="157"/>
      <c r="BJ920" s="157"/>
    </row>
    <row r="921" spans="1:62" ht="15.75" customHeight="1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  <c r="AA921" s="157"/>
      <c r="AB921" s="157"/>
      <c r="AC921" s="157"/>
      <c r="AD921" s="157"/>
      <c r="AE921" s="157"/>
      <c r="AF921" s="157"/>
      <c r="AG921" s="157"/>
      <c r="AH921" s="157"/>
      <c r="AI921" s="157"/>
      <c r="AJ921" s="157"/>
      <c r="AK921" s="157"/>
      <c r="AL921" s="157"/>
      <c r="AM921" s="157"/>
      <c r="AN921" s="157"/>
      <c r="AO921" s="157"/>
      <c r="AP921" s="157"/>
      <c r="AQ921" s="157"/>
      <c r="AR921" s="157"/>
      <c r="AS921" s="157"/>
      <c r="AT921" s="157"/>
      <c r="AU921" s="157"/>
      <c r="AV921" s="157"/>
      <c r="AW921" s="157"/>
      <c r="AX921" s="157"/>
      <c r="AY921" s="157"/>
      <c r="AZ921" s="157"/>
      <c r="BA921" s="157"/>
      <c r="BB921" s="157"/>
      <c r="BC921" s="157"/>
      <c r="BD921" s="157"/>
      <c r="BE921" s="157"/>
      <c r="BF921" s="157"/>
      <c r="BG921" s="157"/>
      <c r="BH921" s="157"/>
      <c r="BI921" s="157"/>
      <c r="BJ921" s="157"/>
    </row>
    <row r="922" spans="1:62" ht="15.75" customHeight="1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  <c r="AA922" s="157"/>
      <c r="AB922" s="157"/>
      <c r="AC922" s="157"/>
      <c r="AD922" s="157"/>
      <c r="AE922" s="157"/>
      <c r="AF922" s="157"/>
      <c r="AG922" s="157"/>
      <c r="AH922" s="157"/>
      <c r="AI922" s="157"/>
      <c r="AJ922" s="157"/>
      <c r="AK922" s="157"/>
      <c r="AL922" s="157"/>
      <c r="AM922" s="157"/>
      <c r="AN922" s="157"/>
      <c r="AO922" s="157"/>
      <c r="AP922" s="157"/>
      <c r="AQ922" s="157"/>
      <c r="AR922" s="157"/>
      <c r="AS922" s="157"/>
      <c r="AT922" s="157"/>
      <c r="AU922" s="157"/>
      <c r="AV922" s="157"/>
      <c r="AW922" s="157"/>
      <c r="AX922" s="157"/>
      <c r="AY922" s="157"/>
      <c r="AZ922" s="157"/>
      <c r="BA922" s="157"/>
      <c r="BB922" s="157"/>
      <c r="BC922" s="157"/>
      <c r="BD922" s="157"/>
      <c r="BE922" s="157"/>
      <c r="BF922" s="157"/>
      <c r="BG922" s="157"/>
      <c r="BH922" s="157"/>
      <c r="BI922" s="157"/>
      <c r="BJ922" s="157"/>
    </row>
    <row r="923" spans="1:62" ht="15.75" customHeight="1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  <c r="AA923" s="157"/>
      <c r="AB923" s="157"/>
      <c r="AC923" s="157"/>
      <c r="AD923" s="157"/>
      <c r="AE923" s="157"/>
      <c r="AF923" s="157"/>
      <c r="AG923" s="157"/>
      <c r="AH923" s="157"/>
      <c r="AI923" s="157"/>
      <c r="AJ923" s="157"/>
      <c r="AK923" s="157"/>
      <c r="AL923" s="157"/>
      <c r="AM923" s="157"/>
      <c r="AN923" s="157"/>
      <c r="AO923" s="157"/>
      <c r="AP923" s="157"/>
      <c r="AQ923" s="157"/>
      <c r="AR923" s="157"/>
      <c r="AS923" s="157"/>
      <c r="AT923" s="157"/>
      <c r="AU923" s="157"/>
      <c r="AV923" s="157"/>
      <c r="AW923" s="157"/>
      <c r="AX923" s="157"/>
      <c r="AY923" s="157"/>
      <c r="AZ923" s="157"/>
      <c r="BA923" s="157"/>
      <c r="BB923" s="157"/>
      <c r="BC923" s="157"/>
      <c r="BD923" s="157"/>
      <c r="BE923" s="157"/>
      <c r="BF923" s="157"/>
      <c r="BG923" s="157"/>
      <c r="BH923" s="157"/>
      <c r="BI923" s="157"/>
      <c r="BJ923" s="157"/>
    </row>
    <row r="924" spans="1:62" ht="15.75" customHeight="1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  <c r="AA924" s="157"/>
      <c r="AB924" s="157"/>
      <c r="AC924" s="157"/>
      <c r="AD924" s="157"/>
      <c r="AE924" s="157"/>
      <c r="AF924" s="157"/>
      <c r="AG924" s="157"/>
      <c r="AH924" s="157"/>
      <c r="AI924" s="157"/>
      <c r="AJ924" s="157"/>
      <c r="AK924" s="157"/>
      <c r="AL924" s="157"/>
      <c r="AM924" s="157"/>
      <c r="AN924" s="157"/>
      <c r="AO924" s="157"/>
      <c r="AP924" s="157"/>
      <c r="AQ924" s="157"/>
      <c r="AR924" s="157"/>
      <c r="AS924" s="157"/>
      <c r="AT924" s="157"/>
      <c r="AU924" s="157"/>
      <c r="AV924" s="157"/>
      <c r="AW924" s="157"/>
      <c r="AX924" s="157"/>
      <c r="AY924" s="157"/>
      <c r="AZ924" s="157"/>
      <c r="BA924" s="157"/>
      <c r="BB924" s="157"/>
      <c r="BC924" s="157"/>
      <c r="BD924" s="157"/>
      <c r="BE924" s="157"/>
      <c r="BF924" s="157"/>
      <c r="BG924" s="157"/>
      <c r="BH924" s="157"/>
      <c r="BI924" s="157"/>
      <c r="BJ924" s="157"/>
    </row>
    <row r="925" spans="1:62" ht="15.75" customHeight="1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  <c r="AA925" s="157"/>
      <c r="AB925" s="157"/>
      <c r="AC925" s="157"/>
      <c r="AD925" s="157"/>
      <c r="AE925" s="157"/>
      <c r="AF925" s="157"/>
      <c r="AG925" s="157"/>
      <c r="AH925" s="157"/>
      <c r="AI925" s="157"/>
      <c r="AJ925" s="157"/>
      <c r="AK925" s="157"/>
      <c r="AL925" s="157"/>
      <c r="AM925" s="157"/>
      <c r="AN925" s="157"/>
      <c r="AO925" s="157"/>
      <c r="AP925" s="157"/>
      <c r="AQ925" s="157"/>
      <c r="AR925" s="157"/>
      <c r="AS925" s="157"/>
      <c r="AT925" s="157"/>
      <c r="AU925" s="157"/>
      <c r="AV925" s="157"/>
      <c r="AW925" s="157"/>
      <c r="AX925" s="157"/>
      <c r="AY925" s="157"/>
      <c r="AZ925" s="157"/>
      <c r="BA925" s="157"/>
      <c r="BB925" s="157"/>
      <c r="BC925" s="157"/>
      <c r="BD925" s="157"/>
      <c r="BE925" s="157"/>
      <c r="BF925" s="157"/>
      <c r="BG925" s="157"/>
      <c r="BH925" s="157"/>
      <c r="BI925" s="157"/>
      <c r="BJ925" s="157"/>
    </row>
    <row r="926" spans="1:62" ht="15.75" customHeight="1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  <c r="AA926" s="157"/>
      <c r="AB926" s="157"/>
      <c r="AC926" s="157"/>
      <c r="AD926" s="157"/>
      <c r="AE926" s="157"/>
      <c r="AF926" s="157"/>
      <c r="AG926" s="157"/>
      <c r="AH926" s="157"/>
      <c r="AI926" s="157"/>
      <c r="AJ926" s="157"/>
      <c r="AK926" s="157"/>
      <c r="AL926" s="157"/>
      <c r="AM926" s="157"/>
      <c r="AN926" s="157"/>
      <c r="AO926" s="157"/>
      <c r="AP926" s="157"/>
      <c r="AQ926" s="157"/>
      <c r="AR926" s="157"/>
      <c r="AS926" s="157"/>
      <c r="AT926" s="157"/>
      <c r="AU926" s="157"/>
      <c r="AV926" s="157"/>
      <c r="AW926" s="157"/>
      <c r="AX926" s="157"/>
      <c r="AY926" s="157"/>
      <c r="AZ926" s="157"/>
      <c r="BA926" s="157"/>
      <c r="BB926" s="157"/>
      <c r="BC926" s="157"/>
      <c r="BD926" s="157"/>
      <c r="BE926" s="157"/>
      <c r="BF926" s="157"/>
      <c r="BG926" s="157"/>
      <c r="BH926" s="157"/>
      <c r="BI926" s="157"/>
      <c r="BJ926" s="157"/>
    </row>
    <row r="927" spans="1:62" ht="15.75" customHeight="1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  <c r="AA927" s="157"/>
      <c r="AB927" s="157"/>
      <c r="AC927" s="157"/>
      <c r="AD927" s="157"/>
      <c r="AE927" s="157"/>
      <c r="AF927" s="157"/>
      <c r="AG927" s="157"/>
      <c r="AH927" s="157"/>
      <c r="AI927" s="157"/>
      <c r="AJ927" s="157"/>
      <c r="AK927" s="157"/>
      <c r="AL927" s="157"/>
      <c r="AM927" s="157"/>
      <c r="AN927" s="157"/>
      <c r="AO927" s="157"/>
      <c r="AP927" s="157"/>
      <c r="AQ927" s="157"/>
      <c r="AR927" s="157"/>
      <c r="AS927" s="157"/>
      <c r="AT927" s="157"/>
      <c r="AU927" s="157"/>
      <c r="AV927" s="157"/>
      <c r="AW927" s="157"/>
      <c r="AX927" s="157"/>
      <c r="AY927" s="157"/>
      <c r="AZ927" s="157"/>
      <c r="BA927" s="157"/>
      <c r="BB927" s="157"/>
      <c r="BC927" s="157"/>
      <c r="BD927" s="157"/>
      <c r="BE927" s="157"/>
      <c r="BF927" s="157"/>
      <c r="BG927" s="157"/>
      <c r="BH927" s="157"/>
      <c r="BI927" s="157"/>
      <c r="BJ927" s="157"/>
    </row>
    <row r="928" spans="1:62" ht="15.75" customHeight="1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  <c r="AA928" s="157"/>
      <c r="AB928" s="157"/>
      <c r="AC928" s="157"/>
      <c r="AD928" s="157"/>
      <c r="AE928" s="157"/>
      <c r="AF928" s="157"/>
      <c r="AG928" s="157"/>
      <c r="AH928" s="157"/>
      <c r="AI928" s="157"/>
      <c r="AJ928" s="157"/>
      <c r="AK928" s="157"/>
      <c r="AL928" s="157"/>
      <c r="AM928" s="157"/>
      <c r="AN928" s="157"/>
      <c r="AO928" s="157"/>
      <c r="AP928" s="157"/>
      <c r="AQ928" s="157"/>
      <c r="AR928" s="157"/>
      <c r="AS928" s="157"/>
      <c r="AT928" s="157"/>
      <c r="AU928" s="157"/>
      <c r="AV928" s="157"/>
      <c r="AW928" s="157"/>
      <c r="AX928" s="157"/>
      <c r="AY928" s="157"/>
      <c r="AZ928" s="157"/>
      <c r="BA928" s="157"/>
      <c r="BB928" s="157"/>
      <c r="BC928" s="157"/>
      <c r="BD928" s="157"/>
      <c r="BE928" s="157"/>
      <c r="BF928" s="157"/>
      <c r="BG928" s="157"/>
      <c r="BH928" s="157"/>
      <c r="BI928" s="157"/>
      <c r="BJ928" s="157"/>
    </row>
    <row r="929" spans="1:62" ht="15.75" customHeight="1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  <c r="AA929" s="157"/>
      <c r="AB929" s="157"/>
      <c r="AC929" s="157"/>
      <c r="AD929" s="157"/>
      <c r="AE929" s="157"/>
      <c r="AF929" s="157"/>
      <c r="AG929" s="157"/>
      <c r="AH929" s="157"/>
      <c r="AI929" s="157"/>
      <c r="AJ929" s="157"/>
      <c r="AK929" s="157"/>
      <c r="AL929" s="157"/>
      <c r="AM929" s="157"/>
      <c r="AN929" s="157"/>
      <c r="AO929" s="157"/>
      <c r="AP929" s="157"/>
      <c r="AQ929" s="157"/>
      <c r="AR929" s="157"/>
      <c r="AS929" s="157"/>
      <c r="AT929" s="157"/>
      <c r="AU929" s="157"/>
      <c r="AV929" s="157"/>
      <c r="AW929" s="157"/>
      <c r="AX929" s="157"/>
      <c r="AY929" s="157"/>
      <c r="AZ929" s="157"/>
      <c r="BA929" s="157"/>
      <c r="BB929" s="157"/>
      <c r="BC929" s="157"/>
      <c r="BD929" s="157"/>
      <c r="BE929" s="157"/>
      <c r="BF929" s="157"/>
      <c r="BG929" s="157"/>
      <c r="BH929" s="157"/>
      <c r="BI929" s="157"/>
      <c r="BJ929" s="157"/>
    </row>
    <row r="930" spans="1:62" ht="15.75" customHeight="1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  <c r="AA930" s="157"/>
      <c r="AB930" s="157"/>
      <c r="AC930" s="157"/>
      <c r="AD930" s="157"/>
      <c r="AE930" s="157"/>
      <c r="AF930" s="157"/>
      <c r="AG930" s="157"/>
      <c r="AH930" s="157"/>
      <c r="AI930" s="157"/>
      <c r="AJ930" s="157"/>
      <c r="AK930" s="157"/>
      <c r="AL930" s="157"/>
      <c r="AM930" s="157"/>
      <c r="AN930" s="157"/>
      <c r="AO930" s="157"/>
      <c r="AP930" s="157"/>
      <c r="AQ930" s="157"/>
      <c r="AR930" s="157"/>
      <c r="AS930" s="157"/>
      <c r="AT930" s="157"/>
      <c r="AU930" s="157"/>
      <c r="AV930" s="157"/>
      <c r="AW930" s="157"/>
      <c r="AX930" s="157"/>
      <c r="AY930" s="157"/>
      <c r="AZ930" s="157"/>
      <c r="BA930" s="157"/>
      <c r="BB930" s="157"/>
      <c r="BC930" s="157"/>
      <c r="BD930" s="157"/>
      <c r="BE930" s="157"/>
      <c r="BF930" s="157"/>
      <c r="BG930" s="157"/>
      <c r="BH930" s="157"/>
      <c r="BI930" s="157"/>
      <c r="BJ930" s="157"/>
    </row>
    <row r="931" spans="1:62" ht="15.75" customHeight="1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  <c r="AA931" s="157"/>
      <c r="AB931" s="157"/>
      <c r="AC931" s="157"/>
      <c r="AD931" s="157"/>
      <c r="AE931" s="157"/>
      <c r="AF931" s="157"/>
      <c r="AG931" s="157"/>
      <c r="AH931" s="157"/>
      <c r="AI931" s="157"/>
      <c r="AJ931" s="157"/>
      <c r="AK931" s="157"/>
      <c r="AL931" s="157"/>
      <c r="AM931" s="157"/>
      <c r="AN931" s="157"/>
      <c r="AO931" s="157"/>
      <c r="AP931" s="157"/>
      <c r="AQ931" s="157"/>
      <c r="AR931" s="157"/>
      <c r="AS931" s="157"/>
      <c r="AT931" s="157"/>
      <c r="AU931" s="157"/>
      <c r="AV931" s="157"/>
      <c r="AW931" s="157"/>
      <c r="AX931" s="157"/>
      <c r="AY931" s="157"/>
      <c r="AZ931" s="157"/>
      <c r="BA931" s="157"/>
      <c r="BB931" s="157"/>
      <c r="BC931" s="157"/>
      <c r="BD931" s="157"/>
      <c r="BE931" s="157"/>
      <c r="BF931" s="157"/>
      <c r="BG931" s="157"/>
      <c r="BH931" s="157"/>
      <c r="BI931" s="157"/>
      <c r="BJ931" s="157"/>
    </row>
    <row r="932" spans="1:62" ht="15.75" customHeight="1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  <c r="AA932" s="157"/>
      <c r="AB932" s="157"/>
      <c r="AC932" s="157"/>
      <c r="AD932" s="157"/>
      <c r="AE932" s="157"/>
      <c r="AF932" s="157"/>
      <c r="AG932" s="157"/>
      <c r="AH932" s="157"/>
      <c r="AI932" s="157"/>
      <c r="AJ932" s="157"/>
      <c r="AK932" s="157"/>
      <c r="AL932" s="157"/>
      <c r="AM932" s="157"/>
      <c r="AN932" s="157"/>
      <c r="AO932" s="157"/>
      <c r="AP932" s="157"/>
      <c r="AQ932" s="157"/>
      <c r="AR932" s="157"/>
      <c r="AS932" s="157"/>
      <c r="AT932" s="157"/>
      <c r="AU932" s="157"/>
      <c r="AV932" s="157"/>
      <c r="AW932" s="157"/>
      <c r="AX932" s="157"/>
      <c r="AY932" s="157"/>
      <c r="AZ932" s="157"/>
      <c r="BA932" s="157"/>
      <c r="BB932" s="157"/>
      <c r="BC932" s="157"/>
      <c r="BD932" s="157"/>
      <c r="BE932" s="157"/>
      <c r="BF932" s="157"/>
      <c r="BG932" s="157"/>
      <c r="BH932" s="157"/>
      <c r="BI932" s="157"/>
      <c r="BJ932" s="157"/>
    </row>
    <row r="933" spans="1:62" ht="15.75" customHeight="1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  <c r="AA933" s="157"/>
      <c r="AB933" s="157"/>
      <c r="AC933" s="157"/>
      <c r="AD933" s="157"/>
      <c r="AE933" s="157"/>
      <c r="AF933" s="157"/>
      <c r="AG933" s="157"/>
      <c r="AH933" s="157"/>
      <c r="AI933" s="157"/>
      <c r="AJ933" s="157"/>
      <c r="AK933" s="157"/>
      <c r="AL933" s="157"/>
      <c r="AM933" s="157"/>
      <c r="AN933" s="157"/>
      <c r="AO933" s="157"/>
      <c r="AP933" s="157"/>
      <c r="AQ933" s="157"/>
      <c r="AR933" s="157"/>
      <c r="AS933" s="157"/>
      <c r="AT933" s="157"/>
      <c r="AU933" s="157"/>
      <c r="AV933" s="157"/>
      <c r="AW933" s="157"/>
      <c r="AX933" s="157"/>
      <c r="AY933" s="157"/>
      <c r="AZ933" s="157"/>
      <c r="BA933" s="157"/>
      <c r="BB933" s="157"/>
      <c r="BC933" s="157"/>
      <c r="BD933" s="157"/>
      <c r="BE933" s="157"/>
      <c r="BF933" s="157"/>
      <c r="BG933" s="157"/>
      <c r="BH933" s="157"/>
      <c r="BI933" s="157"/>
      <c r="BJ933" s="157"/>
    </row>
    <row r="934" spans="1:62" ht="15.75" customHeight="1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  <c r="AA934" s="157"/>
      <c r="AB934" s="157"/>
      <c r="AC934" s="157"/>
      <c r="AD934" s="157"/>
      <c r="AE934" s="157"/>
      <c r="AF934" s="157"/>
      <c r="AG934" s="157"/>
      <c r="AH934" s="157"/>
      <c r="AI934" s="157"/>
      <c r="AJ934" s="157"/>
      <c r="AK934" s="157"/>
      <c r="AL934" s="157"/>
      <c r="AM934" s="157"/>
      <c r="AN934" s="157"/>
      <c r="AO934" s="157"/>
      <c r="AP934" s="157"/>
      <c r="AQ934" s="157"/>
      <c r="AR934" s="157"/>
      <c r="AS934" s="157"/>
      <c r="AT934" s="157"/>
      <c r="AU934" s="157"/>
      <c r="AV934" s="157"/>
      <c r="AW934" s="157"/>
      <c r="AX934" s="157"/>
      <c r="AY934" s="157"/>
      <c r="AZ934" s="157"/>
      <c r="BA934" s="157"/>
      <c r="BB934" s="157"/>
      <c r="BC934" s="157"/>
      <c r="BD934" s="157"/>
      <c r="BE934" s="157"/>
      <c r="BF934" s="157"/>
      <c r="BG934" s="157"/>
      <c r="BH934" s="157"/>
      <c r="BI934" s="157"/>
      <c r="BJ934" s="157"/>
    </row>
    <row r="935" spans="1:62" ht="15.75" customHeight="1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  <c r="AA935" s="157"/>
      <c r="AB935" s="157"/>
      <c r="AC935" s="157"/>
      <c r="AD935" s="157"/>
      <c r="AE935" s="157"/>
      <c r="AF935" s="157"/>
      <c r="AG935" s="157"/>
      <c r="AH935" s="157"/>
      <c r="AI935" s="157"/>
      <c r="AJ935" s="157"/>
      <c r="AK935" s="157"/>
      <c r="AL935" s="157"/>
      <c r="AM935" s="157"/>
      <c r="AN935" s="157"/>
      <c r="AO935" s="157"/>
      <c r="AP935" s="157"/>
      <c r="AQ935" s="157"/>
      <c r="AR935" s="157"/>
      <c r="AS935" s="157"/>
      <c r="AT935" s="157"/>
      <c r="AU935" s="157"/>
      <c r="AV935" s="157"/>
      <c r="AW935" s="157"/>
      <c r="AX935" s="157"/>
      <c r="AY935" s="157"/>
      <c r="AZ935" s="157"/>
      <c r="BA935" s="157"/>
      <c r="BB935" s="157"/>
      <c r="BC935" s="157"/>
      <c r="BD935" s="157"/>
      <c r="BE935" s="157"/>
      <c r="BF935" s="157"/>
      <c r="BG935" s="157"/>
      <c r="BH935" s="157"/>
      <c r="BI935" s="157"/>
      <c r="BJ935" s="157"/>
    </row>
    <row r="936" spans="1:62" ht="15.75" customHeight="1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  <c r="AA936" s="157"/>
      <c r="AB936" s="157"/>
      <c r="AC936" s="157"/>
      <c r="AD936" s="157"/>
      <c r="AE936" s="157"/>
      <c r="AF936" s="157"/>
      <c r="AG936" s="157"/>
      <c r="AH936" s="157"/>
      <c r="AI936" s="157"/>
      <c r="AJ936" s="157"/>
      <c r="AK936" s="157"/>
      <c r="AL936" s="157"/>
      <c r="AM936" s="157"/>
      <c r="AN936" s="157"/>
      <c r="AO936" s="157"/>
      <c r="AP936" s="157"/>
      <c r="AQ936" s="157"/>
      <c r="AR936" s="157"/>
      <c r="AS936" s="157"/>
      <c r="AT936" s="157"/>
      <c r="AU936" s="157"/>
      <c r="AV936" s="157"/>
      <c r="AW936" s="157"/>
      <c r="AX936" s="157"/>
      <c r="AY936" s="157"/>
      <c r="AZ936" s="157"/>
      <c r="BA936" s="157"/>
      <c r="BB936" s="157"/>
      <c r="BC936" s="157"/>
      <c r="BD936" s="157"/>
      <c r="BE936" s="157"/>
      <c r="BF936" s="157"/>
      <c r="BG936" s="157"/>
      <c r="BH936" s="157"/>
      <c r="BI936" s="157"/>
      <c r="BJ936" s="157"/>
    </row>
    <row r="937" spans="1:62" ht="15.75" customHeight="1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  <c r="AA937" s="157"/>
      <c r="AB937" s="157"/>
      <c r="AC937" s="157"/>
      <c r="AD937" s="157"/>
      <c r="AE937" s="157"/>
      <c r="AF937" s="157"/>
      <c r="AG937" s="157"/>
      <c r="AH937" s="157"/>
      <c r="AI937" s="157"/>
      <c r="AJ937" s="157"/>
      <c r="AK937" s="157"/>
      <c r="AL937" s="157"/>
      <c r="AM937" s="157"/>
      <c r="AN937" s="157"/>
      <c r="AO937" s="157"/>
      <c r="AP937" s="157"/>
      <c r="AQ937" s="157"/>
      <c r="AR937" s="157"/>
      <c r="AS937" s="157"/>
      <c r="AT937" s="157"/>
      <c r="AU937" s="157"/>
      <c r="AV937" s="157"/>
      <c r="AW937" s="157"/>
      <c r="AX937" s="157"/>
      <c r="AY937" s="157"/>
      <c r="AZ937" s="157"/>
      <c r="BA937" s="157"/>
      <c r="BB937" s="157"/>
      <c r="BC937" s="157"/>
      <c r="BD937" s="157"/>
      <c r="BE937" s="157"/>
      <c r="BF937" s="157"/>
      <c r="BG937" s="157"/>
      <c r="BH937" s="157"/>
      <c r="BI937" s="157"/>
      <c r="BJ937" s="157"/>
    </row>
    <row r="938" spans="1:62" ht="15.75" customHeight="1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  <c r="AA938" s="157"/>
      <c r="AB938" s="157"/>
      <c r="AC938" s="157"/>
      <c r="AD938" s="157"/>
      <c r="AE938" s="157"/>
      <c r="AF938" s="157"/>
      <c r="AG938" s="157"/>
      <c r="AH938" s="157"/>
      <c r="AI938" s="157"/>
      <c r="AJ938" s="157"/>
      <c r="AK938" s="157"/>
      <c r="AL938" s="157"/>
      <c r="AM938" s="157"/>
      <c r="AN938" s="157"/>
      <c r="AO938" s="157"/>
      <c r="AP938" s="157"/>
      <c r="AQ938" s="157"/>
      <c r="AR938" s="157"/>
      <c r="AS938" s="157"/>
      <c r="AT938" s="157"/>
      <c r="AU938" s="157"/>
      <c r="AV938" s="157"/>
      <c r="AW938" s="157"/>
      <c r="AX938" s="157"/>
      <c r="AY938" s="157"/>
      <c r="AZ938" s="157"/>
      <c r="BA938" s="157"/>
      <c r="BB938" s="157"/>
      <c r="BC938" s="157"/>
      <c r="BD938" s="157"/>
      <c r="BE938" s="157"/>
      <c r="BF938" s="157"/>
      <c r="BG938" s="157"/>
      <c r="BH938" s="157"/>
      <c r="BI938" s="157"/>
      <c r="BJ938" s="157"/>
    </row>
    <row r="939" spans="1:62" ht="15.75" customHeight="1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  <c r="AA939" s="157"/>
      <c r="AB939" s="157"/>
      <c r="AC939" s="157"/>
      <c r="AD939" s="157"/>
      <c r="AE939" s="157"/>
      <c r="AF939" s="157"/>
      <c r="AG939" s="157"/>
      <c r="AH939" s="157"/>
      <c r="AI939" s="157"/>
      <c r="AJ939" s="157"/>
      <c r="AK939" s="157"/>
      <c r="AL939" s="157"/>
      <c r="AM939" s="157"/>
      <c r="AN939" s="157"/>
      <c r="AO939" s="157"/>
      <c r="AP939" s="157"/>
      <c r="AQ939" s="157"/>
      <c r="AR939" s="157"/>
      <c r="AS939" s="157"/>
      <c r="AT939" s="157"/>
      <c r="AU939" s="157"/>
      <c r="AV939" s="157"/>
      <c r="AW939" s="157"/>
      <c r="AX939" s="157"/>
      <c r="AY939" s="157"/>
      <c r="AZ939" s="157"/>
      <c r="BA939" s="157"/>
      <c r="BB939" s="157"/>
      <c r="BC939" s="157"/>
      <c r="BD939" s="157"/>
      <c r="BE939" s="157"/>
      <c r="BF939" s="157"/>
      <c r="BG939" s="157"/>
      <c r="BH939" s="157"/>
      <c r="BI939" s="157"/>
      <c r="BJ939" s="157"/>
    </row>
    <row r="940" spans="1:62" ht="15.75" customHeight="1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  <c r="AA940" s="157"/>
      <c r="AB940" s="157"/>
      <c r="AC940" s="157"/>
      <c r="AD940" s="157"/>
      <c r="AE940" s="157"/>
      <c r="AF940" s="157"/>
      <c r="AG940" s="157"/>
      <c r="AH940" s="157"/>
      <c r="AI940" s="157"/>
      <c r="AJ940" s="157"/>
      <c r="AK940" s="157"/>
      <c r="AL940" s="157"/>
      <c r="AM940" s="157"/>
      <c r="AN940" s="157"/>
      <c r="AO940" s="157"/>
      <c r="AP940" s="157"/>
      <c r="AQ940" s="157"/>
      <c r="AR940" s="157"/>
      <c r="AS940" s="157"/>
      <c r="AT940" s="157"/>
      <c r="AU940" s="157"/>
      <c r="AV940" s="157"/>
      <c r="AW940" s="157"/>
      <c r="AX940" s="157"/>
      <c r="AY940" s="157"/>
      <c r="AZ940" s="157"/>
      <c r="BA940" s="157"/>
      <c r="BB940" s="157"/>
      <c r="BC940" s="157"/>
      <c r="BD940" s="157"/>
      <c r="BE940" s="157"/>
      <c r="BF940" s="157"/>
      <c r="BG940" s="157"/>
      <c r="BH940" s="157"/>
      <c r="BI940" s="157"/>
      <c r="BJ940" s="157"/>
    </row>
    <row r="941" spans="1:62" ht="15.75" customHeight="1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  <c r="AA941" s="157"/>
      <c r="AB941" s="157"/>
      <c r="AC941" s="157"/>
      <c r="AD941" s="157"/>
      <c r="AE941" s="157"/>
      <c r="AF941" s="157"/>
      <c r="AG941" s="157"/>
      <c r="AH941" s="157"/>
      <c r="AI941" s="157"/>
      <c r="AJ941" s="157"/>
      <c r="AK941" s="157"/>
      <c r="AL941" s="157"/>
      <c r="AM941" s="157"/>
      <c r="AN941" s="157"/>
      <c r="AO941" s="157"/>
      <c r="AP941" s="157"/>
      <c r="AQ941" s="157"/>
      <c r="AR941" s="157"/>
      <c r="AS941" s="157"/>
      <c r="AT941" s="157"/>
      <c r="AU941" s="157"/>
      <c r="AV941" s="157"/>
      <c r="AW941" s="157"/>
      <c r="AX941" s="157"/>
      <c r="AY941" s="157"/>
      <c r="AZ941" s="157"/>
      <c r="BA941" s="157"/>
      <c r="BB941" s="157"/>
      <c r="BC941" s="157"/>
      <c r="BD941" s="157"/>
      <c r="BE941" s="157"/>
      <c r="BF941" s="157"/>
      <c r="BG941" s="157"/>
      <c r="BH941" s="157"/>
      <c r="BI941" s="157"/>
      <c r="BJ941" s="157"/>
    </row>
    <row r="942" spans="1:62" ht="15.75" customHeight="1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  <c r="AA942" s="157"/>
      <c r="AB942" s="157"/>
      <c r="AC942" s="157"/>
      <c r="AD942" s="157"/>
      <c r="AE942" s="157"/>
      <c r="AF942" s="157"/>
      <c r="AG942" s="157"/>
      <c r="AH942" s="157"/>
      <c r="AI942" s="157"/>
      <c r="AJ942" s="157"/>
      <c r="AK942" s="157"/>
      <c r="AL942" s="157"/>
      <c r="AM942" s="157"/>
      <c r="AN942" s="157"/>
      <c r="AO942" s="157"/>
      <c r="AP942" s="157"/>
      <c r="AQ942" s="157"/>
      <c r="AR942" s="157"/>
      <c r="AS942" s="157"/>
      <c r="AT942" s="157"/>
      <c r="AU942" s="157"/>
      <c r="AV942" s="157"/>
      <c r="AW942" s="157"/>
      <c r="AX942" s="157"/>
      <c r="AY942" s="157"/>
      <c r="AZ942" s="157"/>
      <c r="BA942" s="157"/>
      <c r="BB942" s="157"/>
      <c r="BC942" s="157"/>
      <c r="BD942" s="157"/>
      <c r="BE942" s="157"/>
      <c r="BF942" s="157"/>
      <c r="BG942" s="157"/>
      <c r="BH942" s="157"/>
      <c r="BI942" s="157"/>
      <c r="BJ942" s="157"/>
    </row>
    <row r="943" spans="1:62" ht="15.75" customHeight="1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  <c r="AA943" s="157"/>
      <c r="AB943" s="157"/>
      <c r="AC943" s="157"/>
      <c r="AD943" s="157"/>
      <c r="AE943" s="157"/>
      <c r="AF943" s="157"/>
      <c r="AG943" s="157"/>
      <c r="AH943" s="157"/>
      <c r="AI943" s="157"/>
      <c r="AJ943" s="157"/>
      <c r="AK943" s="157"/>
      <c r="AL943" s="157"/>
      <c r="AM943" s="157"/>
      <c r="AN943" s="157"/>
      <c r="AO943" s="157"/>
      <c r="AP943" s="157"/>
      <c r="AQ943" s="157"/>
      <c r="AR943" s="157"/>
      <c r="AS943" s="157"/>
      <c r="AT943" s="157"/>
      <c r="AU943" s="157"/>
      <c r="AV943" s="157"/>
      <c r="AW943" s="157"/>
      <c r="AX943" s="157"/>
      <c r="AY943" s="157"/>
      <c r="AZ943" s="157"/>
      <c r="BA943" s="157"/>
      <c r="BB943" s="157"/>
      <c r="BC943" s="157"/>
      <c r="BD943" s="157"/>
      <c r="BE943" s="157"/>
      <c r="BF943" s="157"/>
      <c r="BG943" s="157"/>
      <c r="BH943" s="157"/>
      <c r="BI943" s="157"/>
      <c r="BJ943" s="157"/>
    </row>
    <row r="944" spans="1:62" ht="15.75" customHeight="1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  <c r="AA944" s="157"/>
      <c r="AB944" s="157"/>
      <c r="AC944" s="157"/>
      <c r="AD944" s="157"/>
      <c r="AE944" s="157"/>
      <c r="AF944" s="157"/>
      <c r="AG944" s="157"/>
      <c r="AH944" s="157"/>
      <c r="AI944" s="157"/>
      <c r="AJ944" s="157"/>
      <c r="AK944" s="157"/>
      <c r="AL944" s="157"/>
      <c r="AM944" s="157"/>
      <c r="AN944" s="157"/>
      <c r="AO944" s="157"/>
      <c r="AP944" s="157"/>
      <c r="AQ944" s="157"/>
      <c r="AR944" s="157"/>
      <c r="AS944" s="157"/>
      <c r="AT944" s="157"/>
      <c r="AU944" s="157"/>
      <c r="AV944" s="157"/>
      <c r="AW944" s="157"/>
      <c r="AX944" s="157"/>
      <c r="AY944" s="157"/>
      <c r="AZ944" s="157"/>
      <c r="BA944" s="157"/>
      <c r="BB944" s="157"/>
      <c r="BC944" s="157"/>
      <c r="BD944" s="157"/>
      <c r="BE944" s="157"/>
      <c r="BF944" s="157"/>
      <c r="BG944" s="157"/>
      <c r="BH944" s="157"/>
      <c r="BI944" s="157"/>
      <c r="BJ944" s="157"/>
    </row>
    <row r="945" spans="1:62" ht="15.75" customHeight="1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  <c r="AA945" s="157"/>
      <c r="AB945" s="157"/>
      <c r="AC945" s="157"/>
      <c r="AD945" s="157"/>
      <c r="AE945" s="157"/>
      <c r="AF945" s="157"/>
      <c r="AG945" s="157"/>
      <c r="AH945" s="157"/>
      <c r="AI945" s="157"/>
      <c r="AJ945" s="157"/>
      <c r="AK945" s="157"/>
      <c r="AL945" s="157"/>
      <c r="AM945" s="157"/>
      <c r="AN945" s="157"/>
      <c r="AO945" s="157"/>
      <c r="AP945" s="157"/>
      <c r="AQ945" s="157"/>
      <c r="AR945" s="157"/>
      <c r="AS945" s="157"/>
      <c r="AT945" s="157"/>
      <c r="AU945" s="157"/>
      <c r="AV945" s="157"/>
      <c r="AW945" s="157"/>
      <c r="AX945" s="157"/>
      <c r="AY945" s="157"/>
      <c r="AZ945" s="157"/>
      <c r="BA945" s="157"/>
      <c r="BB945" s="157"/>
      <c r="BC945" s="157"/>
      <c r="BD945" s="157"/>
      <c r="BE945" s="157"/>
      <c r="BF945" s="157"/>
      <c r="BG945" s="157"/>
      <c r="BH945" s="157"/>
      <c r="BI945" s="157"/>
      <c r="BJ945" s="157"/>
    </row>
    <row r="946" spans="1:62" ht="15.75" customHeight="1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  <c r="AA946" s="157"/>
      <c r="AB946" s="157"/>
      <c r="AC946" s="157"/>
      <c r="AD946" s="157"/>
      <c r="AE946" s="157"/>
      <c r="AF946" s="157"/>
      <c r="AG946" s="157"/>
      <c r="AH946" s="157"/>
      <c r="AI946" s="157"/>
      <c r="AJ946" s="157"/>
      <c r="AK946" s="157"/>
      <c r="AL946" s="157"/>
      <c r="AM946" s="157"/>
      <c r="AN946" s="157"/>
      <c r="AO946" s="157"/>
      <c r="AP946" s="157"/>
      <c r="AQ946" s="157"/>
      <c r="AR946" s="157"/>
      <c r="AS946" s="157"/>
      <c r="AT946" s="157"/>
      <c r="AU946" s="157"/>
      <c r="AV946" s="157"/>
      <c r="AW946" s="157"/>
      <c r="AX946" s="157"/>
      <c r="AY946" s="157"/>
      <c r="AZ946" s="157"/>
      <c r="BA946" s="157"/>
      <c r="BB946" s="157"/>
      <c r="BC946" s="157"/>
      <c r="BD946" s="157"/>
      <c r="BE946" s="157"/>
      <c r="BF946" s="157"/>
      <c r="BG946" s="157"/>
      <c r="BH946" s="157"/>
      <c r="BI946" s="157"/>
      <c r="BJ946" s="157"/>
    </row>
    <row r="947" spans="1:62" ht="15.75" customHeight="1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  <c r="AA947" s="157"/>
      <c r="AB947" s="157"/>
      <c r="AC947" s="157"/>
      <c r="AD947" s="157"/>
      <c r="AE947" s="157"/>
      <c r="AF947" s="157"/>
      <c r="AG947" s="157"/>
      <c r="AH947" s="157"/>
      <c r="AI947" s="157"/>
      <c r="AJ947" s="157"/>
      <c r="AK947" s="157"/>
      <c r="AL947" s="157"/>
      <c r="AM947" s="157"/>
      <c r="AN947" s="157"/>
      <c r="AO947" s="157"/>
      <c r="AP947" s="157"/>
      <c r="AQ947" s="157"/>
      <c r="AR947" s="157"/>
      <c r="AS947" s="157"/>
      <c r="AT947" s="157"/>
      <c r="AU947" s="157"/>
      <c r="AV947" s="157"/>
      <c r="AW947" s="157"/>
      <c r="AX947" s="157"/>
      <c r="AY947" s="157"/>
      <c r="AZ947" s="157"/>
      <c r="BA947" s="157"/>
      <c r="BB947" s="157"/>
      <c r="BC947" s="157"/>
      <c r="BD947" s="157"/>
      <c r="BE947" s="157"/>
      <c r="BF947" s="157"/>
      <c r="BG947" s="157"/>
      <c r="BH947" s="157"/>
      <c r="BI947" s="157"/>
      <c r="BJ947" s="157"/>
    </row>
    <row r="948" spans="1:62" ht="15.75" customHeight="1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  <c r="AA948" s="157"/>
      <c r="AB948" s="157"/>
      <c r="AC948" s="157"/>
      <c r="AD948" s="157"/>
      <c r="AE948" s="157"/>
      <c r="AF948" s="157"/>
      <c r="AG948" s="157"/>
      <c r="AH948" s="157"/>
      <c r="AI948" s="157"/>
      <c r="AJ948" s="157"/>
      <c r="AK948" s="157"/>
      <c r="AL948" s="157"/>
      <c r="AM948" s="157"/>
      <c r="AN948" s="157"/>
      <c r="AO948" s="157"/>
      <c r="AP948" s="157"/>
      <c r="AQ948" s="157"/>
      <c r="AR948" s="157"/>
      <c r="AS948" s="157"/>
      <c r="AT948" s="157"/>
      <c r="AU948" s="157"/>
      <c r="AV948" s="157"/>
      <c r="AW948" s="157"/>
      <c r="AX948" s="157"/>
      <c r="AY948" s="157"/>
      <c r="AZ948" s="157"/>
      <c r="BA948" s="157"/>
      <c r="BB948" s="157"/>
      <c r="BC948" s="157"/>
      <c r="BD948" s="157"/>
      <c r="BE948" s="157"/>
      <c r="BF948" s="157"/>
      <c r="BG948" s="157"/>
      <c r="BH948" s="157"/>
      <c r="BI948" s="157"/>
      <c r="BJ948" s="157"/>
    </row>
    <row r="949" spans="1:62" ht="15.75" customHeight="1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  <c r="AA949" s="157"/>
      <c r="AB949" s="157"/>
      <c r="AC949" s="157"/>
      <c r="AD949" s="157"/>
      <c r="AE949" s="157"/>
      <c r="AF949" s="157"/>
      <c r="AG949" s="157"/>
      <c r="AH949" s="157"/>
      <c r="AI949" s="157"/>
      <c r="AJ949" s="157"/>
      <c r="AK949" s="157"/>
      <c r="AL949" s="157"/>
      <c r="AM949" s="157"/>
      <c r="AN949" s="157"/>
      <c r="AO949" s="157"/>
      <c r="AP949" s="157"/>
      <c r="AQ949" s="157"/>
      <c r="AR949" s="157"/>
      <c r="AS949" s="157"/>
      <c r="AT949" s="157"/>
      <c r="AU949" s="157"/>
      <c r="AV949" s="157"/>
      <c r="AW949" s="157"/>
      <c r="AX949" s="157"/>
      <c r="AY949" s="157"/>
      <c r="AZ949" s="157"/>
      <c r="BA949" s="157"/>
      <c r="BB949" s="157"/>
      <c r="BC949" s="157"/>
      <c r="BD949" s="157"/>
      <c r="BE949" s="157"/>
      <c r="BF949" s="157"/>
      <c r="BG949" s="157"/>
      <c r="BH949" s="157"/>
      <c r="BI949" s="157"/>
      <c r="BJ949" s="157"/>
    </row>
    <row r="950" spans="1:62" ht="15.75" customHeight="1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  <c r="AA950" s="157"/>
      <c r="AB950" s="157"/>
      <c r="AC950" s="157"/>
      <c r="AD950" s="157"/>
      <c r="AE950" s="157"/>
      <c r="AF950" s="157"/>
      <c r="AG950" s="157"/>
      <c r="AH950" s="157"/>
      <c r="AI950" s="157"/>
      <c r="AJ950" s="157"/>
      <c r="AK950" s="157"/>
      <c r="AL950" s="157"/>
      <c r="AM950" s="157"/>
      <c r="AN950" s="157"/>
      <c r="AO950" s="157"/>
      <c r="AP950" s="157"/>
      <c r="AQ950" s="157"/>
      <c r="AR950" s="157"/>
      <c r="AS950" s="157"/>
      <c r="AT950" s="157"/>
      <c r="AU950" s="157"/>
      <c r="AV950" s="157"/>
      <c r="AW950" s="157"/>
      <c r="AX950" s="157"/>
      <c r="AY950" s="157"/>
      <c r="AZ950" s="157"/>
      <c r="BA950" s="157"/>
      <c r="BB950" s="157"/>
      <c r="BC950" s="157"/>
      <c r="BD950" s="157"/>
      <c r="BE950" s="157"/>
      <c r="BF950" s="157"/>
      <c r="BG950" s="157"/>
      <c r="BH950" s="157"/>
      <c r="BI950" s="157"/>
      <c r="BJ950" s="157"/>
    </row>
    <row r="951" spans="1:62" ht="15.75" customHeight="1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  <c r="AA951" s="157"/>
      <c r="AB951" s="157"/>
      <c r="AC951" s="157"/>
      <c r="AD951" s="157"/>
      <c r="AE951" s="157"/>
      <c r="AF951" s="157"/>
      <c r="AG951" s="157"/>
      <c r="AH951" s="157"/>
      <c r="AI951" s="157"/>
      <c r="AJ951" s="157"/>
      <c r="AK951" s="157"/>
      <c r="AL951" s="157"/>
      <c r="AM951" s="157"/>
      <c r="AN951" s="157"/>
      <c r="AO951" s="157"/>
      <c r="AP951" s="157"/>
      <c r="AQ951" s="157"/>
      <c r="AR951" s="157"/>
      <c r="AS951" s="157"/>
      <c r="AT951" s="157"/>
      <c r="AU951" s="157"/>
      <c r="AV951" s="157"/>
      <c r="AW951" s="157"/>
      <c r="AX951" s="157"/>
      <c r="AY951" s="157"/>
      <c r="AZ951" s="157"/>
      <c r="BA951" s="157"/>
      <c r="BB951" s="157"/>
      <c r="BC951" s="157"/>
      <c r="BD951" s="157"/>
      <c r="BE951" s="157"/>
      <c r="BF951" s="157"/>
      <c r="BG951" s="157"/>
      <c r="BH951" s="157"/>
      <c r="BI951" s="157"/>
      <c r="BJ951" s="157"/>
    </row>
    <row r="952" spans="1:62" ht="15.75" customHeight="1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  <c r="AA952" s="157"/>
      <c r="AB952" s="157"/>
      <c r="AC952" s="157"/>
      <c r="AD952" s="157"/>
      <c r="AE952" s="157"/>
      <c r="AF952" s="157"/>
      <c r="AG952" s="157"/>
      <c r="AH952" s="157"/>
      <c r="AI952" s="157"/>
      <c r="AJ952" s="157"/>
      <c r="AK952" s="157"/>
      <c r="AL952" s="157"/>
      <c r="AM952" s="157"/>
      <c r="AN952" s="157"/>
      <c r="AO952" s="157"/>
      <c r="AP952" s="157"/>
      <c r="AQ952" s="157"/>
      <c r="AR952" s="157"/>
      <c r="AS952" s="157"/>
      <c r="AT952" s="157"/>
      <c r="AU952" s="157"/>
      <c r="AV952" s="157"/>
      <c r="AW952" s="157"/>
      <c r="AX952" s="157"/>
      <c r="AY952" s="157"/>
      <c r="AZ952" s="157"/>
      <c r="BA952" s="157"/>
      <c r="BB952" s="157"/>
      <c r="BC952" s="157"/>
      <c r="BD952" s="157"/>
      <c r="BE952" s="157"/>
      <c r="BF952" s="157"/>
      <c r="BG952" s="157"/>
      <c r="BH952" s="157"/>
      <c r="BI952" s="157"/>
      <c r="BJ952" s="157"/>
    </row>
    <row r="953" spans="1:62" ht="15.75" customHeight="1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  <c r="AA953" s="157"/>
      <c r="AB953" s="157"/>
      <c r="AC953" s="157"/>
      <c r="AD953" s="157"/>
      <c r="AE953" s="157"/>
      <c r="AF953" s="157"/>
      <c r="AG953" s="157"/>
      <c r="AH953" s="157"/>
      <c r="AI953" s="157"/>
      <c r="AJ953" s="157"/>
      <c r="AK953" s="157"/>
      <c r="AL953" s="157"/>
      <c r="AM953" s="157"/>
      <c r="AN953" s="157"/>
      <c r="AO953" s="157"/>
      <c r="AP953" s="157"/>
      <c r="AQ953" s="157"/>
      <c r="AR953" s="157"/>
      <c r="AS953" s="157"/>
      <c r="AT953" s="157"/>
      <c r="AU953" s="157"/>
      <c r="AV953" s="157"/>
      <c r="AW953" s="157"/>
      <c r="AX953" s="157"/>
      <c r="AY953" s="157"/>
      <c r="AZ953" s="157"/>
      <c r="BA953" s="157"/>
      <c r="BB953" s="157"/>
      <c r="BC953" s="157"/>
      <c r="BD953" s="157"/>
      <c r="BE953" s="157"/>
      <c r="BF953" s="157"/>
      <c r="BG953" s="157"/>
      <c r="BH953" s="157"/>
      <c r="BI953" s="157"/>
      <c r="BJ953" s="157"/>
    </row>
    <row r="954" spans="1:62" ht="15.75" customHeight="1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  <c r="AA954" s="157"/>
      <c r="AB954" s="157"/>
      <c r="AC954" s="157"/>
      <c r="AD954" s="157"/>
      <c r="AE954" s="157"/>
      <c r="AF954" s="157"/>
      <c r="AG954" s="157"/>
      <c r="AH954" s="157"/>
      <c r="AI954" s="157"/>
      <c r="AJ954" s="157"/>
      <c r="AK954" s="157"/>
      <c r="AL954" s="157"/>
      <c r="AM954" s="157"/>
      <c r="AN954" s="157"/>
      <c r="AO954" s="157"/>
      <c r="AP954" s="157"/>
      <c r="AQ954" s="157"/>
      <c r="AR954" s="157"/>
      <c r="AS954" s="157"/>
      <c r="AT954" s="157"/>
      <c r="AU954" s="157"/>
      <c r="AV954" s="157"/>
      <c r="AW954" s="157"/>
      <c r="AX954" s="157"/>
      <c r="AY954" s="157"/>
      <c r="AZ954" s="157"/>
      <c r="BA954" s="157"/>
      <c r="BB954" s="157"/>
      <c r="BC954" s="157"/>
      <c r="BD954" s="157"/>
      <c r="BE954" s="157"/>
      <c r="BF954" s="157"/>
      <c r="BG954" s="157"/>
      <c r="BH954" s="157"/>
      <c r="BI954" s="157"/>
      <c r="BJ954" s="157"/>
    </row>
    <row r="955" spans="1:62" ht="15.75" customHeight="1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  <c r="AA955" s="157"/>
      <c r="AB955" s="157"/>
      <c r="AC955" s="157"/>
      <c r="AD955" s="157"/>
      <c r="AE955" s="157"/>
      <c r="AF955" s="157"/>
      <c r="AG955" s="157"/>
      <c r="AH955" s="157"/>
      <c r="AI955" s="157"/>
      <c r="AJ955" s="157"/>
      <c r="AK955" s="157"/>
      <c r="AL955" s="157"/>
      <c r="AM955" s="157"/>
      <c r="AN955" s="157"/>
      <c r="AO955" s="157"/>
      <c r="AP955" s="157"/>
      <c r="AQ955" s="157"/>
      <c r="AR955" s="157"/>
      <c r="AS955" s="157"/>
      <c r="AT955" s="157"/>
      <c r="AU955" s="157"/>
      <c r="AV955" s="157"/>
      <c r="AW955" s="157"/>
      <c r="AX955" s="157"/>
      <c r="AY955" s="157"/>
      <c r="AZ955" s="157"/>
      <c r="BA955" s="157"/>
      <c r="BB955" s="157"/>
      <c r="BC955" s="157"/>
      <c r="BD955" s="157"/>
      <c r="BE955" s="157"/>
      <c r="BF955" s="157"/>
      <c r="BG955" s="157"/>
      <c r="BH955" s="157"/>
      <c r="BI955" s="157"/>
      <c r="BJ955" s="157"/>
    </row>
    <row r="956" spans="1:62" ht="15.75" customHeight="1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  <c r="AA956" s="157"/>
      <c r="AB956" s="157"/>
      <c r="AC956" s="157"/>
      <c r="AD956" s="157"/>
      <c r="AE956" s="157"/>
      <c r="AF956" s="157"/>
      <c r="AG956" s="157"/>
      <c r="AH956" s="157"/>
      <c r="AI956" s="157"/>
      <c r="AJ956" s="157"/>
      <c r="AK956" s="157"/>
      <c r="AL956" s="157"/>
      <c r="AM956" s="157"/>
      <c r="AN956" s="157"/>
      <c r="AO956" s="157"/>
      <c r="AP956" s="157"/>
      <c r="AQ956" s="157"/>
      <c r="AR956" s="157"/>
      <c r="AS956" s="157"/>
      <c r="AT956" s="157"/>
      <c r="AU956" s="157"/>
      <c r="AV956" s="157"/>
      <c r="AW956" s="157"/>
      <c r="AX956" s="157"/>
      <c r="AY956" s="157"/>
      <c r="AZ956" s="157"/>
      <c r="BA956" s="157"/>
      <c r="BB956" s="157"/>
      <c r="BC956" s="157"/>
      <c r="BD956" s="157"/>
      <c r="BE956" s="157"/>
      <c r="BF956" s="157"/>
      <c r="BG956" s="157"/>
      <c r="BH956" s="157"/>
      <c r="BI956" s="157"/>
      <c r="BJ956" s="157"/>
    </row>
    <row r="957" spans="1:62" ht="15.75" customHeight="1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  <c r="AA957" s="157"/>
      <c r="AB957" s="157"/>
      <c r="AC957" s="157"/>
      <c r="AD957" s="157"/>
      <c r="AE957" s="157"/>
      <c r="AF957" s="157"/>
      <c r="AG957" s="157"/>
      <c r="AH957" s="157"/>
      <c r="AI957" s="157"/>
      <c r="AJ957" s="157"/>
      <c r="AK957" s="157"/>
      <c r="AL957" s="157"/>
      <c r="AM957" s="157"/>
      <c r="AN957" s="157"/>
      <c r="AO957" s="157"/>
      <c r="AP957" s="157"/>
      <c r="AQ957" s="157"/>
      <c r="AR957" s="157"/>
      <c r="AS957" s="157"/>
      <c r="AT957" s="157"/>
      <c r="AU957" s="157"/>
      <c r="AV957" s="157"/>
      <c r="AW957" s="157"/>
      <c r="AX957" s="157"/>
      <c r="AY957" s="157"/>
      <c r="AZ957" s="157"/>
      <c r="BA957" s="157"/>
      <c r="BB957" s="157"/>
      <c r="BC957" s="157"/>
      <c r="BD957" s="157"/>
      <c r="BE957" s="157"/>
      <c r="BF957" s="157"/>
      <c r="BG957" s="157"/>
      <c r="BH957" s="157"/>
      <c r="BI957" s="157"/>
      <c r="BJ957" s="157"/>
    </row>
    <row r="958" spans="1:62" ht="15.75" customHeight="1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  <c r="AA958" s="157"/>
      <c r="AB958" s="157"/>
      <c r="AC958" s="157"/>
      <c r="AD958" s="157"/>
      <c r="AE958" s="157"/>
      <c r="AF958" s="157"/>
      <c r="AG958" s="157"/>
      <c r="AH958" s="157"/>
      <c r="AI958" s="157"/>
      <c r="AJ958" s="157"/>
      <c r="AK958" s="157"/>
      <c r="AL958" s="157"/>
      <c r="AM958" s="157"/>
      <c r="AN958" s="157"/>
      <c r="AO958" s="157"/>
      <c r="AP958" s="157"/>
      <c r="AQ958" s="157"/>
      <c r="AR958" s="157"/>
      <c r="AS958" s="157"/>
      <c r="AT958" s="157"/>
      <c r="AU958" s="157"/>
      <c r="AV958" s="157"/>
      <c r="AW958" s="157"/>
      <c r="AX958" s="157"/>
      <c r="AY958" s="157"/>
      <c r="AZ958" s="157"/>
      <c r="BA958" s="157"/>
      <c r="BB958" s="157"/>
      <c r="BC958" s="157"/>
      <c r="BD958" s="157"/>
      <c r="BE958" s="157"/>
      <c r="BF958" s="157"/>
      <c r="BG958" s="157"/>
      <c r="BH958" s="157"/>
      <c r="BI958" s="157"/>
      <c r="BJ958" s="157"/>
    </row>
    <row r="959" spans="1:62" ht="15.75" customHeight="1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  <c r="AA959" s="157"/>
      <c r="AB959" s="157"/>
      <c r="AC959" s="157"/>
      <c r="AD959" s="157"/>
      <c r="AE959" s="157"/>
      <c r="AF959" s="157"/>
      <c r="AG959" s="157"/>
      <c r="AH959" s="157"/>
      <c r="AI959" s="157"/>
      <c r="AJ959" s="157"/>
      <c r="AK959" s="157"/>
      <c r="AL959" s="157"/>
      <c r="AM959" s="157"/>
      <c r="AN959" s="157"/>
      <c r="AO959" s="157"/>
      <c r="AP959" s="157"/>
      <c r="AQ959" s="157"/>
      <c r="AR959" s="157"/>
      <c r="AS959" s="157"/>
      <c r="AT959" s="157"/>
      <c r="AU959" s="157"/>
      <c r="AV959" s="157"/>
      <c r="AW959" s="157"/>
      <c r="AX959" s="157"/>
      <c r="AY959" s="157"/>
      <c r="AZ959" s="157"/>
      <c r="BA959" s="157"/>
      <c r="BB959" s="157"/>
      <c r="BC959" s="157"/>
      <c r="BD959" s="157"/>
      <c r="BE959" s="157"/>
      <c r="BF959" s="157"/>
      <c r="BG959" s="157"/>
      <c r="BH959" s="157"/>
      <c r="BI959" s="157"/>
      <c r="BJ959" s="157"/>
    </row>
    <row r="960" spans="1:62" ht="15.75" customHeight="1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  <c r="AA960" s="157"/>
      <c r="AB960" s="157"/>
      <c r="AC960" s="157"/>
      <c r="AD960" s="157"/>
      <c r="AE960" s="157"/>
      <c r="AF960" s="157"/>
      <c r="AG960" s="157"/>
      <c r="AH960" s="157"/>
      <c r="AI960" s="157"/>
      <c r="AJ960" s="157"/>
      <c r="AK960" s="157"/>
      <c r="AL960" s="157"/>
      <c r="AM960" s="157"/>
      <c r="AN960" s="157"/>
      <c r="AO960" s="157"/>
      <c r="AP960" s="157"/>
      <c r="AQ960" s="157"/>
      <c r="AR960" s="157"/>
      <c r="AS960" s="157"/>
      <c r="AT960" s="157"/>
      <c r="AU960" s="157"/>
      <c r="AV960" s="157"/>
      <c r="AW960" s="157"/>
      <c r="AX960" s="157"/>
      <c r="AY960" s="157"/>
      <c r="AZ960" s="157"/>
      <c r="BA960" s="157"/>
      <c r="BB960" s="157"/>
      <c r="BC960" s="157"/>
      <c r="BD960" s="157"/>
      <c r="BE960" s="157"/>
      <c r="BF960" s="157"/>
      <c r="BG960" s="157"/>
      <c r="BH960" s="157"/>
      <c r="BI960" s="157"/>
      <c r="BJ960" s="157"/>
    </row>
    <row r="961" spans="1:62" ht="15.75" customHeight="1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  <c r="AA961" s="157"/>
      <c r="AB961" s="157"/>
      <c r="AC961" s="157"/>
      <c r="AD961" s="157"/>
      <c r="AE961" s="157"/>
      <c r="AF961" s="157"/>
      <c r="AG961" s="157"/>
      <c r="AH961" s="157"/>
      <c r="AI961" s="157"/>
      <c r="AJ961" s="157"/>
      <c r="AK961" s="157"/>
      <c r="AL961" s="157"/>
      <c r="AM961" s="157"/>
      <c r="AN961" s="157"/>
      <c r="AO961" s="157"/>
      <c r="AP961" s="157"/>
      <c r="AQ961" s="157"/>
      <c r="AR961" s="157"/>
      <c r="AS961" s="157"/>
      <c r="AT961" s="157"/>
      <c r="AU961" s="157"/>
      <c r="AV961" s="157"/>
      <c r="AW961" s="157"/>
      <c r="AX961" s="157"/>
      <c r="AY961" s="157"/>
      <c r="AZ961" s="157"/>
      <c r="BA961" s="157"/>
      <c r="BB961" s="157"/>
      <c r="BC961" s="157"/>
      <c r="BD961" s="157"/>
      <c r="BE961" s="157"/>
      <c r="BF961" s="157"/>
      <c r="BG961" s="157"/>
      <c r="BH961" s="157"/>
      <c r="BI961" s="157"/>
      <c r="BJ961" s="157"/>
    </row>
    <row r="962" spans="1:62" ht="15.75" customHeight="1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  <c r="AA962" s="157"/>
      <c r="AB962" s="157"/>
      <c r="AC962" s="157"/>
      <c r="AD962" s="157"/>
      <c r="AE962" s="157"/>
      <c r="AF962" s="157"/>
      <c r="AG962" s="157"/>
      <c r="AH962" s="157"/>
      <c r="AI962" s="157"/>
      <c r="AJ962" s="157"/>
      <c r="AK962" s="157"/>
      <c r="AL962" s="157"/>
      <c r="AM962" s="157"/>
      <c r="AN962" s="157"/>
      <c r="AO962" s="157"/>
      <c r="AP962" s="157"/>
      <c r="AQ962" s="157"/>
      <c r="AR962" s="157"/>
      <c r="AS962" s="157"/>
      <c r="AT962" s="157"/>
      <c r="AU962" s="157"/>
      <c r="AV962" s="157"/>
      <c r="AW962" s="157"/>
      <c r="AX962" s="157"/>
      <c r="AY962" s="157"/>
      <c r="AZ962" s="157"/>
      <c r="BA962" s="157"/>
      <c r="BB962" s="157"/>
      <c r="BC962" s="157"/>
      <c r="BD962" s="157"/>
      <c r="BE962" s="157"/>
      <c r="BF962" s="157"/>
      <c r="BG962" s="157"/>
      <c r="BH962" s="157"/>
      <c r="BI962" s="157"/>
      <c r="BJ962" s="157"/>
    </row>
    <row r="963" spans="1:62" ht="15.75" customHeight="1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  <c r="AA963" s="157"/>
      <c r="AB963" s="157"/>
      <c r="AC963" s="157"/>
      <c r="AD963" s="157"/>
      <c r="AE963" s="157"/>
      <c r="AF963" s="157"/>
      <c r="AG963" s="157"/>
      <c r="AH963" s="157"/>
      <c r="AI963" s="157"/>
      <c r="AJ963" s="157"/>
      <c r="AK963" s="157"/>
      <c r="AL963" s="157"/>
      <c r="AM963" s="157"/>
      <c r="AN963" s="157"/>
      <c r="AO963" s="157"/>
      <c r="AP963" s="157"/>
      <c r="AQ963" s="157"/>
      <c r="AR963" s="157"/>
      <c r="AS963" s="157"/>
      <c r="AT963" s="157"/>
      <c r="AU963" s="157"/>
      <c r="AV963" s="157"/>
      <c r="AW963" s="157"/>
      <c r="AX963" s="157"/>
      <c r="AY963" s="157"/>
      <c r="AZ963" s="157"/>
      <c r="BA963" s="157"/>
      <c r="BB963" s="157"/>
      <c r="BC963" s="157"/>
      <c r="BD963" s="157"/>
      <c r="BE963" s="157"/>
      <c r="BF963" s="157"/>
      <c r="BG963" s="157"/>
      <c r="BH963" s="157"/>
      <c r="BI963" s="157"/>
      <c r="BJ963" s="157"/>
    </row>
    <row r="964" spans="1:62" ht="15.75" customHeight="1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  <c r="AA964" s="157"/>
      <c r="AB964" s="157"/>
      <c r="AC964" s="157"/>
      <c r="AD964" s="157"/>
      <c r="AE964" s="157"/>
      <c r="AF964" s="157"/>
      <c r="AG964" s="157"/>
      <c r="AH964" s="157"/>
      <c r="AI964" s="157"/>
      <c r="AJ964" s="157"/>
      <c r="AK964" s="157"/>
      <c r="AL964" s="157"/>
      <c r="AM964" s="157"/>
      <c r="AN964" s="157"/>
      <c r="AO964" s="157"/>
      <c r="AP964" s="157"/>
      <c r="AQ964" s="157"/>
      <c r="AR964" s="157"/>
      <c r="AS964" s="157"/>
      <c r="AT964" s="157"/>
      <c r="AU964" s="157"/>
      <c r="AV964" s="157"/>
      <c r="AW964" s="157"/>
      <c r="AX964" s="157"/>
      <c r="AY964" s="157"/>
      <c r="AZ964" s="157"/>
      <c r="BA964" s="157"/>
      <c r="BB964" s="157"/>
      <c r="BC964" s="157"/>
      <c r="BD964" s="157"/>
      <c r="BE964" s="157"/>
      <c r="BF964" s="157"/>
      <c r="BG964" s="157"/>
      <c r="BH964" s="157"/>
      <c r="BI964" s="157"/>
      <c r="BJ964" s="157"/>
    </row>
    <row r="965" spans="1:62" ht="15.75" customHeight="1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  <c r="AA965" s="157"/>
      <c r="AB965" s="157"/>
      <c r="AC965" s="157"/>
      <c r="AD965" s="157"/>
      <c r="AE965" s="157"/>
      <c r="AF965" s="157"/>
      <c r="AG965" s="157"/>
      <c r="AH965" s="157"/>
      <c r="AI965" s="157"/>
      <c r="AJ965" s="157"/>
      <c r="AK965" s="157"/>
      <c r="AL965" s="157"/>
      <c r="AM965" s="157"/>
      <c r="AN965" s="157"/>
      <c r="AO965" s="157"/>
      <c r="AP965" s="157"/>
      <c r="AQ965" s="157"/>
      <c r="AR965" s="157"/>
      <c r="AS965" s="157"/>
      <c r="AT965" s="157"/>
      <c r="AU965" s="157"/>
      <c r="AV965" s="157"/>
      <c r="AW965" s="157"/>
      <c r="AX965" s="157"/>
      <c r="AY965" s="157"/>
      <c r="AZ965" s="157"/>
      <c r="BA965" s="157"/>
      <c r="BB965" s="157"/>
      <c r="BC965" s="157"/>
      <c r="BD965" s="157"/>
      <c r="BE965" s="157"/>
      <c r="BF965" s="157"/>
      <c r="BG965" s="157"/>
      <c r="BH965" s="157"/>
      <c r="BI965" s="157"/>
      <c r="BJ965" s="157"/>
    </row>
    <row r="966" spans="1:62" ht="15.75" customHeight="1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  <c r="AA966" s="157"/>
      <c r="AB966" s="157"/>
      <c r="AC966" s="157"/>
      <c r="AD966" s="157"/>
      <c r="AE966" s="157"/>
      <c r="AF966" s="157"/>
      <c r="AG966" s="157"/>
      <c r="AH966" s="157"/>
      <c r="AI966" s="157"/>
      <c r="AJ966" s="157"/>
      <c r="AK966" s="157"/>
      <c r="AL966" s="157"/>
      <c r="AM966" s="157"/>
      <c r="AN966" s="157"/>
      <c r="AO966" s="157"/>
      <c r="AP966" s="157"/>
      <c r="AQ966" s="157"/>
      <c r="AR966" s="157"/>
      <c r="AS966" s="157"/>
      <c r="AT966" s="157"/>
      <c r="AU966" s="157"/>
      <c r="AV966" s="157"/>
      <c r="AW966" s="157"/>
      <c r="AX966" s="157"/>
      <c r="AY966" s="157"/>
      <c r="AZ966" s="157"/>
      <c r="BA966" s="157"/>
      <c r="BB966" s="157"/>
      <c r="BC966" s="157"/>
      <c r="BD966" s="157"/>
      <c r="BE966" s="157"/>
      <c r="BF966" s="157"/>
      <c r="BG966" s="157"/>
      <c r="BH966" s="157"/>
      <c r="BI966" s="157"/>
      <c r="BJ966" s="157"/>
    </row>
    <row r="967" spans="1:62" ht="15.75" customHeight="1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  <c r="AA967" s="157"/>
      <c r="AB967" s="157"/>
      <c r="AC967" s="157"/>
      <c r="AD967" s="157"/>
      <c r="AE967" s="157"/>
      <c r="AF967" s="157"/>
      <c r="AG967" s="157"/>
      <c r="AH967" s="157"/>
      <c r="AI967" s="157"/>
      <c r="AJ967" s="157"/>
      <c r="AK967" s="157"/>
      <c r="AL967" s="157"/>
      <c r="AM967" s="157"/>
      <c r="AN967" s="157"/>
      <c r="AO967" s="157"/>
      <c r="AP967" s="157"/>
      <c r="AQ967" s="157"/>
      <c r="AR967" s="157"/>
      <c r="AS967" s="157"/>
      <c r="AT967" s="157"/>
      <c r="AU967" s="157"/>
      <c r="AV967" s="157"/>
      <c r="AW967" s="157"/>
      <c r="AX967" s="157"/>
      <c r="AY967" s="157"/>
      <c r="AZ967" s="157"/>
      <c r="BA967" s="157"/>
      <c r="BB967" s="157"/>
      <c r="BC967" s="157"/>
      <c r="BD967" s="157"/>
      <c r="BE967" s="157"/>
      <c r="BF967" s="157"/>
      <c r="BG967" s="157"/>
      <c r="BH967" s="157"/>
      <c r="BI967" s="157"/>
      <c r="BJ967" s="157"/>
    </row>
    <row r="968" spans="1:62" ht="15.75" customHeight="1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  <c r="AA968" s="157"/>
      <c r="AB968" s="157"/>
      <c r="AC968" s="157"/>
      <c r="AD968" s="157"/>
      <c r="AE968" s="157"/>
      <c r="AF968" s="157"/>
      <c r="AG968" s="157"/>
      <c r="AH968" s="157"/>
      <c r="AI968" s="157"/>
      <c r="AJ968" s="157"/>
      <c r="AK968" s="157"/>
      <c r="AL968" s="157"/>
      <c r="AM968" s="157"/>
      <c r="AN968" s="157"/>
      <c r="AO968" s="157"/>
      <c r="AP968" s="157"/>
      <c r="AQ968" s="157"/>
      <c r="AR968" s="157"/>
      <c r="AS968" s="157"/>
      <c r="AT968" s="157"/>
      <c r="AU968" s="157"/>
      <c r="AV968" s="157"/>
      <c r="AW968" s="157"/>
      <c r="AX968" s="157"/>
      <c r="AY968" s="157"/>
      <c r="AZ968" s="157"/>
      <c r="BA968" s="157"/>
      <c r="BB968" s="157"/>
      <c r="BC968" s="157"/>
      <c r="BD968" s="157"/>
      <c r="BE968" s="157"/>
      <c r="BF968" s="157"/>
      <c r="BG968" s="157"/>
      <c r="BH968" s="157"/>
      <c r="BI968" s="157"/>
      <c r="BJ968" s="157"/>
    </row>
    <row r="969" spans="1:62" ht="15.75" customHeight="1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  <c r="AA969" s="157"/>
      <c r="AB969" s="157"/>
      <c r="AC969" s="157"/>
      <c r="AD969" s="157"/>
      <c r="AE969" s="157"/>
      <c r="AF969" s="157"/>
      <c r="AG969" s="157"/>
      <c r="AH969" s="157"/>
      <c r="AI969" s="157"/>
      <c r="AJ969" s="157"/>
      <c r="AK969" s="157"/>
      <c r="AL969" s="157"/>
      <c r="AM969" s="157"/>
      <c r="AN969" s="157"/>
      <c r="AO969" s="157"/>
      <c r="AP969" s="157"/>
      <c r="AQ969" s="157"/>
      <c r="AR969" s="157"/>
      <c r="AS969" s="157"/>
      <c r="AT969" s="157"/>
      <c r="AU969" s="157"/>
      <c r="AV969" s="157"/>
      <c r="AW969" s="157"/>
      <c r="AX969" s="157"/>
      <c r="AY969" s="157"/>
      <c r="AZ969" s="157"/>
      <c r="BA969" s="157"/>
      <c r="BB969" s="157"/>
      <c r="BC969" s="157"/>
      <c r="BD969" s="157"/>
      <c r="BE969" s="157"/>
      <c r="BF969" s="157"/>
      <c r="BG969" s="157"/>
      <c r="BH969" s="157"/>
      <c r="BI969" s="157"/>
      <c r="BJ969" s="157"/>
    </row>
    <row r="970" spans="1:62" ht="15.75" customHeight="1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  <c r="AA970" s="157"/>
      <c r="AB970" s="157"/>
      <c r="AC970" s="157"/>
      <c r="AD970" s="157"/>
      <c r="AE970" s="157"/>
      <c r="AF970" s="157"/>
      <c r="AG970" s="157"/>
      <c r="AH970" s="157"/>
      <c r="AI970" s="157"/>
      <c r="AJ970" s="157"/>
      <c r="AK970" s="157"/>
      <c r="AL970" s="157"/>
      <c r="AM970" s="157"/>
      <c r="AN970" s="157"/>
      <c r="AO970" s="157"/>
      <c r="AP970" s="157"/>
      <c r="AQ970" s="157"/>
      <c r="AR970" s="157"/>
      <c r="AS970" s="157"/>
      <c r="AT970" s="157"/>
      <c r="AU970" s="157"/>
      <c r="AV970" s="157"/>
      <c r="AW970" s="157"/>
      <c r="AX970" s="157"/>
      <c r="AY970" s="157"/>
      <c r="AZ970" s="157"/>
      <c r="BA970" s="157"/>
      <c r="BB970" s="157"/>
      <c r="BC970" s="157"/>
      <c r="BD970" s="157"/>
      <c r="BE970" s="157"/>
      <c r="BF970" s="157"/>
      <c r="BG970" s="157"/>
      <c r="BH970" s="157"/>
      <c r="BI970" s="157"/>
      <c r="BJ970" s="157"/>
    </row>
    <row r="971" spans="1:62" ht="15.75" customHeight="1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  <c r="AA971" s="157"/>
      <c r="AB971" s="157"/>
      <c r="AC971" s="157"/>
      <c r="AD971" s="157"/>
      <c r="AE971" s="157"/>
      <c r="AF971" s="157"/>
      <c r="AG971" s="157"/>
      <c r="AH971" s="157"/>
      <c r="AI971" s="157"/>
      <c r="AJ971" s="157"/>
      <c r="AK971" s="157"/>
      <c r="AL971" s="157"/>
      <c r="AM971" s="157"/>
      <c r="AN971" s="157"/>
      <c r="AO971" s="157"/>
      <c r="AP971" s="157"/>
      <c r="AQ971" s="157"/>
      <c r="AR971" s="157"/>
      <c r="AS971" s="157"/>
      <c r="AT971" s="157"/>
      <c r="AU971" s="157"/>
      <c r="AV971" s="157"/>
      <c r="AW971" s="157"/>
      <c r="AX971" s="157"/>
      <c r="AY971" s="157"/>
      <c r="AZ971" s="157"/>
      <c r="BA971" s="157"/>
      <c r="BB971" s="157"/>
      <c r="BC971" s="157"/>
      <c r="BD971" s="157"/>
      <c r="BE971" s="157"/>
      <c r="BF971" s="157"/>
      <c r="BG971" s="157"/>
      <c r="BH971" s="157"/>
      <c r="BI971" s="157"/>
      <c r="BJ971" s="157"/>
    </row>
    <row r="972" spans="1:62" ht="15.75" customHeight="1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57"/>
      <c r="AJ972" s="157"/>
      <c r="AK972" s="157"/>
      <c r="AL972" s="157"/>
      <c r="AM972" s="157"/>
      <c r="AN972" s="157"/>
      <c r="AO972" s="157"/>
      <c r="AP972" s="157"/>
      <c r="AQ972" s="157"/>
      <c r="AR972" s="157"/>
      <c r="AS972" s="157"/>
      <c r="AT972" s="157"/>
      <c r="AU972" s="157"/>
      <c r="AV972" s="157"/>
      <c r="AW972" s="157"/>
      <c r="AX972" s="157"/>
      <c r="AY972" s="157"/>
      <c r="AZ972" s="157"/>
      <c r="BA972" s="157"/>
      <c r="BB972" s="157"/>
      <c r="BC972" s="157"/>
      <c r="BD972" s="157"/>
      <c r="BE972" s="157"/>
      <c r="BF972" s="157"/>
      <c r="BG972" s="157"/>
      <c r="BH972" s="157"/>
      <c r="BI972" s="157"/>
      <c r="BJ972" s="157"/>
    </row>
    <row r="973" spans="1:62" ht="15.75" customHeight="1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  <c r="AH973" s="157"/>
      <c r="AI973" s="157"/>
      <c r="AJ973" s="157"/>
      <c r="AK973" s="157"/>
      <c r="AL973" s="157"/>
      <c r="AM973" s="157"/>
      <c r="AN973" s="157"/>
      <c r="AO973" s="157"/>
      <c r="AP973" s="157"/>
      <c r="AQ973" s="157"/>
      <c r="AR973" s="157"/>
      <c r="AS973" s="157"/>
      <c r="AT973" s="157"/>
      <c r="AU973" s="157"/>
      <c r="AV973" s="157"/>
      <c r="AW973" s="157"/>
      <c r="AX973" s="157"/>
      <c r="AY973" s="157"/>
      <c r="AZ973" s="157"/>
      <c r="BA973" s="157"/>
      <c r="BB973" s="157"/>
      <c r="BC973" s="157"/>
      <c r="BD973" s="157"/>
      <c r="BE973" s="157"/>
      <c r="BF973" s="157"/>
      <c r="BG973" s="157"/>
      <c r="BH973" s="157"/>
      <c r="BI973" s="157"/>
      <c r="BJ973" s="157"/>
    </row>
    <row r="974" spans="1:62" ht="15.75" customHeight="1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  <c r="AH974" s="157"/>
      <c r="AI974" s="157"/>
      <c r="AJ974" s="157"/>
      <c r="AK974" s="157"/>
      <c r="AL974" s="157"/>
      <c r="AM974" s="157"/>
      <c r="AN974" s="157"/>
      <c r="AO974" s="157"/>
      <c r="AP974" s="157"/>
      <c r="AQ974" s="157"/>
      <c r="AR974" s="157"/>
      <c r="AS974" s="157"/>
      <c r="AT974" s="157"/>
      <c r="AU974" s="157"/>
      <c r="AV974" s="157"/>
      <c r="AW974" s="157"/>
      <c r="AX974" s="157"/>
      <c r="AY974" s="157"/>
      <c r="AZ974" s="157"/>
      <c r="BA974" s="157"/>
      <c r="BB974" s="157"/>
      <c r="BC974" s="157"/>
      <c r="BD974" s="157"/>
      <c r="BE974" s="157"/>
      <c r="BF974" s="157"/>
      <c r="BG974" s="157"/>
      <c r="BH974" s="157"/>
      <c r="BI974" s="157"/>
      <c r="BJ974" s="157"/>
    </row>
    <row r="975" spans="1:62" ht="15.75" customHeight="1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  <c r="AA975" s="157"/>
      <c r="AB975" s="157"/>
      <c r="AC975" s="157"/>
      <c r="AD975" s="157"/>
      <c r="AE975" s="157"/>
      <c r="AF975" s="157"/>
      <c r="AG975" s="157"/>
      <c r="AH975" s="157"/>
      <c r="AI975" s="157"/>
      <c r="AJ975" s="157"/>
      <c r="AK975" s="157"/>
      <c r="AL975" s="157"/>
      <c r="AM975" s="157"/>
      <c r="AN975" s="157"/>
      <c r="AO975" s="157"/>
      <c r="AP975" s="157"/>
      <c r="AQ975" s="157"/>
      <c r="AR975" s="157"/>
      <c r="AS975" s="157"/>
      <c r="AT975" s="157"/>
      <c r="AU975" s="157"/>
      <c r="AV975" s="157"/>
      <c r="AW975" s="157"/>
      <c r="AX975" s="157"/>
      <c r="AY975" s="157"/>
      <c r="AZ975" s="157"/>
      <c r="BA975" s="157"/>
      <c r="BB975" s="157"/>
      <c r="BC975" s="157"/>
      <c r="BD975" s="157"/>
      <c r="BE975" s="157"/>
      <c r="BF975" s="157"/>
      <c r="BG975" s="157"/>
      <c r="BH975" s="157"/>
      <c r="BI975" s="157"/>
      <c r="BJ975" s="157"/>
    </row>
    <row r="976" spans="1:62" ht="15.75" customHeight="1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  <c r="AA976" s="157"/>
      <c r="AB976" s="157"/>
      <c r="AC976" s="157"/>
      <c r="AD976" s="157"/>
      <c r="AE976" s="157"/>
      <c r="AF976" s="157"/>
      <c r="AG976" s="157"/>
      <c r="AH976" s="157"/>
      <c r="AI976" s="157"/>
      <c r="AJ976" s="157"/>
      <c r="AK976" s="157"/>
      <c r="AL976" s="157"/>
      <c r="AM976" s="157"/>
      <c r="AN976" s="157"/>
      <c r="AO976" s="157"/>
      <c r="AP976" s="157"/>
      <c r="AQ976" s="157"/>
      <c r="AR976" s="157"/>
      <c r="AS976" s="157"/>
      <c r="AT976" s="157"/>
      <c r="AU976" s="157"/>
      <c r="AV976" s="157"/>
      <c r="AW976" s="157"/>
      <c r="AX976" s="157"/>
      <c r="AY976" s="157"/>
      <c r="AZ976" s="157"/>
      <c r="BA976" s="157"/>
      <c r="BB976" s="157"/>
      <c r="BC976" s="157"/>
      <c r="BD976" s="157"/>
      <c r="BE976" s="157"/>
      <c r="BF976" s="157"/>
      <c r="BG976" s="157"/>
      <c r="BH976" s="157"/>
      <c r="BI976" s="157"/>
      <c r="BJ976" s="157"/>
    </row>
    <row r="977" spans="1:62" ht="15.75" customHeight="1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  <c r="AA977" s="157"/>
      <c r="AB977" s="157"/>
      <c r="AC977" s="157"/>
      <c r="AD977" s="157"/>
      <c r="AE977" s="157"/>
      <c r="AF977" s="157"/>
      <c r="AG977" s="157"/>
      <c r="AH977" s="157"/>
      <c r="AI977" s="157"/>
      <c r="AJ977" s="157"/>
      <c r="AK977" s="157"/>
      <c r="AL977" s="157"/>
      <c r="AM977" s="157"/>
      <c r="AN977" s="157"/>
      <c r="AO977" s="157"/>
      <c r="AP977" s="157"/>
      <c r="AQ977" s="157"/>
      <c r="AR977" s="157"/>
      <c r="AS977" s="157"/>
      <c r="AT977" s="157"/>
      <c r="AU977" s="157"/>
      <c r="AV977" s="157"/>
      <c r="AW977" s="157"/>
      <c r="AX977" s="157"/>
      <c r="AY977" s="157"/>
      <c r="AZ977" s="157"/>
      <c r="BA977" s="157"/>
      <c r="BB977" s="157"/>
      <c r="BC977" s="157"/>
      <c r="BD977" s="157"/>
      <c r="BE977" s="157"/>
      <c r="BF977" s="157"/>
      <c r="BG977" s="157"/>
      <c r="BH977" s="157"/>
      <c r="BI977" s="157"/>
      <c r="BJ977" s="157"/>
    </row>
    <row r="978" spans="1:62" ht="15.75" customHeight="1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  <c r="AA978" s="157"/>
      <c r="AB978" s="157"/>
      <c r="AC978" s="157"/>
      <c r="AD978" s="157"/>
      <c r="AE978" s="157"/>
      <c r="AF978" s="157"/>
      <c r="AG978" s="157"/>
      <c r="AH978" s="157"/>
      <c r="AI978" s="157"/>
      <c r="AJ978" s="157"/>
      <c r="AK978" s="157"/>
      <c r="AL978" s="157"/>
      <c r="AM978" s="157"/>
      <c r="AN978" s="157"/>
      <c r="AO978" s="157"/>
      <c r="AP978" s="157"/>
      <c r="AQ978" s="157"/>
      <c r="AR978" s="157"/>
      <c r="AS978" s="157"/>
      <c r="AT978" s="157"/>
      <c r="AU978" s="157"/>
      <c r="AV978" s="157"/>
      <c r="AW978" s="157"/>
      <c r="AX978" s="157"/>
      <c r="AY978" s="157"/>
      <c r="AZ978" s="157"/>
      <c r="BA978" s="157"/>
      <c r="BB978" s="157"/>
      <c r="BC978" s="157"/>
      <c r="BD978" s="157"/>
      <c r="BE978" s="157"/>
      <c r="BF978" s="157"/>
      <c r="BG978" s="157"/>
      <c r="BH978" s="157"/>
      <c r="BI978" s="157"/>
      <c r="BJ978" s="157"/>
    </row>
    <row r="979" spans="1:62" ht="15.75" customHeight="1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  <c r="AA979" s="157"/>
      <c r="AB979" s="157"/>
      <c r="AC979" s="157"/>
      <c r="AD979" s="157"/>
      <c r="AE979" s="157"/>
      <c r="AF979" s="157"/>
      <c r="AG979" s="157"/>
      <c r="AH979" s="157"/>
      <c r="AI979" s="157"/>
      <c r="AJ979" s="157"/>
      <c r="AK979" s="157"/>
      <c r="AL979" s="157"/>
      <c r="AM979" s="157"/>
      <c r="AN979" s="157"/>
      <c r="AO979" s="157"/>
      <c r="AP979" s="157"/>
      <c r="AQ979" s="157"/>
      <c r="AR979" s="157"/>
      <c r="AS979" s="157"/>
      <c r="AT979" s="157"/>
      <c r="AU979" s="157"/>
      <c r="AV979" s="157"/>
      <c r="AW979" s="157"/>
      <c r="AX979" s="157"/>
      <c r="AY979" s="157"/>
      <c r="AZ979" s="157"/>
      <c r="BA979" s="157"/>
      <c r="BB979" s="157"/>
      <c r="BC979" s="157"/>
      <c r="BD979" s="157"/>
      <c r="BE979" s="157"/>
      <c r="BF979" s="157"/>
      <c r="BG979" s="157"/>
      <c r="BH979" s="157"/>
      <c r="BI979" s="157"/>
      <c r="BJ979" s="157"/>
    </row>
    <row r="980" spans="1:62" ht="15.75" customHeight="1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  <c r="AA980" s="157"/>
      <c r="AB980" s="157"/>
      <c r="AC980" s="157"/>
      <c r="AD980" s="157"/>
      <c r="AE980" s="157"/>
      <c r="AF980" s="157"/>
      <c r="AG980" s="157"/>
      <c r="AH980" s="157"/>
      <c r="AI980" s="157"/>
      <c r="AJ980" s="157"/>
      <c r="AK980" s="157"/>
      <c r="AL980" s="157"/>
      <c r="AM980" s="157"/>
      <c r="AN980" s="157"/>
      <c r="AO980" s="157"/>
      <c r="AP980" s="157"/>
      <c r="AQ980" s="157"/>
      <c r="AR980" s="157"/>
      <c r="AS980" s="157"/>
      <c r="AT980" s="157"/>
      <c r="AU980" s="157"/>
      <c r="AV980" s="157"/>
      <c r="AW980" s="157"/>
      <c r="AX980" s="157"/>
      <c r="AY980" s="157"/>
      <c r="AZ980" s="157"/>
      <c r="BA980" s="157"/>
      <c r="BB980" s="157"/>
      <c r="BC980" s="157"/>
      <c r="BD980" s="157"/>
      <c r="BE980" s="157"/>
      <c r="BF980" s="157"/>
      <c r="BG980" s="157"/>
      <c r="BH980" s="157"/>
      <c r="BI980" s="157"/>
      <c r="BJ980" s="157"/>
    </row>
    <row r="981" spans="1:62" ht="15.75" customHeight="1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  <c r="AA981" s="157"/>
      <c r="AB981" s="157"/>
      <c r="AC981" s="157"/>
      <c r="AD981" s="157"/>
      <c r="AE981" s="157"/>
      <c r="AF981" s="157"/>
      <c r="AG981" s="157"/>
      <c r="AH981" s="157"/>
      <c r="AI981" s="157"/>
      <c r="AJ981" s="157"/>
      <c r="AK981" s="157"/>
      <c r="AL981" s="157"/>
      <c r="AM981" s="157"/>
      <c r="AN981" s="157"/>
      <c r="AO981" s="157"/>
      <c r="AP981" s="157"/>
      <c r="AQ981" s="157"/>
      <c r="AR981" s="157"/>
      <c r="AS981" s="157"/>
      <c r="AT981" s="157"/>
      <c r="AU981" s="157"/>
      <c r="AV981" s="157"/>
      <c r="AW981" s="157"/>
      <c r="AX981" s="157"/>
      <c r="AY981" s="157"/>
      <c r="AZ981" s="157"/>
      <c r="BA981" s="157"/>
      <c r="BB981" s="157"/>
      <c r="BC981" s="157"/>
      <c r="BD981" s="157"/>
      <c r="BE981" s="157"/>
      <c r="BF981" s="157"/>
      <c r="BG981" s="157"/>
      <c r="BH981" s="157"/>
      <c r="BI981" s="157"/>
      <c r="BJ981" s="157"/>
    </row>
    <row r="982" spans="1:62" ht="15.75" customHeight="1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  <c r="AA982" s="157"/>
      <c r="AB982" s="157"/>
      <c r="AC982" s="157"/>
      <c r="AD982" s="157"/>
      <c r="AE982" s="157"/>
      <c r="AF982" s="157"/>
      <c r="AG982" s="157"/>
      <c r="AH982" s="157"/>
      <c r="AI982" s="157"/>
      <c r="AJ982" s="157"/>
      <c r="AK982" s="157"/>
      <c r="AL982" s="157"/>
      <c r="AM982" s="157"/>
      <c r="AN982" s="157"/>
      <c r="AO982" s="157"/>
      <c r="AP982" s="157"/>
      <c r="AQ982" s="157"/>
      <c r="AR982" s="157"/>
      <c r="AS982" s="157"/>
      <c r="AT982" s="157"/>
      <c r="AU982" s="157"/>
      <c r="AV982" s="157"/>
      <c r="AW982" s="157"/>
      <c r="AX982" s="157"/>
      <c r="AY982" s="157"/>
      <c r="AZ982" s="157"/>
      <c r="BA982" s="157"/>
      <c r="BB982" s="157"/>
      <c r="BC982" s="157"/>
      <c r="BD982" s="157"/>
      <c r="BE982" s="157"/>
      <c r="BF982" s="157"/>
      <c r="BG982" s="157"/>
      <c r="BH982" s="157"/>
      <c r="BI982" s="157"/>
      <c r="BJ982" s="157"/>
    </row>
    <row r="983" spans="1:62" ht="15.75" customHeight="1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  <c r="AA983" s="157"/>
      <c r="AB983" s="157"/>
      <c r="AC983" s="157"/>
      <c r="AD983" s="157"/>
      <c r="AE983" s="157"/>
      <c r="AF983" s="157"/>
      <c r="AG983" s="157"/>
      <c r="AH983" s="157"/>
      <c r="AI983" s="157"/>
      <c r="AJ983" s="157"/>
      <c r="AK983" s="157"/>
      <c r="AL983" s="157"/>
      <c r="AM983" s="157"/>
      <c r="AN983" s="157"/>
      <c r="AO983" s="157"/>
      <c r="AP983" s="157"/>
      <c r="AQ983" s="157"/>
      <c r="AR983" s="157"/>
      <c r="AS983" s="157"/>
      <c r="AT983" s="157"/>
      <c r="AU983" s="157"/>
      <c r="AV983" s="157"/>
      <c r="AW983" s="157"/>
      <c r="AX983" s="157"/>
      <c r="AY983" s="157"/>
      <c r="AZ983" s="157"/>
      <c r="BA983" s="157"/>
      <c r="BB983" s="157"/>
      <c r="BC983" s="157"/>
      <c r="BD983" s="157"/>
      <c r="BE983" s="157"/>
      <c r="BF983" s="157"/>
      <c r="BG983" s="157"/>
      <c r="BH983" s="157"/>
      <c r="BI983" s="157"/>
      <c r="BJ983" s="157"/>
    </row>
    <row r="984" spans="1:62" ht="15.75" customHeight="1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  <c r="AA984" s="157"/>
      <c r="AB984" s="157"/>
      <c r="AC984" s="157"/>
      <c r="AD984" s="157"/>
      <c r="AE984" s="157"/>
      <c r="AF984" s="157"/>
      <c r="AG984" s="157"/>
      <c r="AH984" s="157"/>
      <c r="AI984" s="157"/>
      <c r="AJ984" s="157"/>
      <c r="AK984" s="157"/>
      <c r="AL984" s="157"/>
      <c r="AM984" s="157"/>
      <c r="AN984" s="157"/>
      <c r="AO984" s="157"/>
      <c r="AP984" s="157"/>
      <c r="AQ984" s="157"/>
      <c r="AR984" s="157"/>
      <c r="AS984" s="157"/>
      <c r="AT984" s="157"/>
      <c r="AU984" s="157"/>
      <c r="AV984" s="157"/>
      <c r="AW984" s="157"/>
      <c r="AX984" s="157"/>
      <c r="AY984" s="157"/>
      <c r="AZ984" s="157"/>
      <c r="BA984" s="157"/>
      <c r="BB984" s="157"/>
      <c r="BC984" s="157"/>
      <c r="BD984" s="157"/>
      <c r="BE984" s="157"/>
      <c r="BF984" s="157"/>
      <c r="BG984" s="157"/>
      <c r="BH984" s="157"/>
      <c r="BI984" s="157"/>
      <c r="BJ984" s="157"/>
    </row>
    <row r="985" spans="1:62" ht="15.75" customHeight="1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  <c r="AA985" s="157"/>
      <c r="AB985" s="157"/>
      <c r="AC985" s="157"/>
      <c r="AD985" s="157"/>
      <c r="AE985" s="157"/>
      <c r="AF985" s="157"/>
      <c r="AG985" s="157"/>
      <c r="AH985" s="157"/>
      <c r="AI985" s="157"/>
      <c r="AJ985" s="157"/>
      <c r="AK985" s="157"/>
      <c r="AL985" s="157"/>
      <c r="AM985" s="157"/>
      <c r="AN985" s="157"/>
      <c r="AO985" s="157"/>
      <c r="AP985" s="157"/>
      <c r="AQ985" s="157"/>
      <c r="AR985" s="157"/>
      <c r="AS985" s="157"/>
      <c r="AT985" s="157"/>
      <c r="AU985" s="157"/>
      <c r="AV985" s="157"/>
      <c r="AW985" s="157"/>
      <c r="AX985" s="157"/>
      <c r="AY985" s="157"/>
      <c r="AZ985" s="157"/>
      <c r="BA985" s="157"/>
      <c r="BB985" s="157"/>
      <c r="BC985" s="157"/>
      <c r="BD985" s="157"/>
      <c r="BE985" s="157"/>
      <c r="BF985" s="157"/>
      <c r="BG985" s="157"/>
      <c r="BH985" s="157"/>
      <c r="BI985" s="157"/>
      <c r="BJ985" s="157"/>
    </row>
    <row r="986" spans="1:62" ht="15.75" customHeight="1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  <c r="AA986" s="157"/>
      <c r="AB986" s="157"/>
      <c r="AC986" s="157"/>
      <c r="AD986" s="157"/>
      <c r="AE986" s="157"/>
      <c r="AF986" s="157"/>
      <c r="AG986" s="157"/>
      <c r="AH986" s="157"/>
      <c r="AI986" s="157"/>
      <c r="AJ986" s="157"/>
      <c r="AK986" s="157"/>
      <c r="AL986" s="157"/>
      <c r="AM986" s="157"/>
      <c r="AN986" s="157"/>
      <c r="AO986" s="157"/>
      <c r="AP986" s="157"/>
      <c r="AQ986" s="157"/>
      <c r="AR986" s="157"/>
      <c r="AS986" s="157"/>
      <c r="AT986" s="157"/>
      <c r="AU986" s="157"/>
      <c r="AV986" s="157"/>
      <c r="AW986" s="157"/>
      <c r="AX986" s="157"/>
      <c r="AY986" s="157"/>
      <c r="AZ986" s="157"/>
      <c r="BA986" s="157"/>
      <c r="BB986" s="157"/>
      <c r="BC986" s="157"/>
      <c r="BD986" s="157"/>
      <c r="BE986" s="157"/>
      <c r="BF986" s="157"/>
      <c r="BG986" s="157"/>
      <c r="BH986" s="157"/>
      <c r="BI986" s="157"/>
      <c r="BJ986" s="157"/>
    </row>
    <row r="987" spans="1:62" ht="15.75" customHeight="1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  <c r="AA987" s="157"/>
      <c r="AB987" s="157"/>
      <c r="AC987" s="157"/>
      <c r="AD987" s="157"/>
      <c r="AE987" s="157"/>
      <c r="AF987" s="157"/>
      <c r="AG987" s="157"/>
      <c r="AH987" s="157"/>
      <c r="AI987" s="157"/>
      <c r="AJ987" s="157"/>
      <c r="AK987" s="157"/>
      <c r="AL987" s="157"/>
      <c r="AM987" s="157"/>
      <c r="AN987" s="157"/>
      <c r="AO987" s="157"/>
      <c r="AP987" s="157"/>
      <c r="AQ987" s="157"/>
      <c r="AR987" s="157"/>
      <c r="AS987" s="157"/>
      <c r="AT987" s="157"/>
      <c r="AU987" s="157"/>
      <c r="AV987" s="157"/>
      <c r="AW987" s="157"/>
      <c r="AX987" s="157"/>
      <c r="AY987" s="157"/>
      <c r="AZ987" s="157"/>
      <c r="BA987" s="157"/>
      <c r="BB987" s="157"/>
      <c r="BC987" s="157"/>
      <c r="BD987" s="157"/>
      <c r="BE987" s="157"/>
      <c r="BF987" s="157"/>
      <c r="BG987" s="157"/>
      <c r="BH987" s="157"/>
      <c r="BI987" s="157"/>
      <c r="BJ987" s="157"/>
    </row>
    <row r="988" spans="1:62" ht="15.75" customHeight="1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  <c r="AA988" s="157"/>
      <c r="AB988" s="157"/>
      <c r="AC988" s="157"/>
      <c r="AD988" s="157"/>
      <c r="AE988" s="157"/>
      <c r="AF988" s="157"/>
      <c r="AG988" s="157"/>
      <c r="AH988" s="157"/>
      <c r="AI988" s="157"/>
      <c r="AJ988" s="157"/>
      <c r="AK988" s="157"/>
      <c r="AL988" s="157"/>
      <c r="AM988" s="157"/>
      <c r="AN988" s="157"/>
      <c r="AO988" s="157"/>
      <c r="AP988" s="157"/>
      <c r="AQ988" s="157"/>
      <c r="AR988" s="157"/>
      <c r="AS988" s="157"/>
      <c r="AT988" s="157"/>
      <c r="AU988" s="157"/>
      <c r="AV988" s="157"/>
      <c r="AW988" s="157"/>
      <c r="AX988" s="157"/>
      <c r="AY988" s="157"/>
      <c r="AZ988" s="157"/>
      <c r="BA988" s="157"/>
      <c r="BB988" s="157"/>
      <c r="BC988" s="157"/>
      <c r="BD988" s="157"/>
      <c r="BE988" s="157"/>
      <c r="BF988" s="157"/>
      <c r="BG988" s="157"/>
      <c r="BH988" s="157"/>
      <c r="BI988" s="157"/>
      <c r="BJ988" s="157"/>
    </row>
    <row r="989" spans="1:62" ht="15.75" customHeight="1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  <c r="AA989" s="157"/>
      <c r="AB989" s="157"/>
      <c r="AC989" s="157"/>
      <c r="AD989" s="157"/>
      <c r="AE989" s="157"/>
      <c r="AF989" s="157"/>
      <c r="AG989" s="157"/>
      <c r="AH989" s="157"/>
      <c r="AI989" s="157"/>
      <c r="AJ989" s="157"/>
      <c r="AK989" s="157"/>
      <c r="AL989" s="157"/>
      <c r="AM989" s="157"/>
      <c r="AN989" s="157"/>
      <c r="AO989" s="157"/>
      <c r="AP989" s="157"/>
      <c r="AQ989" s="157"/>
      <c r="AR989" s="157"/>
      <c r="AS989" s="157"/>
      <c r="AT989" s="157"/>
      <c r="AU989" s="157"/>
      <c r="AV989" s="157"/>
      <c r="AW989" s="157"/>
      <c r="AX989" s="157"/>
      <c r="AY989" s="157"/>
      <c r="AZ989" s="157"/>
      <c r="BA989" s="157"/>
      <c r="BB989" s="157"/>
      <c r="BC989" s="157"/>
      <c r="BD989" s="157"/>
      <c r="BE989" s="157"/>
      <c r="BF989" s="157"/>
      <c r="BG989" s="157"/>
      <c r="BH989" s="157"/>
      <c r="BI989" s="157"/>
      <c r="BJ989" s="157"/>
    </row>
    <row r="990" spans="1:62" ht="15.75" customHeight="1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  <c r="AA990" s="157"/>
      <c r="AB990" s="157"/>
      <c r="AC990" s="157"/>
      <c r="AD990" s="157"/>
      <c r="AE990" s="157"/>
      <c r="AF990" s="157"/>
      <c r="AG990" s="157"/>
      <c r="AH990" s="157"/>
      <c r="AI990" s="157"/>
      <c r="AJ990" s="157"/>
      <c r="AK990" s="157"/>
      <c r="AL990" s="157"/>
      <c r="AM990" s="157"/>
      <c r="AN990" s="157"/>
      <c r="AO990" s="157"/>
      <c r="AP990" s="157"/>
      <c r="AQ990" s="157"/>
      <c r="AR990" s="157"/>
      <c r="AS990" s="157"/>
      <c r="AT990" s="157"/>
      <c r="AU990" s="157"/>
      <c r="AV990" s="157"/>
      <c r="AW990" s="157"/>
      <c r="AX990" s="157"/>
      <c r="AY990" s="157"/>
      <c r="AZ990" s="157"/>
      <c r="BA990" s="157"/>
      <c r="BB990" s="157"/>
      <c r="BC990" s="157"/>
      <c r="BD990" s="157"/>
      <c r="BE990" s="157"/>
      <c r="BF990" s="157"/>
      <c r="BG990" s="157"/>
      <c r="BH990" s="157"/>
      <c r="BI990" s="157"/>
      <c r="BJ990" s="157"/>
    </row>
    <row r="991" spans="1:62" ht="15.75" customHeight="1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  <c r="AA991" s="157"/>
      <c r="AB991" s="157"/>
      <c r="AC991" s="157"/>
      <c r="AD991" s="157"/>
      <c r="AE991" s="157"/>
      <c r="AF991" s="157"/>
      <c r="AG991" s="157"/>
      <c r="AH991" s="157"/>
      <c r="AI991" s="157"/>
      <c r="AJ991" s="157"/>
      <c r="AK991" s="157"/>
      <c r="AL991" s="157"/>
      <c r="AM991" s="157"/>
      <c r="AN991" s="157"/>
      <c r="AO991" s="157"/>
      <c r="AP991" s="157"/>
      <c r="AQ991" s="157"/>
      <c r="AR991" s="157"/>
      <c r="AS991" s="157"/>
      <c r="AT991" s="157"/>
      <c r="AU991" s="157"/>
      <c r="AV991" s="157"/>
      <c r="AW991" s="157"/>
      <c r="AX991" s="157"/>
      <c r="AY991" s="157"/>
      <c r="AZ991" s="157"/>
      <c r="BA991" s="157"/>
      <c r="BB991" s="157"/>
      <c r="BC991" s="157"/>
      <c r="BD991" s="157"/>
      <c r="BE991" s="157"/>
      <c r="BF991" s="157"/>
      <c r="BG991" s="157"/>
      <c r="BH991" s="157"/>
      <c r="BI991" s="157"/>
      <c r="BJ991" s="157"/>
    </row>
    <row r="992" spans="1:62" ht="15.75" customHeight="1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  <c r="AA992" s="157"/>
      <c r="AB992" s="157"/>
      <c r="AC992" s="157"/>
      <c r="AD992" s="157"/>
      <c r="AE992" s="157"/>
      <c r="AF992" s="157"/>
      <c r="AG992" s="157"/>
      <c r="AH992" s="157"/>
      <c r="AI992" s="157"/>
      <c r="AJ992" s="157"/>
      <c r="AK992" s="157"/>
      <c r="AL992" s="157"/>
      <c r="AM992" s="157"/>
      <c r="AN992" s="157"/>
      <c r="AO992" s="157"/>
      <c r="AP992" s="157"/>
      <c r="AQ992" s="157"/>
      <c r="AR992" s="157"/>
      <c r="AS992" s="157"/>
      <c r="AT992" s="157"/>
      <c r="AU992" s="157"/>
      <c r="AV992" s="157"/>
      <c r="AW992" s="157"/>
      <c r="AX992" s="157"/>
      <c r="AY992" s="157"/>
      <c r="AZ992" s="157"/>
      <c r="BA992" s="157"/>
      <c r="BB992" s="157"/>
      <c r="BC992" s="157"/>
      <c r="BD992" s="157"/>
      <c r="BE992" s="157"/>
      <c r="BF992" s="157"/>
      <c r="BG992" s="157"/>
      <c r="BH992" s="157"/>
      <c r="BI992" s="157"/>
      <c r="BJ992" s="157"/>
    </row>
    <row r="993" spans="1:62" ht="15.75" customHeight="1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  <c r="AA993" s="157"/>
      <c r="AB993" s="157"/>
      <c r="AC993" s="157"/>
      <c r="AD993" s="157"/>
      <c r="AE993" s="157"/>
      <c r="AF993" s="157"/>
      <c r="AG993" s="157"/>
      <c r="AH993" s="157"/>
      <c r="AI993" s="157"/>
      <c r="AJ993" s="157"/>
      <c r="AK993" s="157"/>
      <c r="AL993" s="157"/>
      <c r="AM993" s="157"/>
      <c r="AN993" s="157"/>
      <c r="AO993" s="157"/>
      <c r="AP993" s="157"/>
      <c r="AQ993" s="157"/>
      <c r="AR993" s="157"/>
      <c r="AS993" s="157"/>
      <c r="AT993" s="157"/>
      <c r="AU993" s="157"/>
      <c r="AV993" s="157"/>
      <c r="AW993" s="157"/>
      <c r="AX993" s="157"/>
      <c r="AY993" s="157"/>
      <c r="AZ993" s="157"/>
      <c r="BA993" s="157"/>
      <c r="BB993" s="157"/>
      <c r="BC993" s="157"/>
      <c r="BD993" s="157"/>
      <c r="BE993" s="157"/>
      <c r="BF993" s="157"/>
      <c r="BG993" s="157"/>
      <c r="BH993" s="157"/>
      <c r="BI993" s="157"/>
      <c r="BJ993" s="157"/>
    </row>
    <row r="994" spans="1:62" ht="15.75" customHeight="1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  <c r="AA994" s="157"/>
      <c r="AB994" s="157"/>
      <c r="AC994" s="157"/>
      <c r="AD994" s="157"/>
      <c r="AE994" s="157"/>
      <c r="AF994" s="157"/>
      <c r="AG994" s="157"/>
      <c r="AH994" s="157"/>
      <c r="AI994" s="157"/>
      <c r="AJ994" s="157"/>
      <c r="AK994" s="157"/>
      <c r="AL994" s="157"/>
      <c r="AM994" s="157"/>
      <c r="AN994" s="157"/>
      <c r="AO994" s="157"/>
      <c r="AP994" s="157"/>
      <c r="AQ994" s="157"/>
      <c r="AR994" s="157"/>
      <c r="AS994" s="157"/>
      <c r="AT994" s="157"/>
      <c r="AU994" s="157"/>
      <c r="AV994" s="157"/>
      <c r="AW994" s="157"/>
      <c r="AX994" s="157"/>
      <c r="AY994" s="157"/>
      <c r="AZ994" s="157"/>
      <c r="BA994" s="157"/>
      <c r="BB994" s="157"/>
      <c r="BC994" s="157"/>
      <c r="BD994" s="157"/>
      <c r="BE994" s="157"/>
      <c r="BF994" s="157"/>
      <c r="BG994" s="157"/>
      <c r="BH994" s="157"/>
      <c r="BI994" s="157"/>
      <c r="BJ994" s="157"/>
    </row>
    <row r="995" spans="1:62" ht="15.75" customHeight="1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  <c r="AA995" s="157"/>
      <c r="AB995" s="157"/>
      <c r="AC995" s="157"/>
      <c r="AD995" s="157"/>
      <c r="AE995" s="157"/>
      <c r="AF995" s="157"/>
      <c r="AG995" s="157"/>
      <c r="AH995" s="157"/>
      <c r="AI995" s="157"/>
      <c r="AJ995" s="157"/>
      <c r="AK995" s="157"/>
      <c r="AL995" s="157"/>
      <c r="AM995" s="157"/>
      <c r="AN995" s="157"/>
      <c r="AO995" s="157"/>
      <c r="AP995" s="157"/>
      <c r="AQ995" s="157"/>
      <c r="AR995" s="157"/>
      <c r="AS995" s="157"/>
      <c r="AT995" s="157"/>
      <c r="AU995" s="157"/>
      <c r="AV995" s="157"/>
      <c r="AW995" s="157"/>
      <c r="AX995" s="157"/>
      <c r="AY995" s="157"/>
      <c r="AZ995" s="157"/>
      <c r="BA995" s="157"/>
      <c r="BB995" s="157"/>
      <c r="BC995" s="157"/>
      <c r="BD995" s="157"/>
      <c r="BE995" s="157"/>
      <c r="BF995" s="157"/>
      <c r="BG995" s="157"/>
      <c r="BH995" s="157"/>
      <c r="BI995" s="157"/>
      <c r="BJ995" s="157"/>
    </row>
    <row r="996" spans="1:62" ht="15.75" customHeight="1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  <c r="AA996" s="157"/>
      <c r="AB996" s="157"/>
      <c r="AC996" s="157"/>
      <c r="AD996" s="157"/>
      <c r="AE996" s="157"/>
      <c r="AF996" s="157"/>
      <c r="AG996" s="157"/>
      <c r="AH996" s="157"/>
      <c r="AI996" s="157"/>
      <c r="AJ996" s="157"/>
      <c r="AK996" s="157"/>
      <c r="AL996" s="157"/>
      <c r="AM996" s="157"/>
      <c r="AN996" s="157"/>
      <c r="AO996" s="157"/>
      <c r="AP996" s="157"/>
      <c r="AQ996" s="157"/>
      <c r="AR996" s="157"/>
      <c r="AS996" s="157"/>
      <c r="AT996" s="157"/>
      <c r="AU996" s="157"/>
      <c r="AV996" s="157"/>
      <c r="AW996" s="157"/>
      <c r="AX996" s="157"/>
      <c r="AY996" s="157"/>
      <c r="AZ996" s="157"/>
      <c r="BA996" s="157"/>
      <c r="BB996" s="157"/>
      <c r="BC996" s="157"/>
      <c r="BD996" s="157"/>
      <c r="BE996" s="157"/>
      <c r="BF996" s="157"/>
      <c r="BG996" s="157"/>
      <c r="BH996" s="157"/>
      <c r="BI996" s="157"/>
      <c r="BJ996" s="157"/>
    </row>
    <row r="997" spans="1:62" ht="15.75" customHeight="1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  <c r="AA997" s="157"/>
      <c r="AB997" s="157"/>
      <c r="AC997" s="157"/>
      <c r="AD997" s="157"/>
      <c r="AE997" s="157"/>
      <c r="AF997" s="157"/>
      <c r="AG997" s="157"/>
      <c r="AH997" s="157"/>
      <c r="AI997" s="157"/>
      <c r="AJ997" s="157"/>
      <c r="AK997" s="157"/>
      <c r="AL997" s="157"/>
      <c r="AM997" s="157"/>
      <c r="AN997" s="157"/>
      <c r="AO997" s="157"/>
      <c r="AP997" s="157"/>
      <c r="AQ997" s="157"/>
      <c r="AR997" s="157"/>
      <c r="AS997" s="157"/>
      <c r="AT997" s="157"/>
      <c r="AU997" s="157"/>
      <c r="AV997" s="157"/>
      <c r="AW997" s="157"/>
      <c r="AX997" s="157"/>
      <c r="AY997" s="157"/>
      <c r="AZ997" s="157"/>
      <c r="BA997" s="157"/>
      <c r="BB997" s="157"/>
      <c r="BC997" s="157"/>
      <c r="BD997" s="157"/>
      <c r="BE997" s="157"/>
      <c r="BF997" s="157"/>
      <c r="BG997" s="157"/>
      <c r="BH997" s="157"/>
      <c r="BI997" s="157"/>
      <c r="BJ997" s="157"/>
    </row>
    <row r="998" spans="1:62" ht="15.75" customHeight="1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  <c r="AA998" s="157"/>
      <c r="AB998" s="157"/>
      <c r="AC998" s="157"/>
      <c r="AD998" s="157"/>
      <c r="AE998" s="157"/>
      <c r="AF998" s="157"/>
      <c r="AG998" s="157"/>
      <c r="AH998" s="157"/>
      <c r="AI998" s="157"/>
      <c r="AJ998" s="157"/>
      <c r="AK998" s="157"/>
      <c r="AL998" s="157"/>
      <c r="AM998" s="157"/>
      <c r="AN998" s="157"/>
      <c r="AO998" s="157"/>
      <c r="AP998" s="157"/>
      <c r="AQ998" s="157"/>
      <c r="AR998" s="157"/>
      <c r="AS998" s="157"/>
      <c r="AT998" s="157"/>
      <c r="AU998" s="157"/>
      <c r="AV998" s="157"/>
      <c r="AW998" s="157"/>
      <c r="AX998" s="157"/>
      <c r="AY998" s="157"/>
      <c r="AZ998" s="157"/>
      <c r="BA998" s="157"/>
      <c r="BB998" s="157"/>
      <c r="BC998" s="157"/>
      <c r="BD998" s="157"/>
      <c r="BE998" s="157"/>
      <c r="BF998" s="157"/>
      <c r="BG998" s="157"/>
      <c r="BH998" s="157"/>
      <c r="BI998" s="157"/>
      <c r="BJ998" s="157"/>
    </row>
    <row r="999" spans="1:62" ht="15.75" customHeight="1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  <c r="AA999" s="157"/>
      <c r="AB999" s="157"/>
      <c r="AC999" s="157"/>
      <c r="AD999" s="157"/>
      <c r="AE999" s="157"/>
      <c r="AF999" s="157"/>
      <c r="AG999" s="157"/>
      <c r="AH999" s="157"/>
      <c r="AI999" s="157"/>
      <c r="AJ999" s="157"/>
      <c r="AK999" s="157"/>
      <c r="AL999" s="157"/>
      <c r="AM999" s="157"/>
      <c r="AN999" s="157"/>
      <c r="AO999" s="157"/>
      <c r="AP999" s="157"/>
      <c r="AQ999" s="157"/>
      <c r="AR999" s="157"/>
      <c r="AS999" s="157"/>
      <c r="AT999" s="157"/>
      <c r="AU999" s="157"/>
      <c r="AV999" s="157"/>
      <c r="AW999" s="157"/>
      <c r="AX999" s="157"/>
      <c r="AY999" s="157"/>
      <c r="AZ999" s="157"/>
      <c r="BA999" s="157"/>
      <c r="BB999" s="157"/>
      <c r="BC999" s="157"/>
      <c r="BD999" s="157"/>
      <c r="BE999" s="157"/>
      <c r="BF999" s="157"/>
      <c r="BG999" s="157"/>
      <c r="BH999" s="157"/>
      <c r="BI999" s="157"/>
      <c r="BJ999" s="157"/>
    </row>
    <row r="1000" spans="1:62" ht="15.75" customHeight="1">
      <c r="A1000" s="157"/>
      <c r="B1000" s="15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  <c r="AA1000" s="157"/>
      <c r="AB1000" s="157"/>
      <c r="AC1000" s="157"/>
      <c r="AD1000" s="157"/>
      <c r="AE1000" s="157"/>
      <c r="AF1000" s="157"/>
      <c r="AG1000" s="157"/>
      <c r="AH1000" s="157"/>
      <c r="AI1000" s="157"/>
      <c r="AJ1000" s="157"/>
      <c r="AK1000" s="157"/>
      <c r="AL1000" s="157"/>
      <c r="AM1000" s="157"/>
      <c r="AN1000" s="157"/>
      <c r="AO1000" s="157"/>
      <c r="AP1000" s="157"/>
      <c r="AQ1000" s="157"/>
      <c r="AR1000" s="157"/>
      <c r="AS1000" s="157"/>
      <c r="AT1000" s="157"/>
      <c r="AU1000" s="157"/>
      <c r="AV1000" s="157"/>
      <c r="AW1000" s="157"/>
      <c r="AX1000" s="157"/>
      <c r="AY1000" s="157"/>
      <c r="AZ1000" s="157"/>
      <c r="BA1000" s="157"/>
      <c r="BB1000" s="157"/>
      <c r="BC1000" s="157"/>
      <c r="BD1000" s="157"/>
      <c r="BE1000" s="157"/>
      <c r="BF1000" s="157"/>
      <c r="BG1000" s="157"/>
      <c r="BH1000" s="157"/>
      <c r="BI1000" s="157"/>
      <c r="BJ1000" s="157"/>
    </row>
    <row r="1001" spans="1:62" ht="15.75" customHeight="1">
      <c r="A1001" s="157"/>
      <c r="B1001" s="157"/>
      <c r="C1001" s="157"/>
      <c r="D1001" s="157"/>
      <c r="E1001" s="157"/>
      <c r="F1001" s="157"/>
      <c r="G1001" s="157"/>
      <c r="H1001" s="157"/>
      <c r="I1001" s="157"/>
      <c r="J1001" s="157"/>
      <c r="K1001" s="157"/>
      <c r="L1001" s="157"/>
      <c r="M1001" s="157"/>
      <c r="N1001" s="157"/>
      <c r="O1001" s="157"/>
      <c r="P1001" s="157"/>
      <c r="Q1001" s="157"/>
      <c r="R1001" s="157"/>
      <c r="S1001" s="157"/>
      <c r="T1001" s="157"/>
      <c r="U1001" s="157"/>
      <c r="V1001" s="157"/>
      <c r="W1001" s="157"/>
      <c r="X1001" s="157"/>
      <c r="Y1001" s="157"/>
      <c r="Z1001" s="157"/>
      <c r="AA1001" s="157"/>
      <c r="AB1001" s="157"/>
      <c r="AC1001" s="157"/>
      <c r="AD1001" s="157"/>
      <c r="AE1001" s="157"/>
      <c r="AF1001" s="157"/>
      <c r="AG1001" s="157"/>
      <c r="AH1001" s="157"/>
      <c r="AI1001" s="157"/>
      <c r="AJ1001" s="157"/>
      <c r="AK1001" s="157"/>
      <c r="AL1001" s="157"/>
      <c r="AM1001" s="157"/>
      <c r="AN1001" s="157"/>
      <c r="AO1001" s="157"/>
      <c r="AP1001" s="157"/>
      <c r="AQ1001" s="157"/>
      <c r="AR1001" s="157"/>
      <c r="AS1001" s="157"/>
      <c r="AT1001" s="157"/>
      <c r="AU1001" s="157"/>
      <c r="AV1001" s="157"/>
      <c r="AW1001" s="157"/>
      <c r="AX1001" s="157"/>
      <c r="AY1001" s="157"/>
      <c r="AZ1001" s="157"/>
      <c r="BA1001" s="157"/>
      <c r="BB1001" s="157"/>
      <c r="BC1001" s="157"/>
      <c r="BD1001" s="157"/>
      <c r="BE1001" s="157"/>
      <c r="BF1001" s="157"/>
      <c r="BG1001" s="157"/>
      <c r="BH1001" s="157"/>
      <c r="BI1001" s="157"/>
      <c r="BJ1001" s="157"/>
    </row>
    <row r="1002" spans="1:62" ht="15.75" customHeight="1">
      <c r="A1002" s="157"/>
      <c r="B1002" s="157"/>
      <c r="C1002" s="157"/>
      <c r="D1002" s="157"/>
      <c r="E1002" s="157"/>
      <c r="F1002" s="157"/>
      <c r="G1002" s="157"/>
      <c r="H1002" s="157"/>
      <c r="I1002" s="157"/>
      <c r="J1002" s="157"/>
      <c r="K1002" s="157"/>
      <c r="L1002" s="157"/>
      <c r="M1002" s="157"/>
      <c r="N1002" s="157"/>
      <c r="O1002" s="157"/>
      <c r="P1002" s="157"/>
      <c r="Q1002" s="157"/>
      <c r="R1002" s="157"/>
      <c r="S1002" s="157"/>
      <c r="T1002" s="157"/>
      <c r="U1002" s="157"/>
      <c r="V1002" s="157"/>
      <c r="W1002" s="157"/>
      <c r="X1002" s="157"/>
      <c r="Y1002" s="157"/>
      <c r="Z1002" s="157"/>
      <c r="AA1002" s="157"/>
      <c r="AB1002" s="157"/>
      <c r="AC1002" s="157"/>
      <c r="AD1002" s="157"/>
      <c r="AE1002" s="157"/>
      <c r="AF1002" s="157"/>
      <c r="AG1002" s="157"/>
      <c r="AH1002" s="157"/>
      <c r="AI1002" s="157"/>
      <c r="AJ1002" s="157"/>
      <c r="AK1002" s="157"/>
      <c r="AL1002" s="157"/>
      <c r="AM1002" s="157"/>
      <c r="AN1002" s="157"/>
      <c r="AO1002" s="157"/>
      <c r="AP1002" s="157"/>
      <c r="AQ1002" s="157"/>
      <c r="AR1002" s="157"/>
      <c r="AS1002" s="157"/>
      <c r="AT1002" s="157"/>
      <c r="AU1002" s="157"/>
      <c r="AV1002" s="157"/>
      <c r="AW1002" s="157"/>
      <c r="AX1002" s="157"/>
      <c r="AY1002" s="157"/>
      <c r="AZ1002" s="157"/>
      <c r="BA1002" s="157"/>
      <c r="BB1002" s="157"/>
      <c r="BC1002" s="157"/>
      <c r="BD1002" s="157"/>
      <c r="BE1002" s="157"/>
      <c r="BF1002" s="157"/>
      <c r="BG1002" s="157"/>
      <c r="BH1002" s="157"/>
      <c r="BI1002" s="157"/>
      <c r="BJ1002" s="157"/>
    </row>
    <row r="1003" spans="1:62" ht="15.75" customHeight="1">
      <c r="A1003" s="157"/>
      <c r="B1003" s="157"/>
      <c r="C1003" s="157"/>
      <c r="D1003" s="157"/>
      <c r="E1003" s="157"/>
      <c r="F1003" s="157"/>
      <c r="G1003" s="157"/>
      <c r="H1003" s="157"/>
      <c r="I1003" s="157"/>
      <c r="J1003" s="157"/>
      <c r="K1003" s="157"/>
      <c r="L1003" s="157"/>
      <c r="M1003" s="157"/>
      <c r="N1003" s="157"/>
      <c r="O1003" s="157"/>
      <c r="P1003" s="157"/>
      <c r="Q1003" s="157"/>
      <c r="R1003" s="157"/>
      <c r="S1003" s="157"/>
      <c r="T1003" s="157"/>
      <c r="U1003" s="157"/>
      <c r="V1003" s="157"/>
      <c r="W1003" s="157"/>
      <c r="X1003" s="157"/>
      <c r="Y1003" s="157"/>
      <c r="Z1003" s="157"/>
      <c r="AA1003" s="157"/>
      <c r="AB1003" s="157"/>
      <c r="AC1003" s="157"/>
      <c r="AD1003" s="157"/>
      <c r="AE1003" s="157"/>
      <c r="AF1003" s="157"/>
      <c r="AG1003" s="157"/>
      <c r="AH1003" s="157"/>
      <c r="AI1003" s="157"/>
      <c r="AJ1003" s="157"/>
      <c r="AK1003" s="157"/>
      <c r="AL1003" s="157"/>
      <c r="AM1003" s="157"/>
      <c r="AN1003" s="157"/>
      <c r="AO1003" s="157"/>
      <c r="AP1003" s="157"/>
      <c r="AQ1003" s="157"/>
      <c r="AR1003" s="157"/>
      <c r="AS1003" s="157"/>
      <c r="AT1003" s="157"/>
      <c r="AU1003" s="157"/>
      <c r="AV1003" s="157"/>
      <c r="AW1003" s="157"/>
      <c r="AX1003" s="157"/>
      <c r="AY1003" s="157"/>
      <c r="AZ1003" s="157"/>
      <c r="BA1003" s="157"/>
      <c r="BB1003" s="157"/>
      <c r="BC1003" s="157"/>
      <c r="BD1003" s="157"/>
      <c r="BE1003" s="157"/>
      <c r="BF1003" s="157"/>
      <c r="BG1003" s="157"/>
      <c r="BH1003" s="157"/>
      <c r="BI1003" s="157"/>
      <c r="BJ1003" s="157"/>
    </row>
    <row r="1004" spans="1:62" ht="15.75" customHeight="1">
      <c r="A1004" s="157"/>
      <c r="B1004" s="157"/>
      <c r="C1004" s="157"/>
      <c r="D1004" s="157"/>
      <c r="E1004" s="157"/>
      <c r="F1004" s="157"/>
      <c r="G1004" s="157"/>
      <c r="H1004" s="157"/>
      <c r="I1004" s="157"/>
      <c r="J1004" s="157"/>
      <c r="K1004" s="157"/>
      <c r="L1004" s="157"/>
      <c r="M1004" s="157"/>
      <c r="N1004" s="157"/>
      <c r="O1004" s="157"/>
      <c r="P1004" s="157"/>
      <c r="Q1004" s="157"/>
      <c r="R1004" s="157"/>
      <c r="S1004" s="157"/>
      <c r="T1004" s="157"/>
      <c r="U1004" s="157"/>
      <c r="V1004" s="157"/>
      <c r="W1004" s="157"/>
      <c r="X1004" s="157"/>
      <c r="Y1004" s="157"/>
      <c r="Z1004" s="157"/>
      <c r="AA1004" s="157"/>
      <c r="AB1004" s="157"/>
      <c r="AC1004" s="157"/>
      <c r="AD1004" s="157"/>
      <c r="AE1004" s="157"/>
      <c r="AF1004" s="157"/>
      <c r="AG1004" s="157"/>
      <c r="AH1004" s="157"/>
      <c r="AI1004" s="157"/>
      <c r="AJ1004" s="157"/>
      <c r="AK1004" s="157"/>
      <c r="AL1004" s="157"/>
      <c r="AM1004" s="157"/>
      <c r="AN1004" s="157"/>
      <c r="AO1004" s="157"/>
      <c r="AP1004" s="157"/>
      <c r="AQ1004" s="157"/>
      <c r="AR1004" s="157"/>
      <c r="AS1004" s="157"/>
      <c r="AT1004" s="157"/>
      <c r="AU1004" s="157"/>
      <c r="AV1004" s="157"/>
      <c r="AW1004" s="157"/>
      <c r="AX1004" s="157"/>
      <c r="AY1004" s="157"/>
      <c r="AZ1004" s="157"/>
      <c r="BA1004" s="157"/>
      <c r="BB1004" s="157"/>
      <c r="BC1004" s="157"/>
      <c r="BD1004" s="157"/>
      <c r="BE1004" s="157"/>
      <c r="BF1004" s="157"/>
      <c r="BG1004" s="157"/>
      <c r="BH1004" s="157"/>
      <c r="BI1004" s="157"/>
      <c r="BJ1004" s="157"/>
    </row>
  </sheetData>
  <mergeCells count="32">
    <mergeCell ref="S67:Z67"/>
    <mergeCell ref="S39:Z39"/>
    <mergeCell ref="R95:X95"/>
    <mergeCell ref="B112:C112"/>
    <mergeCell ref="B114:U114"/>
    <mergeCell ref="B119:U119"/>
    <mergeCell ref="G153:I153"/>
    <mergeCell ref="K153:M153"/>
    <mergeCell ref="G169:I169"/>
    <mergeCell ref="K169:M169"/>
    <mergeCell ref="B37:C37"/>
    <mergeCell ref="B39:R39"/>
    <mergeCell ref="B65:C65"/>
    <mergeCell ref="B67:R67"/>
    <mergeCell ref="B93:C93"/>
    <mergeCell ref="B95:Q95"/>
    <mergeCell ref="B8:Q8"/>
    <mergeCell ref="AM16:AN16"/>
    <mergeCell ref="AP16:AQ16"/>
    <mergeCell ref="AM25:AN25"/>
    <mergeCell ref="AP25:AQ25"/>
    <mergeCell ref="AM34:AN34"/>
    <mergeCell ref="AP34:AQ34"/>
    <mergeCell ref="S8:Z8"/>
    <mergeCell ref="A2:E3"/>
    <mergeCell ref="F2:F3"/>
    <mergeCell ref="I2:J3"/>
    <mergeCell ref="K2:M3"/>
    <mergeCell ref="O2:P3"/>
    <mergeCell ref="F5:H6"/>
    <mergeCell ref="C6:E6"/>
    <mergeCell ref="I6:J6"/>
  </mergeCells>
  <conditionalFormatting sqref="J41:J64">
    <cfRule type="cellIs" dxfId="21" priority="38" stopIfTrue="1" operator="equal">
      <formula>D41</formula>
    </cfRule>
  </conditionalFormatting>
  <conditionalFormatting sqref="H10:I36 P10:P36 I41:I64 P41:P64 I69:I92 P69:P92 I116:I118 P116:P118 U116:U118">
    <cfRule type="cellIs" dxfId="20" priority="32" stopIfTrue="1" operator="equal">
      <formula>0</formula>
    </cfRule>
  </conditionalFormatting>
  <conditionalFormatting sqref="P97:P111">
    <cfRule type="cellIs" dxfId="19" priority="44" stopIfTrue="1" operator="equal">
      <formula>0</formula>
    </cfRule>
  </conditionalFormatting>
  <conditionalFormatting sqref="O68 H115 O115:U115 E116:G118 L116:N118 Q116:S118">
    <cfRule type="cellIs" dxfId="18" priority="31" stopIfTrue="1" operator="equal">
      <formula>0</formula>
    </cfRule>
  </conditionalFormatting>
  <conditionalFormatting sqref="U9:Z9 P40:Z40 E41:G64 L41:N64 P68:Z68 E69:G92 L69:N92 H96:I96 O96:X96 E97:G111 L97:N111">
    <cfRule type="cellIs" dxfId="17" priority="29" stopIfTrue="1" operator="equal">
      <formula>0</formula>
    </cfRule>
  </conditionalFormatting>
  <conditionalFormatting sqref="D41:D64 J69:J92 D115 D117:D118 J117:K118">
    <cfRule type="cellIs" dxfId="16" priority="24" stopIfTrue="1" operator="equal">
      <formula>11</formula>
    </cfRule>
  </conditionalFormatting>
  <conditionalFormatting sqref="J97:J111">
    <cfRule type="cellIs" dxfId="15" priority="39" stopIfTrue="1" operator="equal">
      <formula>11</formula>
    </cfRule>
  </conditionalFormatting>
  <conditionalFormatting sqref="D10:D36">
    <cfRule type="cellIs" dxfId="14" priority="23" stopIfTrue="1" operator="equal">
      <formula>13</formula>
    </cfRule>
  </conditionalFormatting>
  <conditionalFormatting sqref="D116">
    <cfRule type="cellIs" dxfId="13" priority="27" stopIfTrue="1" operator="equal">
      <formula>13</formula>
    </cfRule>
  </conditionalFormatting>
  <conditionalFormatting sqref="J116:K116">
    <cfRule type="cellIs" dxfId="12" priority="40" stopIfTrue="1" operator="equal">
      <formula>13</formula>
    </cfRule>
  </conditionalFormatting>
  <conditionalFormatting sqref="D69:D92">
    <cfRule type="cellIs" dxfId="11" priority="25" stopIfTrue="1" operator="equal">
      <formula>8</formula>
    </cfRule>
  </conditionalFormatting>
  <conditionalFormatting sqref="D97:D111">
    <cfRule type="cellIs" dxfId="10" priority="26" stopIfTrue="1" operator="equal">
      <formula>8</formula>
    </cfRule>
  </conditionalFormatting>
  <conditionalFormatting sqref="E9:I9 L9:T9 E10:G36 L10:N36 E40:I40 L40:O40 E68:G68 I68 L68:N68">
    <cfRule type="cellIs" dxfId="9" priority="28" stopIfTrue="1" operator="between">
      <formula>0.1</formula>
      <formula>1000000</formula>
    </cfRule>
  </conditionalFormatting>
  <conditionalFormatting sqref="E96:G96 L96:N96">
    <cfRule type="cellIs" dxfId="8" priority="30" stopIfTrue="1" operator="between">
      <formula>0.1</formula>
      <formula>1000000</formula>
    </cfRule>
  </conditionalFormatting>
  <conditionalFormatting sqref="H68">
    <cfRule type="cellIs" dxfId="7" priority="34" stopIfTrue="1" operator="between">
      <formula>0.1</formula>
      <formula>1000000</formula>
    </cfRule>
  </conditionalFormatting>
  <conditionalFormatting sqref="J10:K36">
    <cfRule type="expression" dxfId="6" priority="37" stopIfTrue="1">
      <formula>D10=13</formula>
    </cfRule>
  </conditionalFormatting>
  <conditionalFormatting sqref="K41:K64">
    <cfRule type="expression" dxfId="5" priority="41" stopIfTrue="1">
      <formula>D41=11</formula>
    </cfRule>
  </conditionalFormatting>
  <conditionalFormatting sqref="K69:K92">
    <cfRule type="expression" dxfId="4" priority="42" stopIfTrue="1">
      <formula>D69=8</formula>
    </cfRule>
  </conditionalFormatting>
  <conditionalFormatting sqref="K97:K111">
    <cfRule type="expression" dxfId="3" priority="43" stopIfTrue="1">
      <formula>D97=8</formula>
    </cfRule>
  </conditionalFormatting>
  <conditionalFormatting sqref="O10:O36 H41:H64 O41:O64 H69:H92 O69:O92 H116 O116">
    <cfRule type="expression" dxfId="2" priority="33" stopIfTrue="1">
      <formula>LEN(TRIM(H10))&gt;0</formula>
    </cfRule>
  </conditionalFormatting>
  <conditionalFormatting sqref="H118 O118 T116:T118">
    <cfRule type="expression" dxfId="1" priority="36" stopIfTrue="1">
      <formula>LEN(TRIM(H116))&gt;0</formula>
    </cfRule>
  </conditionalFormatting>
  <conditionalFormatting sqref="H117 O117">
    <cfRule type="expression" dxfId="0" priority="35" stopIfTrue="1">
      <formula>LEN(TRIM(H117))&gt;0</formula>
    </cfRule>
  </conditionalFormatting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810-F680-459C-983B-B400915E1880}">
  <dimension ref="A1:EU432"/>
  <sheetViews>
    <sheetView topLeftCell="A33" workbookViewId="0">
      <selection activeCell="A3" sqref="A3"/>
    </sheetView>
  </sheetViews>
  <sheetFormatPr defaultRowHeight="15" customHeight="1"/>
  <cols>
    <col min="1" max="1" width="27.85546875" customWidth="1"/>
    <col min="2" max="2" width="11.28515625" customWidth="1"/>
    <col min="3" max="3" width="15.28515625" customWidth="1"/>
    <col min="4" max="4" width="12.28515625" customWidth="1"/>
    <col min="5" max="5" width="11.5703125" customWidth="1"/>
    <col min="6" max="8" width="12.28515625" customWidth="1"/>
    <col min="9" max="9" width="18.5703125" customWidth="1"/>
    <col min="10" max="10" width="12.28515625" customWidth="1"/>
    <col min="11" max="11" width="18.42578125" customWidth="1"/>
    <col min="12" max="12" width="12.28515625" customWidth="1"/>
    <col min="13" max="13" width="11.140625" customWidth="1"/>
    <col min="14" max="14" width="13.5703125" customWidth="1"/>
    <col min="15" max="17" width="12.28515625" customWidth="1"/>
    <col min="18" max="19" width="12.140625" customWidth="1"/>
    <col min="20" max="20" width="12.28515625" customWidth="1"/>
    <col min="21" max="21" width="10.7109375" customWidth="1"/>
    <col min="22" max="22" width="12.85546875" customWidth="1"/>
    <col min="23" max="23" width="10.140625" customWidth="1"/>
    <col min="24" max="24" width="12" customWidth="1"/>
    <col min="25" max="25" width="12.28515625" customWidth="1"/>
    <col min="26" max="26" width="9.7109375" customWidth="1"/>
    <col min="27" max="27" width="10.7109375" customWidth="1"/>
    <col min="28" max="28" width="12.42578125" customWidth="1"/>
    <col min="29" max="29" width="12.5703125" customWidth="1"/>
    <col min="30" max="30" width="13.85546875" customWidth="1"/>
    <col min="31" max="31" width="12.28515625" customWidth="1"/>
    <col min="32" max="32" width="12.5703125" customWidth="1"/>
    <col min="33" max="33" width="18.42578125" customWidth="1"/>
    <col min="34" max="34" width="12.5703125" customWidth="1"/>
    <col min="35" max="35" width="14.140625" customWidth="1"/>
    <col min="36" max="36" width="14.7109375" customWidth="1"/>
    <col min="37" max="37" width="12.28515625" customWidth="1"/>
    <col min="38" max="38" width="13.42578125" customWidth="1"/>
    <col min="39" max="39" width="17.85546875" customWidth="1"/>
    <col min="40" max="40" width="14.42578125" customWidth="1"/>
    <col min="41" max="41" width="12" customWidth="1"/>
    <col min="42" max="42" width="11.140625" customWidth="1"/>
    <col min="43" max="44" width="17.85546875" customWidth="1"/>
    <col min="45" max="45" width="21.85546875" customWidth="1"/>
    <col min="46" max="46" width="17.85546875" customWidth="1"/>
    <col min="47" max="47" width="17.28515625" customWidth="1"/>
    <col min="48" max="48" width="25.42578125" customWidth="1"/>
    <col min="49" max="49" width="17.140625" customWidth="1"/>
    <col min="50" max="50" width="19.42578125" customWidth="1"/>
    <col min="51" max="51" width="26.85546875" customWidth="1"/>
    <col min="52" max="52" width="17.140625" customWidth="1"/>
    <col min="53" max="53" width="20.7109375" customWidth="1"/>
    <col min="54" max="54" width="29.7109375" customWidth="1"/>
    <col min="55" max="55" width="9.7109375" customWidth="1"/>
    <col min="56" max="56" width="15.5703125" customWidth="1"/>
    <col min="57" max="57" width="12.28515625" customWidth="1"/>
    <col min="58" max="58" width="22.5703125" customWidth="1"/>
    <col min="59" max="59" width="14.42578125" customWidth="1"/>
    <col min="60" max="60" width="12.28515625" customWidth="1"/>
    <col min="61" max="61" width="10.5703125" customWidth="1"/>
    <col min="62" max="62" width="11.85546875" customWidth="1"/>
    <col min="63" max="63" width="9.7109375" customWidth="1"/>
    <col min="64" max="64" width="13.7109375" customWidth="1"/>
    <col min="65" max="65" width="8.42578125" customWidth="1"/>
    <col min="66" max="66" width="10.7109375" customWidth="1"/>
    <col min="67" max="68" width="9.7109375" customWidth="1"/>
    <col min="69" max="69" width="10.7109375" customWidth="1"/>
    <col min="70" max="70" width="11.85546875" customWidth="1"/>
    <col min="71" max="111" width="9.7109375" customWidth="1"/>
    <col min="112" max="112" width="14.140625" customWidth="1"/>
    <col min="113" max="113" width="9.5703125" customWidth="1"/>
    <col min="114" max="114" width="9.85546875" customWidth="1"/>
    <col min="115" max="115" width="14.7109375" customWidth="1"/>
    <col min="116" max="119" width="9.7109375" customWidth="1"/>
    <col min="120" max="120" width="15.5703125" customWidth="1"/>
    <col min="121" max="121" width="15" customWidth="1"/>
    <col min="122" max="122" width="15.28515625" customWidth="1"/>
    <col min="123" max="123" width="15.5703125" customWidth="1"/>
    <col min="124" max="124" width="15" customWidth="1"/>
    <col min="125" max="125" width="15.28515625" customWidth="1"/>
    <col min="126" max="126" width="12.42578125" customWidth="1"/>
    <col min="127" max="127" width="14.140625" customWidth="1"/>
    <col min="128" max="128" width="9.5703125" customWidth="1"/>
    <col min="129" max="129" width="9.7109375" customWidth="1"/>
    <col min="130" max="130" width="19.42578125" customWidth="1"/>
    <col min="131" max="131" width="12.5703125" customWidth="1"/>
    <col min="132" max="132" width="11.5703125" customWidth="1"/>
    <col min="133" max="133" width="9.7109375" customWidth="1"/>
    <col min="134" max="134" width="10.7109375" customWidth="1"/>
    <col min="135" max="135" width="15.7109375" customWidth="1"/>
    <col min="136" max="136" width="15" customWidth="1"/>
    <col min="137" max="137" width="15.28515625" customWidth="1"/>
    <col min="138" max="138" width="15.5703125" customWidth="1"/>
    <col min="139" max="139" width="15" customWidth="1"/>
    <col min="140" max="140" width="15.28515625" customWidth="1"/>
    <col min="141" max="141" width="15.5703125" customWidth="1"/>
    <col min="142" max="142" width="15" customWidth="1"/>
    <col min="143" max="143" width="15.28515625" customWidth="1"/>
    <col min="144" max="151" width="9.7109375" customWidth="1"/>
    <col min="152" max="1024" width="15.28515625" customWidth="1"/>
  </cols>
  <sheetData>
    <row r="1" spans="1:1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>
        <v>2016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2"/>
      <c r="N1" s="3"/>
      <c r="O1" s="130" t="s">
        <v>5</v>
      </c>
      <c r="P1" s="130"/>
      <c r="Q1" s="130"/>
      <c r="R1" s="130"/>
      <c r="S1" s="3"/>
      <c r="T1" s="3"/>
      <c r="U1" s="131" t="s">
        <v>6</v>
      </c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132" t="s">
        <v>7</v>
      </c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2"/>
      <c r="CE1" s="132" t="s">
        <v>8</v>
      </c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W1" s="132"/>
      <c r="CX1" s="132"/>
      <c r="CY1" s="132"/>
      <c r="CZ1" s="132"/>
      <c r="DA1" s="132"/>
      <c r="DB1" s="132"/>
      <c r="DC1" s="132"/>
      <c r="DD1" s="132"/>
      <c r="DE1" s="132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</row>
    <row r="2" spans="1:151">
      <c r="A2" s="1">
        <v>27</v>
      </c>
      <c r="B2" s="1">
        <v>24</v>
      </c>
      <c r="C2" s="1">
        <v>24</v>
      </c>
      <c r="D2" s="1">
        <v>15</v>
      </c>
      <c r="E2" s="1">
        <f>A2+B2+C2+D2</f>
        <v>90</v>
      </c>
      <c r="F2" s="2"/>
      <c r="G2" s="2"/>
      <c r="H2" s="3">
        <v>14</v>
      </c>
      <c r="I2" s="3">
        <v>14</v>
      </c>
      <c r="J2" s="3">
        <v>14</v>
      </c>
      <c r="K2" s="3">
        <v>0</v>
      </c>
      <c r="L2" s="3">
        <f>SUM(H2:K2)</f>
        <v>42</v>
      </c>
      <c r="M2" s="2"/>
      <c r="N2" s="6">
        <f>H2/A2</f>
        <v>0.51851851851851849</v>
      </c>
      <c r="O2" s="3" t="s">
        <v>9</v>
      </c>
      <c r="P2" s="3" t="s">
        <v>10</v>
      </c>
      <c r="Q2" s="3" t="s">
        <v>11</v>
      </c>
      <c r="R2" s="3" t="s">
        <v>12</v>
      </c>
      <c r="S2" s="3"/>
      <c r="T2" s="3"/>
      <c r="U2" s="7" t="s">
        <v>0</v>
      </c>
      <c r="V2" s="7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7" t="s">
        <v>18</v>
      </c>
      <c r="AB2" s="7" t="s">
        <v>19</v>
      </c>
      <c r="AC2" s="7" t="s">
        <v>20</v>
      </c>
      <c r="AD2" s="7" t="s">
        <v>21</v>
      </c>
      <c r="AE2" s="7" t="s">
        <v>22</v>
      </c>
      <c r="AF2" s="7" t="s">
        <v>23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33" t="s">
        <v>24</v>
      </c>
      <c r="BD2" s="133"/>
      <c r="BE2" s="133" t="s">
        <v>25</v>
      </c>
      <c r="BF2" s="133"/>
      <c r="BG2" s="133" t="s">
        <v>26</v>
      </c>
      <c r="BH2" s="133"/>
      <c r="BI2" s="133" t="s">
        <v>27</v>
      </c>
      <c r="BJ2" s="133"/>
      <c r="BK2" s="133" t="s">
        <v>28</v>
      </c>
      <c r="BL2" s="133"/>
      <c r="BM2" s="133" t="s">
        <v>29</v>
      </c>
      <c r="BN2" s="133"/>
      <c r="BO2" s="133" t="s">
        <v>30</v>
      </c>
      <c r="BP2" s="133"/>
      <c r="BQ2" s="133" t="s">
        <v>31</v>
      </c>
      <c r="BR2" s="133"/>
      <c r="BS2" s="133" t="s">
        <v>32</v>
      </c>
      <c r="BT2" s="133"/>
      <c r="BU2" s="133" t="s">
        <v>33</v>
      </c>
      <c r="BV2" s="133"/>
      <c r="BW2" s="133"/>
      <c r="BX2" s="134" t="s">
        <v>34</v>
      </c>
      <c r="BY2" s="134"/>
      <c r="BZ2" s="134"/>
      <c r="CA2" s="134" t="s">
        <v>35</v>
      </c>
      <c r="CB2" s="134"/>
      <c r="CC2" s="134"/>
      <c r="CD2" s="2"/>
      <c r="CE2" s="133" t="s">
        <v>24</v>
      </c>
      <c r="CF2" s="133"/>
      <c r="CG2" s="133" t="s">
        <v>25</v>
      </c>
      <c r="CH2" s="133"/>
      <c r="CI2" s="133" t="s">
        <v>26</v>
      </c>
      <c r="CJ2" s="133"/>
      <c r="CK2" s="133" t="s">
        <v>27</v>
      </c>
      <c r="CL2" s="133"/>
      <c r="CM2" s="133" t="s">
        <v>28</v>
      </c>
      <c r="CN2" s="133"/>
      <c r="CO2" s="133" t="s">
        <v>29</v>
      </c>
      <c r="CP2" s="133"/>
      <c r="CQ2" s="133" t="s">
        <v>30</v>
      </c>
      <c r="CR2" s="133"/>
      <c r="CS2" s="133" t="s">
        <v>31</v>
      </c>
      <c r="CT2" s="133"/>
      <c r="CU2" s="133" t="s">
        <v>32</v>
      </c>
      <c r="CV2" s="133"/>
      <c r="CW2" s="133" t="s">
        <v>33</v>
      </c>
      <c r="CX2" s="133"/>
      <c r="CY2" s="133"/>
      <c r="CZ2" s="134" t="s">
        <v>34</v>
      </c>
      <c r="DA2" s="134"/>
      <c r="DB2" s="134"/>
      <c r="DC2" s="134" t="s">
        <v>35</v>
      </c>
      <c r="DD2" s="134"/>
      <c r="DE2" s="134"/>
      <c r="DF2" s="3"/>
      <c r="DG2" s="3"/>
      <c r="DH2" s="3"/>
      <c r="DI2" s="3"/>
      <c r="DJ2" s="3"/>
      <c r="DK2" s="10" t="s">
        <v>36</v>
      </c>
      <c r="DL2" s="135" t="s">
        <v>37</v>
      </c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3"/>
      <c r="DZ2" s="12" t="s">
        <v>38</v>
      </c>
      <c r="EA2" s="135" t="s">
        <v>39</v>
      </c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3"/>
      <c r="EO2" s="3"/>
      <c r="EP2" s="3"/>
      <c r="EQ2" s="3"/>
      <c r="ER2" s="3"/>
      <c r="ES2" s="3"/>
      <c r="ET2" s="3"/>
      <c r="EU2" s="3"/>
    </row>
    <row r="3" spans="1:151">
      <c r="A3" s="13">
        <f>A2/E2</f>
        <v>0.3</v>
      </c>
      <c r="B3" s="13">
        <f>B2/E2</f>
        <v>0.26666666666666666</v>
      </c>
      <c r="C3" s="13">
        <f>C2/E2</f>
        <v>0.26666666666666666</v>
      </c>
      <c r="D3" s="13">
        <f>D2/E2</f>
        <v>0.16666666666666666</v>
      </c>
      <c r="E3" s="13">
        <f>E2/E2</f>
        <v>1</v>
      </c>
      <c r="F3" s="2"/>
      <c r="G3" s="2"/>
      <c r="H3" s="6">
        <f>H2/L2</f>
        <v>0.33333333333333331</v>
      </c>
      <c r="I3" s="6">
        <f>I2/L2</f>
        <v>0.33333333333333331</v>
      </c>
      <c r="J3" s="6">
        <f>J2/L2</f>
        <v>0.33333333333333331</v>
      </c>
      <c r="K3" s="6">
        <f>K2/L2</f>
        <v>0</v>
      </c>
      <c r="L3" s="6">
        <f>L2/L2</f>
        <v>1</v>
      </c>
      <c r="M3" s="14"/>
      <c r="N3" s="6"/>
      <c r="O3" s="3">
        <v>5</v>
      </c>
      <c r="P3" s="3">
        <v>50</v>
      </c>
      <c r="Q3" s="3">
        <v>500</v>
      </c>
      <c r="R3" s="3">
        <v>20000</v>
      </c>
      <c r="S3" s="3"/>
      <c r="T3" s="3"/>
      <c r="U3" s="15">
        <f>A2</f>
        <v>27</v>
      </c>
      <c r="V3" s="16">
        <v>15</v>
      </c>
      <c r="W3" s="16">
        <v>10000</v>
      </c>
      <c r="X3" s="16">
        <v>10000</v>
      </c>
      <c r="Y3" s="16">
        <v>4000</v>
      </c>
      <c r="Z3" s="16">
        <v>4000</v>
      </c>
      <c r="AA3" s="16">
        <v>2000</v>
      </c>
      <c r="AB3" s="16">
        <v>2000</v>
      </c>
      <c r="AC3" s="16">
        <v>600</v>
      </c>
      <c r="AD3" s="16">
        <v>600</v>
      </c>
      <c r="AE3" s="16">
        <v>600</v>
      </c>
      <c r="AF3" s="17">
        <v>200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18" t="s">
        <v>17</v>
      </c>
      <c r="BD3" s="19" t="s">
        <v>40</v>
      </c>
      <c r="BE3" s="18" t="s">
        <v>17</v>
      </c>
      <c r="BF3" s="19" t="s">
        <v>40</v>
      </c>
      <c r="BG3" s="18" t="s">
        <v>17</v>
      </c>
      <c r="BH3" s="19" t="s">
        <v>40</v>
      </c>
      <c r="BI3" s="18" t="s">
        <v>17</v>
      </c>
      <c r="BJ3" s="19" t="s">
        <v>40</v>
      </c>
      <c r="BK3" s="18" t="s">
        <v>17</v>
      </c>
      <c r="BL3" s="19" t="s">
        <v>40</v>
      </c>
      <c r="BM3" s="18" t="s">
        <v>17</v>
      </c>
      <c r="BN3" s="19" t="s">
        <v>40</v>
      </c>
      <c r="BO3" s="18" t="s">
        <v>17</v>
      </c>
      <c r="BP3" s="19" t="s">
        <v>40</v>
      </c>
      <c r="BQ3" s="18" t="s">
        <v>17</v>
      </c>
      <c r="BR3" s="19" t="s">
        <v>40</v>
      </c>
      <c r="BS3" s="18" t="s">
        <v>17</v>
      </c>
      <c r="BT3" s="19" t="s">
        <v>40</v>
      </c>
      <c r="BU3" s="18" t="s">
        <v>17</v>
      </c>
      <c r="BV3" s="3" t="s">
        <v>41</v>
      </c>
      <c r="BW3" s="19" t="s">
        <v>4</v>
      </c>
      <c r="BX3" s="18" t="s">
        <v>0</v>
      </c>
      <c r="BY3" s="3" t="s">
        <v>10</v>
      </c>
      <c r="BZ3" s="19" t="s">
        <v>11</v>
      </c>
      <c r="CA3" s="18" t="s">
        <v>0</v>
      </c>
      <c r="CB3" s="3" t="s">
        <v>10</v>
      </c>
      <c r="CC3" s="19" t="s">
        <v>11</v>
      </c>
      <c r="CD3" s="2"/>
      <c r="CE3" s="18" t="s">
        <v>17</v>
      </c>
      <c r="CF3" s="19" t="s">
        <v>40</v>
      </c>
      <c r="CG3" s="18" t="s">
        <v>17</v>
      </c>
      <c r="CH3" s="19" t="s">
        <v>40</v>
      </c>
      <c r="CI3" s="18" t="s">
        <v>17</v>
      </c>
      <c r="CJ3" s="19" t="s">
        <v>40</v>
      </c>
      <c r="CK3" s="18" t="s">
        <v>17</v>
      </c>
      <c r="CL3" s="19" t="s">
        <v>40</v>
      </c>
      <c r="CM3" s="18" t="s">
        <v>17</v>
      </c>
      <c r="CN3" s="19" t="s">
        <v>40</v>
      </c>
      <c r="CO3" s="18" t="s">
        <v>17</v>
      </c>
      <c r="CP3" s="19" t="s">
        <v>40</v>
      </c>
      <c r="CQ3" s="18" t="s">
        <v>17</v>
      </c>
      <c r="CR3" s="19" t="s">
        <v>40</v>
      </c>
      <c r="CS3" s="18" t="s">
        <v>17</v>
      </c>
      <c r="CT3" s="19" t="s">
        <v>40</v>
      </c>
      <c r="CU3" s="18" t="s">
        <v>17</v>
      </c>
      <c r="CV3" s="19" t="s">
        <v>40</v>
      </c>
      <c r="CW3" s="18" t="s">
        <v>17</v>
      </c>
      <c r="CX3" s="3" t="s">
        <v>41</v>
      </c>
      <c r="CY3" s="19" t="s">
        <v>4</v>
      </c>
      <c r="CZ3" s="18" t="s">
        <v>0</v>
      </c>
      <c r="DA3" s="3" t="s">
        <v>10</v>
      </c>
      <c r="DB3" s="19" t="s">
        <v>11</v>
      </c>
      <c r="DC3" s="18" t="s">
        <v>0</v>
      </c>
      <c r="DD3" s="3" t="s">
        <v>10</v>
      </c>
      <c r="DE3" s="19" t="s">
        <v>11</v>
      </c>
      <c r="DF3" s="3"/>
      <c r="DG3" s="3"/>
      <c r="DH3" s="131" t="s">
        <v>42</v>
      </c>
      <c r="DI3" s="131"/>
      <c r="DJ3" s="3"/>
      <c r="DK3" s="15" t="s">
        <v>43</v>
      </c>
      <c r="DL3" s="7" t="s">
        <v>44</v>
      </c>
      <c r="DM3" s="7" t="s">
        <v>45</v>
      </c>
      <c r="DN3" s="20" t="s">
        <v>46</v>
      </c>
      <c r="DO3" s="7" t="s">
        <v>47</v>
      </c>
      <c r="DP3" s="20" t="s">
        <v>48</v>
      </c>
      <c r="DQ3" s="20" t="s">
        <v>1</v>
      </c>
      <c r="DR3" s="20" t="s">
        <v>2</v>
      </c>
      <c r="DS3" s="20" t="s">
        <v>49</v>
      </c>
      <c r="DT3" s="7" t="s">
        <v>50</v>
      </c>
      <c r="DU3" s="20" t="s">
        <v>51</v>
      </c>
      <c r="DV3" s="7" t="s">
        <v>40</v>
      </c>
      <c r="DW3" s="21" t="s">
        <v>34</v>
      </c>
      <c r="DX3" s="20" t="s">
        <v>35</v>
      </c>
      <c r="DY3" s="3"/>
      <c r="DZ3" s="10" t="s">
        <v>43</v>
      </c>
      <c r="EA3" s="7" t="s">
        <v>44</v>
      </c>
      <c r="EB3" s="7" t="s">
        <v>45</v>
      </c>
      <c r="EC3" s="20" t="s">
        <v>46</v>
      </c>
      <c r="ED3" s="7" t="s">
        <v>47</v>
      </c>
      <c r="EE3" s="20" t="s">
        <v>48</v>
      </c>
      <c r="EF3" s="20" t="s">
        <v>1</v>
      </c>
      <c r="EG3" s="20" t="s">
        <v>2</v>
      </c>
      <c r="EH3" s="20" t="s">
        <v>49</v>
      </c>
      <c r="EI3" s="7" t="s">
        <v>50</v>
      </c>
      <c r="EJ3" s="20" t="s">
        <v>51</v>
      </c>
      <c r="EK3" s="7" t="s">
        <v>40</v>
      </c>
      <c r="EL3" s="21" t="s">
        <v>34</v>
      </c>
      <c r="EM3" s="20" t="s">
        <v>35</v>
      </c>
      <c r="EN3" s="3"/>
      <c r="EO3" s="3"/>
      <c r="EP3" s="3"/>
      <c r="EQ3" s="3"/>
      <c r="ER3" s="3"/>
      <c r="ES3" s="3"/>
      <c r="ET3" s="3"/>
      <c r="EU3" s="3"/>
    </row>
    <row r="4" spans="1:15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3"/>
      <c r="AX4" s="3"/>
      <c r="AY4" s="3"/>
      <c r="AZ4" s="3"/>
      <c r="BA4" s="3"/>
      <c r="BB4" s="3"/>
      <c r="BC4" s="22" t="s">
        <v>52</v>
      </c>
      <c r="BD4" s="23">
        <v>3</v>
      </c>
      <c r="BE4" s="22" t="s">
        <v>53</v>
      </c>
      <c r="BF4" s="23">
        <v>3</v>
      </c>
      <c r="BG4" s="22" t="s">
        <v>54</v>
      </c>
      <c r="BH4" s="23">
        <v>10</v>
      </c>
      <c r="BI4" s="22" t="s">
        <v>55</v>
      </c>
      <c r="BJ4" s="23">
        <v>20</v>
      </c>
      <c r="BK4" s="22" t="s">
        <v>56</v>
      </c>
      <c r="BL4" s="23">
        <v>80</v>
      </c>
      <c r="BM4" s="22" t="s">
        <v>57</v>
      </c>
      <c r="BN4" s="23">
        <v>30</v>
      </c>
      <c r="BO4" s="22" t="s">
        <v>58</v>
      </c>
      <c r="BP4" s="23">
        <v>180</v>
      </c>
      <c r="BQ4" s="22">
        <v>0</v>
      </c>
      <c r="BR4" s="23">
        <v>6</v>
      </c>
      <c r="BS4" s="22">
        <v>0</v>
      </c>
      <c r="BT4" s="23">
        <v>1</v>
      </c>
      <c r="BU4" s="22">
        <v>5</v>
      </c>
      <c r="BV4" s="24">
        <v>20</v>
      </c>
      <c r="BW4" s="17">
        <f>BV4*BU4</f>
        <v>100</v>
      </c>
      <c r="BX4" s="18">
        <v>10</v>
      </c>
      <c r="BY4" s="16">
        <v>1</v>
      </c>
      <c r="BZ4" s="17">
        <v>1</v>
      </c>
      <c r="CA4" s="15">
        <v>1</v>
      </c>
      <c r="CB4" s="16">
        <v>1</v>
      </c>
      <c r="CC4" s="17">
        <v>1</v>
      </c>
      <c r="CD4" s="2"/>
      <c r="CE4" s="22">
        <v>23</v>
      </c>
      <c r="CF4" s="23">
        <v>3</v>
      </c>
      <c r="CG4" s="22">
        <v>18</v>
      </c>
      <c r="CH4" s="23">
        <v>3</v>
      </c>
      <c r="CI4" s="22">
        <v>60</v>
      </c>
      <c r="CJ4" s="23">
        <v>10</v>
      </c>
      <c r="CK4" s="22">
        <v>150</v>
      </c>
      <c r="CL4" s="23">
        <v>20</v>
      </c>
      <c r="CM4" s="22">
        <v>480</v>
      </c>
      <c r="CN4" s="23">
        <v>80</v>
      </c>
      <c r="CO4" s="22">
        <v>180</v>
      </c>
      <c r="CP4" s="23">
        <v>30</v>
      </c>
      <c r="CQ4" s="22">
        <v>1080</v>
      </c>
      <c r="CR4" s="23">
        <v>180</v>
      </c>
      <c r="CS4" s="22">
        <v>0</v>
      </c>
      <c r="CT4" s="23">
        <v>6</v>
      </c>
      <c r="CU4" s="22">
        <v>0</v>
      </c>
      <c r="CV4" s="23">
        <v>1</v>
      </c>
      <c r="CW4" s="22">
        <v>5</v>
      </c>
      <c r="CX4" s="24">
        <v>20</v>
      </c>
      <c r="CY4" s="17">
        <f>CX4*CW4</f>
        <v>100</v>
      </c>
      <c r="CZ4" s="18">
        <v>10</v>
      </c>
      <c r="DA4" s="16">
        <v>1</v>
      </c>
      <c r="DB4" s="17">
        <v>1</v>
      </c>
      <c r="DC4" s="15">
        <v>1</v>
      </c>
      <c r="DD4" s="16">
        <v>1</v>
      </c>
      <c r="DE4" s="17">
        <v>1</v>
      </c>
      <c r="DF4" s="3"/>
      <c r="DG4" s="3"/>
      <c r="DH4" s="7" t="s">
        <v>0</v>
      </c>
      <c r="DI4" s="7">
        <v>22</v>
      </c>
      <c r="DJ4" s="3"/>
      <c r="DK4" s="12" t="s">
        <v>16</v>
      </c>
      <c r="DL4" s="25">
        <v>21</v>
      </c>
      <c r="DM4" s="25">
        <v>24</v>
      </c>
      <c r="DN4" s="26">
        <f t="shared" ref="DN4:DN10" si="0">(DL4+DM4)/2</f>
        <v>22.5</v>
      </c>
      <c r="DO4" s="18">
        <f t="shared" ref="DO4:DO10" si="1">DP4+DQ4+DR4</f>
        <v>3</v>
      </c>
      <c r="DP4" s="12">
        <v>3</v>
      </c>
      <c r="DQ4" s="27">
        <v>0</v>
      </c>
      <c r="DR4" s="19">
        <v>0</v>
      </c>
      <c r="DS4" s="28">
        <v>0</v>
      </c>
      <c r="DT4" s="29">
        <f t="shared" ref="DT4:DT10" si="2">(DP4*$O$3)+(DQ4*$P$3)+($Q$3*DR4)+DL4</f>
        <v>36</v>
      </c>
      <c r="DU4" s="30">
        <f t="shared" ref="DU4:DU10" si="3">(DP4*$O$3)+(DQ4*$P$3)+($Q$3*DR4)+DM4</f>
        <v>39</v>
      </c>
      <c r="DV4" s="18" t="s">
        <v>0</v>
      </c>
      <c r="DW4" s="3">
        <v>10</v>
      </c>
      <c r="DX4" s="19">
        <v>1</v>
      </c>
      <c r="DY4" s="3"/>
      <c r="DZ4" s="12" t="s">
        <v>16</v>
      </c>
      <c r="EA4" s="25">
        <v>63</v>
      </c>
      <c r="EB4" s="25">
        <v>72</v>
      </c>
      <c r="EC4" s="26">
        <f t="shared" ref="EC4:EC10" si="4">(EA4+EB4)/2</f>
        <v>67.5</v>
      </c>
      <c r="ED4" s="18">
        <f t="shared" ref="ED4:ED10" si="5">EE4+EF4+EG4</f>
        <v>9</v>
      </c>
      <c r="EE4" s="12">
        <v>9</v>
      </c>
      <c r="EF4" s="27">
        <v>0</v>
      </c>
      <c r="EG4" s="19">
        <v>0</v>
      </c>
      <c r="EH4" s="31">
        <f>((ED4*$DI$5)/$DI$4)*(1/$DI$8)</f>
        <v>1.5340909090909092E-3</v>
      </c>
      <c r="EI4" s="29">
        <f t="shared" ref="EI4:EI10" si="6">(EE4*$O$3)+(EF4*$P$3)+($Q$3*EG4)+EA4</f>
        <v>108</v>
      </c>
      <c r="EJ4" s="30">
        <f t="shared" ref="EJ4:EJ10" si="7">(EE4*$O$3)+(EF4*$P$3)+($Q$3*EG4)+EB4</f>
        <v>117</v>
      </c>
      <c r="EK4" s="18" t="s">
        <v>0</v>
      </c>
      <c r="EL4" s="3">
        <v>30</v>
      </c>
      <c r="EM4" s="19">
        <v>6</v>
      </c>
      <c r="EN4" s="3" t="s">
        <v>59</v>
      </c>
      <c r="EO4" s="3"/>
      <c r="EP4" s="3"/>
      <c r="EQ4" s="3"/>
      <c r="ER4" s="3"/>
      <c r="ES4" s="3" t="s">
        <v>59</v>
      </c>
      <c r="ET4" s="3"/>
      <c r="EU4" s="3" t="s">
        <v>59</v>
      </c>
    </row>
    <row r="5" spans="1:151">
      <c r="A5" s="134" t="s">
        <v>60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2"/>
      <c r="Q5" s="134" t="s">
        <v>61</v>
      </c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2"/>
      <c r="AG5" s="134" t="s">
        <v>62</v>
      </c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2"/>
      <c r="AW5" s="3"/>
      <c r="AX5" s="3"/>
      <c r="AY5" s="3"/>
      <c r="AZ5" s="3"/>
      <c r="BA5" s="3"/>
      <c r="BB5" s="3"/>
      <c r="BC5" s="131" t="s">
        <v>63</v>
      </c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2"/>
      <c r="CE5" s="131" t="s">
        <v>63</v>
      </c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3"/>
      <c r="DG5" s="3"/>
      <c r="DH5" s="7" t="s">
        <v>3</v>
      </c>
      <c r="DI5" s="7">
        <v>15</v>
      </c>
      <c r="DJ5" s="3"/>
      <c r="DK5" s="18" t="s">
        <v>64</v>
      </c>
      <c r="DL5" s="32">
        <v>15</v>
      </c>
      <c r="DM5" s="32">
        <v>21</v>
      </c>
      <c r="DN5" s="30">
        <f t="shared" si="0"/>
        <v>18</v>
      </c>
      <c r="DO5" s="18">
        <f t="shared" si="1"/>
        <v>3</v>
      </c>
      <c r="DP5" s="18">
        <v>3</v>
      </c>
      <c r="DQ5" s="33">
        <v>0</v>
      </c>
      <c r="DR5" s="19">
        <v>0</v>
      </c>
      <c r="DS5" s="34">
        <v>0</v>
      </c>
      <c r="DT5" s="29">
        <f t="shared" si="2"/>
        <v>30</v>
      </c>
      <c r="DU5" s="30">
        <f t="shared" si="3"/>
        <v>36</v>
      </c>
      <c r="DV5" s="18" t="s">
        <v>1</v>
      </c>
      <c r="DW5" s="3">
        <v>1</v>
      </c>
      <c r="DX5" s="19">
        <v>1</v>
      </c>
      <c r="DY5" s="3"/>
      <c r="DZ5" s="18" t="s">
        <v>14</v>
      </c>
      <c r="EA5" s="32">
        <v>45</v>
      </c>
      <c r="EB5" s="32">
        <v>63</v>
      </c>
      <c r="EC5" s="30">
        <f t="shared" si="4"/>
        <v>54</v>
      </c>
      <c r="ED5" s="18">
        <f t="shared" si="5"/>
        <v>9</v>
      </c>
      <c r="EE5" s="18">
        <v>9</v>
      </c>
      <c r="EF5" s="33">
        <v>0</v>
      </c>
      <c r="EG5" s="19">
        <v>0</v>
      </c>
      <c r="EH5" s="35">
        <f>((ED5*$DI$5)/$DI$4)*(1/$DI$6)</f>
        <v>6.1363636363636373E-4</v>
      </c>
      <c r="EI5" s="29">
        <f t="shared" si="6"/>
        <v>90</v>
      </c>
      <c r="EJ5" s="30">
        <f t="shared" si="7"/>
        <v>108</v>
      </c>
      <c r="EK5" s="18" t="s">
        <v>1</v>
      </c>
      <c r="EL5" s="3">
        <v>3</v>
      </c>
      <c r="EM5" s="19">
        <v>1</v>
      </c>
      <c r="EN5" s="3"/>
      <c r="EO5" s="3"/>
      <c r="EP5" s="3"/>
      <c r="EQ5" s="3"/>
      <c r="ER5" s="3"/>
      <c r="ES5" s="3"/>
      <c r="ET5" s="3"/>
      <c r="EU5" s="3"/>
    </row>
    <row r="6" spans="1:151">
      <c r="A6" s="131" t="s">
        <v>48</v>
      </c>
      <c r="B6" s="131"/>
      <c r="C6" s="131"/>
      <c r="D6" s="131" t="s">
        <v>1</v>
      </c>
      <c r="E6" s="131"/>
      <c r="F6" s="131"/>
      <c r="G6" s="131" t="s">
        <v>2</v>
      </c>
      <c r="H6" s="131"/>
      <c r="I6" s="131"/>
      <c r="J6" s="131" t="s">
        <v>3</v>
      </c>
      <c r="K6" s="131"/>
      <c r="L6" s="131"/>
      <c r="M6" s="134" t="s">
        <v>65</v>
      </c>
      <c r="N6" s="134"/>
      <c r="O6" s="134"/>
      <c r="P6" s="2"/>
      <c r="Q6" s="131" t="s">
        <v>48</v>
      </c>
      <c r="R6" s="131"/>
      <c r="S6" s="131"/>
      <c r="T6" s="131" t="s">
        <v>1</v>
      </c>
      <c r="U6" s="131"/>
      <c r="V6" s="131"/>
      <c r="W6" s="131" t="s">
        <v>2</v>
      </c>
      <c r="X6" s="131"/>
      <c r="Y6" s="131"/>
      <c r="Z6" s="131" t="s">
        <v>3</v>
      </c>
      <c r="AA6" s="131"/>
      <c r="AB6" s="131"/>
      <c r="AC6" s="131" t="s">
        <v>65</v>
      </c>
      <c r="AD6" s="131"/>
      <c r="AE6" s="7"/>
      <c r="AF6" s="2"/>
      <c r="AG6" s="131" t="s">
        <v>48</v>
      </c>
      <c r="AH6" s="131"/>
      <c r="AI6" s="131"/>
      <c r="AJ6" s="131" t="s">
        <v>1</v>
      </c>
      <c r="AK6" s="131"/>
      <c r="AL6" s="131"/>
      <c r="AM6" s="131" t="s">
        <v>2</v>
      </c>
      <c r="AN6" s="131"/>
      <c r="AO6" s="131"/>
      <c r="AP6" s="131" t="s">
        <v>3</v>
      </c>
      <c r="AQ6" s="131"/>
      <c r="AR6" s="131"/>
      <c r="AS6" s="131" t="s">
        <v>65</v>
      </c>
      <c r="AT6" s="131"/>
      <c r="AU6" s="7"/>
      <c r="AV6" s="2"/>
      <c r="AW6" s="3"/>
      <c r="AX6" s="3"/>
      <c r="AY6" s="3"/>
      <c r="AZ6" s="3"/>
      <c r="BA6" s="3"/>
      <c r="BB6" s="3"/>
      <c r="BC6" s="133" t="s">
        <v>24</v>
      </c>
      <c r="BD6" s="133"/>
      <c r="BE6" s="133" t="s">
        <v>25</v>
      </c>
      <c r="BF6" s="133"/>
      <c r="BG6" s="133" t="s">
        <v>26</v>
      </c>
      <c r="BH6" s="133"/>
      <c r="BI6" s="133" t="s">
        <v>27</v>
      </c>
      <c r="BJ6" s="133"/>
      <c r="BK6" s="133" t="s">
        <v>28</v>
      </c>
      <c r="BL6" s="133"/>
      <c r="BM6" s="133" t="s">
        <v>29</v>
      </c>
      <c r="BN6" s="133"/>
      <c r="BO6" s="133" t="s">
        <v>30</v>
      </c>
      <c r="BP6" s="133"/>
      <c r="BQ6" s="133" t="s">
        <v>31</v>
      </c>
      <c r="BR6" s="133"/>
      <c r="BS6" s="133" t="s">
        <v>32</v>
      </c>
      <c r="BT6" s="133"/>
      <c r="BU6" s="133" t="s">
        <v>33</v>
      </c>
      <c r="BV6" s="133"/>
      <c r="BW6" s="133"/>
      <c r="BX6" s="133" t="s">
        <v>34</v>
      </c>
      <c r="BY6" s="133"/>
      <c r="BZ6" s="133"/>
      <c r="CA6" s="134" t="s">
        <v>35</v>
      </c>
      <c r="CB6" s="134"/>
      <c r="CC6" s="134"/>
      <c r="CD6" s="2"/>
      <c r="CE6" s="133" t="s">
        <v>24</v>
      </c>
      <c r="CF6" s="133"/>
      <c r="CG6" s="133" t="s">
        <v>25</v>
      </c>
      <c r="CH6" s="133"/>
      <c r="CI6" s="133" t="s">
        <v>26</v>
      </c>
      <c r="CJ6" s="133"/>
      <c r="CK6" s="133" t="s">
        <v>27</v>
      </c>
      <c r="CL6" s="133"/>
      <c r="CM6" s="133" t="s">
        <v>28</v>
      </c>
      <c r="CN6" s="133"/>
      <c r="CO6" s="133" t="s">
        <v>29</v>
      </c>
      <c r="CP6" s="133"/>
      <c r="CQ6" s="133" t="s">
        <v>30</v>
      </c>
      <c r="CR6" s="133"/>
      <c r="CS6" s="133" t="s">
        <v>31</v>
      </c>
      <c r="CT6" s="133"/>
      <c r="CU6" s="133" t="s">
        <v>32</v>
      </c>
      <c r="CV6" s="133"/>
      <c r="CW6" s="133" t="s">
        <v>33</v>
      </c>
      <c r="CX6" s="133"/>
      <c r="CY6" s="133"/>
      <c r="CZ6" s="133" t="s">
        <v>34</v>
      </c>
      <c r="DA6" s="133"/>
      <c r="DB6" s="133"/>
      <c r="DC6" s="134" t="s">
        <v>35</v>
      </c>
      <c r="DD6" s="134"/>
      <c r="DE6" s="134"/>
      <c r="DF6" s="3"/>
      <c r="DG6" s="3"/>
      <c r="DH6" s="7" t="s">
        <v>14</v>
      </c>
      <c r="DI6" s="7">
        <v>10000</v>
      </c>
      <c r="DJ6" s="3"/>
      <c r="DK6" s="18" t="s">
        <v>66</v>
      </c>
      <c r="DL6" s="32">
        <v>50</v>
      </c>
      <c r="DM6" s="32">
        <v>70</v>
      </c>
      <c r="DN6" s="30">
        <f t="shared" si="0"/>
        <v>60</v>
      </c>
      <c r="DO6" s="18">
        <f t="shared" si="1"/>
        <v>10</v>
      </c>
      <c r="DP6" s="18">
        <v>9</v>
      </c>
      <c r="DQ6" s="33">
        <v>1</v>
      </c>
      <c r="DR6" s="19">
        <v>0</v>
      </c>
      <c r="DS6" s="34">
        <v>0</v>
      </c>
      <c r="DT6" s="29">
        <f t="shared" si="2"/>
        <v>145</v>
      </c>
      <c r="DU6" s="30">
        <f t="shared" si="3"/>
        <v>165</v>
      </c>
      <c r="DV6" s="15" t="s">
        <v>2</v>
      </c>
      <c r="DW6" s="16">
        <v>1</v>
      </c>
      <c r="DX6" s="17">
        <v>1</v>
      </c>
      <c r="DY6" s="3"/>
      <c r="DZ6" s="18" t="s">
        <v>66</v>
      </c>
      <c r="EA6" s="32">
        <v>145</v>
      </c>
      <c r="EB6" s="32">
        <v>203</v>
      </c>
      <c r="EC6" s="30">
        <f t="shared" si="4"/>
        <v>174</v>
      </c>
      <c r="ED6" s="18">
        <f t="shared" si="5"/>
        <v>29</v>
      </c>
      <c r="EE6" s="18">
        <v>27</v>
      </c>
      <c r="EF6" s="33">
        <v>2</v>
      </c>
      <c r="EG6" s="19">
        <v>0</v>
      </c>
      <c r="EH6" s="35">
        <f>((ED6*$DI$5)/$DI$4)*(1/$DI$10)</f>
        <v>3.4688995215311005E-3</v>
      </c>
      <c r="EI6" s="29">
        <f t="shared" si="6"/>
        <v>380</v>
      </c>
      <c r="EJ6" s="30">
        <f t="shared" si="7"/>
        <v>438</v>
      </c>
      <c r="EK6" s="15" t="s">
        <v>2</v>
      </c>
      <c r="EL6" s="16">
        <v>3</v>
      </c>
      <c r="EM6" s="17">
        <v>1</v>
      </c>
      <c r="EN6" s="3"/>
      <c r="EO6" s="3"/>
      <c r="EP6" s="3"/>
      <c r="EQ6" s="3"/>
      <c r="ER6" s="3"/>
      <c r="ES6" s="3"/>
      <c r="ET6" s="3"/>
      <c r="EU6" s="3"/>
    </row>
    <row r="7" spans="1:151">
      <c r="A7" s="7" t="s">
        <v>67</v>
      </c>
      <c r="B7" s="7" t="s">
        <v>68</v>
      </c>
      <c r="C7" s="7" t="s">
        <v>69</v>
      </c>
      <c r="D7" s="7" t="s">
        <v>67</v>
      </c>
      <c r="E7" s="7" t="s">
        <v>68</v>
      </c>
      <c r="F7" s="7" t="s">
        <v>69</v>
      </c>
      <c r="G7" s="7" t="s">
        <v>67</v>
      </c>
      <c r="H7" s="7" t="s">
        <v>68</v>
      </c>
      <c r="I7" s="7" t="s">
        <v>69</v>
      </c>
      <c r="J7" s="7" t="s">
        <v>67</v>
      </c>
      <c r="K7" s="7" t="s">
        <v>68</v>
      </c>
      <c r="L7" s="7" t="s">
        <v>69</v>
      </c>
      <c r="M7" s="7" t="s">
        <v>67</v>
      </c>
      <c r="N7" s="7" t="s">
        <v>68</v>
      </c>
      <c r="O7" s="7" t="s">
        <v>69</v>
      </c>
      <c r="P7" s="2"/>
      <c r="Q7" s="27" t="s">
        <v>67</v>
      </c>
      <c r="R7" s="27" t="s">
        <v>68</v>
      </c>
      <c r="S7" s="27" t="s">
        <v>69</v>
      </c>
      <c r="T7" s="7" t="s">
        <v>67</v>
      </c>
      <c r="U7" s="7" t="s">
        <v>68</v>
      </c>
      <c r="V7" s="27" t="s">
        <v>69</v>
      </c>
      <c r="W7" s="7" t="s">
        <v>67</v>
      </c>
      <c r="X7" s="7" t="s">
        <v>68</v>
      </c>
      <c r="Y7" s="27" t="s">
        <v>69</v>
      </c>
      <c r="Z7" s="7" t="s">
        <v>67</v>
      </c>
      <c r="AA7" s="7" t="s">
        <v>68</v>
      </c>
      <c r="AB7" s="27" t="s">
        <v>69</v>
      </c>
      <c r="AC7" s="27" t="s">
        <v>67</v>
      </c>
      <c r="AD7" s="27" t="s">
        <v>68</v>
      </c>
      <c r="AE7" s="27" t="s">
        <v>69</v>
      </c>
      <c r="AF7" s="2"/>
      <c r="AG7" s="27" t="s">
        <v>67</v>
      </c>
      <c r="AH7" s="27" t="s">
        <v>68</v>
      </c>
      <c r="AI7" s="27" t="s">
        <v>69</v>
      </c>
      <c r="AJ7" s="7" t="s">
        <v>67</v>
      </c>
      <c r="AK7" s="7" t="s">
        <v>68</v>
      </c>
      <c r="AL7" s="27" t="s">
        <v>69</v>
      </c>
      <c r="AM7" s="7" t="s">
        <v>67</v>
      </c>
      <c r="AN7" s="7" t="s">
        <v>68</v>
      </c>
      <c r="AO7" s="27" t="s">
        <v>69</v>
      </c>
      <c r="AP7" s="7" t="s">
        <v>67</v>
      </c>
      <c r="AQ7" s="7" t="s">
        <v>68</v>
      </c>
      <c r="AR7" s="27" t="s">
        <v>69</v>
      </c>
      <c r="AS7" s="7" t="s">
        <v>67</v>
      </c>
      <c r="AT7" s="7" t="s">
        <v>68</v>
      </c>
      <c r="AU7" s="7" t="s">
        <v>69</v>
      </c>
      <c r="AV7" s="2"/>
      <c r="AW7" s="3"/>
      <c r="AX7" s="3"/>
      <c r="AY7" s="3"/>
      <c r="AZ7" s="3"/>
      <c r="BA7" s="3"/>
      <c r="BB7" s="3"/>
      <c r="BC7" s="18" t="s">
        <v>17</v>
      </c>
      <c r="BD7" s="19" t="s">
        <v>40</v>
      </c>
      <c r="BE7" s="18" t="s">
        <v>17</v>
      </c>
      <c r="BF7" s="19" t="s">
        <v>40</v>
      </c>
      <c r="BG7" s="18" t="s">
        <v>17</v>
      </c>
      <c r="BH7" s="19" t="s">
        <v>40</v>
      </c>
      <c r="BI7" s="18" t="s">
        <v>17</v>
      </c>
      <c r="BJ7" s="19" t="s">
        <v>40</v>
      </c>
      <c r="BK7" s="18" t="s">
        <v>17</v>
      </c>
      <c r="BL7" s="19" t="s">
        <v>40</v>
      </c>
      <c r="BM7" s="18" t="s">
        <v>17</v>
      </c>
      <c r="BN7" s="19" t="s">
        <v>40</v>
      </c>
      <c r="BO7" s="18" t="s">
        <v>17</v>
      </c>
      <c r="BP7" s="19" t="s">
        <v>40</v>
      </c>
      <c r="BQ7" s="18" t="s">
        <v>17</v>
      </c>
      <c r="BR7" s="19" t="s">
        <v>40</v>
      </c>
      <c r="BS7" s="18" t="s">
        <v>17</v>
      </c>
      <c r="BT7" s="19" t="s">
        <v>40</v>
      </c>
      <c r="BU7" s="18" t="s">
        <v>17</v>
      </c>
      <c r="BV7" s="3" t="s">
        <v>41</v>
      </c>
      <c r="BW7" s="19" t="s">
        <v>4</v>
      </c>
      <c r="BX7" s="18" t="s">
        <v>0</v>
      </c>
      <c r="BY7" s="3" t="s">
        <v>10</v>
      </c>
      <c r="BZ7" s="19" t="s">
        <v>11</v>
      </c>
      <c r="CA7" s="18" t="s">
        <v>0</v>
      </c>
      <c r="CB7" s="3" t="s">
        <v>10</v>
      </c>
      <c r="CC7" s="19" t="s">
        <v>11</v>
      </c>
      <c r="CD7" s="2"/>
      <c r="CE7" s="18" t="s">
        <v>17</v>
      </c>
      <c r="CF7" s="19" t="s">
        <v>40</v>
      </c>
      <c r="CG7" s="18" t="s">
        <v>17</v>
      </c>
      <c r="CH7" s="19" t="s">
        <v>40</v>
      </c>
      <c r="CI7" s="18" t="s">
        <v>17</v>
      </c>
      <c r="CJ7" s="19" t="s">
        <v>40</v>
      </c>
      <c r="CK7" s="18" t="s">
        <v>17</v>
      </c>
      <c r="CL7" s="19" t="s">
        <v>40</v>
      </c>
      <c r="CM7" s="18" t="s">
        <v>17</v>
      </c>
      <c r="CN7" s="19" t="s">
        <v>40</v>
      </c>
      <c r="CO7" s="18" t="s">
        <v>17</v>
      </c>
      <c r="CP7" s="19" t="s">
        <v>40</v>
      </c>
      <c r="CQ7" s="18" t="s">
        <v>17</v>
      </c>
      <c r="CR7" s="19" t="s">
        <v>40</v>
      </c>
      <c r="CS7" s="18" t="s">
        <v>17</v>
      </c>
      <c r="CT7" s="19" t="s">
        <v>40</v>
      </c>
      <c r="CU7" s="18" t="s">
        <v>17</v>
      </c>
      <c r="CV7" s="19" t="s">
        <v>40</v>
      </c>
      <c r="CW7" s="18" t="s">
        <v>17</v>
      </c>
      <c r="CX7" s="3" t="s">
        <v>41</v>
      </c>
      <c r="CY7" s="19" t="s">
        <v>4</v>
      </c>
      <c r="CZ7" s="18" t="s">
        <v>0</v>
      </c>
      <c r="DA7" s="3" t="s">
        <v>10</v>
      </c>
      <c r="DB7" s="19" t="s">
        <v>11</v>
      </c>
      <c r="DC7" s="18" t="s">
        <v>0</v>
      </c>
      <c r="DD7" s="3" t="s">
        <v>10</v>
      </c>
      <c r="DE7" s="19" t="s">
        <v>11</v>
      </c>
      <c r="DF7" s="3"/>
      <c r="DG7" s="3"/>
      <c r="DH7" s="7" t="s">
        <v>15</v>
      </c>
      <c r="DI7" s="7">
        <v>10000</v>
      </c>
      <c r="DJ7" s="3"/>
      <c r="DK7" s="18" t="s">
        <v>70</v>
      </c>
      <c r="DL7" s="32">
        <v>140</v>
      </c>
      <c r="DM7" s="32">
        <v>160</v>
      </c>
      <c r="DN7" s="30">
        <f t="shared" si="0"/>
        <v>150</v>
      </c>
      <c r="DO7" s="18">
        <f t="shared" si="1"/>
        <v>20</v>
      </c>
      <c r="DP7" s="18">
        <v>18</v>
      </c>
      <c r="DQ7" s="33">
        <v>2</v>
      </c>
      <c r="DR7" s="19">
        <v>0</v>
      </c>
      <c r="DS7" s="34">
        <v>0</v>
      </c>
      <c r="DT7" s="29">
        <f t="shared" si="2"/>
        <v>330</v>
      </c>
      <c r="DU7" s="30">
        <f t="shared" si="3"/>
        <v>350</v>
      </c>
      <c r="DV7" s="36" t="s">
        <v>33</v>
      </c>
      <c r="DW7" s="37"/>
      <c r="DX7" s="11"/>
      <c r="DY7" s="3"/>
      <c r="DZ7" s="18" t="s">
        <v>70</v>
      </c>
      <c r="EA7" s="32">
        <v>406</v>
      </c>
      <c r="EB7" s="32">
        <v>464</v>
      </c>
      <c r="EC7" s="30">
        <f t="shared" si="4"/>
        <v>435</v>
      </c>
      <c r="ED7" s="18">
        <f t="shared" si="5"/>
        <v>58</v>
      </c>
      <c r="EE7" s="18">
        <v>53</v>
      </c>
      <c r="EF7" s="33">
        <v>5</v>
      </c>
      <c r="EG7" s="19">
        <v>0</v>
      </c>
      <c r="EH7" s="35">
        <f>((ED7*$DI$5)/$DI$4)*(1/$DI$9)</f>
        <v>9.8863636363636376E-3</v>
      </c>
      <c r="EI7" s="29">
        <f t="shared" si="6"/>
        <v>921</v>
      </c>
      <c r="EJ7" s="30">
        <f t="shared" si="7"/>
        <v>979</v>
      </c>
      <c r="EK7" s="36" t="s">
        <v>33</v>
      </c>
      <c r="EL7" s="37"/>
      <c r="EM7" s="11"/>
      <c r="EN7" s="3"/>
      <c r="EO7" s="3"/>
      <c r="EP7" s="3"/>
      <c r="EQ7" s="3"/>
      <c r="ER7" s="3"/>
      <c r="ES7" s="3"/>
      <c r="ET7" s="3"/>
      <c r="EU7" s="3"/>
    </row>
    <row r="8" spans="1:151">
      <c r="A8" s="38">
        <v>1</v>
      </c>
      <c r="B8" s="39">
        <v>0</v>
      </c>
      <c r="C8" s="28">
        <f>B8/B21</f>
        <v>0</v>
      </c>
      <c r="D8" s="40">
        <v>1</v>
      </c>
      <c r="E8" s="41">
        <v>0</v>
      </c>
      <c r="F8" s="28">
        <f>E8/D21</f>
        <v>0</v>
      </c>
      <c r="G8" s="42">
        <v>1</v>
      </c>
      <c r="H8" s="43">
        <v>0</v>
      </c>
      <c r="I8" s="28">
        <f>H8/G21</f>
        <v>0</v>
      </c>
      <c r="J8" s="43">
        <v>1</v>
      </c>
      <c r="K8" s="42">
        <v>0</v>
      </c>
      <c r="L8" s="28">
        <f>K8/J21</f>
        <v>0</v>
      </c>
      <c r="M8" s="43">
        <v>1</v>
      </c>
      <c r="N8" s="43">
        <f t="shared" ref="N8:N20" si="8">B8+E8+H8+K8</f>
        <v>0</v>
      </c>
      <c r="O8" s="31">
        <f>N8/M21</f>
        <v>0</v>
      </c>
      <c r="P8" s="2"/>
      <c r="Q8" s="44">
        <v>1</v>
      </c>
      <c r="R8" s="41">
        <f>B8</f>
        <v>0</v>
      </c>
      <c r="S8" s="28">
        <f>R8/R21</f>
        <v>0</v>
      </c>
      <c r="T8" s="40">
        <v>1</v>
      </c>
      <c r="U8" s="43">
        <f>E8</f>
        <v>0</v>
      </c>
      <c r="V8" s="28">
        <f>U8/T21</f>
        <v>0</v>
      </c>
      <c r="W8" s="42">
        <v>1</v>
      </c>
      <c r="X8" s="43">
        <f>H8</f>
        <v>0</v>
      </c>
      <c r="Y8" s="28">
        <f>X8/W21</f>
        <v>0</v>
      </c>
      <c r="Z8" s="43">
        <v>1</v>
      </c>
      <c r="AA8" s="43">
        <f>K8</f>
        <v>0</v>
      </c>
      <c r="AB8" s="28">
        <f>AA8/Z21</f>
        <v>0</v>
      </c>
      <c r="AC8" s="45">
        <v>1</v>
      </c>
      <c r="AD8" s="45">
        <f>R8+U8+X8+AA8</f>
        <v>0</v>
      </c>
      <c r="AE8" s="28">
        <f>AD8/AC21</f>
        <v>0</v>
      </c>
      <c r="AF8" s="2"/>
      <c r="AG8" s="44">
        <v>1</v>
      </c>
      <c r="AH8" s="41">
        <f>R8</f>
        <v>0</v>
      </c>
      <c r="AI8" s="28">
        <f>AH8/AH21</f>
        <v>0</v>
      </c>
      <c r="AJ8" s="40">
        <v>1</v>
      </c>
      <c r="AK8" s="43">
        <v>0</v>
      </c>
      <c r="AL8" s="28">
        <f>AK8/AJ21</f>
        <v>0</v>
      </c>
      <c r="AM8" s="42">
        <v>1</v>
      </c>
      <c r="AN8" s="43">
        <f>X8</f>
        <v>0</v>
      </c>
      <c r="AO8" s="28">
        <f>AN8/AM21</f>
        <v>0</v>
      </c>
      <c r="AP8" s="43">
        <v>1</v>
      </c>
      <c r="AQ8" s="43">
        <v>0</v>
      </c>
      <c r="AR8" s="28">
        <f>AQ8/AP21</f>
        <v>0</v>
      </c>
      <c r="AS8" s="45">
        <v>1</v>
      </c>
      <c r="AT8" s="45">
        <f>AH8+AK8+AN8+AQ8</f>
        <v>0</v>
      </c>
      <c r="AU8" s="34">
        <f>AT8/AS21</f>
        <v>0</v>
      </c>
      <c r="AV8" s="46"/>
      <c r="AW8" s="47"/>
      <c r="AX8" s="6"/>
      <c r="AY8" s="3"/>
      <c r="AZ8" s="3"/>
      <c r="BA8" s="3"/>
      <c r="BB8" s="3"/>
      <c r="BC8" s="22" t="s">
        <v>71</v>
      </c>
      <c r="BD8" s="23">
        <v>4</v>
      </c>
      <c r="BE8" s="22" t="s">
        <v>72</v>
      </c>
      <c r="BF8" s="23">
        <v>4</v>
      </c>
      <c r="BG8" s="22" t="s">
        <v>73</v>
      </c>
      <c r="BH8" s="23">
        <v>14</v>
      </c>
      <c r="BI8" s="22" t="s">
        <v>74</v>
      </c>
      <c r="BJ8" s="23">
        <v>27</v>
      </c>
      <c r="BK8" s="22" t="s">
        <v>75</v>
      </c>
      <c r="BL8" s="23">
        <v>108</v>
      </c>
      <c r="BM8" s="22" t="s">
        <v>76</v>
      </c>
      <c r="BN8" s="23">
        <v>41</v>
      </c>
      <c r="BO8" s="22" t="s">
        <v>77</v>
      </c>
      <c r="BP8" s="23">
        <v>243</v>
      </c>
      <c r="BQ8" s="22">
        <v>0</v>
      </c>
      <c r="BR8" s="23">
        <v>8</v>
      </c>
      <c r="BS8" s="22">
        <v>0</v>
      </c>
      <c r="BT8" s="23">
        <v>1</v>
      </c>
      <c r="BU8" s="22">
        <v>7</v>
      </c>
      <c r="BV8" s="24">
        <v>20</v>
      </c>
      <c r="BW8" s="17">
        <f>BV8*BU8</f>
        <v>140</v>
      </c>
      <c r="BX8" s="15">
        <v>10</v>
      </c>
      <c r="BY8" s="16">
        <v>1</v>
      </c>
      <c r="BZ8" s="17">
        <v>1</v>
      </c>
      <c r="CA8" s="15">
        <v>2</v>
      </c>
      <c r="CB8" s="16">
        <v>1</v>
      </c>
      <c r="CC8" s="17">
        <v>1</v>
      </c>
      <c r="CD8" s="2"/>
      <c r="CE8" s="22">
        <v>30</v>
      </c>
      <c r="CF8" s="23">
        <v>4</v>
      </c>
      <c r="CG8" s="22">
        <v>24</v>
      </c>
      <c r="CH8" s="23">
        <v>4</v>
      </c>
      <c r="CI8" s="22">
        <v>84</v>
      </c>
      <c r="CJ8" s="23">
        <v>14</v>
      </c>
      <c r="CK8" s="22">
        <v>203</v>
      </c>
      <c r="CL8" s="23">
        <v>27</v>
      </c>
      <c r="CM8" s="22">
        <v>630</v>
      </c>
      <c r="CN8" s="23">
        <v>108</v>
      </c>
      <c r="CO8" s="22">
        <v>246</v>
      </c>
      <c r="CP8" s="23">
        <v>41</v>
      </c>
      <c r="CQ8" s="22">
        <v>1458</v>
      </c>
      <c r="CR8" s="23">
        <v>243</v>
      </c>
      <c r="CS8" s="22">
        <v>0</v>
      </c>
      <c r="CT8" s="23">
        <v>8</v>
      </c>
      <c r="CU8" s="22">
        <v>0</v>
      </c>
      <c r="CV8" s="23">
        <v>1</v>
      </c>
      <c r="CW8" s="22">
        <v>7</v>
      </c>
      <c r="CX8" s="24">
        <v>20</v>
      </c>
      <c r="CY8" s="17">
        <f>CX8*CW8</f>
        <v>140</v>
      </c>
      <c r="CZ8" s="15">
        <v>10</v>
      </c>
      <c r="DA8" s="16">
        <v>1</v>
      </c>
      <c r="DB8" s="17">
        <v>1</v>
      </c>
      <c r="DC8" s="15">
        <v>2</v>
      </c>
      <c r="DD8" s="16">
        <v>1</v>
      </c>
      <c r="DE8" s="17">
        <v>1</v>
      </c>
      <c r="DF8" s="3"/>
      <c r="DG8" s="3"/>
      <c r="DH8" s="7" t="s">
        <v>16</v>
      </c>
      <c r="DI8" s="7">
        <v>4000</v>
      </c>
      <c r="DJ8" s="3"/>
      <c r="DK8" s="18" t="s">
        <v>15</v>
      </c>
      <c r="DL8" s="32">
        <v>210</v>
      </c>
      <c r="DM8" s="32">
        <v>210</v>
      </c>
      <c r="DN8" s="30">
        <f t="shared" si="0"/>
        <v>210</v>
      </c>
      <c r="DO8" s="18">
        <f t="shared" si="1"/>
        <v>70</v>
      </c>
      <c r="DP8" s="18">
        <v>56</v>
      </c>
      <c r="DQ8" s="33">
        <v>14</v>
      </c>
      <c r="DR8" s="19">
        <v>0</v>
      </c>
      <c r="DS8" s="34">
        <v>0</v>
      </c>
      <c r="DT8" s="29">
        <f t="shared" si="2"/>
        <v>1190</v>
      </c>
      <c r="DU8" s="30">
        <f t="shared" si="3"/>
        <v>1190</v>
      </c>
      <c r="DV8" s="7" t="s">
        <v>78</v>
      </c>
      <c r="DW8" s="7" t="s">
        <v>79</v>
      </c>
      <c r="DX8" s="7" t="s">
        <v>80</v>
      </c>
      <c r="DY8" s="3"/>
      <c r="DZ8" s="18" t="s">
        <v>15</v>
      </c>
      <c r="EA8" s="32">
        <v>609</v>
      </c>
      <c r="EB8" s="32">
        <v>609</v>
      </c>
      <c r="EC8" s="30">
        <f t="shared" si="4"/>
        <v>609</v>
      </c>
      <c r="ED8" s="18">
        <f t="shared" si="5"/>
        <v>203</v>
      </c>
      <c r="EE8" s="18">
        <v>163</v>
      </c>
      <c r="EF8" s="33">
        <v>40</v>
      </c>
      <c r="EG8" s="19">
        <v>0</v>
      </c>
      <c r="EH8" s="35">
        <f>((ED8*$DI$5)/$DI$4)*(1/$DI$7)</f>
        <v>1.3840909090909091E-2</v>
      </c>
      <c r="EI8" s="29">
        <f t="shared" si="6"/>
        <v>3424</v>
      </c>
      <c r="EJ8" s="30">
        <f t="shared" si="7"/>
        <v>3424</v>
      </c>
      <c r="EK8" s="7" t="s">
        <v>78</v>
      </c>
      <c r="EL8" s="7" t="s">
        <v>79</v>
      </c>
      <c r="EM8" s="7" t="s">
        <v>80</v>
      </c>
      <c r="EN8" s="3"/>
      <c r="EO8" s="3"/>
      <c r="EP8" s="3"/>
      <c r="EQ8" s="3"/>
      <c r="ER8" s="3"/>
      <c r="ES8" s="3"/>
      <c r="ET8" s="3"/>
      <c r="EU8" s="3"/>
    </row>
    <row r="9" spans="1:151">
      <c r="A9" s="48">
        <v>2</v>
      </c>
      <c r="B9" s="47">
        <v>5</v>
      </c>
      <c r="C9" s="34">
        <f>B9/B21</f>
        <v>2.6936026936026937E-5</v>
      </c>
      <c r="D9" s="49">
        <v>2</v>
      </c>
      <c r="E9" s="50">
        <v>50</v>
      </c>
      <c r="F9" s="34">
        <f>E9/D21</f>
        <v>2.6939655172413793E-4</v>
      </c>
      <c r="G9" s="51">
        <v>2</v>
      </c>
      <c r="H9" s="45">
        <v>400</v>
      </c>
      <c r="I9" s="34">
        <f>H9/G21</f>
        <v>2.1691973969631237E-3</v>
      </c>
      <c r="J9" s="45">
        <v>2</v>
      </c>
      <c r="K9" s="51">
        <v>5000</v>
      </c>
      <c r="L9" s="34">
        <f>K9/J21</f>
        <v>2.8571428571428571E-2</v>
      </c>
      <c r="M9" s="45">
        <v>2</v>
      </c>
      <c r="N9" s="45">
        <f t="shared" si="8"/>
        <v>5455</v>
      </c>
      <c r="O9" s="35">
        <f>N9/M21</f>
        <v>7.4662104362703168E-3</v>
      </c>
      <c r="P9" s="2"/>
      <c r="Q9" s="52">
        <v>2</v>
      </c>
      <c r="R9" s="50">
        <f>SUM(B8:B9)</f>
        <v>5</v>
      </c>
      <c r="S9" s="34">
        <f>R9/R21</f>
        <v>2.6936026936026937E-5</v>
      </c>
      <c r="T9" s="49">
        <v>2</v>
      </c>
      <c r="U9" s="45">
        <f>SUM(E8:E9)</f>
        <v>50</v>
      </c>
      <c r="V9" s="34">
        <f>U9/T21</f>
        <v>2.6939655172413793E-4</v>
      </c>
      <c r="W9" s="51">
        <v>2</v>
      </c>
      <c r="X9" s="45">
        <f>SUM(H8:H9)</f>
        <v>400</v>
      </c>
      <c r="Y9" s="34">
        <f>X9/W21</f>
        <v>2.1691973969631237E-3</v>
      </c>
      <c r="Z9" s="45">
        <v>2</v>
      </c>
      <c r="AA9" s="45">
        <f>SUM(K8:K9)</f>
        <v>5000</v>
      </c>
      <c r="AB9" s="34">
        <f>AA9/Z21</f>
        <v>2.8571428571428571E-2</v>
      </c>
      <c r="AC9" s="45">
        <v>2</v>
      </c>
      <c r="AD9" s="45">
        <f>R9+U9+X9+AA9</f>
        <v>5455</v>
      </c>
      <c r="AE9" s="34">
        <f>AD9/AC21</f>
        <v>7.4662104362703168E-3</v>
      </c>
      <c r="AF9" s="2"/>
      <c r="AG9" s="52">
        <v>2</v>
      </c>
      <c r="AH9" s="50">
        <v>4</v>
      </c>
      <c r="AI9" s="34">
        <f>AH9/AH21</f>
        <v>1.0526315789473684E-3</v>
      </c>
      <c r="AJ9" s="49">
        <v>2</v>
      </c>
      <c r="AK9" s="45">
        <v>6</v>
      </c>
      <c r="AL9" s="34">
        <f>AK9/AJ21</f>
        <v>1.5826958586125032E-3</v>
      </c>
      <c r="AM9" s="51">
        <v>2</v>
      </c>
      <c r="AN9" s="50">
        <v>25</v>
      </c>
      <c r="AO9" s="34">
        <f>AN9/AM21</f>
        <v>6.7114093959731542E-3</v>
      </c>
      <c r="AP9" s="45">
        <v>2</v>
      </c>
      <c r="AQ9" s="45">
        <v>250</v>
      </c>
      <c r="AR9" s="34">
        <f>AQ9/AP21</f>
        <v>7.6923076923076927E-2</v>
      </c>
      <c r="AS9" s="45">
        <v>2</v>
      </c>
      <c r="AT9" s="45">
        <f>AH9+AK9+AN9+AQ9</f>
        <v>285</v>
      </c>
      <c r="AU9" s="34">
        <f>AT9/AS21</f>
        <v>1.956611286557737E-2</v>
      </c>
      <c r="AV9" s="46"/>
      <c r="AW9" s="47"/>
      <c r="AX9" s="6"/>
      <c r="AY9" s="3"/>
      <c r="AZ9" s="3"/>
      <c r="BA9" s="3"/>
      <c r="BB9" s="3"/>
      <c r="BC9" s="131" t="s">
        <v>81</v>
      </c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2"/>
      <c r="CE9" s="131" t="s">
        <v>81</v>
      </c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3"/>
      <c r="DG9" s="3"/>
      <c r="DH9" s="7" t="s">
        <v>70</v>
      </c>
      <c r="DI9" s="7">
        <v>4000</v>
      </c>
      <c r="DJ9" s="3"/>
      <c r="DK9" s="18" t="s">
        <v>20</v>
      </c>
      <c r="DL9" s="32">
        <v>300</v>
      </c>
      <c r="DM9" s="32">
        <v>300</v>
      </c>
      <c r="DN9" s="30">
        <f t="shared" si="0"/>
        <v>300</v>
      </c>
      <c r="DO9" s="18">
        <f t="shared" si="1"/>
        <v>30</v>
      </c>
      <c r="DP9" s="18">
        <v>23</v>
      </c>
      <c r="DQ9" s="33">
        <v>6</v>
      </c>
      <c r="DR9" s="19">
        <v>1</v>
      </c>
      <c r="DS9" s="34">
        <v>0</v>
      </c>
      <c r="DT9" s="29">
        <f t="shared" si="2"/>
        <v>1215</v>
      </c>
      <c r="DU9" s="30">
        <f t="shared" si="3"/>
        <v>1215</v>
      </c>
      <c r="DV9" s="15">
        <v>5</v>
      </c>
      <c r="DW9" s="16">
        <v>20</v>
      </c>
      <c r="DX9" s="17">
        <f>DW9*DV9</f>
        <v>100</v>
      </c>
      <c r="DY9" s="3"/>
      <c r="DZ9" s="18" t="s">
        <v>20</v>
      </c>
      <c r="EA9" s="32">
        <v>870</v>
      </c>
      <c r="EB9" s="32">
        <v>870</v>
      </c>
      <c r="EC9" s="30">
        <f t="shared" si="4"/>
        <v>870</v>
      </c>
      <c r="ED9" s="18">
        <f t="shared" si="5"/>
        <v>87</v>
      </c>
      <c r="EE9" s="18">
        <v>68</v>
      </c>
      <c r="EF9" s="33">
        <v>17</v>
      </c>
      <c r="EG9" s="19">
        <v>2</v>
      </c>
      <c r="EH9" s="35">
        <f>((ED9*$DI$5)/$DI$4)*(1/$DI$13)</f>
        <v>9.8863636363636376E-2</v>
      </c>
      <c r="EI9" s="29">
        <f t="shared" si="6"/>
        <v>3060</v>
      </c>
      <c r="EJ9" s="30">
        <f t="shared" si="7"/>
        <v>3060</v>
      </c>
      <c r="EK9" s="15">
        <v>15</v>
      </c>
      <c r="EL9" s="16">
        <v>20</v>
      </c>
      <c r="EM9" s="17">
        <f>EL9*EK9</f>
        <v>300</v>
      </c>
      <c r="EN9" s="3"/>
      <c r="EO9" s="3"/>
      <c r="EP9" s="3"/>
      <c r="EQ9" s="3"/>
      <c r="ER9" s="3"/>
      <c r="ES9" s="3"/>
      <c r="ET9" s="3"/>
      <c r="EU9" s="3"/>
    </row>
    <row r="10" spans="1:151">
      <c r="A10" s="48">
        <v>3</v>
      </c>
      <c r="B10" s="47">
        <v>20</v>
      </c>
      <c r="C10" s="34">
        <f>B10/B21</f>
        <v>1.0774410774410775E-4</v>
      </c>
      <c r="D10" s="49">
        <v>3</v>
      </c>
      <c r="E10" s="50">
        <v>150</v>
      </c>
      <c r="F10" s="34">
        <f>E10/D21</f>
        <v>8.0818965517241378E-4</v>
      </c>
      <c r="G10" s="51">
        <v>3</v>
      </c>
      <c r="H10" s="45">
        <v>2000</v>
      </c>
      <c r="I10" s="34">
        <f>H10/G21</f>
        <v>1.0845986984815618E-2</v>
      </c>
      <c r="J10" s="45">
        <v>3</v>
      </c>
      <c r="K10" s="51">
        <v>20000</v>
      </c>
      <c r="L10" s="34">
        <f>K10/J21</f>
        <v>0.11428571428571428</v>
      </c>
      <c r="M10" s="45">
        <v>3</v>
      </c>
      <c r="N10" s="45">
        <f t="shared" si="8"/>
        <v>22170</v>
      </c>
      <c r="O10" s="35">
        <f>N10/M21</f>
        <v>3.0343883661248929E-2</v>
      </c>
      <c r="P10" s="2"/>
      <c r="Q10" s="52">
        <v>3</v>
      </c>
      <c r="R10" s="50">
        <f>SUM(B8:B10)</f>
        <v>25</v>
      </c>
      <c r="S10" s="34">
        <f>R10/R21</f>
        <v>1.3468013468013467E-4</v>
      </c>
      <c r="T10" s="49">
        <v>3</v>
      </c>
      <c r="U10" s="45">
        <f>SUM(E8:E10)</f>
        <v>200</v>
      </c>
      <c r="V10" s="34">
        <f>U10/T21</f>
        <v>1.0775862068965517E-3</v>
      </c>
      <c r="W10" s="51">
        <v>3</v>
      </c>
      <c r="X10" s="45">
        <f>SUM(H8:H10)</f>
        <v>2400</v>
      </c>
      <c r="Y10" s="34">
        <f>X10/W21</f>
        <v>1.3015184381778741E-2</v>
      </c>
      <c r="Z10" s="45">
        <v>3</v>
      </c>
      <c r="AA10" s="45">
        <f>SUM(K8:K10)</f>
        <v>25000</v>
      </c>
      <c r="AB10" s="34">
        <f>AA10/Z21</f>
        <v>0.14285714285714285</v>
      </c>
      <c r="AC10" s="45">
        <v>3</v>
      </c>
      <c r="AD10" s="45">
        <f>R10+U10+X10+AA10</f>
        <v>27625</v>
      </c>
      <c r="AE10" s="34">
        <f>AD10/AC21</f>
        <v>3.7810094097519245E-2</v>
      </c>
      <c r="AF10" s="2"/>
      <c r="AG10" s="52">
        <v>3</v>
      </c>
      <c r="AH10" s="50">
        <v>5</v>
      </c>
      <c r="AI10" s="34">
        <f>AH10/AH21</f>
        <v>1.3157894736842105E-3</v>
      </c>
      <c r="AJ10" s="49">
        <v>3</v>
      </c>
      <c r="AK10" s="50">
        <v>10</v>
      </c>
      <c r="AL10" s="34">
        <f>AK10/AJ21</f>
        <v>2.637826431020839E-3</v>
      </c>
      <c r="AM10" s="51">
        <v>3</v>
      </c>
      <c r="AN10" s="50">
        <v>100</v>
      </c>
      <c r="AO10" s="34">
        <f>AN10/AM21</f>
        <v>2.6845637583892617E-2</v>
      </c>
      <c r="AP10" s="45">
        <v>3</v>
      </c>
      <c r="AQ10" s="45">
        <v>600</v>
      </c>
      <c r="AR10" s="34">
        <f>AQ10/AP21</f>
        <v>0.18461538461538463</v>
      </c>
      <c r="AS10" s="45">
        <v>3</v>
      </c>
      <c r="AT10" s="45">
        <f>AH10+AK10+AN10+AQ10</f>
        <v>715</v>
      </c>
      <c r="AU10" s="34">
        <f>AT10/AS21</f>
        <v>4.9086914732939725E-2</v>
      </c>
      <c r="AV10" s="46"/>
      <c r="AW10" s="47"/>
      <c r="AX10" s="6"/>
      <c r="AY10" s="3"/>
      <c r="AZ10" s="3"/>
      <c r="BA10" s="3"/>
      <c r="BB10" s="3"/>
      <c r="BC10" s="133" t="s">
        <v>24</v>
      </c>
      <c r="BD10" s="133"/>
      <c r="BE10" s="133" t="s">
        <v>25</v>
      </c>
      <c r="BF10" s="133"/>
      <c r="BG10" s="133" t="s">
        <v>26</v>
      </c>
      <c r="BH10" s="133"/>
      <c r="BI10" s="133" t="s">
        <v>27</v>
      </c>
      <c r="BJ10" s="133"/>
      <c r="BK10" s="133" t="s">
        <v>28</v>
      </c>
      <c r="BL10" s="133"/>
      <c r="BM10" s="133" t="s">
        <v>29</v>
      </c>
      <c r="BN10" s="133"/>
      <c r="BO10" s="133" t="s">
        <v>30</v>
      </c>
      <c r="BP10" s="133"/>
      <c r="BQ10" s="133" t="s">
        <v>31</v>
      </c>
      <c r="BR10" s="133"/>
      <c r="BS10" s="133" t="s">
        <v>32</v>
      </c>
      <c r="BT10" s="133"/>
      <c r="BU10" s="133" t="s">
        <v>33</v>
      </c>
      <c r="BV10" s="133"/>
      <c r="BW10" s="133"/>
      <c r="BX10" s="133" t="s">
        <v>34</v>
      </c>
      <c r="BY10" s="133"/>
      <c r="BZ10" s="133"/>
      <c r="CA10" s="134" t="s">
        <v>35</v>
      </c>
      <c r="CB10" s="134"/>
      <c r="CC10" s="134"/>
      <c r="CD10" s="2"/>
      <c r="CE10" s="133" t="s">
        <v>24</v>
      </c>
      <c r="CF10" s="133"/>
      <c r="CG10" s="133" t="s">
        <v>25</v>
      </c>
      <c r="CH10" s="133"/>
      <c r="CI10" s="133" t="s">
        <v>26</v>
      </c>
      <c r="CJ10" s="133"/>
      <c r="CK10" s="133" t="s">
        <v>27</v>
      </c>
      <c r="CL10" s="133"/>
      <c r="CM10" s="133" t="s">
        <v>28</v>
      </c>
      <c r="CN10" s="133"/>
      <c r="CO10" s="133" t="s">
        <v>29</v>
      </c>
      <c r="CP10" s="133"/>
      <c r="CQ10" s="133" t="s">
        <v>30</v>
      </c>
      <c r="CR10" s="133"/>
      <c r="CS10" s="133" t="s">
        <v>31</v>
      </c>
      <c r="CT10" s="133"/>
      <c r="CU10" s="133" t="s">
        <v>32</v>
      </c>
      <c r="CV10" s="133"/>
      <c r="CW10" s="133" t="s">
        <v>33</v>
      </c>
      <c r="CX10" s="133"/>
      <c r="CY10" s="133"/>
      <c r="CZ10" s="133" t="s">
        <v>34</v>
      </c>
      <c r="DA10" s="133"/>
      <c r="DB10" s="133"/>
      <c r="DC10" s="134" t="s">
        <v>35</v>
      </c>
      <c r="DD10" s="134"/>
      <c r="DE10" s="134"/>
      <c r="DF10" s="3"/>
      <c r="DG10" s="3"/>
      <c r="DH10" s="7" t="s">
        <v>17</v>
      </c>
      <c r="DI10" s="7">
        <v>5700</v>
      </c>
      <c r="DJ10" s="3"/>
      <c r="DK10" s="15" t="s">
        <v>82</v>
      </c>
      <c r="DL10" s="53">
        <v>1620</v>
      </c>
      <c r="DM10" s="53">
        <v>1620</v>
      </c>
      <c r="DN10" s="54">
        <f t="shared" si="0"/>
        <v>1620</v>
      </c>
      <c r="DO10" s="15">
        <f t="shared" si="1"/>
        <v>180</v>
      </c>
      <c r="DP10" s="15">
        <v>138</v>
      </c>
      <c r="DQ10" s="55">
        <v>36</v>
      </c>
      <c r="DR10" s="17">
        <v>6</v>
      </c>
      <c r="DS10" s="56">
        <v>0</v>
      </c>
      <c r="DT10" s="57">
        <f t="shared" si="2"/>
        <v>7110</v>
      </c>
      <c r="DU10" s="54">
        <f t="shared" si="3"/>
        <v>7110</v>
      </c>
      <c r="DV10" s="3"/>
      <c r="DW10" s="3"/>
      <c r="DX10" s="3"/>
      <c r="DY10" s="3"/>
      <c r="DZ10" s="15" t="s">
        <v>82</v>
      </c>
      <c r="EA10" s="53">
        <v>4698</v>
      </c>
      <c r="EB10" s="53">
        <v>4698</v>
      </c>
      <c r="EC10" s="54">
        <f t="shared" si="4"/>
        <v>4698</v>
      </c>
      <c r="ED10" s="15">
        <f t="shared" si="5"/>
        <v>522</v>
      </c>
      <c r="EE10" s="15">
        <v>401</v>
      </c>
      <c r="EF10" s="55">
        <v>104</v>
      </c>
      <c r="EG10" s="17">
        <v>17</v>
      </c>
      <c r="EH10" s="58">
        <f>((ED10*$DI$5)/$DI$4)*(1/$DI$14)</f>
        <v>0.59318181818181825</v>
      </c>
      <c r="EI10" s="57">
        <f t="shared" si="6"/>
        <v>20403</v>
      </c>
      <c r="EJ10" s="54">
        <f t="shared" si="7"/>
        <v>20403</v>
      </c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</row>
    <row r="11" spans="1:151">
      <c r="A11" s="48">
        <v>4</v>
      </c>
      <c r="B11" s="47">
        <v>50</v>
      </c>
      <c r="C11" s="34">
        <f>B11/B21</f>
        <v>2.6936026936026934E-4</v>
      </c>
      <c r="D11" s="49">
        <v>4</v>
      </c>
      <c r="E11" s="50">
        <v>400</v>
      </c>
      <c r="F11" s="34">
        <f>E11/D21</f>
        <v>2.1551724137931034E-3</v>
      </c>
      <c r="G11" s="51">
        <v>4</v>
      </c>
      <c r="H11" s="45">
        <v>4000</v>
      </c>
      <c r="I11" s="34">
        <f>H11/G21</f>
        <v>2.1691973969631236E-2</v>
      </c>
      <c r="J11" s="45">
        <v>4</v>
      </c>
      <c r="K11" s="51">
        <v>50000</v>
      </c>
      <c r="L11" s="34">
        <f>K11/J21</f>
        <v>0.2857142857142857</v>
      </c>
      <c r="M11" s="45">
        <v>4</v>
      </c>
      <c r="N11" s="45">
        <f t="shared" si="8"/>
        <v>54450</v>
      </c>
      <c r="O11" s="35">
        <f>N11/M21</f>
        <v>7.4525235243798116E-2</v>
      </c>
      <c r="P11" s="2"/>
      <c r="Q11" s="52">
        <v>4</v>
      </c>
      <c r="R11" s="50">
        <f>SUM(B8:B11)</f>
        <v>75</v>
      </c>
      <c r="S11" s="34">
        <f>R11/R21</f>
        <v>4.0404040404040404E-4</v>
      </c>
      <c r="T11" s="49">
        <v>4</v>
      </c>
      <c r="U11" s="45">
        <f>SUM(E8:E11)</f>
        <v>600</v>
      </c>
      <c r="V11" s="34">
        <f>U11/T21</f>
        <v>3.2327586206896551E-3</v>
      </c>
      <c r="W11" s="51">
        <v>4</v>
      </c>
      <c r="X11" s="45">
        <f>SUM(H8:H11)</f>
        <v>6400</v>
      </c>
      <c r="Y11" s="34">
        <f>X11/W21</f>
        <v>3.4707158351409979E-2</v>
      </c>
      <c r="Z11" s="45">
        <v>4</v>
      </c>
      <c r="AA11" s="45">
        <f>SUM(K8:K11)</f>
        <v>75000</v>
      </c>
      <c r="AB11" s="34">
        <f>AA11/Z21</f>
        <v>0.42857142857142855</v>
      </c>
      <c r="AC11" s="45">
        <v>4</v>
      </c>
      <c r="AD11" s="45">
        <f>R11+U11+X11+AA11</f>
        <v>82075</v>
      </c>
      <c r="AE11" s="34">
        <f>AD11/AC21</f>
        <v>0.11233532934131736</v>
      </c>
      <c r="AF11" s="2"/>
      <c r="AG11" s="52">
        <v>4</v>
      </c>
      <c r="AH11" s="50">
        <v>6</v>
      </c>
      <c r="AI11" s="34">
        <f>AH11/AH21</f>
        <v>1.5789473684210526E-3</v>
      </c>
      <c r="AJ11" s="49">
        <v>4</v>
      </c>
      <c r="AK11" s="50">
        <v>25</v>
      </c>
      <c r="AL11" s="34">
        <f>AK11/AJ21</f>
        <v>6.5945660775520972E-3</v>
      </c>
      <c r="AM11" s="51">
        <v>4</v>
      </c>
      <c r="AN11" s="50">
        <v>200</v>
      </c>
      <c r="AO11" s="34">
        <f>AN11/AM21</f>
        <v>5.3691275167785234E-2</v>
      </c>
      <c r="AP11" s="45">
        <v>4</v>
      </c>
      <c r="AQ11" s="45">
        <v>800</v>
      </c>
      <c r="AR11" s="34">
        <f>AQ11/AP21</f>
        <v>0.24615384615384617</v>
      </c>
      <c r="AS11" s="45">
        <v>4</v>
      </c>
      <c r="AT11" s="45">
        <f>AH11+AK11+AN11+AQ11</f>
        <v>1031</v>
      </c>
      <c r="AU11" s="34">
        <f>AT11/AS21</f>
        <v>7.0781271454071121E-2</v>
      </c>
      <c r="AV11" s="46"/>
      <c r="AW11" s="47"/>
      <c r="AX11" s="6"/>
      <c r="AY11" s="3"/>
      <c r="AZ11" s="3"/>
      <c r="BA11" s="3"/>
      <c r="BB11" s="3"/>
      <c r="BC11" s="18" t="s">
        <v>17</v>
      </c>
      <c r="BD11" s="19" t="s">
        <v>40</v>
      </c>
      <c r="BE11" s="18" t="s">
        <v>17</v>
      </c>
      <c r="BF11" s="19" t="s">
        <v>40</v>
      </c>
      <c r="BG11" s="18" t="s">
        <v>17</v>
      </c>
      <c r="BH11" s="19" t="s">
        <v>40</v>
      </c>
      <c r="BI11" s="18" t="s">
        <v>17</v>
      </c>
      <c r="BJ11" s="19" t="s">
        <v>40</v>
      </c>
      <c r="BK11" s="18" t="s">
        <v>17</v>
      </c>
      <c r="BL11" s="19" t="s">
        <v>40</v>
      </c>
      <c r="BM11" s="18" t="s">
        <v>17</v>
      </c>
      <c r="BN11" s="19" t="s">
        <v>40</v>
      </c>
      <c r="BO11" s="18" t="s">
        <v>17</v>
      </c>
      <c r="BP11" s="19" t="s">
        <v>40</v>
      </c>
      <c r="BQ11" s="18" t="s">
        <v>17</v>
      </c>
      <c r="BR11" s="19" t="s">
        <v>40</v>
      </c>
      <c r="BS11" s="18" t="s">
        <v>17</v>
      </c>
      <c r="BT11" s="19" t="s">
        <v>40</v>
      </c>
      <c r="BU11" s="18" t="s">
        <v>17</v>
      </c>
      <c r="BV11" s="3" t="s">
        <v>41</v>
      </c>
      <c r="BW11" s="19" t="s">
        <v>4</v>
      </c>
      <c r="BX11" s="18" t="s">
        <v>0</v>
      </c>
      <c r="BY11" s="3" t="s">
        <v>10</v>
      </c>
      <c r="BZ11" s="19" t="s">
        <v>11</v>
      </c>
      <c r="CA11" s="18" t="s">
        <v>0</v>
      </c>
      <c r="CB11" s="3" t="s">
        <v>10</v>
      </c>
      <c r="CC11" s="19" t="s">
        <v>11</v>
      </c>
      <c r="CD11" s="2"/>
      <c r="CE11" s="18" t="s">
        <v>17</v>
      </c>
      <c r="CF11" s="19" t="s">
        <v>40</v>
      </c>
      <c r="CG11" s="18" t="s">
        <v>17</v>
      </c>
      <c r="CH11" s="19" t="s">
        <v>40</v>
      </c>
      <c r="CI11" s="18" t="s">
        <v>17</v>
      </c>
      <c r="CJ11" s="19" t="s">
        <v>40</v>
      </c>
      <c r="CK11" s="18" t="s">
        <v>17</v>
      </c>
      <c r="CL11" s="19" t="s">
        <v>40</v>
      </c>
      <c r="CM11" s="18" t="s">
        <v>17</v>
      </c>
      <c r="CN11" s="19" t="s">
        <v>40</v>
      </c>
      <c r="CO11" s="18" t="s">
        <v>17</v>
      </c>
      <c r="CP11" s="19" t="s">
        <v>40</v>
      </c>
      <c r="CQ11" s="18" t="s">
        <v>17</v>
      </c>
      <c r="CR11" s="19" t="s">
        <v>40</v>
      </c>
      <c r="CS11" s="18" t="s">
        <v>17</v>
      </c>
      <c r="CT11" s="19" t="s">
        <v>40</v>
      </c>
      <c r="CU11" s="18" t="s">
        <v>17</v>
      </c>
      <c r="CV11" s="19" t="s">
        <v>40</v>
      </c>
      <c r="CW11" s="18" t="s">
        <v>17</v>
      </c>
      <c r="CX11" s="3" t="s">
        <v>41</v>
      </c>
      <c r="CY11" s="19" t="s">
        <v>4</v>
      </c>
      <c r="CZ11" s="18" t="s">
        <v>0</v>
      </c>
      <c r="DA11" s="3" t="s">
        <v>10</v>
      </c>
      <c r="DB11" s="19" t="s">
        <v>11</v>
      </c>
      <c r="DC11" s="18" t="s">
        <v>0</v>
      </c>
      <c r="DD11" s="3" t="s">
        <v>10</v>
      </c>
      <c r="DE11" s="19" t="s">
        <v>11</v>
      </c>
      <c r="DF11" s="3"/>
      <c r="DG11" s="3"/>
      <c r="DH11" s="7" t="s">
        <v>18</v>
      </c>
      <c r="DI11" s="7">
        <v>2000</v>
      </c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55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</row>
    <row r="12" spans="1:151">
      <c r="A12" s="48">
        <v>5</v>
      </c>
      <c r="B12" s="47">
        <v>150</v>
      </c>
      <c r="C12" s="34">
        <f>B12/B21</f>
        <v>8.0808080808080808E-4</v>
      </c>
      <c r="D12" s="49">
        <v>5</v>
      </c>
      <c r="E12" s="50">
        <v>1000</v>
      </c>
      <c r="F12" s="34">
        <f>E12/D21</f>
        <v>5.387931034482759E-3</v>
      </c>
      <c r="G12" s="51">
        <v>5</v>
      </c>
      <c r="H12" s="45">
        <v>8000</v>
      </c>
      <c r="I12" s="34">
        <f>H12/G21</f>
        <v>4.3383947939262472E-2</v>
      </c>
      <c r="J12" s="59">
        <v>5</v>
      </c>
      <c r="K12" s="60">
        <v>100000</v>
      </c>
      <c r="L12" s="56">
        <f>K12/J21</f>
        <v>0.5714285714285714</v>
      </c>
      <c r="M12" s="45">
        <v>5</v>
      </c>
      <c r="N12" s="45">
        <f t="shared" si="8"/>
        <v>109150</v>
      </c>
      <c r="O12" s="35">
        <f>N12/M21</f>
        <v>0.14939264328485885</v>
      </c>
      <c r="P12" s="2"/>
      <c r="Q12" s="52">
        <v>5</v>
      </c>
      <c r="R12" s="50">
        <f>SUM(B8:B12)</f>
        <v>225</v>
      </c>
      <c r="S12" s="34">
        <f>R12/R21</f>
        <v>1.2121212121212121E-3</v>
      </c>
      <c r="T12" s="49">
        <v>5</v>
      </c>
      <c r="U12" s="45">
        <f>SUM(E8:E12)</f>
        <v>1600</v>
      </c>
      <c r="V12" s="34">
        <f>U12/T21</f>
        <v>8.6206896551724137E-3</v>
      </c>
      <c r="W12" s="51">
        <v>5</v>
      </c>
      <c r="X12" s="45">
        <f>SUM(H8:H12)</f>
        <v>14400</v>
      </c>
      <c r="Y12" s="34">
        <f>X12/W21</f>
        <v>7.8091106290672452E-2</v>
      </c>
      <c r="Z12" s="59">
        <v>5</v>
      </c>
      <c r="AA12" s="59">
        <f>SUM(K8:K12)</f>
        <v>175000</v>
      </c>
      <c r="AB12" s="56">
        <f>AA12/Z21</f>
        <v>1</v>
      </c>
      <c r="AC12" s="45">
        <v>5</v>
      </c>
      <c r="AD12" s="45">
        <f>R12+U12+X12+AA12</f>
        <v>191225</v>
      </c>
      <c r="AE12" s="34">
        <f>AD12/AC21</f>
        <v>0.2617279726261762</v>
      </c>
      <c r="AF12" s="2"/>
      <c r="AG12" s="52">
        <v>5</v>
      </c>
      <c r="AH12" s="50">
        <v>10</v>
      </c>
      <c r="AI12" s="34">
        <f>AH12/AH21</f>
        <v>2.631578947368421E-3</v>
      </c>
      <c r="AJ12" s="49">
        <v>5</v>
      </c>
      <c r="AK12" s="50">
        <v>50</v>
      </c>
      <c r="AL12" s="34">
        <f>AK12/AJ21</f>
        <v>1.3189132155104194E-2</v>
      </c>
      <c r="AM12" s="51">
        <v>5</v>
      </c>
      <c r="AN12" s="50">
        <v>400</v>
      </c>
      <c r="AO12" s="34">
        <f>AN12/AM21</f>
        <v>0.10738255033557047</v>
      </c>
      <c r="AP12" s="59">
        <v>5</v>
      </c>
      <c r="AQ12" s="59">
        <v>1600</v>
      </c>
      <c r="AR12" s="56">
        <f>AQ12/AP21</f>
        <v>0.49230769230769234</v>
      </c>
      <c r="AS12" s="45">
        <v>5</v>
      </c>
      <c r="AT12" s="45">
        <f>AH12+AK12+AN12+AQ12</f>
        <v>2060</v>
      </c>
      <c r="AU12" s="34">
        <f>AT12/AS21</f>
        <v>0.14142523685294522</v>
      </c>
      <c r="AV12" s="46"/>
      <c r="AW12" s="47"/>
      <c r="AX12" s="6"/>
      <c r="AY12" s="3"/>
      <c r="AZ12" s="3"/>
      <c r="BA12" s="3"/>
      <c r="BB12" s="3"/>
      <c r="BC12" s="22" t="s">
        <v>83</v>
      </c>
      <c r="BD12" s="23">
        <v>5</v>
      </c>
      <c r="BE12" s="22" t="s">
        <v>84</v>
      </c>
      <c r="BF12" s="23">
        <v>5</v>
      </c>
      <c r="BG12" s="22" t="s">
        <v>85</v>
      </c>
      <c r="BH12" s="23">
        <v>17</v>
      </c>
      <c r="BI12" s="22" t="s">
        <v>86</v>
      </c>
      <c r="BJ12" s="23">
        <v>34</v>
      </c>
      <c r="BK12" s="22" t="s">
        <v>87</v>
      </c>
      <c r="BL12" s="23">
        <v>136</v>
      </c>
      <c r="BM12" s="22" t="s">
        <v>88</v>
      </c>
      <c r="BN12" s="23">
        <v>51</v>
      </c>
      <c r="BO12" s="22" t="s">
        <v>89</v>
      </c>
      <c r="BP12" s="23">
        <v>306</v>
      </c>
      <c r="BQ12" s="22">
        <v>0</v>
      </c>
      <c r="BR12" s="23">
        <v>10</v>
      </c>
      <c r="BS12" s="22">
        <v>0</v>
      </c>
      <c r="BT12" s="23">
        <v>1</v>
      </c>
      <c r="BU12" s="22">
        <v>9</v>
      </c>
      <c r="BV12" s="24">
        <v>20</v>
      </c>
      <c r="BW12" s="17">
        <f>BV12*BU12</f>
        <v>180</v>
      </c>
      <c r="BX12" s="15">
        <v>10</v>
      </c>
      <c r="BY12" s="16">
        <v>1</v>
      </c>
      <c r="BZ12" s="17">
        <v>1</v>
      </c>
      <c r="CA12" s="15">
        <v>2</v>
      </c>
      <c r="CB12" s="16">
        <v>1</v>
      </c>
      <c r="CC12" s="17">
        <v>1</v>
      </c>
      <c r="CD12" s="2"/>
      <c r="CE12" s="22">
        <v>38</v>
      </c>
      <c r="CF12" s="23">
        <v>5</v>
      </c>
      <c r="CG12" s="22">
        <v>30</v>
      </c>
      <c r="CH12" s="23">
        <v>5</v>
      </c>
      <c r="CI12" s="22">
        <v>102</v>
      </c>
      <c r="CJ12" s="23">
        <v>17</v>
      </c>
      <c r="CK12" s="22">
        <v>255</v>
      </c>
      <c r="CL12" s="23">
        <v>34</v>
      </c>
      <c r="CM12" s="22">
        <v>816</v>
      </c>
      <c r="CN12" s="23">
        <v>136</v>
      </c>
      <c r="CO12" s="22">
        <v>306</v>
      </c>
      <c r="CP12" s="23">
        <v>51</v>
      </c>
      <c r="CQ12" s="22">
        <v>1836</v>
      </c>
      <c r="CR12" s="23">
        <v>306</v>
      </c>
      <c r="CS12" s="22">
        <v>0</v>
      </c>
      <c r="CT12" s="23">
        <v>10</v>
      </c>
      <c r="CU12" s="22">
        <v>0</v>
      </c>
      <c r="CV12" s="23">
        <v>1</v>
      </c>
      <c r="CW12" s="22">
        <v>9</v>
      </c>
      <c r="CX12" s="24">
        <v>20</v>
      </c>
      <c r="CY12" s="17">
        <f>CX12*CW12</f>
        <v>180</v>
      </c>
      <c r="CZ12" s="15">
        <v>10</v>
      </c>
      <c r="DA12" s="16">
        <v>1</v>
      </c>
      <c r="DB12" s="17">
        <v>1</v>
      </c>
      <c r="DC12" s="15">
        <v>2</v>
      </c>
      <c r="DD12" s="16">
        <v>1</v>
      </c>
      <c r="DE12" s="17">
        <v>1</v>
      </c>
      <c r="DF12" s="3"/>
      <c r="DG12" s="3"/>
      <c r="DH12" s="7" t="s">
        <v>90</v>
      </c>
      <c r="DI12" s="7">
        <v>2000</v>
      </c>
      <c r="DJ12" s="3"/>
      <c r="DK12" s="12" t="s">
        <v>91</v>
      </c>
      <c r="DL12" s="135" t="s">
        <v>92</v>
      </c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3"/>
      <c r="DZ12" s="12" t="s">
        <v>93</v>
      </c>
      <c r="EA12" s="135" t="s">
        <v>94</v>
      </c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3"/>
      <c r="EO12" s="3"/>
      <c r="EP12" s="3"/>
      <c r="EQ12" s="3"/>
      <c r="ER12" s="3"/>
      <c r="ES12" s="3"/>
      <c r="ET12" s="3"/>
      <c r="EU12" s="3"/>
    </row>
    <row r="13" spans="1:151">
      <c r="A13" s="48">
        <v>6</v>
      </c>
      <c r="B13" s="47">
        <v>400</v>
      </c>
      <c r="C13" s="34">
        <f>B13/B21</f>
        <v>2.1548821548821547E-3</v>
      </c>
      <c r="D13" s="49">
        <v>6</v>
      </c>
      <c r="E13" s="50">
        <v>2000</v>
      </c>
      <c r="F13" s="34">
        <f>E13/D21</f>
        <v>1.0775862068965518E-2</v>
      </c>
      <c r="G13" s="51">
        <v>6</v>
      </c>
      <c r="H13" s="45">
        <v>20000</v>
      </c>
      <c r="I13" s="34">
        <f>H13/G21</f>
        <v>0.10845986984815618</v>
      </c>
      <c r="J13" s="47"/>
      <c r="K13" s="47"/>
      <c r="L13" s="47"/>
      <c r="M13" s="45">
        <v>6</v>
      </c>
      <c r="N13" s="45">
        <f t="shared" si="8"/>
        <v>22400</v>
      </c>
      <c r="O13" s="35">
        <f>N13/M21</f>
        <v>3.0658682634730539E-2</v>
      </c>
      <c r="P13" s="2"/>
      <c r="Q13" s="52">
        <v>6</v>
      </c>
      <c r="R13" s="50">
        <f>SUM(B8:B13)</f>
        <v>625</v>
      </c>
      <c r="S13" s="34">
        <f>R13/R21</f>
        <v>3.3670033670033669E-3</v>
      </c>
      <c r="T13" s="49">
        <v>6</v>
      </c>
      <c r="U13" s="45">
        <f>SUM(E8:E13)</f>
        <v>3600</v>
      </c>
      <c r="V13" s="34">
        <f>U13/T21</f>
        <v>1.9396551724137932E-2</v>
      </c>
      <c r="W13" s="51">
        <v>6</v>
      </c>
      <c r="X13" s="45">
        <f>SUM(H8:H13)</f>
        <v>34400</v>
      </c>
      <c r="Y13" s="34">
        <f>X13/W21</f>
        <v>0.18655097613882862</v>
      </c>
      <c r="Z13" s="47"/>
      <c r="AA13" s="47"/>
      <c r="AB13" s="47"/>
      <c r="AC13" s="45">
        <v>6</v>
      </c>
      <c r="AD13" s="45">
        <f>R13+U13+X13+AA12</f>
        <v>213625</v>
      </c>
      <c r="AE13" s="34">
        <f>AD13/AC21</f>
        <v>0.29238665526090674</v>
      </c>
      <c r="AF13" s="2"/>
      <c r="AG13" s="52">
        <v>6</v>
      </c>
      <c r="AH13" s="50">
        <v>25</v>
      </c>
      <c r="AI13" s="34">
        <f>AH13/AH21</f>
        <v>6.5789473684210523E-3</v>
      </c>
      <c r="AJ13" s="49">
        <v>6</v>
      </c>
      <c r="AK13" s="50">
        <v>100</v>
      </c>
      <c r="AL13" s="34">
        <f>AK13/AJ21</f>
        <v>2.6378264310208389E-2</v>
      </c>
      <c r="AM13" s="51">
        <v>6</v>
      </c>
      <c r="AN13" s="50">
        <v>600</v>
      </c>
      <c r="AO13" s="34">
        <f>AN13/AM21</f>
        <v>0.16107382550335569</v>
      </c>
      <c r="AP13" s="47"/>
      <c r="AQ13" s="47"/>
      <c r="AR13" s="47"/>
      <c r="AS13" s="45">
        <v>6</v>
      </c>
      <c r="AT13" s="45">
        <f>AH13+AK13+AN13+AQ12</f>
        <v>2325</v>
      </c>
      <c r="AU13" s="34">
        <f>AT13/AS21</f>
        <v>0.15961828916655224</v>
      </c>
      <c r="AV13" s="46"/>
      <c r="AW13" s="47"/>
      <c r="AX13" s="6"/>
      <c r="AY13" s="3"/>
      <c r="AZ13" s="3"/>
      <c r="BA13" s="3"/>
      <c r="BB13" s="3"/>
      <c r="BC13" s="131" t="s">
        <v>95</v>
      </c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2"/>
      <c r="CE13" s="131" t="s">
        <v>95</v>
      </c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3"/>
      <c r="DG13" s="3"/>
      <c r="DH13" s="7" t="s">
        <v>20</v>
      </c>
      <c r="DI13" s="7">
        <v>600</v>
      </c>
      <c r="DJ13" s="3"/>
      <c r="DK13" s="10" t="s">
        <v>43</v>
      </c>
      <c r="DL13" s="7" t="s">
        <v>44</v>
      </c>
      <c r="DM13" s="7" t="s">
        <v>45</v>
      </c>
      <c r="DN13" s="20" t="s">
        <v>46</v>
      </c>
      <c r="DO13" s="7" t="s">
        <v>47</v>
      </c>
      <c r="DP13" s="20" t="s">
        <v>48</v>
      </c>
      <c r="DQ13" s="20" t="s">
        <v>1</v>
      </c>
      <c r="DR13" s="20" t="s">
        <v>2</v>
      </c>
      <c r="DS13" s="20" t="s">
        <v>49</v>
      </c>
      <c r="DT13" s="7" t="s">
        <v>50</v>
      </c>
      <c r="DU13" s="20" t="s">
        <v>51</v>
      </c>
      <c r="DV13" s="7" t="s">
        <v>40</v>
      </c>
      <c r="DW13" s="21" t="s">
        <v>34</v>
      </c>
      <c r="DX13" s="20" t="s">
        <v>35</v>
      </c>
      <c r="DY13" s="3"/>
      <c r="DZ13" s="10" t="s">
        <v>43</v>
      </c>
      <c r="EA13" s="7" t="s">
        <v>44</v>
      </c>
      <c r="EB13" s="7" t="s">
        <v>45</v>
      </c>
      <c r="EC13" s="20" t="s">
        <v>46</v>
      </c>
      <c r="ED13" s="7" t="s">
        <v>47</v>
      </c>
      <c r="EE13" s="20" t="s">
        <v>48</v>
      </c>
      <c r="EF13" s="20" t="s">
        <v>1</v>
      </c>
      <c r="EG13" s="20" t="s">
        <v>2</v>
      </c>
      <c r="EH13" s="20" t="s">
        <v>49</v>
      </c>
      <c r="EI13" s="7" t="s">
        <v>50</v>
      </c>
      <c r="EJ13" s="20" t="s">
        <v>51</v>
      </c>
      <c r="EK13" s="7" t="s">
        <v>40</v>
      </c>
      <c r="EL13" s="21" t="s">
        <v>34</v>
      </c>
      <c r="EM13" s="20" t="s">
        <v>35</v>
      </c>
      <c r="EN13" s="3"/>
      <c r="EO13" s="3"/>
      <c r="EP13" s="3"/>
      <c r="EQ13" s="3"/>
      <c r="ER13" s="3"/>
      <c r="ES13" s="3"/>
      <c r="ET13" s="3"/>
      <c r="EU13" s="3"/>
    </row>
    <row r="14" spans="1:151">
      <c r="A14" s="48">
        <v>7</v>
      </c>
      <c r="B14" s="47">
        <v>1000</v>
      </c>
      <c r="C14" s="34">
        <f>B14/B21</f>
        <v>5.3872053872053875E-3</v>
      </c>
      <c r="D14" s="49">
        <v>7</v>
      </c>
      <c r="E14" s="50">
        <v>4000</v>
      </c>
      <c r="F14" s="34">
        <f>E14/D21</f>
        <v>2.1551724137931036E-2</v>
      </c>
      <c r="G14" s="51">
        <v>7</v>
      </c>
      <c r="H14" s="45">
        <v>50000</v>
      </c>
      <c r="I14" s="34">
        <f>H14/G21</f>
        <v>0.27114967462039047</v>
      </c>
      <c r="J14" s="47"/>
      <c r="K14" s="47"/>
      <c r="L14" s="47"/>
      <c r="M14" s="45">
        <v>7</v>
      </c>
      <c r="N14" s="45">
        <f t="shared" si="8"/>
        <v>55000</v>
      </c>
      <c r="O14" s="35">
        <f>N14/M21</f>
        <v>7.5278015397775871E-2</v>
      </c>
      <c r="P14" s="2"/>
      <c r="Q14" s="52">
        <v>7</v>
      </c>
      <c r="R14" s="50">
        <f>SUM(B8:B14)</f>
        <v>1625</v>
      </c>
      <c r="S14" s="34">
        <f>R14/R21</f>
        <v>8.7542087542087539E-3</v>
      </c>
      <c r="T14" s="49">
        <v>7</v>
      </c>
      <c r="U14" s="45">
        <f>SUM(E8:E14)</f>
        <v>7600</v>
      </c>
      <c r="V14" s="34">
        <f>U14/T21</f>
        <v>4.0948275862068964E-2</v>
      </c>
      <c r="W14" s="51">
        <v>7</v>
      </c>
      <c r="X14" s="45">
        <f>SUM(H8:H14)</f>
        <v>84400</v>
      </c>
      <c r="Y14" s="34">
        <f>X14/W21</f>
        <v>0.45770065075921906</v>
      </c>
      <c r="Z14" s="47"/>
      <c r="AA14" s="47"/>
      <c r="AB14" s="47"/>
      <c r="AC14" s="45">
        <v>7</v>
      </c>
      <c r="AD14" s="45">
        <f>R14+U14+X14+AA12</f>
        <v>268625</v>
      </c>
      <c r="AE14" s="34">
        <f>AD14/AC21</f>
        <v>0.36766467065868264</v>
      </c>
      <c r="AF14" s="2"/>
      <c r="AG14" s="52">
        <v>7</v>
      </c>
      <c r="AH14" s="50">
        <v>50</v>
      </c>
      <c r="AI14" s="34">
        <f>AH14/AH21</f>
        <v>1.3157894736842105E-2</v>
      </c>
      <c r="AJ14" s="49">
        <v>7</v>
      </c>
      <c r="AK14" s="50">
        <v>200</v>
      </c>
      <c r="AL14" s="34">
        <f>AK14/AJ21</f>
        <v>5.2756528620416777E-2</v>
      </c>
      <c r="AM14" s="51">
        <v>7</v>
      </c>
      <c r="AN14" s="50">
        <v>800</v>
      </c>
      <c r="AO14" s="34">
        <f>AN14/AM21</f>
        <v>0.21476510067114093</v>
      </c>
      <c r="AP14" s="47"/>
      <c r="AQ14" s="47"/>
      <c r="AR14" s="47"/>
      <c r="AS14" s="45">
        <v>7</v>
      </c>
      <c r="AT14" s="45">
        <f>AH14+AK14+AN14+AQ12</f>
        <v>2650</v>
      </c>
      <c r="AU14" s="34">
        <f>AT14/AS21</f>
        <v>0.1819305231360703</v>
      </c>
      <c r="AV14" s="46"/>
      <c r="AW14" s="47"/>
      <c r="AX14" s="6"/>
      <c r="AY14" s="3"/>
      <c r="AZ14" s="3"/>
      <c r="BA14" s="3"/>
      <c r="BB14" s="3"/>
      <c r="BC14" s="133" t="s">
        <v>24</v>
      </c>
      <c r="BD14" s="133"/>
      <c r="BE14" s="133" t="s">
        <v>25</v>
      </c>
      <c r="BF14" s="133"/>
      <c r="BG14" s="133" t="s">
        <v>26</v>
      </c>
      <c r="BH14" s="133"/>
      <c r="BI14" s="133" t="s">
        <v>27</v>
      </c>
      <c r="BJ14" s="133"/>
      <c r="BK14" s="133" t="s">
        <v>28</v>
      </c>
      <c r="BL14" s="133"/>
      <c r="BM14" s="133" t="s">
        <v>29</v>
      </c>
      <c r="BN14" s="133"/>
      <c r="BO14" s="133" t="s">
        <v>30</v>
      </c>
      <c r="BP14" s="133"/>
      <c r="BQ14" s="133" t="s">
        <v>31</v>
      </c>
      <c r="BR14" s="133"/>
      <c r="BS14" s="133" t="s">
        <v>32</v>
      </c>
      <c r="BT14" s="133"/>
      <c r="BU14" s="133" t="s">
        <v>33</v>
      </c>
      <c r="BV14" s="133"/>
      <c r="BW14" s="133"/>
      <c r="BX14" s="133" t="s">
        <v>34</v>
      </c>
      <c r="BY14" s="133"/>
      <c r="BZ14" s="133"/>
      <c r="CA14" s="134" t="s">
        <v>35</v>
      </c>
      <c r="CB14" s="134"/>
      <c r="CC14" s="134"/>
      <c r="CD14" s="2"/>
      <c r="CE14" s="133" t="s">
        <v>24</v>
      </c>
      <c r="CF14" s="133"/>
      <c r="CG14" s="133" t="s">
        <v>25</v>
      </c>
      <c r="CH14" s="133"/>
      <c r="CI14" s="133" t="s">
        <v>26</v>
      </c>
      <c r="CJ14" s="133"/>
      <c r="CK14" s="133" t="s">
        <v>27</v>
      </c>
      <c r="CL14" s="133"/>
      <c r="CM14" s="133" t="s">
        <v>28</v>
      </c>
      <c r="CN14" s="133"/>
      <c r="CO14" s="133" t="s">
        <v>29</v>
      </c>
      <c r="CP14" s="133"/>
      <c r="CQ14" s="133" t="s">
        <v>30</v>
      </c>
      <c r="CR14" s="133"/>
      <c r="CS14" s="133" t="s">
        <v>31</v>
      </c>
      <c r="CT14" s="133"/>
      <c r="CU14" s="133" t="s">
        <v>32</v>
      </c>
      <c r="CV14" s="133"/>
      <c r="CW14" s="133" t="s">
        <v>33</v>
      </c>
      <c r="CX14" s="133"/>
      <c r="CY14" s="133"/>
      <c r="CZ14" s="133" t="s">
        <v>34</v>
      </c>
      <c r="DA14" s="133"/>
      <c r="DB14" s="133"/>
      <c r="DC14" s="134" t="s">
        <v>35</v>
      </c>
      <c r="DD14" s="134"/>
      <c r="DE14" s="134"/>
      <c r="DF14" s="3"/>
      <c r="DG14" s="3"/>
      <c r="DH14" s="7" t="s">
        <v>82</v>
      </c>
      <c r="DI14" s="7">
        <v>600</v>
      </c>
      <c r="DJ14" s="3"/>
      <c r="DK14" s="12" t="s">
        <v>16</v>
      </c>
      <c r="DL14" s="25">
        <v>28</v>
      </c>
      <c r="DM14" s="25">
        <v>32</v>
      </c>
      <c r="DN14" s="26">
        <f t="shared" ref="DN14:DN20" si="9">(DL14+DM14)/2</f>
        <v>30</v>
      </c>
      <c r="DO14" s="18">
        <f t="shared" ref="DO14:DO20" si="10">DP14+DQ14+DR14</f>
        <v>4</v>
      </c>
      <c r="DP14" s="12">
        <v>4</v>
      </c>
      <c r="DQ14" s="27">
        <v>0</v>
      </c>
      <c r="DR14" s="19">
        <v>0</v>
      </c>
      <c r="DS14" s="28">
        <v>0</v>
      </c>
      <c r="DT14" s="29">
        <f t="shared" ref="DT14:DT20" si="11">(DP14*$O$3)+(DQ14*$P$3)+($Q$3*DR14)+DL14</f>
        <v>48</v>
      </c>
      <c r="DU14" s="30">
        <f t="shared" ref="DU14:DU20" si="12">(DP14*$O$3)+(DQ14*$P$3)+($Q$3*DR14)+DM14</f>
        <v>52</v>
      </c>
      <c r="DV14" s="18" t="s">
        <v>0</v>
      </c>
      <c r="DW14" s="3">
        <v>10</v>
      </c>
      <c r="DX14" s="19">
        <v>2</v>
      </c>
      <c r="DY14" s="3"/>
      <c r="DZ14" s="12" t="s">
        <v>16</v>
      </c>
      <c r="EA14" s="25">
        <v>70</v>
      </c>
      <c r="EB14" s="25">
        <v>80</v>
      </c>
      <c r="EC14" s="26">
        <f t="shared" ref="EC14:EC20" si="13">(EA14+EB14)/2</f>
        <v>75</v>
      </c>
      <c r="ED14" s="18">
        <f t="shared" ref="ED14:ED20" si="14">EE14+EF14+EG14</f>
        <v>10</v>
      </c>
      <c r="EE14" s="12">
        <v>9</v>
      </c>
      <c r="EF14" s="27">
        <v>1</v>
      </c>
      <c r="EG14" s="19">
        <v>0</v>
      </c>
      <c r="EH14" s="31">
        <f>((ED14*$DI$5)/$DI$4)*(1/$DI$8)</f>
        <v>1.7045454545454547E-3</v>
      </c>
      <c r="EI14" s="29">
        <f t="shared" ref="EI14:EI20" si="15">(EE14*$O$3)+(EF14*$P$3)+($Q$3*EG14)+EA14</f>
        <v>165</v>
      </c>
      <c r="EJ14" s="30">
        <f t="shared" ref="EJ14:EJ20" si="16">(EE14*$O$3)+(EF14*$P$3)+($Q$3*EG14)+EB14</f>
        <v>175</v>
      </c>
      <c r="EK14" s="18" t="s">
        <v>0</v>
      </c>
      <c r="EL14" s="3">
        <v>30</v>
      </c>
      <c r="EM14" s="19">
        <v>6</v>
      </c>
      <c r="EN14" s="3"/>
      <c r="EO14" s="3"/>
      <c r="EP14" s="3"/>
      <c r="EQ14" s="3"/>
      <c r="ER14" s="3"/>
      <c r="ES14" s="3"/>
      <c r="ET14" s="3"/>
      <c r="EU14" s="3"/>
    </row>
    <row r="15" spans="1:151">
      <c r="A15" s="48">
        <v>8</v>
      </c>
      <c r="B15" s="47">
        <v>2000</v>
      </c>
      <c r="C15" s="34">
        <f>B15/B21</f>
        <v>1.0774410774410775E-2</v>
      </c>
      <c r="D15" s="49">
        <v>8</v>
      </c>
      <c r="E15" s="50">
        <v>8000</v>
      </c>
      <c r="F15" s="34">
        <f>E15/D21</f>
        <v>4.3103448275862072E-2</v>
      </c>
      <c r="G15" s="60">
        <v>8</v>
      </c>
      <c r="H15" s="59">
        <v>100000</v>
      </c>
      <c r="I15" s="56">
        <f>H15/G21</f>
        <v>0.54229934924078094</v>
      </c>
      <c r="J15" s="47"/>
      <c r="K15" s="47"/>
      <c r="L15" s="47"/>
      <c r="M15" s="45">
        <v>8</v>
      </c>
      <c r="N15" s="45">
        <f t="shared" si="8"/>
        <v>110000</v>
      </c>
      <c r="O15" s="35">
        <f>N15/M21</f>
        <v>0.15055603079555174</v>
      </c>
      <c r="P15" s="2"/>
      <c r="Q15" s="52">
        <v>8</v>
      </c>
      <c r="R15" s="50">
        <f>SUM(B8:B15)</f>
        <v>3625</v>
      </c>
      <c r="S15" s="34">
        <f>R15/R21</f>
        <v>1.9528619528619527E-2</v>
      </c>
      <c r="T15" s="49">
        <v>8</v>
      </c>
      <c r="U15" s="45">
        <f>SUM(E8:E15)</f>
        <v>15600</v>
      </c>
      <c r="V15" s="34">
        <f>U15/T21</f>
        <v>8.4051724137931036E-2</v>
      </c>
      <c r="W15" s="60">
        <v>8</v>
      </c>
      <c r="X15" s="59">
        <f>SUM(H8:H15)</f>
        <v>184400</v>
      </c>
      <c r="Y15" s="56">
        <f>X15/W21</f>
        <v>1</v>
      </c>
      <c r="Z15" s="47"/>
      <c r="AA15" s="47"/>
      <c r="AB15" s="47"/>
      <c r="AC15" s="45">
        <v>8</v>
      </c>
      <c r="AD15" s="45">
        <f>R15+U15+X15+AA12</f>
        <v>378625</v>
      </c>
      <c r="AE15" s="34">
        <f>AD15/AC21</f>
        <v>0.51822070145423438</v>
      </c>
      <c r="AF15" s="2"/>
      <c r="AG15" s="52">
        <v>8</v>
      </c>
      <c r="AH15" s="50">
        <v>100</v>
      </c>
      <c r="AI15" s="34">
        <f>AH15/AH21</f>
        <v>2.6315789473684209E-2</v>
      </c>
      <c r="AJ15" s="49">
        <v>8</v>
      </c>
      <c r="AK15" s="50">
        <v>400</v>
      </c>
      <c r="AL15" s="34">
        <f>AK15/AJ21</f>
        <v>0.10551305724083355</v>
      </c>
      <c r="AM15" s="60">
        <v>8</v>
      </c>
      <c r="AN15" s="59">
        <v>1600</v>
      </c>
      <c r="AO15" s="56">
        <f>AN15/AM21</f>
        <v>0.42953020134228187</v>
      </c>
      <c r="AP15" s="47"/>
      <c r="AQ15" s="47"/>
      <c r="AR15" s="47"/>
      <c r="AS15" s="45">
        <v>8</v>
      </c>
      <c r="AT15" s="45">
        <f>AH15+AK15+AN15+AQ12</f>
        <v>3700</v>
      </c>
      <c r="AU15" s="34">
        <f>AT15/AS21</f>
        <v>0.25401620211451326</v>
      </c>
      <c r="AV15" s="46"/>
      <c r="AW15" s="47"/>
      <c r="AX15" s="6"/>
      <c r="AY15" s="3"/>
      <c r="AZ15" s="3"/>
      <c r="BA15" s="3"/>
      <c r="BB15" s="3"/>
      <c r="BC15" s="18" t="s">
        <v>17</v>
      </c>
      <c r="BD15" s="19" t="s">
        <v>40</v>
      </c>
      <c r="BE15" s="18" t="s">
        <v>17</v>
      </c>
      <c r="BF15" s="19" t="s">
        <v>40</v>
      </c>
      <c r="BG15" s="18" t="s">
        <v>17</v>
      </c>
      <c r="BH15" s="19" t="s">
        <v>40</v>
      </c>
      <c r="BI15" s="18" t="s">
        <v>17</v>
      </c>
      <c r="BJ15" s="19" t="s">
        <v>40</v>
      </c>
      <c r="BK15" s="18" t="s">
        <v>17</v>
      </c>
      <c r="BL15" s="19" t="s">
        <v>40</v>
      </c>
      <c r="BM15" s="18" t="s">
        <v>17</v>
      </c>
      <c r="BN15" s="19" t="s">
        <v>40</v>
      </c>
      <c r="BO15" s="18" t="s">
        <v>17</v>
      </c>
      <c r="BP15" s="19" t="s">
        <v>40</v>
      </c>
      <c r="BQ15" s="18" t="s">
        <v>17</v>
      </c>
      <c r="BR15" s="19" t="s">
        <v>40</v>
      </c>
      <c r="BS15" s="18" t="s">
        <v>17</v>
      </c>
      <c r="BT15" s="19" t="s">
        <v>40</v>
      </c>
      <c r="BU15" s="18" t="s">
        <v>17</v>
      </c>
      <c r="BV15" s="3" t="s">
        <v>41</v>
      </c>
      <c r="BW15" s="19" t="s">
        <v>4</v>
      </c>
      <c r="BX15" s="18" t="s">
        <v>0</v>
      </c>
      <c r="BY15" s="3" t="s">
        <v>10</v>
      </c>
      <c r="BZ15" s="19" t="s">
        <v>11</v>
      </c>
      <c r="CA15" s="18" t="s">
        <v>0</v>
      </c>
      <c r="CB15" s="3" t="s">
        <v>10</v>
      </c>
      <c r="CC15" s="19" t="s">
        <v>11</v>
      </c>
      <c r="CD15" s="2"/>
      <c r="CE15" s="18" t="s">
        <v>17</v>
      </c>
      <c r="CF15" s="19" t="s">
        <v>40</v>
      </c>
      <c r="CG15" s="18" t="s">
        <v>17</v>
      </c>
      <c r="CH15" s="19" t="s">
        <v>40</v>
      </c>
      <c r="CI15" s="18" t="s">
        <v>17</v>
      </c>
      <c r="CJ15" s="19" t="s">
        <v>40</v>
      </c>
      <c r="CK15" s="18" t="s">
        <v>17</v>
      </c>
      <c r="CL15" s="19" t="s">
        <v>40</v>
      </c>
      <c r="CM15" s="18" t="s">
        <v>17</v>
      </c>
      <c r="CN15" s="19" t="s">
        <v>40</v>
      </c>
      <c r="CO15" s="18" t="s">
        <v>17</v>
      </c>
      <c r="CP15" s="19" t="s">
        <v>40</v>
      </c>
      <c r="CQ15" s="18" t="s">
        <v>17</v>
      </c>
      <c r="CR15" s="19" t="s">
        <v>40</v>
      </c>
      <c r="CS15" s="18" t="s">
        <v>17</v>
      </c>
      <c r="CT15" s="19" t="s">
        <v>40</v>
      </c>
      <c r="CU15" s="18" t="s">
        <v>17</v>
      </c>
      <c r="CV15" s="19" t="s">
        <v>40</v>
      </c>
      <c r="CW15" s="18" t="s">
        <v>17</v>
      </c>
      <c r="CX15" s="3" t="s">
        <v>41</v>
      </c>
      <c r="CY15" s="19" t="s">
        <v>4</v>
      </c>
      <c r="CZ15" s="18" t="s">
        <v>0</v>
      </c>
      <c r="DA15" s="3" t="s">
        <v>10</v>
      </c>
      <c r="DB15" s="19" t="s">
        <v>11</v>
      </c>
      <c r="DC15" s="18" t="s">
        <v>0</v>
      </c>
      <c r="DD15" s="3" t="s">
        <v>10</v>
      </c>
      <c r="DE15" s="19" t="s">
        <v>11</v>
      </c>
      <c r="DF15" s="3"/>
      <c r="DG15" s="3"/>
      <c r="DH15" s="7" t="s">
        <v>22</v>
      </c>
      <c r="DI15" s="7">
        <v>600</v>
      </c>
      <c r="DJ15" s="3"/>
      <c r="DK15" s="18" t="s">
        <v>14</v>
      </c>
      <c r="DL15" s="32">
        <v>20</v>
      </c>
      <c r="DM15" s="32">
        <v>28</v>
      </c>
      <c r="DN15" s="30">
        <f t="shared" si="9"/>
        <v>24</v>
      </c>
      <c r="DO15" s="18">
        <f t="shared" si="10"/>
        <v>3</v>
      </c>
      <c r="DP15" s="18">
        <v>3</v>
      </c>
      <c r="DQ15" s="33">
        <v>0</v>
      </c>
      <c r="DR15" s="19">
        <v>0</v>
      </c>
      <c r="DS15" s="34">
        <v>0</v>
      </c>
      <c r="DT15" s="29">
        <f t="shared" si="11"/>
        <v>35</v>
      </c>
      <c r="DU15" s="30">
        <f t="shared" si="12"/>
        <v>43</v>
      </c>
      <c r="DV15" s="18" t="s">
        <v>1</v>
      </c>
      <c r="DW15" s="3">
        <v>1</v>
      </c>
      <c r="DX15" s="19">
        <v>1</v>
      </c>
      <c r="DY15" s="3"/>
      <c r="DZ15" s="18" t="s">
        <v>14</v>
      </c>
      <c r="EA15" s="32">
        <v>50</v>
      </c>
      <c r="EB15" s="32">
        <v>70</v>
      </c>
      <c r="EC15" s="30">
        <f t="shared" si="13"/>
        <v>60</v>
      </c>
      <c r="ED15" s="18">
        <f t="shared" si="14"/>
        <v>10</v>
      </c>
      <c r="EE15" s="18">
        <v>10</v>
      </c>
      <c r="EF15" s="33">
        <v>0</v>
      </c>
      <c r="EG15" s="19">
        <v>0</v>
      </c>
      <c r="EH15" s="35">
        <f>((ED15*$DI$5)/$DI$4)*(1/$DI$6)</f>
        <v>6.8181818181818187E-4</v>
      </c>
      <c r="EI15" s="29">
        <f t="shared" si="15"/>
        <v>100</v>
      </c>
      <c r="EJ15" s="30">
        <f t="shared" si="16"/>
        <v>120</v>
      </c>
      <c r="EK15" s="18" t="s">
        <v>1</v>
      </c>
      <c r="EL15" s="3">
        <v>3</v>
      </c>
      <c r="EM15" s="19">
        <v>1</v>
      </c>
      <c r="EN15" s="3"/>
      <c r="EO15" s="3"/>
      <c r="EP15" s="3"/>
      <c r="EQ15" s="3"/>
      <c r="ER15" s="3"/>
      <c r="ES15" s="3"/>
      <c r="ET15" s="3"/>
      <c r="EU15" s="3"/>
    </row>
    <row r="16" spans="1:151">
      <c r="A16" s="48">
        <v>9</v>
      </c>
      <c r="B16" s="47">
        <v>4000</v>
      </c>
      <c r="C16" s="34">
        <f>B16/B21</f>
        <v>2.154882154882155E-2</v>
      </c>
      <c r="D16" s="49">
        <v>9</v>
      </c>
      <c r="E16" s="50">
        <v>20000</v>
      </c>
      <c r="F16" s="34">
        <f>E16/D21</f>
        <v>0.10775862068965517</v>
      </c>
      <c r="G16" s="47"/>
      <c r="H16" s="47"/>
      <c r="I16" s="47"/>
      <c r="J16" s="47"/>
      <c r="K16" s="47"/>
      <c r="L16" s="47"/>
      <c r="M16" s="45">
        <v>9</v>
      </c>
      <c r="N16" s="45">
        <f t="shared" si="8"/>
        <v>24000</v>
      </c>
      <c r="O16" s="35">
        <f>N16/M21</f>
        <v>3.2848588537211294E-2</v>
      </c>
      <c r="P16" s="2"/>
      <c r="Q16" s="52">
        <v>9</v>
      </c>
      <c r="R16" s="50">
        <f>SUM(B8:B16)</f>
        <v>7625</v>
      </c>
      <c r="S16" s="34">
        <f>R16/R21</f>
        <v>4.1077441077441081E-2</v>
      </c>
      <c r="T16" s="49">
        <v>9</v>
      </c>
      <c r="U16" s="45">
        <f>SUM(E8:E16)</f>
        <v>35600</v>
      </c>
      <c r="V16" s="34">
        <f>U16/T21</f>
        <v>0.19181034482758622</v>
      </c>
      <c r="W16" s="47"/>
      <c r="X16" s="47"/>
      <c r="Y16" s="47"/>
      <c r="Z16" s="47"/>
      <c r="AA16" s="47"/>
      <c r="AB16" s="47"/>
      <c r="AC16" s="45">
        <v>9</v>
      </c>
      <c r="AD16" s="45">
        <f>R16+U16+X15+AA12</f>
        <v>402625</v>
      </c>
      <c r="AE16" s="34">
        <f>AD16/AC21</f>
        <v>0.55106928999144567</v>
      </c>
      <c r="AF16" s="2"/>
      <c r="AG16" s="52">
        <v>9</v>
      </c>
      <c r="AH16" s="50">
        <v>200</v>
      </c>
      <c r="AI16" s="34">
        <f>AH16/AH21</f>
        <v>5.2631578947368418E-2</v>
      </c>
      <c r="AJ16" s="49">
        <v>9</v>
      </c>
      <c r="AK16" s="50">
        <v>600</v>
      </c>
      <c r="AL16" s="34">
        <f>AK16/AJ21</f>
        <v>0.15826958586125034</v>
      </c>
      <c r="AM16" s="47"/>
      <c r="AN16" s="47"/>
      <c r="AO16" s="47"/>
      <c r="AP16" s="47"/>
      <c r="AQ16" s="47"/>
      <c r="AR16" s="47"/>
      <c r="AS16" s="45">
        <v>9</v>
      </c>
      <c r="AT16" s="45">
        <f>AH16+AK16+AN15+AQ12</f>
        <v>4000</v>
      </c>
      <c r="AU16" s="34">
        <f>AT16/AS21</f>
        <v>0.27461211039406835</v>
      </c>
      <c r="AV16" s="46"/>
      <c r="AW16" s="47"/>
      <c r="AX16" s="6"/>
      <c r="AY16" s="3"/>
      <c r="AZ16" s="3"/>
      <c r="BA16" s="3"/>
      <c r="BB16" s="3"/>
      <c r="BC16" s="22" t="s">
        <v>96</v>
      </c>
      <c r="BD16" s="23">
        <v>6</v>
      </c>
      <c r="BE16" s="22" t="s">
        <v>97</v>
      </c>
      <c r="BF16" s="23">
        <v>6</v>
      </c>
      <c r="BG16" s="22" t="s">
        <v>98</v>
      </c>
      <c r="BH16" s="23">
        <v>20</v>
      </c>
      <c r="BI16" s="22" t="s">
        <v>99</v>
      </c>
      <c r="BJ16" s="23">
        <v>40</v>
      </c>
      <c r="BK16" s="22" t="s">
        <v>100</v>
      </c>
      <c r="BL16" s="23">
        <v>160</v>
      </c>
      <c r="BM16" s="22" t="s">
        <v>101</v>
      </c>
      <c r="BN16" s="23">
        <v>60</v>
      </c>
      <c r="BO16" s="22" t="s">
        <v>102</v>
      </c>
      <c r="BP16" s="23">
        <v>360</v>
      </c>
      <c r="BQ16" s="22">
        <v>0</v>
      </c>
      <c r="BR16" s="23">
        <v>12</v>
      </c>
      <c r="BS16" s="22">
        <v>0</v>
      </c>
      <c r="BT16" s="23">
        <v>1</v>
      </c>
      <c r="BU16" s="22">
        <v>11</v>
      </c>
      <c r="BV16" s="24">
        <v>20</v>
      </c>
      <c r="BW16" s="17">
        <f>BV16*BU16</f>
        <v>220</v>
      </c>
      <c r="BX16" s="15">
        <v>20</v>
      </c>
      <c r="BY16" s="16">
        <v>2</v>
      </c>
      <c r="BZ16" s="17">
        <v>2</v>
      </c>
      <c r="CA16" s="15">
        <v>4</v>
      </c>
      <c r="CB16" s="16">
        <v>1</v>
      </c>
      <c r="CC16" s="17">
        <v>1</v>
      </c>
      <c r="CD16" s="2"/>
      <c r="CE16" s="22">
        <v>45</v>
      </c>
      <c r="CF16" s="23">
        <v>6</v>
      </c>
      <c r="CG16" s="22">
        <v>36</v>
      </c>
      <c r="CH16" s="23">
        <v>6</v>
      </c>
      <c r="CI16" s="22">
        <v>120</v>
      </c>
      <c r="CJ16" s="23">
        <v>20</v>
      </c>
      <c r="CK16" s="22">
        <v>300</v>
      </c>
      <c r="CL16" s="23">
        <v>40</v>
      </c>
      <c r="CM16" s="22">
        <v>960</v>
      </c>
      <c r="CN16" s="23">
        <v>160</v>
      </c>
      <c r="CO16" s="22">
        <v>360</v>
      </c>
      <c r="CP16" s="23">
        <v>60</v>
      </c>
      <c r="CQ16" s="22">
        <v>2160</v>
      </c>
      <c r="CR16" s="23">
        <v>360</v>
      </c>
      <c r="CS16" s="22">
        <v>0</v>
      </c>
      <c r="CT16" s="23">
        <v>12</v>
      </c>
      <c r="CU16" s="22">
        <v>0</v>
      </c>
      <c r="CV16" s="23">
        <v>1</v>
      </c>
      <c r="CW16" s="22">
        <v>11</v>
      </c>
      <c r="CX16" s="24">
        <v>20</v>
      </c>
      <c r="CY16" s="17">
        <f>CX16*CW16</f>
        <v>220</v>
      </c>
      <c r="CZ16" s="15">
        <v>20</v>
      </c>
      <c r="DA16" s="16">
        <v>2</v>
      </c>
      <c r="DB16" s="17">
        <v>2</v>
      </c>
      <c r="DC16" s="15">
        <v>4</v>
      </c>
      <c r="DD16" s="16">
        <v>1</v>
      </c>
      <c r="DE16" s="17">
        <v>1</v>
      </c>
      <c r="DF16" s="3"/>
      <c r="DG16" s="3"/>
      <c r="DH16" s="7" t="s">
        <v>103</v>
      </c>
      <c r="DI16" s="7">
        <v>200</v>
      </c>
      <c r="DJ16" s="3"/>
      <c r="DK16" s="18" t="s">
        <v>66</v>
      </c>
      <c r="DL16" s="32">
        <v>70</v>
      </c>
      <c r="DM16" s="32">
        <v>98</v>
      </c>
      <c r="DN16" s="30">
        <f t="shared" si="9"/>
        <v>84</v>
      </c>
      <c r="DO16" s="18">
        <f t="shared" si="10"/>
        <v>14</v>
      </c>
      <c r="DP16" s="18">
        <v>13</v>
      </c>
      <c r="DQ16" s="33">
        <v>1</v>
      </c>
      <c r="DR16" s="19">
        <v>0</v>
      </c>
      <c r="DS16" s="34">
        <v>0</v>
      </c>
      <c r="DT16" s="29">
        <f t="shared" si="11"/>
        <v>185</v>
      </c>
      <c r="DU16" s="30">
        <f t="shared" si="12"/>
        <v>213</v>
      </c>
      <c r="DV16" s="15" t="s">
        <v>2</v>
      </c>
      <c r="DW16" s="16">
        <v>1</v>
      </c>
      <c r="DX16" s="17">
        <v>1</v>
      </c>
      <c r="DY16" s="3"/>
      <c r="DZ16" s="18" t="s">
        <v>66</v>
      </c>
      <c r="EA16" s="32">
        <v>160</v>
      </c>
      <c r="EB16" s="32">
        <v>224</v>
      </c>
      <c r="EC16" s="30">
        <f t="shared" si="13"/>
        <v>192</v>
      </c>
      <c r="ED16" s="18">
        <f t="shared" si="14"/>
        <v>32</v>
      </c>
      <c r="EE16" s="18">
        <v>29</v>
      </c>
      <c r="EF16" s="33">
        <v>3</v>
      </c>
      <c r="EG16" s="19">
        <v>0</v>
      </c>
      <c r="EH16" s="35">
        <f>((ED16*$DI$5)/$DI$4)*(1/$DI$10)</f>
        <v>3.827751196172248E-3</v>
      </c>
      <c r="EI16" s="29">
        <f t="shared" si="15"/>
        <v>455</v>
      </c>
      <c r="EJ16" s="30">
        <f t="shared" si="16"/>
        <v>519</v>
      </c>
      <c r="EK16" s="15" t="s">
        <v>2</v>
      </c>
      <c r="EL16" s="16">
        <v>3</v>
      </c>
      <c r="EM16" s="17">
        <v>1</v>
      </c>
      <c r="EN16" s="3"/>
      <c r="EO16" s="3"/>
      <c r="EP16" s="3"/>
      <c r="EQ16" s="3"/>
      <c r="ER16" s="3"/>
      <c r="ES16" s="3"/>
      <c r="ET16" s="3"/>
      <c r="EU16" s="3"/>
    </row>
    <row r="17" spans="1:151">
      <c r="A17" s="48">
        <v>10</v>
      </c>
      <c r="B17" s="47">
        <v>8000</v>
      </c>
      <c r="C17" s="34">
        <f>B17/B21</f>
        <v>4.30976430976431E-2</v>
      </c>
      <c r="D17" s="49">
        <v>10</v>
      </c>
      <c r="E17" s="50">
        <v>50000</v>
      </c>
      <c r="F17" s="34">
        <f>E17/D21</f>
        <v>0.26939655172413796</v>
      </c>
      <c r="G17" s="47"/>
      <c r="H17" s="47"/>
      <c r="I17" s="47"/>
      <c r="J17" s="47"/>
      <c r="K17" s="47"/>
      <c r="L17" s="47"/>
      <c r="M17" s="45">
        <v>10</v>
      </c>
      <c r="N17" s="45">
        <f t="shared" si="8"/>
        <v>58000</v>
      </c>
      <c r="O17" s="35">
        <f>N17/M21</f>
        <v>7.9384088964927282E-2</v>
      </c>
      <c r="P17" s="2"/>
      <c r="Q17" s="52">
        <v>10</v>
      </c>
      <c r="R17" s="50">
        <f>SUM(B8:B17)</f>
        <v>15625</v>
      </c>
      <c r="S17" s="34">
        <f>R17/R21</f>
        <v>8.4175084175084181E-2</v>
      </c>
      <c r="T17" s="49">
        <v>10</v>
      </c>
      <c r="U17" s="45">
        <f>SUM(E8:E17)</f>
        <v>85600</v>
      </c>
      <c r="V17" s="34">
        <f>U17/T21</f>
        <v>0.46120689655172414</v>
      </c>
      <c r="W17" s="47"/>
      <c r="X17" s="47"/>
      <c r="Y17" s="47"/>
      <c r="Z17" s="47"/>
      <c r="AA17" s="47"/>
      <c r="AB17" s="47"/>
      <c r="AC17" s="45">
        <v>10</v>
      </c>
      <c r="AD17" s="45">
        <f>R17+U17+X15+AA12</f>
        <v>460625</v>
      </c>
      <c r="AE17" s="34">
        <f>AD17/AC21</f>
        <v>0.63045337895637299</v>
      </c>
      <c r="AF17" s="2"/>
      <c r="AG17" s="52">
        <v>10</v>
      </c>
      <c r="AH17" s="50">
        <v>400</v>
      </c>
      <c r="AI17" s="34">
        <f>AH17/AH21</f>
        <v>0.10526315789473684</v>
      </c>
      <c r="AJ17" s="49">
        <v>10</v>
      </c>
      <c r="AK17" s="50">
        <v>800</v>
      </c>
      <c r="AL17" s="34">
        <f>AK17/AJ21</f>
        <v>0.21102611448166711</v>
      </c>
      <c r="AM17" s="47"/>
      <c r="AN17" s="47"/>
      <c r="AO17" s="47"/>
      <c r="AP17" s="47"/>
      <c r="AQ17" s="47"/>
      <c r="AR17" s="47"/>
      <c r="AS17" s="45">
        <v>10</v>
      </c>
      <c r="AT17" s="45">
        <f>AH17+AK17+AN15+AQ12</f>
        <v>4400</v>
      </c>
      <c r="AU17" s="34">
        <f>AT17/AS21</f>
        <v>0.30207332143347521</v>
      </c>
      <c r="AV17" s="46"/>
      <c r="AW17" s="47"/>
      <c r="AX17" s="6"/>
      <c r="AY17" s="3"/>
      <c r="AZ17" s="3"/>
      <c r="BA17" s="3"/>
      <c r="BB17" s="3"/>
      <c r="BC17" s="131" t="s">
        <v>104</v>
      </c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2"/>
      <c r="CE17" s="131" t="s">
        <v>104</v>
      </c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3"/>
      <c r="DG17" s="3"/>
      <c r="DH17" s="3"/>
      <c r="DI17" s="3"/>
      <c r="DJ17" s="3"/>
      <c r="DK17" s="18" t="s">
        <v>70</v>
      </c>
      <c r="DL17" s="32">
        <v>189</v>
      </c>
      <c r="DM17" s="32">
        <v>216</v>
      </c>
      <c r="DN17" s="30">
        <f t="shared" si="9"/>
        <v>202.5</v>
      </c>
      <c r="DO17" s="18">
        <f t="shared" si="10"/>
        <v>27</v>
      </c>
      <c r="DP17" s="18">
        <v>25</v>
      </c>
      <c r="DQ17" s="33">
        <v>2</v>
      </c>
      <c r="DR17" s="19">
        <v>0</v>
      </c>
      <c r="DS17" s="34">
        <v>0</v>
      </c>
      <c r="DT17" s="29">
        <f t="shared" si="11"/>
        <v>414</v>
      </c>
      <c r="DU17" s="30">
        <f t="shared" si="12"/>
        <v>441</v>
      </c>
      <c r="DV17" s="36" t="s">
        <v>33</v>
      </c>
      <c r="DW17" s="37"/>
      <c r="DX17" s="11"/>
      <c r="DY17" s="3"/>
      <c r="DZ17" s="18" t="s">
        <v>70</v>
      </c>
      <c r="EA17" s="32">
        <v>448</v>
      </c>
      <c r="EB17" s="32">
        <v>512</v>
      </c>
      <c r="EC17" s="30">
        <f t="shared" si="13"/>
        <v>480</v>
      </c>
      <c r="ED17" s="18">
        <f t="shared" si="14"/>
        <v>64</v>
      </c>
      <c r="EE17" s="18">
        <v>58</v>
      </c>
      <c r="EF17" s="33">
        <v>6</v>
      </c>
      <c r="EG17" s="19">
        <v>0</v>
      </c>
      <c r="EH17" s="35">
        <f>((ED17*$DI$5)/$DI$4)*(1/$DI$9)</f>
        <v>1.0909090909090908E-2</v>
      </c>
      <c r="EI17" s="29">
        <f t="shared" si="15"/>
        <v>1038</v>
      </c>
      <c r="EJ17" s="30">
        <f t="shared" si="16"/>
        <v>1102</v>
      </c>
      <c r="EK17" s="36" t="s">
        <v>33</v>
      </c>
      <c r="EL17" s="37"/>
      <c r="EM17" s="11"/>
      <c r="EN17" s="3"/>
      <c r="EO17" s="3"/>
      <c r="EP17" s="3"/>
      <c r="EQ17" s="3"/>
      <c r="ER17" s="3"/>
      <c r="ES17" s="3"/>
      <c r="ET17" s="3"/>
      <c r="EU17" s="3"/>
    </row>
    <row r="18" spans="1:151">
      <c r="A18" s="48">
        <v>11</v>
      </c>
      <c r="B18" s="47">
        <v>20000</v>
      </c>
      <c r="C18" s="34">
        <f>B18/B21</f>
        <v>0.10774410774410774</v>
      </c>
      <c r="D18" s="61">
        <v>11</v>
      </c>
      <c r="E18" s="62">
        <v>100000</v>
      </c>
      <c r="F18" s="56">
        <f>E18/D21</f>
        <v>0.53879310344827591</v>
      </c>
      <c r="G18" s="47"/>
      <c r="H18" s="47"/>
      <c r="I18" s="47"/>
      <c r="J18" s="47"/>
      <c r="K18" s="47"/>
      <c r="L18" s="47"/>
      <c r="M18" s="45">
        <v>11</v>
      </c>
      <c r="N18" s="45">
        <f t="shared" si="8"/>
        <v>120000</v>
      </c>
      <c r="O18" s="35">
        <f>N18/M21</f>
        <v>0.16424294268605646</v>
      </c>
      <c r="P18" s="2"/>
      <c r="Q18" s="52">
        <v>11</v>
      </c>
      <c r="R18" s="50">
        <f>SUM(B8:B18)</f>
        <v>35625</v>
      </c>
      <c r="S18" s="34">
        <f>R18/R21</f>
        <v>0.19191919191919191</v>
      </c>
      <c r="T18" s="61">
        <v>11</v>
      </c>
      <c r="U18" s="59">
        <f>SUM(E8:E18)</f>
        <v>185600</v>
      </c>
      <c r="V18" s="56">
        <f>U18/T21</f>
        <v>1</v>
      </c>
      <c r="W18" s="47"/>
      <c r="X18" s="47"/>
      <c r="Y18" s="47"/>
      <c r="Z18" s="47"/>
      <c r="AA18" s="47"/>
      <c r="AB18" s="47"/>
      <c r="AC18" s="45">
        <v>11</v>
      </c>
      <c r="AD18" s="45">
        <f>R18+U18+X15+AA12</f>
        <v>580625</v>
      </c>
      <c r="AE18" s="34">
        <f>AD18/AC21</f>
        <v>0.79469632164242943</v>
      </c>
      <c r="AF18" s="2"/>
      <c r="AG18" s="52">
        <v>11</v>
      </c>
      <c r="AH18" s="50">
        <v>600</v>
      </c>
      <c r="AI18" s="34">
        <f>AH18/AH21</f>
        <v>0.15789473684210525</v>
      </c>
      <c r="AJ18" s="61">
        <v>11</v>
      </c>
      <c r="AK18" s="59">
        <v>1600</v>
      </c>
      <c r="AL18" s="56">
        <f>AK18/AJ21</f>
        <v>0.42205222896333422</v>
      </c>
      <c r="AM18" s="47"/>
      <c r="AN18" s="47"/>
      <c r="AO18" s="47"/>
      <c r="AP18" s="47"/>
      <c r="AQ18" s="47"/>
      <c r="AR18" s="47"/>
      <c r="AS18" s="45">
        <v>11</v>
      </c>
      <c r="AT18" s="45">
        <f>AH18+AK18+AN15+AQ12</f>
        <v>5400</v>
      </c>
      <c r="AU18" s="34">
        <f>AT18/AS21</f>
        <v>0.37072634903199231</v>
      </c>
      <c r="AV18" s="46"/>
      <c r="AW18" s="47"/>
      <c r="AX18" s="6"/>
      <c r="AY18" s="3"/>
      <c r="AZ18" s="3"/>
      <c r="BA18" s="3"/>
      <c r="BB18" s="3"/>
      <c r="BC18" s="133" t="s">
        <v>24</v>
      </c>
      <c r="BD18" s="133"/>
      <c r="BE18" s="133" t="s">
        <v>25</v>
      </c>
      <c r="BF18" s="133"/>
      <c r="BG18" s="133" t="s">
        <v>26</v>
      </c>
      <c r="BH18" s="133"/>
      <c r="BI18" s="133" t="s">
        <v>27</v>
      </c>
      <c r="BJ18" s="133"/>
      <c r="BK18" s="133" t="s">
        <v>28</v>
      </c>
      <c r="BL18" s="133"/>
      <c r="BM18" s="133" t="s">
        <v>29</v>
      </c>
      <c r="BN18" s="133"/>
      <c r="BO18" s="133" t="s">
        <v>30</v>
      </c>
      <c r="BP18" s="133"/>
      <c r="BQ18" s="133" t="s">
        <v>31</v>
      </c>
      <c r="BR18" s="133"/>
      <c r="BS18" s="133" t="s">
        <v>32</v>
      </c>
      <c r="BT18" s="133"/>
      <c r="BU18" s="133" t="s">
        <v>33</v>
      </c>
      <c r="BV18" s="133"/>
      <c r="BW18" s="133"/>
      <c r="BX18" s="133" t="s">
        <v>34</v>
      </c>
      <c r="BY18" s="133"/>
      <c r="BZ18" s="133"/>
      <c r="CA18" s="134" t="s">
        <v>35</v>
      </c>
      <c r="CB18" s="134"/>
      <c r="CC18" s="134"/>
      <c r="CD18" s="2"/>
      <c r="CE18" s="133" t="s">
        <v>24</v>
      </c>
      <c r="CF18" s="133"/>
      <c r="CG18" s="133" t="s">
        <v>25</v>
      </c>
      <c r="CH18" s="133"/>
      <c r="CI18" s="133" t="s">
        <v>26</v>
      </c>
      <c r="CJ18" s="133"/>
      <c r="CK18" s="133" t="s">
        <v>27</v>
      </c>
      <c r="CL18" s="133"/>
      <c r="CM18" s="133" t="s">
        <v>28</v>
      </c>
      <c r="CN18" s="133"/>
      <c r="CO18" s="133" t="s">
        <v>29</v>
      </c>
      <c r="CP18" s="133"/>
      <c r="CQ18" s="133" t="s">
        <v>30</v>
      </c>
      <c r="CR18" s="133"/>
      <c r="CS18" s="133" t="s">
        <v>31</v>
      </c>
      <c r="CT18" s="133"/>
      <c r="CU18" s="133" t="s">
        <v>32</v>
      </c>
      <c r="CV18" s="133"/>
      <c r="CW18" s="133" t="s">
        <v>33</v>
      </c>
      <c r="CX18" s="133"/>
      <c r="CY18" s="133"/>
      <c r="CZ18" s="133" t="s">
        <v>34</v>
      </c>
      <c r="DA18" s="133"/>
      <c r="DB18" s="133"/>
      <c r="DC18" s="134" t="s">
        <v>35</v>
      </c>
      <c r="DD18" s="134"/>
      <c r="DE18" s="134"/>
      <c r="DF18" s="3"/>
      <c r="DG18" s="3"/>
      <c r="DH18" s="3"/>
      <c r="DI18" s="3"/>
      <c r="DJ18" s="3"/>
      <c r="DK18" s="18" t="s">
        <v>15</v>
      </c>
      <c r="DL18" s="32">
        <v>285</v>
      </c>
      <c r="DM18" s="32">
        <v>285</v>
      </c>
      <c r="DN18" s="30">
        <f t="shared" si="9"/>
        <v>285</v>
      </c>
      <c r="DO18" s="18">
        <f t="shared" si="10"/>
        <v>95</v>
      </c>
      <c r="DP18" s="18">
        <v>76</v>
      </c>
      <c r="DQ18" s="33">
        <v>19</v>
      </c>
      <c r="DR18" s="19">
        <v>0</v>
      </c>
      <c r="DS18" s="34">
        <v>0</v>
      </c>
      <c r="DT18" s="29">
        <f t="shared" si="11"/>
        <v>1615</v>
      </c>
      <c r="DU18" s="30">
        <f t="shared" si="12"/>
        <v>1615</v>
      </c>
      <c r="DV18" s="7" t="s">
        <v>78</v>
      </c>
      <c r="DW18" s="7" t="s">
        <v>79</v>
      </c>
      <c r="DX18" s="7" t="s">
        <v>80</v>
      </c>
      <c r="DY18" s="3"/>
      <c r="DZ18" s="18" t="s">
        <v>15</v>
      </c>
      <c r="EA18" s="32">
        <v>672</v>
      </c>
      <c r="EB18" s="32">
        <v>572</v>
      </c>
      <c r="EC18" s="30">
        <f t="shared" si="13"/>
        <v>622</v>
      </c>
      <c r="ED18" s="18">
        <f t="shared" si="14"/>
        <v>224</v>
      </c>
      <c r="EE18" s="18">
        <v>180</v>
      </c>
      <c r="EF18" s="33">
        <v>44</v>
      </c>
      <c r="EG18" s="19">
        <v>0</v>
      </c>
      <c r="EH18" s="35">
        <f>((ED18*$DI$5)/$DI$4)*(1/$DI$7)</f>
        <v>1.5272727272727273E-2</v>
      </c>
      <c r="EI18" s="29">
        <f t="shared" si="15"/>
        <v>3772</v>
      </c>
      <c r="EJ18" s="30">
        <f t="shared" si="16"/>
        <v>3672</v>
      </c>
      <c r="EK18" s="7" t="s">
        <v>78</v>
      </c>
      <c r="EL18" s="7" t="s">
        <v>79</v>
      </c>
      <c r="EM18" s="7" t="s">
        <v>80</v>
      </c>
      <c r="EN18" s="3"/>
      <c r="EO18" s="3"/>
      <c r="EP18" s="3"/>
      <c r="EQ18" s="3"/>
      <c r="ER18" s="3"/>
      <c r="ES18" s="3"/>
      <c r="ET18" s="3"/>
      <c r="EU18" s="3"/>
    </row>
    <row r="19" spans="1:151">
      <c r="A19" s="48">
        <v>12</v>
      </c>
      <c r="B19" s="47">
        <v>50000</v>
      </c>
      <c r="C19" s="34">
        <f>B19/B21</f>
        <v>0.26936026936026936</v>
      </c>
      <c r="D19" s="47"/>
      <c r="E19" s="47"/>
      <c r="F19" s="47"/>
      <c r="G19" s="47"/>
      <c r="H19" s="47"/>
      <c r="I19" s="47"/>
      <c r="J19" s="47"/>
      <c r="K19" s="47"/>
      <c r="L19" s="47"/>
      <c r="M19" s="45">
        <v>12</v>
      </c>
      <c r="N19" s="45">
        <f t="shared" si="8"/>
        <v>50000</v>
      </c>
      <c r="O19" s="35">
        <f>N19/M21</f>
        <v>6.8434559452523525E-2</v>
      </c>
      <c r="P19" s="2"/>
      <c r="Q19" s="52">
        <v>12</v>
      </c>
      <c r="R19" s="50">
        <f>SUM(B8:B19)</f>
        <v>85625</v>
      </c>
      <c r="S19" s="34">
        <f>R19/R21</f>
        <v>0.46127946127946129</v>
      </c>
      <c r="T19" s="47"/>
      <c r="U19" s="47"/>
      <c r="V19" s="47"/>
      <c r="W19" s="47"/>
      <c r="X19" s="47"/>
      <c r="Y19" s="47"/>
      <c r="Z19" s="47"/>
      <c r="AA19" s="47"/>
      <c r="AB19" s="47"/>
      <c r="AC19" s="45">
        <v>12</v>
      </c>
      <c r="AD19" s="45">
        <f>R19+U18+X15+AA12</f>
        <v>630625</v>
      </c>
      <c r="AE19" s="34">
        <f>AD19/AC21</f>
        <v>0.86313088109495295</v>
      </c>
      <c r="AF19" s="2"/>
      <c r="AG19" s="52">
        <v>12</v>
      </c>
      <c r="AH19" s="50">
        <v>800</v>
      </c>
      <c r="AI19" s="34">
        <f>AH19/AH21</f>
        <v>0.21052631578947367</v>
      </c>
      <c r="AJ19" s="47"/>
      <c r="AK19" s="47"/>
      <c r="AL19" s="47"/>
      <c r="AM19" s="47"/>
      <c r="AN19" s="47"/>
      <c r="AO19" s="47"/>
      <c r="AP19" s="47"/>
      <c r="AQ19" s="47"/>
      <c r="AR19" s="47"/>
      <c r="AS19" s="45">
        <v>12</v>
      </c>
      <c r="AT19" s="45">
        <f>AH19+AK18+AN15+AQ12</f>
        <v>5600</v>
      </c>
      <c r="AU19" s="34">
        <f>AT19/AS21</f>
        <v>0.38445695455169571</v>
      </c>
      <c r="AV19" s="46"/>
      <c r="AW19" s="47"/>
      <c r="AX19" s="6"/>
      <c r="AY19" s="3"/>
      <c r="AZ19" s="3"/>
      <c r="BA19" s="3"/>
      <c r="BB19" s="3"/>
      <c r="BC19" s="18" t="s">
        <v>17</v>
      </c>
      <c r="BD19" s="19" t="s">
        <v>40</v>
      </c>
      <c r="BE19" s="18" t="s">
        <v>17</v>
      </c>
      <c r="BF19" s="19" t="s">
        <v>40</v>
      </c>
      <c r="BG19" s="18" t="s">
        <v>17</v>
      </c>
      <c r="BH19" s="19" t="s">
        <v>40</v>
      </c>
      <c r="BI19" s="18" t="s">
        <v>17</v>
      </c>
      <c r="BJ19" s="19" t="s">
        <v>40</v>
      </c>
      <c r="BK19" s="18" t="s">
        <v>17</v>
      </c>
      <c r="BL19" s="19" t="s">
        <v>40</v>
      </c>
      <c r="BM19" s="18" t="s">
        <v>17</v>
      </c>
      <c r="BN19" s="19" t="s">
        <v>40</v>
      </c>
      <c r="BO19" s="18" t="s">
        <v>17</v>
      </c>
      <c r="BP19" s="19" t="s">
        <v>40</v>
      </c>
      <c r="BQ19" s="18" t="s">
        <v>17</v>
      </c>
      <c r="BR19" s="19" t="s">
        <v>40</v>
      </c>
      <c r="BS19" s="18" t="s">
        <v>17</v>
      </c>
      <c r="BT19" s="19" t="s">
        <v>40</v>
      </c>
      <c r="BU19" s="18" t="s">
        <v>17</v>
      </c>
      <c r="BV19" s="3" t="s">
        <v>41</v>
      </c>
      <c r="BW19" s="19" t="s">
        <v>4</v>
      </c>
      <c r="BX19" s="18" t="s">
        <v>0</v>
      </c>
      <c r="BY19" s="3" t="s">
        <v>10</v>
      </c>
      <c r="BZ19" s="19" t="s">
        <v>11</v>
      </c>
      <c r="CA19" s="18" t="s">
        <v>0</v>
      </c>
      <c r="CB19" s="3" t="s">
        <v>10</v>
      </c>
      <c r="CC19" s="19" t="s">
        <v>11</v>
      </c>
      <c r="CD19" s="2"/>
      <c r="CE19" s="18" t="s">
        <v>17</v>
      </c>
      <c r="CF19" s="19" t="s">
        <v>40</v>
      </c>
      <c r="CG19" s="18" t="s">
        <v>17</v>
      </c>
      <c r="CH19" s="19" t="s">
        <v>40</v>
      </c>
      <c r="CI19" s="18" t="s">
        <v>17</v>
      </c>
      <c r="CJ19" s="19" t="s">
        <v>40</v>
      </c>
      <c r="CK19" s="18" t="s">
        <v>17</v>
      </c>
      <c r="CL19" s="19" t="s">
        <v>40</v>
      </c>
      <c r="CM19" s="18" t="s">
        <v>17</v>
      </c>
      <c r="CN19" s="19" t="s">
        <v>40</v>
      </c>
      <c r="CO19" s="18" t="s">
        <v>17</v>
      </c>
      <c r="CP19" s="19" t="s">
        <v>40</v>
      </c>
      <c r="CQ19" s="18" t="s">
        <v>17</v>
      </c>
      <c r="CR19" s="19" t="s">
        <v>40</v>
      </c>
      <c r="CS19" s="18" t="s">
        <v>17</v>
      </c>
      <c r="CT19" s="19" t="s">
        <v>40</v>
      </c>
      <c r="CU19" s="18" t="s">
        <v>17</v>
      </c>
      <c r="CV19" s="19" t="s">
        <v>40</v>
      </c>
      <c r="CW19" s="18" t="s">
        <v>17</v>
      </c>
      <c r="CX19" s="3" t="s">
        <v>41</v>
      </c>
      <c r="CY19" s="19" t="s">
        <v>4</v>
      </c>
      <c r="CZ19" s="18" t="s">
        <v>0</v>
      </c>
      <c r="DA19" s="3" t="s">
        <v>10</v>
      </c>
      <c r="DB19" s="19" t="s">
        <v>11</v>
      </c>
      <c r="DC19" s="18" t="s">
        <v>0</v>
      </c>
      <c r="DD19" s="3" t="s">
        <v>10</v>
      </c>
      <c r="DE19" s="19" t="s">
        <v>11</v>
      </c>
      <c r="DF19" s="3"/>
      <c r="DG19" s="3"/>
      <c r="DH19" s="3"/>
      <c r="DI19" s="3"/>
      <c r="DJ19" s="3"/>
      <c r="DK19" s="18" t="s">
        <v>20</v>
      </c>
      <c r="DL19" s="32">
        <v>410</v>
      </c>
      <c r="DM19" s="32">
        <v>410</v>
      </c>
      <c r="DN19" s="30">
        <f t="shared" si="9"/>
        <v>410</v>
      </c>
      <c r="DO19" s="18">
        <f t="shared" si="10"/>
        <v>41</v>
      </c>
      <c r="DP19" s="18">
        <v>32</v>
      </c>
      <c r="DQ19" s="33">
        <v>8</v>
      </c>
      <c r="DR19" s="19">
        <v>1</v>
      </c>
      <c r="DS19" s="34">
        <v>0</v>
      </c>
      <c r="DT19" s="29">
        <f t="shared" si="11"/>
        <v>1470</v>
      </c>
      <c r="DU19" s="30">
        <f t="shared" si="12"/>
        <v>1470</v>
      </c>
      <c r="DV19" s="15">
        <v>7</v>
      </c>
      <c r="DW19" s="16">
        <v>20</v>
      </c>
      <c r="DX19" s="17">
        <f>DW19*DV19</f>
        <v>140</v>
      </c>
      <c r="DY19" s="3"/>
      <c r="DZ19" s="18" t="s">
        <v>20</v>
      </c>
      <c r="EA19" s="32">
        <v>960</v>
      </c>
      <c r="EB19" s="32">
        <v>960</v>
      </c>
      <c r="EC19" s="30">
        <f t="shared" si="13"/>
        <v>960</v>
      </c>
      <c r="ED19" s="18">
        <f t="shared" si="14"/>
        <v>96</v>
      </c>
      <c r="EE19" s="18">
        <v>74</v>
      </c>
      <c r="EF19" s="33">
        <v>19</v>
      </c>
      <c r="EG19" s="19">
        <v>3</v>
      </c>
      <c r="EH19" s="35">
        <f>((ED19*$DI$5)/$DI$4)*(1/$DI$13)</f>
        <v>0.1090909090909091</v>
      </c>
      <c r="EI19" s="29">
        <f t="shared" si="15"/>
        <v>3780</v>
      </c>
      <c r="EJ19" s="30">
        <f t="shared" si="16"/>
        <v>3780</v>
      </c>
      <c r="EK19" s="15">
        <v>16</v>
      </c>
      <c r="EL19" s="16">
        <v>20</v>
      </c>
      <c r="EM19" s="17">
        <f>EL19*EK19</f>
        <v>320</v>
      </c>
      <c r="EN19" s="3"/>
      <c r="EO19" s="3"/>
      <c r="EP19" s="3"/>
      <c r="EQ19" s="3"/>
      <c r="ER19" s="3"/>
      <c r="ES19" s="3"/>
      <c r="ET19" s="3"/>
      <c r="EU19" s="3"/>
    </row>
    <row r="20" spans="1:151">
      <c r="A20" s="48">
        <v>13</v>
      </c>
      <c r="B20" s="47">
        <v>100000</v>
      </c>
      <c r="C20" s="34">
        <f>B20/B21</f>
        <v>0.53872053872053871</v>
      </c>
      <c r="D20" s="47"/>
      <c r="E20" s="47"/>
      <c r="F20" s="47"/>
      <c r="G20" s="47"/>
      <c r="H20" s="47"/>
      <c r="I20" s="47"/>
      <c r="J20" s="47"/>
      <c r="K20" s="47"/>
      <c r="L20" s="47"/>
      <c r="M20" s="45">
        <v>13</v>
      </c>
      <c r="N20" s="45">
        <f t="shared" si="8"/>
        <v>100000</v>
      </c>
      <c r="O20" s="35">
        <f>N20/M21</f>
        <v>0.13686911890504705</v>
      </c>
      <c r="P20" s="2"/>
      <c r="Q20" s="52">
        <v>13</v>
      </c>
      <c r="R20" s="50">
        <f>SUM(B8:B20)</f>
        <v>185625</v>
      </c>
      <c r="S20" s="34">
        <f>R20/R21</f>
        <v>1</v>
      </c>
      <c r="T20" s="47"/>
      <c r="U20" s="47"/>
      <c r="V20" s="47"/>
      <c r="W20" s="47"/>
      <c r="X20" s="47"/>
      <c r="Y20" s="47"/>
      <c r="Z20" s="47"/>
      <c r="AA20" s="47"/>
      <c r="AB20" s="47"/>
      <c r="AC20" s="45">
        <v>13</v>
      </c>
      <c r="AD20" s="45">
        <f>R20+U18+X15+AA12</f>
        <v>730625</v>
      </c>
      <c r="AE20" s="34">
        <f>AD20/AC21</f>
        <v>1</v>
      </c>
      <c r="AF20" s="2"/>
      <c r="AG20" s="52">
        <v>13</v>
      </c>
      <c r="AH20" s="50">
        <v>1600</v>
      </c>
      <c r="AI20" s="34">
        <f>AH20/AH21</f>
        <v>0.42105263157894735</v>
      </c>
      <c r="AJ20" s="47"/>
      <c r="AK20" s="47"/>
      <c r="AL20" s="47"/>
      <c r="AM20" s="47"/>
      <c r="AN20" s="47"/>
      <c r="AO20" s="47"/>
      <c r="AP20" s="47"/>
      <c r="AQ20" s="47"/>
      <c r="AR20" s="47"/>
      <c r="AS20" s="45">
        <v>13</v>
      </c>
      <c r="AT20" s="45">
        <f>AH20+AK18+AN15+AQ12</f>
        <v>6400</v>
      </c>
      <c r="AU20" s="34">
        <f>AT20/AS21</f>
        <v>0.43937937663050941</v>
      </c>
      <c r="AV20" s="46"/>
      <c r="AW20" s="47"/>
      <c r="AX20" s="6"/>
      <c r="AY20" s="3"/>
      <c r="AZ20" s="3"/>
      <c r="BA20" s="3"/>
      <c r="BB20" s="3"/>
      <c r="BC20" s="22" t="s">
        <v>105</v>
      </c>
      <c r="BD20" s="23">
        <v>7</v>
      </c>
      <c r="BE20" s="22" t="s">
        <v>106</v>
      </c>
      <c r="BF20" s="23">
        <v>7</v>
      </c>
      <c r="BG20" s="22" t="s">
        <v>107</v>
      </c>
      <c r="BH20" s="23">
        <v>23</v>
      </c>
      <c r="BI20" s="22" t="s">
        <v>108</v>
      </c>
      <c r="BJ20" s="23">
        <v>46</v>
      </c>
      <c r="BK20" s="22" t="s">
        <v>109</v>
      </c>
      <c r="BL20" s="23">
        <v>184</v>
      </c>
      <c r="BM20" s="22" t="s">
        <v>110</v>
      </c>
      <c r="BN20" s="23">
        <v>69</v>
      </c>
      <c r="BO20" s="22" t="s">
        <v>111</v>
      </c>
      <c r="BP20" s="23">
        <v>414</v>
      </c>
      <c r="BQ20" s="22">
        <v>0</v>
      </c>
      <c r="BR20" s="23">
        <v>13</v>
      </c>
      <c r="BS20" s="22">
        <v>0</v>
      </c>
      <c r="BT20" s="23">
        <v>1</v>
      </c>
      <c r="BU20" s="22">
        <v>12</v>
      </c>
      <c r="BV20" s="24">
        <v>20</v>
      </c>
      <c r="BW20" s="17">
        <f>BV20*BU20</f>
        <v>240</v>
      </c>
      <c r="BX20" s="15">
        <v>20</v>
      </c>
      <c r="BY20" s="16">
        <v>2</v>
      </c>
      <c r="BZ20" s="17">
        <v>2</v>
      </c>
      <c r="CA20" s="15">
        <v>4</v>
      </c>
      <c r="CB20" s="16">
        <v>1</v>
      </c>
      <c r="CC20" s="17">
        <v>1</v>
      </c>
      <c r="CD20" s="2"/>
      <c r="CE20" s="22">
        <v>53</v>
      </c>
      <c r="CF20" s="23">
        <v>7</v>
      </c>
      <c r="CG20" s="22">
        <v>42</v>
      </c>
      <c r="CH20" s="23">
        <v>7</v>
      </c>
      <c r="CI20" s="22">
        <v>138</v>
      </c>
      <c r="CJ20" s="23">
        <v>23</v>
      </c>
      <c r="CK20" s="22">
        <v>345</v>
      </c>
      <c r="CL20" s="23">
        <v>46</v>
      </c>
      <c r="CM20" s="22">
        <v>1104</v>
      </c>
      <c r="CN20" s="23">
        <v>184</v>
      </c>
      <c r="CO20" s="22">
        <v>414</v>
      </c>
      <c r="CP20" s="23">
        <v>69</v>
      </c>
      <c r="CQ20" s="22">
        <v>2484</v>
      </c>
      <c r="CR20" s="23">
        <v>414</v>
      </c>
      <c r="CS20" s="22">
        <v>0</v>
      </c>
      <c r="CT20" s="23">
        <v>13</v>
      </c>
      <c r="CU20" s="22">
        <v>0</v>
      </c>
      <c r="CV20" s="23">
        <v>1</v>
      </c>
      <c r="CW20" s="22">
        <v>12</v>
      </c>
      <c r="CX20" s="24">
        <v>20</v>
      </c>
      <c r="CY20" s="17">
        <f>CX20*CW20</f>
        <v>240</v>
      </c>
      <c r="CZ20" s="15">
        <v>20</v>
      </c>
      <c r="DA20" s="16">
        <v>2</v>
      </c>
      <c r="DB20" s="17">
        <v>2</v>
      </c>
      <c r="DC20" s="15">
        <v>4</v>
      </c>
      <c r="DD20" s="16">
        <v>1</v>
      </c>
      <c r="DE20" s="17">
        <v>1</v>
      </c>
      <c r="DF20" s="3"/>
      <c r="DG20" s="3"/>
      <c r="DH20" s="3"/>
      <c r="DI20" s="3"/>
      <c r="DJ20" s="3"/>
      <c r="DK20" s="15" t="s">
        <v>82</v>
      </c>
      <c r="DL20" s="53">
        <v>2187</v>
      </c>
      <c r="DM20" s="53">
        <v>2187</v>
      </c>
      <c r="DN20" s="54">
        <f t="shared" si="9"/>
        <v>2187</v>
      </c>
      <c r="DO20" s="15">
        <f t="shared" si="10"/>
        <v>243</v>
      </c>
      <c r="DP20" s="15">
        <v>187</v>
      </c>
      <c r="DQ20" s="55">
        <v>48</v>
      </c>
      <c r="DR20" s="17">
        <v>8</v>
      </c>
      <c r="DS20" s="56">
        <v>0</v>
      </c>
      <c r="DT20" s="57">
        <f t="shared" si="11"/>
        <v>9522</v>
      </c>
      <c r="DU20" s="54">
        <f t="shared" si="12"/>
        <v>9522</v>
      </c>
      <c r="DV20" s="3"/>
      <c r="DW20" s="3"/>
      <c r="DX20" s="3"/>
      <c r="DY20" s="3"/>
      <c r="DZ20" s="15" t="s">
        <v>82</v>
      </c>
      <c r="EA20" s="53">
        <v>5184</v>
      </c>
      <c r="EB20" s="53">
        <v>5184</v>
      </c>
      <c r="EC20" s="54">
        <f t="shared" si="13"/>
        <v>5184</v>
      </c>
      <c r="ED20" s="15">
        <f t="shared" si="14"/>
        <v>576</v>
      </c>
      <c r="EE20" s="15">
        <v>442</v>
      </c>
      <c r="EF20" s="55">
        <v>115</v>
      </c>
      <c r="EG20" s="17">
        <v>19</v>
      </c>
      <c r="EH20" s="58">
        <f>((ED20*$DI$5)/$DI$4)*(1/$DI$14)</f>
        <v>0.65454545454545465</v>
      </c>
      <c r="EI20" s="57">
        <f t="shared" si="15"/>
        <v>22644</v>
      </c>
      <c r="EJ20" s="54">
        <f t="shared" si="16"/>
        <v>22644</v>
      </c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</row>
    <row r="21" spans="1:151" ht="15.75" customHeight="1">
      <c r="A21" s="63" t="s">
        <v>112</v>
      </c>
      <c r="B21" s="136">
        <f>SUM(B8:B20)</f>
        <v>185625</v>
      </c>
      <c r="C21" s="136"/>
      <c r="D21" s="137">
        <f>SUM(E8:E18)</f>
        <v>185600</v>
      </c>
      <c r="E21" s="137"/>
      <c r="F21" s="137"/>
      <c r="G21" s="137">
        <f>SUM(H8:H15)</f>
        <v>184400</v>
      </c>
      <c r="H21" s="137"/>
      <c r="I21" s="137"/>
      <c r="J21" s="137">
        <f>SUM(K8:K12)</f>
        <v>175000</v>
      </c>
      <c r="K21" s="137"/>
      <c r="L21" s="137"/>
      <c r="M21" s="138">
        <f>SUM(N8:N20)</f>
        <v>730625</v>
      </c>
      <c r="N21" s="138"/>
      <c r="O21" s="138"/>
      <c r="P21" s="2"/>
      <c r="Q21" s="63" t="s">
        <v>112</v>
      </c>
      <c r="R21" s="136">
        <f>SUM(R20)</f>
        <v>185625</v>
      </c>
      <c r="S21" s="136"/>
      <c r="T21" s="137">
        <f>U18</f>
        <v>185600</v>
      </c>
      <c r="U21" s="137"/>
      <c r="V21" s="137"/>
      <c r="W21" s="137">
        <f>X15</f>
        <v>184400</v>
      </c>
      <c r="X21" s="137"/>
      <c r="Y21" s="137"/>
      <c r="Z21" s="137">
        <f>AA12</f>
        <v>175000</v>
      </c>
      <c r="AA21" s="137"/>
      <c r="AB21" s="137"/>
      <c r="AC21" s="138">
        <f>SUM(R21:AA21)</f>
        <v>730625</v>
      </c>
      <c r="AD21" s="138"/>
      <c r="AE21" s="138"/>
      <c r="AF21" s="2"/>
      <c r="AG21" s="63" t="s">
        <v>112</v>
      </c>
      <c r="AH21" s="136">
        <f>SUM(AH8:AH20)</f>
        <v>3800</v>
      </c>
      <c r="AI21" s="136"/>
      <c r="AJ21" s="137">
        <f>SUM(AK8:AK18)</f>
        <v>3791</v>
      </c>
      <c r="AK21" s="137"/>
      <c r="AL21" s="137"/>
      <c r="AM21" s="137">
        <f>SUM(AN8:AN15)</f>
        <v>3725</v>
      </c>
      <c r="AN21" s="137"/>
      <c r="AO21" s="137"/>
      <c r="AP21" s="137">
        <f>SUM(AQ8:AQ12)</f>
        <v>3250</v>
      </c>
      <c r="AQ21" s="137"/>
      <c r="AR21" s="137"/>
      <c r="AS21" s="138">
        <f>SUM(AH21:AQ21)</f>
        <v>14566</v>
      </c>
      <c r="AT21" s="138"/>
      <c r="AU21" s="138"/>
      <c r="AV21" s="46"/>
      <c r="AW21" s="47"/>
      <c r="AX21" s="47"/>
      <c r="AY21" s="3"/>
      <c r="AZ21" s="3"/>
      <c r="BA21" s="3"/>
      <c r="BB21" s="3"/>
      <c r="BC21" s="22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16"/>
      <c r="BX21" s="16"/>
      <c r="BY21" s="16"/>
      <c r="BZ21" s="16"/>
      <c r="CA21" s="16"/>
      <c r="CB21" s="16"/>
      <c r="CC21" s="17"/>
      <c r="CD21" s="2"/>
      <c r="CE21" s="22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16"/>
      <c r="CZ21" s="16"/>
      <c r="DA21" s="16"/>
      <c r="DB21" s="16"/>
      <c r="DC21" s="16"/>
      <c r="DD21" s="16"/>
      <c r="DE21" s="17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</row>
    <row r="22" spans="1:151" ht="15.75" customHeight="1">
      <c r="A22" s="63" t="s">
        <v>69</v>
      </c>
      <c r="B22" s="139">
        <f>B21/M21</f>
        <v>0.2540633019674936</v>
      </c>
      <c r="C22" s="139"/>
      <c r="D22" s="140">
        <f>D21/M21</f>
        <v>0.2540290846877673</v>
      </c>
      <c r="E22" s="140"/>
      <c r="F22" s="140"/>
      <c r="G22" s="140">
        <f>G21/M21</f>
        <v>0.25238665526090676</v>
      </c>
      <c r="H22" s="140"/>
      <c r="I22" s="140"/>
      <c r="J22" s="140">
        <f>J21/M21</f>
        <v>0.23952095808383234</v>
      </c>
      <c r="K22" s="140"/>
      <c r="L22" s="140"/>
      <c r="M22" s="141">
        <f>M21/M21</f>
        <v>1</v>
      </c>
      <c r="N22" s="141"/>
      <c r="O22" s="141"/>
      <c r="P22" s="2"/>
      <c r="Q22" s="27" t="s">
        <v>69</v>
      </c>
      <c r="R22" s="142">
        <f>R21/AC21</f>
        <v>0.2540633019674936</v>
      </c>
      <c r="S22" s="142"/>
      <c r="T22" s="143">
        <f>T21/AC21</f>
        <v>0.2540290846877673</v>
      </c>
      <c r="U22" s="143"/>
      <c r="V22" s="143"/>
      <c r="W22" s="143">
        <f>W21/AC21</f>
        <v>0.25238665526090676</v>
      </c>
      <c r="X22" s="143"/>
      <c r="Y22" s="143"/>
      <c r="Z22" s="143">
        <f>Z21/AC21</f>
        <v>0.23952095808383234</v>
      </c>
      <c r="AA22" s="143"/>
      <c r="AB22" s="143"/>
      <c r="AC22" s="143">
        <f>AC21/AC21</f>
        <v>1</v>
      </c>
      <c r="AD22" s="143"/>
      <c r="AE22" s="143"/>
      <c r="AF22" s="2"/>
      <c r="AG22" s="7" t="s">
        <v>69</v>
      </c>
      <c r="AH22" s="139">
        <f>AH21/AS21</f>
        <v>0.26088150487436496</v>
      </c>
      <c r="AI22" s="139"/>
      <c r="AJ22" s="140">
        <f>AJ21/AS21</f>
        <v>0.26026362762597832</v>
      </c>
      <c r="AK22" s="140"/>
      <c r="AL22" s="140"/>
      <c r="AM22" s="140">
        <f>AM21/AS21</f>
        <v>0.2557325278044762</v>
      </c>
      <c r="AN22" s="140"/>
      <c r="AO22" s="140"/>
      <c r="AP22" s="140">
        <f>AP21/AS21</f>
        <v>0.22312233969518055</v>
      </c>
      <c r="AQ22" s="140"/>
      <c r="AR22" s="140"/>
      <c r="AS22" s="140">
        <f>AS21/AS21</f>
        <v>1</v>
      </c>
      <c r="AT22" s="140"/>
      <c r="AU22" s="140"/>
      <c r="AV22" s="70"/>
      <c r="AW22" s="71"/>
      <c r="AX22" s="71"/>
      <c r="AY22" s="3"/>
      <c r="AZ22" s="3"/>
      <c r="BA22" s="3"/>
      <c r="BB22" s="3"/>
      <c r="BC22" s="131" t="s">
        <v>113</v>
      </c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2"/>
      <c r="CE22" s="131" t="s">
        <v>113</v>
      </c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3"/>
      <c r="DG22" s="3"/>
      <c r="DH22" s="3"/>
      <c r="DI22" s="3"/>
      <c r="DJ22" s="3"/>
      <c r="DK22" s="12" t="s">
        <v>114</v>
      </c>
      <c r="DL22" s="135" t="s">
        <v>115</v>
      </c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3"/>
      <c r="DZ22" s="12" t="s">
        <v>116</v>
      </c>
      <c r="EA22" s="135" t="s">
        <v>117</v>
      </c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3"/>
      <c r="EO22" s="3"/>
      <c r="EP22" s="3"/>
      <c r="EQ22" s="3"/>
      <c r="ER22" s="3"/>
      <c r="ES22" s="3"/>
      <c r="ET22" s="3"/>
      <c r="EU22" s="3"/>
    </row>
    <row r="23" spans="1:151" ht="15.75" customHeight="1">
      <c r="A23" s="72"/>
      <c r="B23" s="2"/>
      <c r="C23" s="73"/>
      <c r="D23" s="74"/>
      <c r="E23" s="73"/>
      <c r="F23" s="73"/>
      <c r="G23" s="73"/>
      <c r="H23" s="7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76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3"/>
      <c r="AX23" s="3"/>
      <c r="AY23" s="3"/>
      <c r="AZ23" s="3"/>
      <c r="BA23" s="3"/>
      <c r="BB23" s="3"/>
      <c r="BC23" s="133" t="s">
        <v>24</v>
      </c>
      <c r="BD23" s="133"/>
      <c r="BE23" s="133" t="s">
        <v>25</v>
      </c>
      <c r="BF23" s="133"/>
      <c r="BG23" s="133" t="s">
        <v>26</v>
      </c>
      <c r="BH23" s="133"/>
      <c r="BI23" s="133" t="s">
        <v>27</v>
      </c>
      <c r="BJ23" s="133"/>
      <c r="BK23" s="133" t="s">
        <v>28</v>
      </c>
      <c r="BL23" s="133"/>
      <c r="BM23" s="133" t="s">
        <v>29</v>
      </c>
      <c r="BN23" s="133"/>
      <c r="BO23" s="133" t="s">
        <v>30</v>
      </c>
      <c r="BP23" s="133"/>
      <c r="BQ23" s="133" t="s">
        <v>31</v>
      </c>
      <c r="BR23" s="133"/>
      <c r="BS23" s="133" t="s">
        <v>32</v>
      </c>
      <c r="BT23" s="133"/>
      <c r="BU23" s="133" t="s">
        <v>33</v>
      </c>
      <c r="BV23" s="133"/>
      <c r="BW23" s="133"/>
      <c r="BX23" s="133" t="s">
        <v>34</v>
      </c>
      <c r="BY23" s="133"/>
      <c r="BZ23" s="133"/>
      <c r="CA23" s="134" t="s">
        <v>35</v>
      </c>
      <c r="CB23" s="134"/>
      <c r="CC23" s="134"/>
      <c r="CD23" s="2"/>
      <c r="CE23" s="133" t="s">
        <v>24</v>
      </c>
      <c r="CF23" s="133"/>
      <c r="CG23" s="133" t="s">
        <v>25</v>
      </c>
      <c r="CH23" s="133"/>
      <c r="CI23" s="133" t="s">
        <v>26</v>
      </c>
      <c r="CJ23" s="133"/>
      <c r="CK23" s="133" t="s">
        <v>27</v>
      </c>
      <c r="CL23" s="133"/>
      <c r="CM23" s="133" t="s">
        <v>28</v>
      </c>
      <c r="CN23" s="133"/>
      <c r="CO23" s="133" t="s">
        <v>29</v>
      </c>
      <c r="CP23" s="133"/>
      <c r="CQ23" s="133" t="s">
        <v>30</v>
      </c>
      <c r="CR23" s="133"/>
      <c r="CS23" s="133" t="s">
        <v>31</v>
      </c>
      <c r="CT23" s="133"/>
      <c r="CU23" s="133" t="s">
        <v>32</v>
      </c>
      <c r="CV23" s="133"/>
      <c r="CW23" s="133" t="s">
        <v>33</v>
      </c>
      <c r="CX23" s="133"/>
      <c r="CY23" s="133"/>
      <c r="CZ23" s="133" t="s">
        <v>34</v>
      </c>
      <c r="DA23" s="133"/>
      <c r="DB23" s="133"/>
      <c r="DC23" s="134" t="s">
        <v>35</v>
      </c>
      <c r="DD23" s="134"/>
      <c r="DE23" s="134"/>
      <c r="DF23" s="3"/>
      <c r="DG23" s="3"/>
      <c r="DH23" s="3"/>
      <c r="DI23" s="3"/>
      <c r="DJ23" s="3"/>
      <c r="DK23" s="10" t="s">
        <v>43</v>
      </c>
      <c r="DL23" s="7" t="s">
        <v>44</v>
      </c>
      <c r="DM23" s="7" t="s">
        <v>45</v>
      </c>
      <c r="DN23" s="20" t="s">
        <v>46</v>
      </c>
      <c r="DO23" s="7" t="s">
        <v>47</v>
      </c>
      <c r="DP23" s="20" t="s">
        <v>48</v>
      </c>
      <c r="DQ23" s="20" t="s">
        <v>1</v>
      </c>
      <c r="DR23" s="20" t="s">
        <v>2</v>
      </c>
      <c r="DS23" s="20" t="s">
        <v>49</v>
      </c>
      <c r="DT23" s="7" t="s">
        <v>50</v>
      </c>
      <c r="DU23" s="20" t="s">
        <v>51</v>
      </c>
      <c r="DV23" s="7" t="s">
        <v>40</v>
      </c>
      <c r="DW23" s="21" t="s">
        <v>34</v>
      </c>
      <c r="DX23" s="20" t="s">
        <v>35</v>
      </c>
      <c r="DY23" s="3"/>
      <c r="DZ23" s="10" t="s">
        <v>43</v>
      </c>
      <c r="EA23" s="7" t="s">
        <v>44</v>
      </c>
      <c r="EB23" s="7" t="s">
        <v>45</v>
      </c>
      <c r="EC23" s="20" t="s">
        <v>46</v>
      </c>
      <c r="ED23" s="7" t="s">
        <v>47</v>
      </c>
      <c r="EE23" s="20" t="s">
        <v>48</v>
      </c>
      <c r="EF23" s="20" t="s">
        <v>1</v>
      </c>
      <c r="EG23" s="20" t="s">
        <v>2</v>
      </c>
      <c r="EH23" s="20" t="s">
        <v>49</v>
      </c>
      <c r="EI23" s="7" t="s">
        <v>50</v>
      </c>
      <c r="EJ23" s="20" t="s">
        <v>51</v>
      </c>
      <c r="EK23" s="7" t="s">
        <v>40</v>
      </c>
      <c r="EL23" s="21" t="s">
        <v>34</v>
      </c>
      <c r="EM23" s="20" t="s">
        <v>35</v>
      </c>
      <c r="EN23" s="3"/>
      <c r="EO23" s="3"/>
      <c r="EP23" s="3"/>
      <c r="EQ23" s="3"/>
      <c r="ER23" s="3"/>
      <c r="ES23" s="3"/>
      <c r="ET23" s="3"/>
      <c r="EU23" s="3"/>
    </row>
    <row r="24" spans="1:151" ht="15.75" customHeight="1">
      <c r="A24" s="134" t="s">
        <v>118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2"/>
      <c r="Q24" s="134" t="s">
        <v>119</v>
      </c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2"/>
      <c r="AG24" s="134" t="s">
        <v>120</v>
      </c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2"/>
      <c r="AW24" s="3"/>
      <c r="AX24" s="3"/>
      <c r="AY24" s="3"/>
      <c r="AZ24" s="3"/>
      <c r="BA24" s="3"/>
      <c r="BB24" s="3"/>
      <c r="BC24" s="18" t="s">
        <v>17</v>
      </c>
      <c r="BD24" s="19" t="s">
        <v>40</v>
      </c>
      <c r="BE24" s="18" t="s">
        <v>17</v>
      </c>
      <c r="BF24" s="19" t="s">
        <v>40</v>
      </c>
      <c r="BG24" s="18" t="s">
        <v>17</v>
      </c>
      <c r="BH24" s="19" t="s">
        <v>40</v>
      </c>
      <c r="BI24" s="18" t="s">
        <v>17</v>
      </c>
      <c r="BJ24" s="19" t="s">
        <v>40</v>
      </c>
      <c r="BK24" s="18" t="s">
        <v>17</v>
      </c>
      <c r="BL24" s="19" t="s">
        <v>40</v>
      </c>
      <c r="BM24" s="18" t="s">
        <v>17</v>
      </c>
      <c r="BN24" s="19" t="s">
        <v>40</v>
      </c>
      <c r="BO24" s="18" t="s">
        <v>17</v>
      </c>
      <c r="BP24" s="19" t="s">
        <v>40</v>
      </c>
      <c r="BQ24" s="18" t="s">
        <v>17</v>
      </c>
      <c r="BR24" s="19" t="s">
        <v>40</v>
      </c>
      <c r="BS24" s="18" t="s">
        <v>17</v>
      </c>
      <c r="BT24" s="19" t="s">
        <v>40</v>
      </c>
      <c r="BU24" s="18" t="s">
        <v>17</v>
      </c>
      <c r="BV24" s="3" t="s">
        <v>41</v>
      </c>
      <c r="BW24" s="19" t="s">
        <v>4</v>
      </c>
      <c r="BX24" s="18" t="s">
        <v>0</v>
      </c>
      <c r="BY24" s="3" t="s">
        <v>10</v>
      </c>
      <c r="BZ24" s="19" t="s">
        <v>11</v>
      </c>
      <c r="CA24" s="18" t="s">
        <v>0</v>
      </c>
      <c r="CB24" s="3" t="s">
        <v>10</v>
      </c>
      <c r="CC24" s="19" t="s">
        <v>11</v>
      </c>
      <c r="CD24" s="2"/>
      <c r="CE24" s="18" t="s">
        <v>17</v>
      </c>
      <c r="CF24" s="19" t="s">
        <v>40</v>
      </c>
      <c r="CG24" s="18" t="s">
        <v>17</v>
      </c>
      <c r="CH24" s="19" t="s">
        <v>40</v>
      </c>
      <c r="CI24" s="18" t="s">
        <v>17</v>
      </c>
      <c r="CJ24" s="19" t="s">
        <v>40</v>
      </c>
      <c r="CK24" s="18" t="s">
        <v>17</v>
      </c>
      <c r="CL24" s="19" t="s">
        <v>40</v>
      </c>
      <c r="CM24" s="18" t="s">
        <v>17</v>
      </c>
      <c r="CN24" s="19" t="s">
        <v>40</v>
      </c>
      <c r="CO24" s="18" t="s">
        <v>17</v>
      </c>
      <c r="CP24" s="19" t="s">
        <v>40</v>
      </c>
      <c r="CQ24" s="18" t="s">
        <v>17</v>
      </c>
      <c r="CR24" s="19" t="s">
        <v>40</v>
      </c>
      <c r="CS24" s="18" t="s">
        <v>17</v>
      </c>
      <c r="CT24" s="19" t="s">
        <v>40</v>
      </c>
      <c r="CU24" s="18" t="s">
        <v>17</v>
      </c>
      <c r="CV24" s="19" t="s">
        <v>40</v>
      </c>
      <c r="CW24" s="18" t="s">
        <v>17</v>
      </c>
      <c r="CX24" s="3" t="s">
        <v>41</v>
      </c>
      <c r="CY24" s="19" t="s">
        <v>4</v>
      </c>
      <c r="CZ24" s="18" t="s">
        <v>0</v>
      </c>
      <c r="DA24" s="3" t="s">
        <v>10</v>
      </c>
      <c r="DB24" s="19" t="s">
        <v>11</v>
      </c>
      <c r="DC24" s="18" t="s">
        <v>0</v>
      </c>
      <c r="DD24" s="3" t="s">
        <v>10</v>
      </c>
      <c r="DE24" s="19" t="s">
        <v>11</v>
      </c>
      <c r="DF24" s="3"/>
      <c r="DG24" s="3"/>
      <c r="DH24" s="3"/>
      <c r="DI24" s="3"/>
      <c r="DJ24" s="3"/>
      <c r="DK24" s="12" t="s">
        <v>16</v>
      </c>
      <c r="DL24" s="25">
        <v>28</v>
      </c>
      <c r="DM24" s="25">
        <v>32</v>
      </c>
      <c r="DN24" s="26">
        <f t="shared" ref="DN24:DN30" si="17">(DL24+DM24)/2</f>
        <v>30</v>
      </c>
      <c r="DO24" s="18">
        <f t="shared" ref="DO24:DO30" si="18">DP24+DQ24+DR24</f>
        <v>4</v>
      </c>
      <c r="DP24" s="12">
        <v>4</v>
      </c>
      <c r="DQ24" s="27">
        <v>0</v>
      </c>
      <c r="DR24" s="19">
        <v>0</v>
      </c>
      <c r="DS24" s="28">
        <v>0</v>
      </c>
      <c r="DT24" s="29">
        <f t="shared" ref="DT24:DT30" si="19">(DP24*$O$3)+(DQ24*$P$3)+($Q$3*DR24)+DL24</f>
        <v>48</v>
      </c>
      <c r="DU24" s="30">
        <f t="shared" ref="DU24:DU30" si="20">(DP24*$O$3)+(DQ24*$P$3)+($Q$3*DR24)+DM24</f>
        <v>52</v>
      </c>
      <c r="DV24" s="18" t="s">
        <v>0</v>
      </c>
      <c r="DW24" s="3">
        <v>10</v>
      </c>
      <c r="DX24" s="19">
        <v>2</v>
      </c>
      <c r="DY24" s="3"/>
      <c r="DZ24" s="12" t="s">
        <v>16</v>
      </c>
      <c r="EA24" s="25">
        <v>77</v>
      </c>
      <c r="EB24" s="25">
        <v>88</v>
      </c>
      <c r="EC24" s="26">
        <f t="shared" ref="EC24:EC30" si="21">(EA24+EB24)/2</f>
        <v>82.5</v>
      </c>
      <c r="ED24" s="18">
        <f t="shared" ref="ED24:ED30" si="22">EE24+EF24+EG24</f>
        <v>11</v>
      </c>
      <c r="EE24" s="12">
        <v>10</v>
      </c>
      <c r="EF24" s="27">
        <v>1</v>
      </c>
      <c r="EG24" s="19">
        <v>0</v>
      </c>
      <c r="EH24" s="31">
        <f>((ED24*$DI$5)/$DI$4)*(1/$DI$8)</f>
        <v>1.8749999999999999E-3</v>
      </c>
      <c r="EI24" s="29">
        <f t="shared" ref="EI24:EI30" si="23">(EE24*$O$3)+(EF24*$P$3)+($Q$3*EG24)+EA24</f>
        <v>177</v>
      </c>
      <c r="EJ24" s="30">
        <f t="shared" ref="EJ24:EJ30" si="24">(EE24*$O$3)+(EF24*$P$3)+($Q$3*EG24)+EB24</f>
        <v>188</v>
      </c>
      <c r="EK24" s="18" t="s">
        <v>0</v>
      </c>
      <c r="EL24" s="3">
        <v>30</v>
      </c>
      <c r="EM24" s="19">
        <v>6</v>
      </c>
      <c r="EN24" s="3"/>
      <c r="EO24" s="3"/>
      <c r="EP24" s="3"/>
      <c r="EQ24" s="3"/>
      <c r="ER24" s="3"/>
      <c r="ES24" s="3"/>
      <c r="ET24" s="3"/>
      <c r="EU24" s="3"/>
    </row>
    <row r="25" spans="1:151" ht="15.75" customHeight="1">
      <c r="A25" s="131" t="s">
        <v>48</v>
      </c>
      <c r="B25" s="131"/>
      <c r="C25" s="131"/>
      <c r="D25" s="131" t="s">
        <v>1</v>
      </c>
      <c r="E25" s="131"/>
      <c r="F25" s="131"/>
      <c r="G25" s="131" t="s">
        <v>2</v>
      </c>
      <c r="H25" s="131"/>
      <c r="I25" s="131"/>
      <c r="J25" s="131" t="s">
        <v>3</v>
      </c>
      <c r="K25" s="131"/>
      <c r="L25" s="131"/>
      <c r="M25" s="131" t="s">
        <v>65</v>
      </c>
      <c r="N25" s="131"/>
      <c r="O25" s="131"/>
      <c r="P25" s="2"/>
      <c r="Q25" s="131" t="s">
        <v>48</v>
      </c>
      <c r="R25" s="131"/>
      <c r="S25" s="131"/>
      <c r="T25" s="131" t="s">
        <v>1</v>
      </c>
      <c r="U25" s="131"/>
      <c r="V25" s="131"/>
      <c r="W25" s="131" t="s">
        <v>2</v>
      </c>
      <c r="X25" s="131"/>
      <c r="Y25" s="131"/>
      <c r="Z25" s="131" t="s">
        <v>3</v>
      </c>
      <c r="AA25" s="131"/>
      <c r="AB25" s="131"/>
      <c r="AC25" s="131" t="s">
        <v>65</v>
      </c>
      <c r="AD25" s="131"/>
      <c r="AE25" s="7"/>
      <c r="AF25" s="2"/>
      <c r="AG25" s="131" t="s">
        <v>48</v>
      </c>
      <c r="AH25" s="131"/>
      <c r="AI25" s="131"/>
      <c r="AJ25" s="131" t="s">
        <v>1</v>
      </c>
      <c r="AK25" s="131"/>
      <c r="AL25" s="131"/>
      <c r="AM25" s="131" t="s">
        <v>2</v>
      </c>
      <c r="AN25" s="131"/>
      <c r="AO25" s="131"/>
      <c r="AP25" s="131" t="s">
        <v>3</v>
      </c>
      <c r="AQ25" s="131"/>
      <c r="AR25" s="131"/>
      <c r="AS25" s="131" t="s">
        <v>65</v>
      </c>
      <c r="AT25" s="131"/>
      <c r="AU25" s="7"/>
      <c r="AV25" s="2"/>
      <c r="AW25" s="3"/>
      <c r="AX25" s="3"/>
      <c r="AY25" s="3"/>
      <c r="AZ25" s="3"/>
      <c r="BA25" s="3"/>
      <c r="BB25" s="3"/>
      <c r="BC25" s="22" t="s">
        <v>121</v>
      </c>
      <c r="BD25" s="23">
        <v>8</v>
      </c>
      <c r="BE25" s="22" t="s">
        <v>122</v>
      </c>
      <c r="BF25" s="23">
        <v>8</v>
      </c>
      <c r="BG25" s="22" t="s">
        <v>123</v>
      </c>
      <c r="BH25" s="23">
        <v>26</v>
      </c>
      <c r="BI25" s="22" t="s">
        <v>124</v>
      </c>
      <c r="BJ25" s="23">
        <v>52</v>
      </c>
      <c r="BK25" s="22" t="s">
        <v>125</v>
      </c>
      <c r="BL25" s="23">
        <v>208</v>
      </c>
      <c r="BM25" s="22" t="s">
        <v>126</v>
      </c>
      <c r="BN25" s="23">
        <v>78</v>
      </c>
      <c r="BO25" s="22" t="s">
        <v>127</v>
      </c>
      <c r="BP25" s="23">
        <v>468</v>
      </c>
      <c r="BQ25" s="22">
        <v>0</v>
      </c>
      <c r="BR25" s="23">
        <v>15</v>
      </c>
      <c r="BS25" s="22">
        <v>0</v>
      </c>
      <c r="BT25" s="23">
        <v>1</v>
      </c>
      <c r="BU25" s="22">
        <v>14</v>
      </c>
      <c r="BV25" s="24">
        <v>20</v>
      </c>
      <c r="BW25" s="17">
        <f>BV25*BU25</f>
        <v>280</v>
      </c>
      <c r="BX25" s="15">
        <v>20</v>
      </c>
      <c r="BY25" s="16">
        <v>2</v>
      </c>
      <c r="BZ25" s="17">
        <v>2</v>
      </c>
      <c r="CA25" s="15">
        <v>4</v>
      </c>
      <c r="CB25" s="16">
        <v>1</v>
      </c>
      <c r="CC25" s="17">
        <v>1</v>
      </c>
      <c r="CD25" s="2"/>
      <c r="CE25" s="22">
        <v>60</v>
      </c>
      <c r="CF25" s="23">
        <v>8</v>
      </c>
      <c r="CG25" s="22">
        <v>48</v>
      </c>
      <c r="CH25" s="23">
        <v>8</v>
      </c>
      <c r="CI25" s="22">
        <v>156</v>
      </c>
      <c r="CJ25" s="23">
        <v>26</v>
      </c>
      <c r="CK25" s="22">
        <v>390</v>
      </c>
      <c r="CL25" s="23">
        <v>52</v>
      </c>
      <c r="CM25" s="22">
        <v>1248</v>
      </c>
      <c r="CN25" s="23">
        <v>208</v>
      </c>
      <c r="CO25" s="22">
        <v>468</v>
      </c>
      <c r="CP25" s="23">
        <v>78</v>
      </c>
      <c r="CQ25" s="22">
        <v>2808</v>
      </c>
      <c r="CR25" s="23">
        <v>468</v>
      </c>
      <c r="CS25" s="22">
        <v>0</v>
      </c>
      <c r="CT25" s="23">
        <v>15</v>
      </c>
      <c r="CU25" s="22">
        <v>0</v>
      </c>
      <c r="CV25" s="23">
        <v>1</v>
      </c>
      <c r="CW25" s="22">
        <v>14</v>
      </c>
      <c r="CX25" s="24">
        <v>20</v>
      </c>
      <c r="CY25" s="17">
        <f>CX25*CW25</f>
        <v>280</v>
      </c>
      <c r="CZ25" s="15">
        <v>20</v>
      </c>
      <c r="DA25" s="16">
        <v>2</v>
      </c>
      <c r="DB25" s="17">
        <v>2</v>
      </c>
      <c r="DC25" s="15">
        <v>4</v>
      </c>
      <c r="DD25" s="16">
        <v>1</v>
      </c>
      <c r="DE25" s="17">
        <v>1</v>
      </c>
      <c r="DF25" s="3"/>
      <c r="DG25" s="3"/>
      <c r="DH25" s="3"/>
      <c r="DI25" s="3"/>
      <c r="DJ25" s="3"/>
      <c r="DK25" s="18" t="s">
        <v>14</v>
      </c>
      <c r="DL25" s="32">
        <v>20</v>
      </c>
      <c r="DM25" s="32">
        <v>28</v>
      </c>
      <c r="DN25" s="30">
        <f t="shared" si="17"/>
        <v>24</v>
      </c>
      <c r="DO25" s="18">
        <f t="shared" si="18"/>
        <v>3</v>
      </c>
      <c r="DP25" s="18">
        <v>3</v>
      </c>
      <c r="DQ25" s="33">
        <v>0</v>
      </c>
      <c r="DR25" s="19">
        <v>0</v>
      </c>
      <c r="DS25" s="34">
        <v>0</v>
      </c>
      <c r="DT25" s="29">
        <f t="shared" si="19"/>
        <v>35</v>
      </c>
      <c r="DU25" s="30">
        <f t="shared" si="20"/>
        <v>43</v>
      </c>
      <c r="DV25" s="18" t="s">
        <v>1</v>
      </c>
      <c r="DW25" s="3">
        <v>1</v>
      </c>
      <c r="DX25" s="19">
        <v>1</v>
      </c>
      <c r="DY25" s="3"/>
      <c r="DZ25" s="18" t="s">
        <v>14</v>
      </c>
      <c r="EA25" s="32">
        <v>55</v>
      </c>
      <c r="EB25" s="32">
        <v>77</v>
      </c>
      <c r="EC25" s="30">
        <f t="shared" si="21"/>
        <v>66</v>
      </c>
      <c r="ED25" s="18">
        <f t="shared" si="22"/>
        <v>11</v>
      </c>
      <c r="EE25" s="18">
        <v>11</v>
      </c>
      <c r="EF25" s="33">
        <v>0</v>
      </c>
      <c r="EG25" s="19">
        <v>0</v>
      </c>
      <c r="EH25" s="35">
        <f>((ED25*$DI$5)/$DI$4)*(1/$DI$6)</f>
        <v>7.5000000000000002E-4</v>
      </c>
      <c r="EI25" s="29">
        <f t="shared" si="23"/>
        <v>110</v>
      </c>
      <c r="EJ25" s="30">
        <f t="shared" si="24"/>
        <v>132</v>
      </c>
      <c r="EK25" s="18" t="s">
        <v>1</v>
      </c>
      <c r="EL25" s="3">
        <v>3</v>
      </c>
      <c r="EM25" s="19">
        <v>1</v>
      </c>
      <c r="EN25" s="3"/>
      <c r="EO25" s="3"/>
      <c r="EP25" s="3"/>
      <c r="EQ25" s="3"/>
      <c r="ER25" s="3"/>
      <c r="ES25" s="3"/>
      <c r="ET25" s="3"/>
      <c r="EU25" s="3"/>
    </row>
    <row r="26" spans="1:151" ht="15.75" customHeight="1">
      <c r="A26" s="27" t="s">
        <v>67</v>
      </c>
      <c r="B26" s="27" t="s">
        <v>68</v>
      </c>
      <c r="C26" s="27" t="s">
        <v>69</v>
      </c>
      <c r="D26" s="7" t="s">
        <v>67</v>
      </c>
      <c r="E26" s="7" t="s">
        <v>68</v>
      </c>
      <c r="F26" s="27" t="s">
        <v>69</v>
      </c>
      <c r="G26" s="7" t="s">
        <v>67</v>
      </c>
      <c r="H26" s="7" t="s">
        <v>68</v>
      </c>
      <c r="I26" s="27" t="s">
        <v>69</v>
      </c>
      <c r="J26" s="7" t="s">
        <v>67</v>
      </c>
      <c r="K26" s="10" t="s">
        <v>68</v>
      </c>
      <c r="L26" s="27" t="s">
        <v>69</v>
      </c>
      <c r="M26" s="27" t="s">
        <v>67</v>
      </c>
      <c r="N26" s="27" t="s">
        <v>68</v>
      </c>
      <c r="O26" s="27" t="s">
        <v>69</v>
      </c>
      <c r="P26" s="2"/>
      <c r="Q26" s="27" t="s">
        <v>67</v>
      </c>
      <c r="R26" s="27" t="s">
        <v>68</v>
      </c>
      <c r="S26" s="27" t="s">
        <v>69</v>
      </c>
      <c r="T26" s="7" t="s">
        <v>67</v>
      </c>
      <c r="U26" s="7" t="s">
        <v>68</v>
      </c>
      <c r="V26" s="27" t="s">
        <v>69</v>
      </c>
      <c r="W26" s="7" t="s">
        <v>67</v>
      </c>
      <c r="X26" s="7" t="s">
        <v>68</v>
      </c>
      <c r="Y26" s="27" t="s">
        <v>69</v>
      </c>
      <c r="Z26" s="7" t="s">
        <v>67</v>
      </c>
      <c r="AA26" s="7" t="s">
        <v>68</v>
      </c>
      <c r="AB26" s="27" t="s">
        <v>69</v>
      </c>
      <c r="AC26" s="7" t="s">
        <v>67</v>
      </c>
      <c r="AD26" s="7" t="s">
        <v>68</v>
      </c>
      <c r="AE26" s="27" t="s">
        <v>69</v>
      </c>
      <c r="AF26" s="46"/>
      <c r="AG26" s="27" t="s">
        <v>67</v>
      </c>
      <c r="AH26" s="27" t="s">
        <v>68</v>
      </c>
      <c r="AI26" s="27" t="s">
        <v>69</v>
      </c>
      <c r="AJ26" s="7" t="s">
        <v>67</v>
      </c>
      <c r="AK26" s="7" t="s">
        <v>68</v>
      </c>
      <c r="AL26" s="27" t="s">
        <v>69</v>
      </c>
      <c r="AM26" s="7" t="s">
        <v>67</v>
      </c>
      <c r="AN26" s="7" t="s">
        <v>68</v>
      </c>
      <c r="AO26" s="27" t="s">
        <v>69</v>
      </c>
      <c r="AP26" s="7" t="s">
        <v>67</v>
      </c>
      <c r="AQ26" s="7" t="s">
        <v>68</v>
      </c>
      <c r="AR26" s="27" t="s">
        <v>69</v>
      </c>
      <c r="AS26" s="7" t="s">
        <v>67</v>
      </c>
      <c r="AT26" s="7" t="s">
        <v>68</v>
      </c>
      <c r="AU26" s="27" t="s">
        <v>69</v>
      </c>
      <c r="AV26" s="2"/>
      <c r="AW26" s="3"/>
      <c r="AX26" s="3"/>
      <c r="AY26" s="3"/>
      <c r="AZ26" s="3"/>
      <c r="BA26" s="3"/>
      <c r="BB26" s="3"/>
      <c r="BC26" s="131" t="s">
        <v>128</v>
      </c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2"/>
      <c r="CE26" s="131" t="s">
        <v>128</v>
      </c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3"/>
      <c r="DG26" s="3"/>
      <c r="DH26" s="3"/>
      <c r="DI26" s="3"/>
      <c r="DJ26" s="3"/>
      <c r="DK26" s="18" t="s">
        <v>66</v>
      </c>
      <c r="DL26" s="32">
        <v>70</v>
      </c>
      <c r="DM26" s="32">
        <v>98</v>
      </c>
      <c r="DN26" s="30">
        <f t="shared" si="17"/>
        <v>84</v>
      </c>
      <c r="DO26" s="18">
        <f t="shared" si="18"/>
        <v>14</v>
      </c>
      <c r="DP26" s="18">
        <v>13</v>
      </c>
      <c r="DQ26" s="33">
        <v>1</v>
      </c>
      <c r="DR26" s="19">
        <v>0</v>
      </c>
      <c r="DS26" s="34">
        <v>0</v>
      </c>
      <c r="DT26" s="29">
        <f t="shared" si="19"/>
        <v>185</v>
      </c>
      <c r="DU26" s="30">
        <f t="shared" si="20"/>
        <v>213</v>
      </c>
      <c r="DV26" s="15" t="s">
        <v>2</v>
      </c>
      <c r="DW26" s="16">
        <v>1</v>
      </c>
      <c r="DX26" s="17">
        <v>1</v>
      </c>
      <c r="DY26" s="3"/>
      <c r="DZ26" s="18" t="s">
        <v>66</v>
      </c>
      <c r="EA26" s="32">
        <v>175</v>
      </c>
      <c r="EB26" s="32">
        <v>245</v>
      </c>
      <c r="EC26" s="30">
        <f t="shared" si="21"/>
        <v>210</v>
      </c>
      <c r="ED26" s="18">
        <f t="shared" si="22"/>
        <v>35</v>
      </c>
      <c r="EE26" s="18">
        <v>32</v>
      </c>
      <c r="EF26" s="33">
        <v>3</v>
      </c>
      <c r="EG26" s="19">
        <v>0</v>
      </c>
      <c r="EH26" s="35">
        <f>((ED26*$DI$5)/$DI$4)*(1/$DI$10)</f>
        <v>4.1866028708133964E-3</v>
      </c>
      <c r="EI26" s="29">
        <f t="shared" si="23"/>
        <v>485</v>
      </c>
      <c r="EJ26" s="30">
        <f t="shared" si="24"/>
        <v>555</v>
      </c>
      <c r="EK26" s="15" t="s">
        <v>2</v>
      </c>
      <c r="EL26" s="16">
        <v>3</v>
      </c>
      <c r="EM26" s="17">
        <v>1</v>
      </c>
      <c r="EN26" s="3"/>
      <c r="EO26" s="3"/>
      <c r="EP26" s="3"/>
      <c r="EQ26" s="3"/>
      <c r="ER26" s="3"/>
      <c r="ES26" s="3"/>
      <c r="ET26" s="3"/>
      <c r="EU26" s="3"/>
    </row>
    <row r="27" spans="1:151" ht="15.75" customHeight="1">
      <c r="A27" s="77">
        <v>1</v>
      </c>
      <c r="B27" s="41">
        <f>A2*B8</f>
        <v>0</v>
      </c>
      <c r="C27" s="28">
        <f>B27/B40</f>
        <v>0</v>
      </c>
      <c r="D27" s="40">
        <v>1</v>
      </c>
      <c r="E27" s="43">
        <f>B2*E8</f>
        <v>0</v>
      </c>
      <c r="F27" s="28">
        <f>E27/D40</f>
        <v>0</v>
      </c>
      <c r="G27" s="42">
        <v>1</v>
      </c>
      <c r="H27" s="45">
        <f>C2*H8</f>
        <v>0</v>
      </c>
      <c r="I27" s="28">
        <f>H27/G40</f>
        <v>0</v>
      </c>
      <c r="J27" s="42">
        <v>1</v>
      </c>
      <c r="K27" s="43">
        <f>D2*K8</f>
        <v>0</v>
      </c>
      <c r="L27" s="28">
        <f>K27/J40</f>
        <v>0</v>
      </c>
      <c r="M27" s="45">
        <v>1</v>
      </c>
      <c r="N27" s="45">
        <f t="shared" ref="N27:N39" si="25">B27+E27+H27+K27</f>
        <v>0</v>
      </c>
      <c r="O27" s="31">
        <f>N27/M40</f>
        <v>0</v>
      </c>
      <c r="P27" s="2"/>
      <c r="Q27" s="44">
        <v>1</v>
      </c>
      <c r="R27" s="41">
        <f>B27</f>
        <v>0</v>
      </c>
      <c r="S27" s="28">
        <f>R27/R40</f>
        <v>0</v>
      </c>
      <c r="T27" s="40">
        <v>1</v>
      </c>
      <c r="U27" s="43">
        <f>E27</f>
        <v>0</v>
      </c>
      <c r="V27" s="28">
        <f>U27/T40</f>
        <v>0</v>
      </c>
      <c r="W27" s="42">
        <v>1</v>
      </c>
      <c r="X27" s="43">
        <f>H27</f>
        <v>0</v>
      </c>
      <c r="Y27" s="28">
        <f>X27/W40</f>
        <v>0</v>
      </c>
      <c r="Z27" s="43">
        <v>1</v>
      </c>
      <c r="AA27" s="43">
        <f>K27</f>
        <v>0</v>
      </c>
      <c r="AB27" s="28">
        <f>AA27/Z40</f>
        <v>0</v>
      </c>
      <c r="AC27" s="45">
        <v>1</v>
      </c>
      <c r="AD27" s="45">
        <f>R27+U27+X27+AA27</f>
        <v>0</v>
      </c>
      <c r="AE27" s="28">
        <f>AD27/AC40</f>
        <v>0</v>
      </c>
      <c r="AF27" s="46"/>
      <c r="AG27" s="44">
        <v>1</v>
      </c>
      <c r="AH27" s="41">
        <f>AH8</f>
        <v>0</v>
      </c>
      <c r="AI27" s="28">
        <f>AH27/AH40</f>
        <v>0</v>
      </c>
      <c r="AJ27" s="40">
        <v>1</v>
      </c>
      <c r="AK27" s="43">
        <v>0</v>
      </c>
      <c r="AL27" s="28">
        <f>AK27/AJ40</f>
        <v>0</v>
      </c>
      <c r="AM27" s="42">
        <v>1</v>
      </c>
      <c r="AN27" s="50">
        <f>SUM($AN$8:AN8)</f>
        <v>0</v>
      </c>
      <c r="AO27" s="28">
        <f>AN27/AM40</f>
        <v>0</v>
      </c>
      <c r="AP27" s="43">
        <v>1</v>
      </c>
      <c r="AQ27" s="50">
        <f>SUM($AQ$8:AQ8)</f>
        <v>0</v>
      </c>
      <c r="AR27" s="28">
        <f>AQ27/AP40</f>
        <v>0</v>
      </c>
      <c r="AS27" s="45">
        <v>1</v>
      </c>
      <c r="AT27" s="45">
        <f>AH27+AK27+AN27+AQ27</f>
        <v>0</v>
      </c>
      <c r="AU27" s="28">
        <f>AT27/AS40</f>
        <v>0</v>
      </c>
      <c r="AV27" s="2"/>
      <c r="AW27" s="3"/>
      <c r="AX27" s="3"/>
      <c r="AY27" s="3"/>
      <c r="AZ27" s="3"/>
      <c r="BA27" s="3"/>
      <c r="BB27" s="3"/>
      <c r="BC27" s="133" t="s">
        <v>24</v>
      </c>
      <c r="BD27" s="133"/>
      <c r="BE27" s="133" t="s">
        <v>25</v>
      </c>
      <c r="BF27" s="133"/>
      <c r="BG27" s="133" t="s">
        <v>26</v>
      </c>
      <c r="BH27" s="133"/>
      <c r="BI27" s="133" t="s">
        <v>27</v>
      </c>
      <c r="BJ27" s="133"/>
      <c r="BK27" s="133" t="s">
        <v>28</v>
      </c>
      <c r="BL27" s="133"/>
      <c r="BM27" s="133" t="s">
        <v>29</v>
      </c>
      <c r="BN27" s="133"/>
      <c r="BO27" s="133" t="s">
        <v>30</v>
      </c>
      <c r="BP27" s="133"/>
      <c r="BQ27" s="133" t="s">
        <v>31</v>
      </c>
      <c r="BR27" s="133"/>
      <c r="BS27" s="133" t="s">
        <v>32</v>
      </c>
      <c r="BT27" s="133"/>
      <c r="BU27" s="133" t="s">
        <v>33</v>
      </c>
      <c r="BV27" s="133"/>
      <c r="BW27" s="133"/>
      <c r="BX27" s="133" t="s">
        <v>34</v>
      </c>
      <c r="BY27" s="133"/>
      <c r="BZ27" s="133"/>
      <c r="CA27" s="134" t="s">
        <v>35</v>
      </c>
      <c r="CB27" s="134"/>
      <c r="CC27" s="134"/>
      <c r="CD27" s="2"/>
      <c r="CE27" s="133" t="s">
        <v>24</v>
      </c>
      <c r="CF27" s="133"/>
      <c r="CG27" s="133" t="s">
        <v>25</v>
      </c>
      <c r="CH27" s="133"/>
      <c r="CI27" s="133" t="s">
        <v>26</v>
      </c>
      <c r="CJ27" s="133"/>
      <c r="CK27" s="133" t="s">
        <v>27</v>
      </c>
      <c r="CL27" s="133"/>
      <c r="CM27" s="133" t="s">
        <v>28</v>
      </c>
      <c r="CN27" s="133"/>
      <c r="CO27" s="133" t="s">
        <v>29</v>
      </c>
      <c r="CP27" s="133"/>
      <c r="CQ27" s="133" t="s">
        <v>30</v>
      </c>
      <c r="CR27" s="133"/>
      <c r="CS27" s="133" t="s">
        <v>31</v>
      </c>
      <c r="CT27" s="133"/>
      <c r="CU27" s="133" t="s">
        <v>32</v>
      </c>
      <c r="CV27" s="133"/>
      <c r="CW27" s="133" t="s">
        <v>33</v>
      </c>
      <c r="CX27" s="133"/>
      <c r="CY27" s="133"/>
      <c r="CZ27" s="133" t="s">
        <v>34</v>
      </c>
      <c r="DA27" s="133"/>
      <c r="DB27" s="133"/>
      <c r="DC27" s="134" t="s">
        <v>35</v>
      </c>
      <c r="DD27" s="134"/>
      <c r="DE27" s="134"/>
      <c r="DF27" s="3"/>
      <c r="DG27" s="3"/>
      <c r="DH27" s="3"/>
      <c r="DI27" s="3"/>
      <c r="DJ27" s="3"/>
      <c r="DK27" s="18" t="s">
        <v>70</v>
      </c>
      <c r="DL27" s="32">
        <v>189</v>
      </c>
      <c r="DM27" s="32">
        <v>216</v>
      </c>
      <c r="DN27" s="30">
        <f t="shared" si="17"/>
        <v>202.5</v>
      </c>
      <c r="DO27" s="18">
        <f t="shared" si="18"/>
        <v>27</v>
      </c>
      <c r="DP27" s="18">
        <v>25</v>
      </c>
      <c r="DQ27" s="33">
        <v>2</v>
      </c>
      <c r="DR27" s="19">
        <v>0</v>
      </c>
      <c r="DS27" s="34">
        <v>0</v>
      </c>
      <c r="DT27" s="29">
        <f t="shared" si="19"/>
        <v>414</v>
      </c>
      <c r="DU27" s="30">
        <f t="shared" si="20"/>
        <v>441</v>
      </c>
      <c r="DV27" s="36" t="s">
        <v>33</v>
      </c>
      <c r="DW27" s="37"/>
      <c r="DX27" s="11"/>
      <c r="DY27" s="3"/>
      <c r="DZ27" s="18" t="s">
        <v>70</v>
      </c>
      <c r="EA27" s="32">
        <v>490</v>
      </c>
      <c r="EB27" s="32">
        <v>560</v>
      </c>
      <c r="EC27" s="30">
        <f t="shared" si="21"/>
        <v>525</v>
      </c>
      <c r="ED27" s="18">
        <f t="shared" si="22"/>
        <v>70</v>
      </c>
      <c r="EE27" s="18">
        <v>63</v>
      </c>
      <c r="EF27" s="33">
        <v>7</v>
      </c>
      <c r="EG27" s="19">
        <v>0</v>
      </c>
      <c r="EH27" s="35">
        <f>((ED27*$DI$5)/$DI$4)*(1/$DI$9)</f>
        <v>1.1931818181818182E-2</v>
      </c>
      <c r="EI27" s="29">
        <f t="shared" si="23"/>
        <v>1155</v>
      </c>
      <c r="EJ27" s="30">
        <f t="shared" si="24"/>
        <v>1225</v>
      </c>
      <c r="EK27" s="36" t="s">
        <v>33</v>
      </c>
      <c r="EL27" s="37"/>
      <c r="EM27" s="11"/>
      <c r="EN27" s="3"/>
      <c r="EO27" s="3"/>
      <c r="EP27" s="3"/>
      <c r="EQ27" s="3"/>
      <c r="ER27" s="3"/>
      <c r="ES27" s="3"/>
      <c r="ET27" s="3"/>
      <c r="EU27" s="3"/>
    </row>
    <row r="28" spans="1:151" ht="15.75" customHeight="1">
      <c r="A28" s="78">
        <v>2</v>
      </c>
      <c r="B28" s="50">
        <f>A2*B9</f>
        <v>135</v>
      </c>
      <c r="C28" s="34">
        <f>B28/B40</f>
        <v>2.6936026936026937E-5</v>
      </c>
      <c r="D28" s="49">
        <v>2</v>
      </c>
      <c r="E28" s="45">
        <f>B2*E9</f>
        <v>1200</v>
      </c>
      <c r="F28" s="34">
        <f>E28/D40</f>
        <v>2.6939655172413793E-4</v>
      </c>
      <c r="G28" s="51">
        <v>2</v>
      </c>
      <c r="H28" s="45">
        <f>C2*H9</f>
        <v>9600</v>
      </c>
      <c r="I28" s="34">
        <f>H28/G40</f>
        <v>2.1691973969631237E-3</v>
      </c>
      <c r="J28" s="51">
        <v>2</v>
      </c>
      <c r="K28" s="45">
        <f>D2*K9</f>
        <v>75000</v>
      </c>
      <c r="L28" s="34">
        <f>K28/J40</f>
        <v>2.8571428571428571E-2</v>
      </c>
      <c r="M28" s="45">
        <v>2</v>
      </c>
      <c r="N28" s="45">
        <f t="shared" si="25"/>
        <v>85935</v>
      </c>
      <c r="O28" s="35">
        <f>N28/M40</f>
        <v>5.202860710636849E-3</v>
      </c>
      <c r="P28" s="2"/>
      <c r="Q28" s="52">
        <v>2</v>
      </c>
      <c r="R28" s="50">
        <f>SUM(B27:B28)</f>
        <v>135</v>
      </c>
      <c r="S28" s="34">
        <f>R28/R40</f>
        <v>2.6936026936026937E-5</v>
      </c>
      <c r="T28" s="49">
        <v>2</v>
      </c>
      <c r="U28" s="45">
        <f>SUM(E27:E28)</f>
        <v>1200</v>
      </c>
      <c r="V28" s="34">
        <f>U28/T40</f>
        <v>2.6939655172413793E-4</v>
      </c>
      <c r="W28" s="51">
        <v>2</v>
      </c>
      <c r="X28" s="45">
        <f>SUM(H27:H28)</f>
        <v>9600</v>
      </c>
      <c r="Y28" s="34">
        <f>X28/W40</f>
        <v>2.1691973969631237E-3</v>
      </c>
      <c r="Z28" s="45">
        <v>2</v>
      </c>
      <c r="AA28" s="45">
        <f>SUM(K27:K28)</f>
        <v>75000</v>
      </c>
      <c r="AB28" s="34">
        <f>AA28/Z40</f>
        <v>2.8571428571428571E-2</v>
      </c>
      <c r="AC28" s="45">
        <v>2</v>
      </c>
      <c r="AD28" s="45">
        <f>R28+U28+X28+AA28</f>
        <v>85935</v>
      </c>
      <c r="AE28" s="34">
        <f>AD28/AC40</f>
        <v>5.202860710636849E-3</v>
      </c>
      <c r="AF28" s="46"/>
      <c r="AG28" s="52">
        <v>2</v>
      </c>
      <c r="AH28" s="50">
        <f>SUM($AH$8:AH9)</f>
        <v>4</v>
      </c>
      <c r="AI28" s="34">
        <f>AH28/AH40</f>
        <v>4.442963456625569E-4</v>
      </c>
      <c r="AJ28" s="49">
        <v>2</v>
      </c>
      <c r="AK28" s="50">
        <f>SUM($AK$8:AK9)</f>
        <v>6</v>
      </c>
      <c r="AL28" s="34">
        <f>AK28/AJ40</f>
        <v>6.7415730337078649E-4</v>
      </c>
      <c r="AM28" s="51">
        <v>2</v>
      </c>
      <c r="AN28" s="50">
        <f>SUM($AN$8:AN9)</f>
        <v>25</v>
      </c>
      <c r="AO28" s="34">
        <f>AN28/AM40</f>
        <v>2.9850746268656717E-3</v>
      </c>
      <c r="AP28" s="45">
        <v>2</v>
      </c>
      <c r="AQ28" s="50">
        <f>SUM($AQ$8:AQ9)</f>
        <v>250</v>
      </c>
      <c r="AR28" s="34">
        <f>AQ28/AP40</f>
        <v>4.1666666666666664E-2</v>
      </c>
      <c r="AS28" s="45">
        <v>2</v>
      </c>
      <c r="AT28" s="45">
        <f>AH28+AK28+AN28+AQ28</f>
        <v>285</v>
      </c>
      <c r="AU28" s="34">
        <f>AT28/AS40</f>
        <v>8.8295433422145107E-3</v>
      </c>
      <c r="AV28" s="2"/>
      <c r="AW28" s="3"/>
      <c r="AX28" s="3"/>
      <c r="AY28" s="3"/>
      <c r="AZ28" s="3"/>
      <c r="BA28" s="3"/>
      <c r="BB28" s="3"/>
      <c r="BC28" s="18" t="s">
        <v>17</v>
      </c>
      <c r="BD28" s="19" t="s">
        <v>40</v>
      </c>
      <c r="BE28" s="18" t="s">
        <v>17</v>
      </c>
      <c r="BF28" s="19" t="s">
        <v>40</v>
      </c>
      <c r="BG28" s="18" t="s">
        <v>17</v>
      </c>
      <c r="BH28" s="19" t="s">
        <v>40</v>
      </c>
      <c r="BI28" s="18" t="s">
        <v>17</v>
      </c>
      <c r="BJ28" s="19" t="s">
        <v>40</v>
      </c>
      <c r="BK28" s="18" t="s">
        <v>17</v>
      </c>
      <c r="BL28" s="19" t="s">
        <v>40</v>
      </c>
      <c r="BM28" s="18" t="s">
        <v>17</v>
      </c>
      <c r="BN28" s="19" t="s">
        <v>40</v>
      </c>
      <c r="BO28" s="18" t="s">
        <v>17</v>
      </c>
      <c r="BP28" s="19" t="s">
        <v>40</v>
      </c>
      <c r="BQ28" s="18" t="s">
        <v>17</v>
      </c>
      <c r="BR28" s="19" t="s">
        <v>40</v>
      </c>
      <c r="BS28" s="18" t="s">
        <v>17</v>
      </c>
      <c r="BT28" s="19" t="s">
        <v>40</v>
      </c>
      <c r="BU28" s="18" t="s">
        <v>17</v>
      </c>
      <c r="BV28" s="3" t="s">
        <v>41</v>
      </c>
      <c r="BW28" s="19" t="s">
        <v>4</v>
      </c>
      <c r="BX28" s="18" t="s">
        <v>0</v>
      </c>
      <c r="BY28" s="3" t="s">
        <v>10</v>
      </c>
      <c r="BZ28" s="19" t="s">
        <v>11</v>
      </c>
      <c r="CA28" s="18" t="s">
        <v>0</v>
      </c>
      <c r="CB28" s="3" t="s">
        <v>10</v>
      </c>
      <c r="CC28" s="19" t="s">
        <v>11</v>
      </c>
      <c r="CD28" s="2"/>
      <c r="CE28" s="18" t="s">
        <v>17</v>
      </c>
      <c r="CF28" s="19" t="s">
        <v>40</v>
      </c>
      <c r="CG28" s="18" t="s">
        <v>17</v>
      </c>
      <c r="CH28" s="19" t="s">
        <v>40</v>
      </c>
      <c r="CI28" s="18" t="s">
        <v>17</v>
      </c>
      <c r="CJ28" s="19" t="s">
        <v>40</v>
      </c>
      <c r="CK28" s="18" t="s">
        <v>17</v>
      </c>
      <c r="CL28" s="19" t="s">
        <v>40</v>
      </c>
      <c r="CM28" s="18" t="s">
        <v>17</v>
      </c>
      <c r="CN28" s="19" t="s">
        <v>40</v>
      </c>
      <c r="CO28" s="18" t="s">
        <v>17</v>
      </c>
      <c r="CP28" s="19" t="s">
        <v>40</v>
      </c>
      <c r="CQ28" s="18" t="s">
        <v>17</v>
      </c>
      <c r="CR28" s="19" t="s">
        <v>40</v>
      </c>
      <c r="CS28" s="18" t="s">
        <v>17</v>
      </c>
      <c r="CT28" s="19" t="s">
        <v>40</v>
      </c>
      <c r="CU28" s="18" t="s">
        <v>17</v>
      </c>
      <c r="CV28" s="19" t="s">
        <v>40</v>
      </c>
      <c r="CW28" s="18" t="s">
        <v>17</v>
      </c>
      <c r="CX28" s="3" t="s">
        <v>41</v>
      </c>
      <c r="CY28" s="19" t="s">
        <v>4</v>
      </c>
      <c r="CZ28" s="18" t="s">
        <v>0</v>
      </c>
      <c r="DA28" s="3" t="s">
        <v>10</v>
      </c>
      <c r="DB28" s="19" t="s">
        <v>11</v>
      </c>
      <c r="DC28" s="18" t="s">
        <v>0</v>
      </c>
      <c r="DD28" s="3" t="s">
        <v>10</v>
      </c>
      <c r="DE28" s="19" t="s">
        <v>11</v>
      </c>
      <c r="DF28" s="3"/>
      <c r="DG28" s="3"/>
      <c r="DH28" s="3"/>
      <c r="DI28" s="3"/>
      <c r="DJ28" s="3"/>
      <c r="DK28" s="18" t="s">
        <v>15</v>
      </c>
      <c r="DL28" s="32">
        <v>285</v>
      </c>
      <c r="DM28" s="32">
        <v>285</v>
      </c>
      <c r="DN28" s="30">
        <f t="shared" si="17"/>
        <v>285</v>
      </c>
      <c r="DO28" s="18">
        <f t="shared" si="18"/>
        <v>95</v>
      </c>
      <c r="DP28" s="18">
        <v>76</v>
      </c>
      <c r="DQ28" s="33">
        <v>19</v>
      </c>
      <c r="DR28" s="19">
        <v>0</v>
      </c>
      <c r="DS28" s="34">
        <v>0</v>
      </c>
      <c r="DT28" s="29">
        <f t="shared" si="19"/>
        <v>1615</v>
      </c>
      <c r="DU28" s="30">
        <f t="shared" si="20"/>
        <v>1615</v>
      </c>
      <c r="DV28" s="7" t="s">
        <v>78</v>
      </c>
      <c r="DW28" s="7" t="s">
        <v>79</v>
      </c>
      <c r="DX28" s="7" t="s">
        <v>80</v>
      </c>
      <c r="DY28" s="3"/>
      <c r="DZ28" s="18" t="s">
        <v>15</v>
      </c>
      <c r="EA28" s="32">
        <v>735</v>
      </c>
      <c r="EB28" s="32">
        <v>735</v>
      </c>
      <c r="EC28" s="30">
        <f t="shared" si="21"/>
        <v>735</v>
      </c>
      <c r="ED28" s="18">
        <f t="shared" si="22"/>
        <v>245</v>
      </c>
      <c r="EE28" s="18">
        <v>196</v>
      </c>
      <c r="EF28" s="33">
        <v>49</v>
      </c>
      <c r="EG28" s="19">
        <v>0</v>
      </c>
      <c r="EH28" s="35">
        <f>((ED28*$DI$5)/$DI$4)*(1/$DI$7)</f>
        <v>1.6704545454545455E-2</v>
      </c>
      <c r="EI28" s="29">
        <f t="shared" si="23"/>
        <v>4165</v>
      </c>
      <c r="EJ28" s="30">
        <f t="shared" si="24"/>
        <v>4165</v>
      </c>
      <c r="EK28" s="7" t="s">
        <v>78</v>
      </c>
      <c r="EL28" s="7" t="s">
        <v>79</v>
      </c>
      <c r="EM28" s="7" t="s">
        <v>80</v>
      </c>
      <c r="EN28" s="3"/>
      <c r="EO28" s="3"/>
      <c r="EP28" s="3"/>
      <c r="EQ28" s="3"/>
      <c r="ER28" s="3"/>
      <c r="ES28" s="3"/>
      <c r="ET28" s="3"/>
      <c r="EU28" s="3"/>
    </row>
    <row r="29" spans="1:151" ht="15.75" customHeight="1">
      <c r="A29" s="78">
        <v>3</v>
      </c>
      <c r="B29" s="50">
        <f>A2*B10</f>
        <v>540</v>
      </c>
      <c r="C29" s="34">
        <f>B29/B40</f>
        <v>1.0774410774410775E-4</v>
      </c>
      <c r="D29" s="49">
        <v>3</v>
      </c>
      <c r="E29" s="45">
        <f>B2*E10</f>
        <v>3600</v>
      </c>
      <c r="F29" s="34">
        <f>E29/D40</f>
        <v>8.0818965517241378E-4</v>
      </c>
      <c r="G29" s="51">
        <v>3</v>
      </c>
      <c r="H29" s="45">
        <f>C2*H10</f>
        <v>48000</v>
      </c>
      <c r="I29" s="34">
        <f>H29/G40</f>
        <v>1.0845986984815618E-2</v>
      </c>
      <c r="J29" s="51">
        <v>3</v>
      </c>
      <c r="K29" s="45">
        <f>D2*K10</f>
        <v>300000</v>
      </c>
      <c r="L29" s="34">
        <f>K29/J40</f>
        <v>0.11428571428571428</v>
      </c>
      <c r="M29" s="45">
        <v>3</v>
      </c>
      <c r="N29" s="45">
        <f t="shared" si="25"/>
        <v>352140</v>
      </c>
      <c r="O29" s="35">
        <f>N29/M40</f>
        <v>2.1320013622431605E-2</v>
      </c>
      <c r="P29" s="2"/>
      <c r="Q29" s="52">
        <v>3</v>
      </c>
      <c r="R29" s="50">
        <f>SUM(B27:B29)</f>
        <v>675</v>
      </c>
      <c r="S29" s="34">
        <f>R29/R40</f>
        <v>1.3468013468013467E-4</v>
      </c>
      <c r="T29" s="49">
        <v>3</v>
      </c>
      <c r="U29" s="45">
        <f>SUM(E27:E29)</f>
        <v>4800</v>
      </c>
      <c r="V29" s="34">
        <f>U29/T40</f>
        <v>1.0775862068965517E-3</v>
      </c>
      <c r="W29" s="51">
        <v>3</v>
      </c>
      <c r="X29" s="45">
        <f>SUM(H27:H29)</f>
        <v>57600</v>
      </c>
      <c r="Y29" s="34">
        <f>X29/W40</f>
        <v>1.3015184381778741E-2</v>
      </c>
      <c r="Z29" s="45">
        <v>3</v>
      </c>
      <c r="AA29" s="45">
        <f>SUM(K27:K29)</f>
        <v>375000</v>
      </c>
      <c r="AB29" s="34">
        <f>AA29/Z40</f>
        <v>0.14285714285714285</v>
      </c>
      <c r="AC29" s="45">
        <v>3</v>
      </c>
      <c r="AD29" s="45">
        <f>R29+U29+X29+AA29</f>
        <v>438075</v>
      </c>
      <c r="AE29" s="34">
        <f>AD29/AC40</f>
        <v>2.6522874333068453E-2</v>
      </c>
      <c r="AF29" s="46"/>
      <c r="AG29" s="52">
        <v>3</v>
      </c>
      <c r="AH29" s="50">
        <f>SUM($AH$8:AH10)</f>
        <v>9</v>
      </c>
      <c r="AI29" s="34">
        <f>AH29/AH40</f>
        <v>9.9966677774075306E-4</v>
      </c>
      <c r="AJ29" s="49">
        <v>3</v>
      </c>
      <c r="AK29" s="50">
        <f>SUM($AK$8:AK10)</f>
        <v>16</v>
      </c>
      <c r="AL29" s="34">
        <f>AK29/AJ40</f>
        <v>1.7977528089887641E-3</v>
      </c>
      <c r="AM29" s="51">
        <v>3</v>
      </c>
      <c r="AN29" s="50">
        <f>SUM($AN$8:AN10)</f>
        <v>125</v>
      </c>
      <c r="AO29" s="34">
        <f>AN29/AM40</f>
        <v>1.4925373134328358E-2</v>
      </c>
      <c r="AP29" s="45">
        <v>3</v>
      </c>
      <c r="AQ29" s="50">
        <f>SUM($AQ$8:AQ10)</f>
        <v>850</v>
      </c>
      <c r="AR29" s="34">
        <f>AQ29/AP40</f>
        <v>0.14166666666666666</v>
      </c>
      <c r="AS29" s="45">
        <v>3</v>
      </c>
      <c r="AT29" s="45">
        <f>AH29+AK29+AN29+AQ29</f>
        <v>1000</v>
      </c>
      <c r="AU29" s="34">
        <f>AT29/AS40</f>
        <v>3.0980853832331619E-2</v>
      </c>
      <c r="AV29" s="2"/>
      <c r="AW29" s="3"/>
      <c r="AX29" s="3"/>
      <c r="AY29" s="3"/>
      <c r="AZ29" s="3"/>
      <c r="BA29" s="3"/>
      <c r="BB29" s="3"/>
      <c r="BC29" s="22" t="s">
        <v>129</v>
      </c>
      <c r="BD29" s="23">
        <v>9</v>
      </c>
      <c r="BE29" s="22" t="s">
        <v>130</v>
      </c>
      <c r="BF29" s="23">
        <v>9</v>
      </c>
      <c r="BG29" s="22" t="s">
        <v>131</v>
      </c>
      <c r="BH29" s="23">
        <v>29</v>
      </c>
      <c r="BI29" s="22" t="s">
        <v>132</v>
      </c>
      <c r="BJ29" s="23">
        <v>58</v>
      </c>
      <c r="BK29" s="22" t="s">
        <v>133</v>
      </c>
      <c r="BL29" s="23">
        <v>232</v>
      </c>
      <c r="BM29" s="22" t="s">
        <v>134</v>
      </c>
      <c r="BN29" s="23">
        <v>87</v>
      </c>
      <c r="BO29" s="22" t="s">
        <v>135</v>
      </c>
      <c r="BP29" s="23">
        <v>522</v>
      </c>
      <c r="BQ29" s="22">
        <v>0</v>
      </c>
      <c r="BR29" s="23">
        <v>17</v>
      </c>
      <c r="BS29" s="22">
        <v>0</v>
      </c>
      <c r="BT29" s="23">
        <v>1</v>
      </c>
      <c r="BU29" s="22">
        <v>15</v>
      </c>
      <c r="BV29" s="24">
        <v>20</v>
      </c>
      <c r="BW29" s="17">
        <f>BV29*BU29</f>
        <v>300</v>
      </c>
      <c r="BX29" s="15">
        <v>30</v>
      </c>
      <c r="BY29" s="16">
        <v>3</v>
      </c>
      <c r="BZ29" s="17">
        <v>3</v>
      </c>
      <c r="CA29" s="15">
        <v>6</v>
      </c>
      <c r="CB29" s="16">
        <v>1</v>
      </c>
      <c r="CC29" s="17">
        <v>1</v>
      </c>
      <c r="CD29" s="2"/>
      <c r="CE29" s="22">
        <v>68</v>
      </c>
      <c r="CF29" s="23">
        <v>9</v>
      </c>
      <c r="CG29" s="22">
        <v>54</v>
      </c>
      <c r="CH29" s="23">
        <v>9</v>
      </c>
      <c r="CI29" s="22">
        <v>174</v>
      </c>
      <c r="CJ29" s="23">
        <v>29</v>
      </c>
      <c r="CK29" s="22">
        <v>435</v>
      </c>
      <c r="CL29" s="23">
        <v>58</v>
      </c>
      <c r="CM29" s="22">
        <v>1392</v>
      </c>
      <c r="CN29" s="23">
        <v>232</v>
      </c>
      <c r="CO29" s="22">
        <v>522</v>
      </c>
      <c r="CP29" s="23">
        <v>87</v>
      </c>
      <c r="CQ29" s="22">
        <v>3132</v>
      </c>
      <c r="CR29" s="23">
        <v>522</v>
      </c>
      <c r="CS29" s="22">
        <v>0</v>
      </c>
      <c r="CT29" s="23">
        <v>17</v>
      </c>
      <c r="CU29" s="22">
        <v>0</v>
      </c>
      <c r="CV29" s="23">
        <v>1</v>
      </c>
      <c r="CW29" s="22">
        <v>15</v>
      </c>
      <c r="CX29" s="24">
        <v>20</v>
      </c>
      <c r="CY29" s="17">
        <f>CX29*CW29</f>
        <v>300</v>
      </c>
      <c r="CZ29" s="15">
        <v>30</v>
      </c>
      <c r="DA29" s="16">
        <v>3</v>
      </c>
      <c r="DB29" s="17">
        <v>3</v>
      </c>
      <c r="DC29" s="15">
        <v>6</v>
      </c>
      <c r="DD29" s="16">
        <v>1</v>
      </c>
      <c r="DE29" s="17">
        <v>1</v>
      </c>
      <c r="DF29" s="3"/>
      <c r="DG29" s="3"/>
      <c r="DH29" s="3"/>
      <c r="DI29" s="3"/>
      <c r="DJ29" s="3"/>
      <c r="DK29" s="18" t="s">
        <v>20</v>
      </c>
      <c r="DL29" s="32">
        <v>410</v>
      </c>
      <c r="DM29" s="32">
        <v>410</v>
      </c>
      <c r="DN29" s="30">
        <f t="shared" si="17"/>
        <v>410</v>
      </c>
      <c r="DO29" s="18">
        <f t="shared" si="18"/>
        <v>41</v>
      </c>
      <c r="DP29" s="18">
        <v>32</v>
      </c>
      <c r="DQ29" s="33">
        <v>8</v>
      </c>
      <c r="DR29" s="19">
        <v>1</v>
      </c>
      <c r="DS29" s="34">
        <v>0</v>
      </c>
      <c r="DT29" s="29">
        <f t="shared" si="19"/>
        <v>1470</v>
      </c>
      <c r="DU29" s="30">
        <f t="shared" si="20"/>
        <v>1470</v>
      </c>
      <c r="DV29" s="15">
        <v>7</v>
      </c>
      <c r="DW29" s="16">
        <v>20</v>
      </c>
      <c r="DX29" s="17">
        <f>DW29*DV29</f>
        <v>140</v>
      </c>
      <c r="DY29" s="3"/>
      <c r="DZ29" s="18" t="s">
        <v>20</v>
      </c>
      <c r="EA29" s="32">
        <v>1050</v>
      </c>
      <c r="EB29" s="32">
        <v>1050</v>
      </c>
      <c r="EC29" s="30">
        <f t="shared" si="21"/>
        <v>1050</v>
      </c>
      <c r="ED29" s="18">
        <f t="shared" si="22"/>
        <v>105</v>
      </c>
      <c r="EE29" s="18">
        <v>81</v>
      </c>
      <c r="EF29" s="33">
        <v>21</v>
      </c>
      <c r="EG29" s="19">
        <v>3</v>
      </c>
      <c r="EH29" s="35">
        <f>((ED29*$DI$5)/$DI$4)*(1/$DI$13)</f>
        <v>0.11931818181818182</v>
      </c>
      <c r="EI29" s="29">
        <f t="shared" si="23"/>
        <v>4005</v>
      </c>
      <c r="EJ29" s="30">
        <f t="shared" si="24"/>
        <v>4005</v>
      </c>
      <c r="EK29" s="15">
        <v>18</v>
      </c>
      <c r="EL29" s="16">
        <v>20</v>
      </c>
      <c r="EM29" s="17">
        <f>EL29*EK29</f>
        <v>360</v>
      </c>
      <c r="EN29" s="3"/>
      <c r="EO29" s="3"/>
      <c r="EP29" s="3"/>
      <c r="EQ29" s="3"/>
      <c r="ER29" s="3"/>
      <c r="ES29" s="3"/>
      <c r="ET29" s="3"/>
      <c r="EU29" s="3"/>
    </row>
    <row r="30" spans="1:151" ht="15.75" customHeight="1">
      <c r="A30" s="78">
        <v>4</v>
      </c>
      <c r="B30" s="50">
        <f>A2*B11</f>
        <v>1350</v>
      </c>
      <c r="C30" s="34">
        <f>B30/B40</f>
        <v>2.6936026936026934E-4</v>
      </c>
      <c r="D30" s="49">
        <v>4</v>
      </c>
      <c r="E30" s="45">
        <f>B2*E11</f>
        <v>9600</v>
      </c>
      <c r="F30" s="34">
        <f>E30/D40</f>
        <v>2.1551724137931034E-3</v>
      </c>
      <c r="G30" s="51">
        <v>4</v>
      </c>
      <c r="H30" s="45">
        <f>C2*H11</f>
        <v>96000</v>
      </c>
      <c r="I30" s="34">
        <f>H30/G40</f>
        <v>2.1691973969631236E-2</v>
      </c>
      <c r="J30" s="51">
        <v>4</v>
      </c>
      <c r="K30" s="45">
        <f>D2*K11</f>
        <v>750000</v>
      </c>
      <c r="L30" s="34">
        <f>K30/J40</f>
        <v>0.2857142857142857</v>
      </c>
      <c r="M30" s="45">
        <v>4</v>
      </c>
      <c r="N30" s="45">
        <f t="shared" si="25"/>
        <v>856950</v>
      </c>
      <c r="O30" s="35">
        <f>N30/M40</f>
        <v>5.1883301169258711E-2</v>
      </c>
      <c r="P30" s="2"/>
      <c r="Q30" s="52">
        <v>4</v>
      </c>
      <c r="R30" s="50">
        <f>SUM(B27:B30)</f>
        <v>2025</v>
      </c>
      <c r="S30" s="34">
        <f>R30/R40</f>
        <v>4.0404040404040404E-4</v>
      </c>
      <c r="T30" s="49">
        <v>4</v>
      </c>
      <c r="U30" s="45">
        <f>SUM(E27:E30)</f>
        <v>14400</v>
      </c>
      <c r="V30" s="34">
        <f>U30/T40</f>
        <v>3.2327586206896551E-3</v>
      </c>
      <c r="W30" s="51">
        <v>4</v>
      </c>
      <c r="X30" s="45">
        <f>SUM(H27:H30)</f>
        <v>153600</v>
      </c>
      <c r="Y30" s="34">
        <f>X30/W40</f>
        <v>3.4707158351409979E-2</v>
      </c>
      <c r="Z30" s="45">
        <v>4</v>
      </c>
      <c r="AA30" s="45">
        <f>SUM(K27:K30)</f>
        <v>1125000</v>
      </c>
      <c r="AB30" s="34">
        <f>AA30/Z40</f>
        <v>0.42857142857142855</v>
      </c>
      <c r="AC30" s="45">
        <v>4</v>
      </c>
      <c r="AD30" s="45">
        <f>R30+U30+X30+AA30</f>
        <v>1295025</v>
      </c>
      <c r="AE30" s="34">
        <f>AD30/AC40</f>
        <v>7.8406175502327161E-2</v>
      </c>
      <c r="AF30" s="46"/>
      <c r="AG30" s="52">
        <v>4</v>
      </c>
      <c r="AH30" s="50">
        <f>SUM($AH$8:AH11)</f>
        <v>15</v>
      </c>
      <c r="AI30" s="34">
        <f>AH30/AH40</f>
        <v>1.6661112962345886E-3</v>
      </c>
      <c r="AJ30" s="49">
        <v>4</v>
      </c>
      <c r="AK30" s="50">
        <f>SUM($AK$8:AK11)</f>
        <v>41</v>
      </c>
      <c r="AL30" s="34">
        <f>AK30/AJ40</f>
        <v>4.6067415730337083E-3</v>
      </c>
      <c r="AM30" s="51">
        <v>4</v>
      </c>
      <c r="AN30" s="50">
        <f>SUM($AN$8:AN11)</f>
        <v>325</v>
      </c>
      <c r="AO30" s="34">
        <f>AN30/AM40</f>
        <v>3.880597014925373E-2</v>
      </c>
      <c r="AP30" s="45">
        <v>4</v>
      </c>
      <c r="AQ30" s="50">
        <f>SUM($AQ$8:AQ11)</f>
        <v>1650</v>
      </c>
      <c r="AR30" s="34">
        <f>AQ30/AP40</f>
        <v>0.27500000000000002</v>
      </c>
      <c r="AS30" s="45">
        <v>4</v>
      </c>
      <c r="AT30" s="45">
        <f>AH30+AK30+AN30+AQ30</f>
        <v>2031</v>
      </c>
      <c r="AU30" s="34">
        <f>AT30/AS40</f>
        <v>6.2922114133465518E-2</v>
      </c>
      <c r="AV30" s="2"/>
      <c r="AW30" s="3"/>
      <c r="AX30" s="3"/>
      <c r="AY30" s="3"/>
      <c r="AZ30" s="3"/>
      <c r="BA30" s="3"/>
      <c r="BB30" s="3"/>
      <c r="BC30" s="131" t="s">
        <v>136</v>
      </c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2"/>
      <c r="CE30" s="131" t="s">
        <v>136</v>
      </c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3"/>
      <c r="DG30" s="3"/>
      <c r="DH30" s="3"/>
      <c r="DI30" s="3"/>
      <c r="DJ30" s="3"/>
      <c r="DK30" s="15" t="s">
        <v>82</v>
      </c>
      <c r="DL30" s="53">
        <v>2187</v>
      </c>
      <c r="DM30" s="53">
        <v>2187</v>
      </c>
      <c r="DN30" s="54">
        <f t="shared" si="17"/>
        <v>2187</v>
      </c>
      <c r="DO30" s="15">
        <f t="shared" si="18"/>
        <v>243</v>
      </c>
      <c r="DP30" s="15">
        <v>187</v>
      </c>
      <c r="DQ30" s="55">
        <v>48</v>
      </c>
      <c r="DR30" s="17">
        <v>8</v>
      </c>
      <c r="DS30" s="56">
        <v>0</v>
      </c>
      <c r="DT30" s="57">
        <f t="shared" si="19"/>
        <v>9522</v>
      </c>
      <c r="DU30" s="54">
        <f t="shared" si="20"/>
        <v>9522</v>
      </c>
      <c r="DV30" s="3"/>
      <c r="DW30" s="3"/>
      <c r="DX30" s="3"/>
      <c r="DY30" s="3"/>
      <c r="DZ30" s="15" t="s">
        <v>82</v>
      </c>
      <c r="EA30" s="53">
        <v>5670</v>
      </c>
      <c r="EB30" s="53">
        <v>5670</v>
      </c>
      <c r="EC30" s="54">
        <f t="shared" si="21"/>
        <v>5670</v>
      </c>
      <c r="ED30" s="15">
        <f t="shared" si="22"/>
        <v>630</v>
      </c>
      <c r="EE30" s="15">
        <v>483</v>
      </c>
      <c r="EF30" s="55">
        <v>126</v>
      </c>
      <c r="EG30" s="17">
        <v>21</v>
      </c>
      <c r="EH30" s="58">
        <f>((ED30*$DI$5)/$DI$4)*(1/$DI$14)</f>
        <v>0.71590909090909094</v>
      </c>
      <c r="EI30" s="57">
        <f t="shared" si="23"/>
        <v>24885</v>
      </c>
      <c r="EJ30" s="54">
        <f t="shared" si="24"/>
        <v>24885</v>
      </c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</row>
    <row r="31" spans="1:151" ht="15.75" customHeight="1">
      <c r="A31" s="78">
        <v>5</v>
      </c>
      <c r="B31" s="50">
        <f>A2*B12</f>
        <v>4050</v>
      </c>
      <c r="C31" s="34">
        <f>B31/B40</f>
        <v>8.0808080808080808E-4</v>
      </c>
      <c r="D31" s="49">
        <v>5</v>
      </c>
      <c r="E31" s="45">
        <f>B2*E12</f>
        <v>24000</v>
      </c>
      <c r="F31" s="34">
        <f>E31/D40</f>
        <v>5.387931034482759E-3</v>
      </c>
      <c r="G31" s="51">
        <v>5</v>
      </c>
      <c r="H31" s="45">
        <f>C2*H12</f>
        <v>192000</v>
      </c>
      <c r="I31" s="34">
        <f>H31/G40</f>
        <v>4.3383947939262472E-2</v>
      </c>
      <c r="J31" s="60">
        <v>5</v>
      </c>
      <c r="K31" s="59">
        <f>D2*K12</f>
        <v>1500000</v>
      </c>
      <c r="L31" s="56">
        <f>K31/J40</f>
        <v>0.5714285714285714</v>
      </c>
      <c r="M31" s="45">
        <v>5</v>
      </c>
      <c r="N31" s="45">
        <f t="shared" si="25"/>
        <v>1720050</v>
      </c>
      <c r="O31" s="35">
        <f>N31/M40</f>
        <v>0.10413894880236123</v>
      </c>
      <c r="P31" s="2"/>
      <c r="Q31" s="52">
        <v>5</v>
      </c>
      <c r="R31" s="50">
        <f>SUM(B27:B31)</f>
        <v>6075</v>
      </c>
      <c r="S31" s="34">
        <f>R31/R40</f>
        <v>1.2121212121212121E-3</v>
      </c>
      <c r="T31" s="49">
        <v>5</v>
      </c>
      <c r="U31" s="45">
        <f>SUM(E27:E31)</f>
        <v>38400</v>
      </c>
      <c r="V31" s="34">
        <f>U31/T40</f>
        <v>8.6206896551724137E-3</v>
      </c>
      <c r="W31" s="51">
        <v>5</v>
      </c>
      <c r="X31" s="45">
        <f>SUM(H27:H31)</f>
        <v>345600</v>
      </c>
      <c r="Y31" s="34">
        <f>X31/W40</f>
        <v>7.8091106290672452E-2</v>
      </c>
      <c r="Z31" s="59">
        <v>5</v>
      </c>
      <c r="AA31" s="59">
        <f>SUM(K27:K31)</f>
        <v>2625000</v>
      </c>
      <c r="AB31" s="56">
        <f>AA31/Z40</f>
        <v>1</v>
      </c>
      <c r="AC31" s="45">
        <v>5</v>
      </c>
      <c r="AD31" s="45">
        <f>R31+U31+X31+AA31</f>
        <v>3015075</v>
      </c>
      <c r="AE31" s="34">
        <f>AD31/AC40</f>
        <v>0.18254512430468839</v>
      </c>
      <c r="AF31" s="46"/>
      <c r="AG31" s="52">
        <v>5</v>
      </c>
      <c r="AH31" s="50">
        <f>SUM($AH$8:AH12)</f>
        <v>25</v>
      </c>
      <c r="AI31" s="34">
        <f>AH31/AH40</f>
        <v>2.7768521603909807E-3</v>
      </c>
      <c r="AJ31" s="49">
        <v>5</v>
      </c>
      <c r="AK31" s="50">
        <f>SUM($AK$8:AK12)</f>
        <v>91</v>
      </c>
      <c r="AL31" s="34">
        <f>AK31/AJ40</f>
        <v>1.0224719101123596E-2</v>
      </c>
      <c r="AM31" s="51">
        <v>5</v>
      </c>
      <c r="AN31" s="50">
        <f>SUM($AN$8:AN12)</f>
        <v>725</v>
      </c>
      <c r="AO31" s="34">
        <f>AN31/AM40</f>
        <v>8.6567164179104483E-2</v>
      </c>
      <c r="AP31" s="59">
        <v>5</v>
      </c>
      <c r="AQ31" s="59">
        <f>SUM($AQ$8:AQ12)</f>
        <v>3250</v>
      </c>
      <c r="AR31" s="56">
        <f>AQ31/AP40</f>
        <v>0.54166666666666663</v>
      </c>
      <c r="AS31" s="45">
        <v>5</v>
      </c>
      <c r="AT31" s="45">
        <f>AH31+AK31+AN31+AQ31</f>
        <v>4091</v>
      </c>
      <c r="AU31" s="34">
        <f>AT31/AS40</f>
        <v>0.12674267302806866</v>
      </c>
      <c r="AV31" s="2"/>
      <c r="AW31" s="3"/>
      <c r="AX31" s="3"/>
      <c r="AY31" s="3"/>
      <c r="AZ31" s="3"/>
      <c r="BA31" s="3"/>
      <c r="BB31" s="3"/>
      <c r="BC31" s="133" t="s">
        <v>24</v>
      </c>
      <c r="BD31" s="133"/>
      <c r="BE31" s="133" t="s">
        <v>25</v>
      </c>
      <c r="BF31" s="133"/>
      <c r="BG31" s="133" t="s">
        <v>26</v>
      </c>
      <c r="BH31" s="133"/>
      <c r="BI31" s="133" t="s">
        <v>27</v>
      </c>
      <c r="BJ31" s="133"/>
      <c r="BK31" s="133" t="s">
        <v>28</v>
      </c>
      <c r="BL31" s="133"/>
      <c r="BM31" s="133" t="s">
        <v>29</v>
      </c>
      <c r="BN31" s="133"/>
      <c r="BO31" s="133" t="s">
        <v>30</v>
      </c>
      <c r="BP31" s="133"/>
      <c r="BQ31" s="133" t="s">
        <v>31</v>
      </c>
      <c r="BR31" s="133"/>
      <c r="BS31" s="133" t="s">
        <v>32</v>
      </c>
      <c r="BT31" s="133"/>
      <c r="BU31" s="133" t="s">
        <v>33</v>
      </c>
      <c r="BV31" s="133"/>
      <c r="BW31" s="133"/>
      <c r="BX31" s="133" t="s">
        <v>34</v>
      </c>
      <c r="BY31" s="133"/>
      <c r="BZ31" s="133"/>
      <c r="CA31" s="134" t="s">
        <v>35</v>
      </c>
      <c r="CB31" s="134"/>
      <c r="CC31" s="134"/>
      <c r="CD31" s="2"/>
      <c r="CE31" s="133" t="s">
        <v>24</v>
      </c>
      <c r="CF31" s="133"/>
      <c r="CG31" s="133" t="s">
        <v>25</v>
      </c>
      <c r="CH31" s="133"/>
      <c r="CI31" s="133" t="s">
        <v>26</v>
      </c>
      <c r="CJ31" s="133"/>
      <c r="CK31" s="133" t="s">
        <v>27</v>
      </c>
      <c r="CL31" s="133"/>
      <c r="CM31" s="133" t="s">
        <v>28</v>
      </c>
      <c r="CN31" s="133"/>
      <c r="CO31" s="133" t="s">
        <v>29</v>
      </c>
      <c r="CP31" s="133"/>
      <c r="CQ31" s="133" t="s">
        <v>30</v>
      </c>
      <c r="CR31" s="133"/>
      <c r="CS31" s="133" t="s">
        <v>31</v>
      </c>
      <c r="CT31" s="133"/>
      <c r="CU31" s="133" t="s">
        <v>32</v>
      </c>
      <c r="CV31" s="133"/>
      <c r="CW31" s="133" t="s">
        <v>33</v>
      </c>
      <c r="CX31" s="133"/>
      <c r="CY31" s="133"/>
      <c r="CZ31" s="133" t="s">
        <v>34</v>
      </c>
      <c r="DA31" s="133"/>
      <c r="DB31" s="133"/>
      <c r="DC31" s="134" t="s">
        <v>35</v>
      </c>
      <c r="DD31" s="134"/>
      <c r="DE31" s="134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</row>
    <row r="32" spans="1:151" ht="15.75" customHeight="1">
      <c r="A32" s="78">
        <v>6</v>
      </c>
      <c r="B32" s="50">
        <f>A2*B13</f>
        <v>10800</v>
      </c>
      <c r="C32" s="34">
        <f>B32/B40</f>
        <v>2.1548821548821547E-3</v>
      </c>
      <c r="D32" s="49">
        <v>6</v>
      </c>
      <c r="E32" s="45">
        <f>B2*E13</f>
        <v>48000</v>
      </c>
      <c r="F32" s="34">
        <f>E32/D40</f>
        <v>1.0775862068965518E-2</v>
      </c>
      <c r="G32" s="51">
        <v>6</v>
      </c>
      <c r="H32" s="45">
        <f>C2*H13</f>
        <v>480000</v>
      </c>
      <c r="I32" s="34">
        <f>H32/G40</f>
        <v>0.10845986984815618</v>
      </c>
      <c r="J32" s="47"/>
      <c r="K32" s="47"/>
      <c r="L32" s="47"/>
      <c r="M32" s="45">
        <v>6</v>
      </c>
      <c r="N32" s="45">
        <f t="shared" si="25"/>
        <v>538800</v>
      </c>
      <c r="O32" s="35">
        <f>N32/M40</f>
        <v>3.2621182881144281E-2</v>
      </c>
      <c r="P32" s="2"/>
      <c r="Q32" s="52">
        <v>6</v>
      </c>
      <c r="R32" s="50">
        <f>SUM(B27:B32)</f>
        <v>16875</v>
      </c>
      <c r="S32" s="34">
        <f>R32/R40</f>
        <v>3.3670033670033669E-3</v>
      </c>
      <c r="T32" s="49">
        <v>6</v>
      </c>
      <c r="U32" s="45">
        <f>SUM(E27:E32)</f>
        <v>86400</v>
      </c>
      <c r="V32" s="34">
        <f>U32/T40</f>
        <v>1.9396551724137932E-2</v>
      </c>
      <c r="W32" s="51">
        <v>6</v>
      </c>
      <c r="X32" s="45">
        <f>SUM(H27:H32)</f>
        <v>825600</v>
      </c>
      <c r="Y32" s="34">
        <f>X32/W40</f>
        <v>0.18655097613882862</v>
      </c>
      <c r="Z32" s="47"/>
      <c r="AA32" s="47"/>
      <c r="AB32" s="47"/>
      <c r="AC32" s="45">
        <v>6</v>
      </c>
      <c r="AD32" s="45">
        <f>R32+U32+X32+AA31</f>
        <v>3553875</v>
      </c>
      <c r="AE32" s="34">
        <f>AD32/AC40</f>
        <v>0.21516630718583268</v>
      </c>
      <c r="AF32" s="46"/>
      <c r="AG32" s="52">
        <v>6</v>
      </c>
      <c r="AH32" s="50">
        <f>SUM($AH$8:AH13)</f>
        <v>50</v>
      </c>
      <c r="AI32" s="34">
        <f>AH32/AH40</f>
        <v>5.5537043207819613E-3</v>
      </c>
      <c r="AJ32" s="49">
        <v>6</v>
      </c>
      <c r="AK32" s="50">
        <f>SUM($AK$8:AK13)</f>
        <v>191</v>
      </c>
      <c r="AL32" s="34">
        <f>AK32/AJ40</f>
        <v>2.1460674157303371E-2</v>
      </c>
      <c r="AM32" s="51">
        <v>6</v>
      </c>
      <c r="AN32" s="50">
        <f>SUM($AN$8:AN13)</f>
        <v>1325</v>
      </c>
      <c r="AO32" s="34">
        <f>AN32/AM40</f>
        <v>0.15820895522388059</v>
      </c>
      <c r="AP32" s="47"/>
      <c r="AQ32" s="47"/>
      <c r="AR32" s="47"/>
      <c r="AS32" s="45">
        <v>6</v>
      </c>
      <c r="AT32" s="45">
        <f>AH32+AK32+AN32+AQ31</f>
        <v>4816</v>
      </c>
      <c r="AU32" s="34">
        <f>AT32/AS40</f>
        <v>0.14920379205650908</v>
      </c>
      <c r="AV32" s="2"/>
      <c r="AW32" s="3"/>
      <c r="AX32" s="3"/>
      <c r="AY32" s="3"/>
      <c r="AZ32" s="3"/>
      <c r="BA32" s="3"/>
      <c r="BB32" s="3"/>
      <c r="BC32" s="18" t="s">
        <v>17</v>
      </c>
      <c r="BD32" s="19" t="s">
        <v>40</v>
      </c>
      <c r="BE32" s="18" t="s">
        <v>17</v>
      </c>
      <c r="BF32" s="19" t="s">
        <v>40</v>
      </c>
      <c r="BG32" s="18" t="s">
        <v>17</v>
      </c>
      <c r="BH32" s="19" t="s">
        <v>40</v>
      </c>
      <c r="BI32" s="18" t="s">
        <v>17</v>
      </c>
      <c r="BJ32" s="19" t="s">
        <v>40</v>
      </c>
      <c r="BK32" s="18" t="s">
        <v>17</v>
      </c>
      <c r="BL32" s="19" t="s">
        <v>40</v>
      </c>
      <c r="BM32" s="18" t="s">
        <v>17</v>
      </c>
      <c r="BN32" s="19" t="s">
        <v>40</v>
      </c>
      <c r="BO32" s="18" t="s">
        <v>17</v>
      </c>
      <c r="BP32" s="19" t="s">
        <v>40</v>
      </c>
      <c r="BQ32" s="18" t="s">
        <v>17</v>
      </c>
      <c r="BR32" s="19" t="s">
        <v>40</v>
      </c>
      <c r="BS32" s="18" t="s">
        <v>17</v>
      </c>
      <c r="BT32" s="19" t="s">
        <v>40</v>
      </c>
      <c r="BU32" s="18" t="s">
        <v>17</v>
      </c>
      <c r="BV32" s="3" t="s">
        <v>41</v>
      </c>
      <c r="BW32" s="19" t="s">
        <v>4</v>
      </c>
      <c r="BX32" s="18" t="s">
        <v>0</v>
      </c>
      <c r="BY32" s="3" t="s">
        <v>10</v>
      </c>
      <c r="BZ32" s="19" t="s">
        <v>11</v>
      </c>
      <c r="CA32" s="18" t="s">
        <v>0</v>
      </c>
      <c r="CB32" s="3" t="s">
        <v>10</v>
      </c>
      <c r="CC32" s="19" t="s">
        <v>11</v>
      </c>
      <c r="CD32" s="2"/>
      <c r="CE32" s="18" t="s">
        <v>17</v>
      </c>
      <c r="CF32" s="19" t="s">
        <v>40</v>
      </c>
      <c r="CG32" s="18" t="s">
        <v>17</v>
      </c>
      <c r="CH32" s="19" t="s">
        <v>40</v>
      </c>
      <c r="CI32" s="18" t="s">
        <v>17</v>
      </c>
      <c r="CJ32" s="19" t="s">
        <v>40</v>
      </c>
      <c r="CK32" s="18" t="s">
        <v>17</v>
      </c>
      <c r="CL32" s="19" t="s">
        <v>40</v>
      </c>
      <c r="CM32" s="18" t="s">
        <v>17</v>
      </c>
      <c r="CN32" s="19" t="s">
        <v>40</v>
      </c>
      <c r="CO32" s="18" t="s">
        <v>17</v>
      </c>
      <c r="CP32" s="19" t="s">
        <v>40</v>
      </c>
      <c r="CQ32" s="18" t="s">
        <v>17</v>
      </c>
      <c r="CR32" s="19" t="s">
        <v>40</v>
      </c>
      <c r="CS32" s="18" t="s">
        <v>17</v>
      </c>
      <c r="CT32" s="19" t="s">
        <v>40</v>
      </c>
      <c r="CU32" s="18" t="s">
        <v>17</v>
      </c>
      <c r="CV32" s="19" t="s">
        <v>40</v>
      </c>
      <c r="CW32" s="18" t="s">
        <v>17</v>
      </c>
      <c r="CX32" s="3" t="s">
        <v>41</v>
      </c>
      <c r="CY32" s="19" t="s">
        <v>4</v>
      </c>
      <c r="CZ32" s="18" t="s">
        <v>0</v>
      </c>
      <c r="DA32" s="3" t="s">
        <v>10</v>
      </c>
      <c r="DB32" s="19" t="s">
        <v>11</v>
      </c>
      <c r="DC32" s="18" t="s">
        <v>0</v>
      </c>
      <c r="DD32" s="3" t="s">
        <v>10</v>
      </c>
      <c r="DE32" s="19" t="s">
        <v>11</v>
      </c>
      <c r="DF32" s="3"/>
      <c r="DG32" s="3"/>
      <c r="DH32" s="3"/>
      <c r="DI32" s="3"/>
      <c r="DJ32" s="3"/>
      <c r="DK32" s="12" t="s">
        <v>137</v>
      </c>
      <c r="DL32" s="135" t="s">
        <v>138</v>
      </c>
      <c r="DM32" s="135"/>
      <c r="DN32" s="135"/>
      <c r="DO32" s="135"/>
      <c r="DP32" s="135"/>
      <c r="DQ32" s="135"/>
      <c r="DR32" s="135"/>
      <c r="DS32" s="135"/>
      <c r="DT32" s="135"/>
      <c r="DU32" s="135"/>
      <c r="DV32" s="135"/>
      <c r="DW32" s="135"/>
      <c r="DX32" s="135"/>
      <c r="DY32" s="3"/>
      <c r="DZ32" s="12" t="s">
        <v>139</v>
      </c>
      <c r="EA32" s="135" t="s">
        <v>140</v>
      </c>
      <c r="EB32" s="135"/>
      <c r="EC32" s="135"/>
      <c r="ED32" s="135"/>
      <c r="EE32" s="135"/>
      <c r="EF32" s="135"/>
      <c r="EG32" s="135"/>
      <c r="EH32" s="135"/>
      <c r="EI32" s="135"/>
      <c r="EJ32" s="135"/>
      <c r="EK32" s="135"/>
      <c r="EL32" s="135"/>
      <c r="EM32" s="135"/>
      <c r="EN32" s="3"/>
      <c r="EO32" s="3"/>
      <c r="EP32" s="3"/>
      <c r="EQ32" s="3"/>
      <c r="ER32" s="3"/>
      <c r="ES32" s="3"/>
      <c r="ET32" s="3"/>
      <c r="EU32" s="3"/>
    </row>
    <row r="33" spans="1:151" ht="15.75" customHeight="1">
      <c r="A33" s="78">
        <v>7</v>
      </c>
      <c r="B33" s="50">
        <f>A2*B14</f>
        <v>27000</v>
      </c>
      <c r="C33" s="34">
        <f>B33/B40</f>
        <v>5.3872053872053875E-3</v>
      </c>
      <c r="D33" s="49">
        <v>7</v>
      </c>
      <c r="E33" s="45">
        <f>B2*E14</f>
        <v>96000</v>
      </c>
      <c r="F33" s="34">
        <f>E33/D40</f>
        <v>2.1551724137931036E-2</v>
      </c>
      <c r="G33" s="51">
        <v>7</v>
      </c>
      <c r="H33" s="45">
        <f>C2*H14</f>
        <v>1200000</v>
      </c>
      <c r="I33" s="34">
        <f>H33/G40</f>
        <v>0.27114967462039047</v>
      </c>
      <c r="J33" s="47"/>
      <c r="K33" s="47"/>
      <c r="L33" s="47"/>
      <c r="M33" s="45">
        <v>7</v>
      </c>
      <c r="N33" s="45">
        <f t="shared" si="25"/>
        <v>1323000</v>
      </c>
      <c r="O33" s="35">
        <f>N33/M40</f>
        <v>8.0099897831762967E-2</v>
      </c>
      <c r="P33" s="2"/>
      <c r="Q33" s="52">
        <v>7</v>
      </c>
      <c r="R33" s="50">
        <f>SUM(B27:B33)</f>
        <v>43875</v>
      </c>
      <c r="S33" s="34">
        <f>R33/R40</f>
        <v>8.7542087542087539E-3</v>
      </c>
      <c r="T33" s="49">
        <v>7</v>
      </c>
      <c r="U33" s="45">
        <f>SUM(E27:E33)</f>
        <v>182400</v>
      </c>
      <c r="V33" s="34">
        <f>U33/T40</f>
        <v>4.0948275862068964E-2</v>
      </c>
      <c r="W33" s="51">
        <v>7</v>
      </c>
      <c r="X33" s="45">
        <f>SUM(H27:H33)</f>
        <v>2025600</v>
      </c>
      <c r="Y33" s="34">
        <f>X33/W40</f>
        <v>0.45770065075921906</v>
      </c>
      <c r="Z33" s="47"/>
      <c r="AA33" s="47"/>
      <c r="AB33" s="47"/>
      <c r="AC33" s="45">
        <v>7</v>
      </c>
      <c r="AD33" s="45">
        <f>R33+U33+X33+AA31</f>
        <v>4876875</v>
      </c>
      <c r="AE33" s="34">
        <f>AD33/AC40</f>
        <v>0.29526620501759565</v>
      </c>
      <c r="AF33" s="46"/>
      <c r="AG33" s="52">
        <v>7</v>
      </c>
      <c r="AH33" s="50">
        <f>SUM($AH$8:AH14)</f>
        <v>100</v>
      </c>
      <c r="AI33" s="34">
        <f>AH33/AH40</f>
        <v>1.1107408641563923E-2</v>
      </c>
      <c r="AJ33" s="49">
        <v>7</v>
      </c>
      <c r="AK33" s="50">
        <f>SUM($AK$8:AK14)</f>
        <v>391</v>
      </c>
      <c r="AL33" s="34">
        <f>AK33/AJ40</f>
        <v>4.3932584269662921E-2</v>
      </c>
      <c r="AM33" s="51">
        <v>7</v>
      </c>
      <c r="AN33" s="50">
        <f>SUM($AN$8:AN14)</f>
        <v>2125</v>
      </c>
      <c r="AO33" s="34">
        <f>AN33/AM40</f>
        <v>0.2537313432835821</v>
      </c>
      <c r="AP33" s="47"/>
      <c r="AQ33" s="47"/>
      <c r="AR33" s="47"/>
      <c r="AS33" s="45">
        <v>7</v>
      </c>
      <c r="AT33" s="45">
        <f>AH33+AK33+AN33+AQ31</f>
        <v>5866</v>
      </c>
      <c r="AU33" s="34">
        <f>AT33/AS40</f>
        <v>0.18173368858045727</v>
      </c>
      <c r="AV33" s="2"/>
      <c r="AW33" s="3"/>
      <c r="AX33" s="3"/>
      <c r="AY33" s="3"/>
      <c r="AZ33" s="3"/>
      <c r="BA33" s="3"/>
      <c r="BB33" s="3"/>
      <c r="BC33" s="22" t="s">
        <v>141</v>
      </c>
      <c r="BD33" s="23">
        <v>10</v>
      </c>
      <c r="BE33" s="22" t="s">
        <v>54</v>
      </c>
      <c r="BF33" s="23">
        <v>10</v>
      </c>
      <c r="BG33" s="22" t="s">
        <v>142</v>
      </c>
      <c r="BH33" s="23">
        <v>32</v>
      </c>
      <c r="BI33" s="22" t="s">
        <v>143</v>
      </c>
      <c r="BJ33" s="23">
        <v>64</v>
      </c>
      <c r="BK33" s="22" t="s">
        <v>144</v>
      </c>
      <c r="BL33" s="23">
        <v>256</v>
      </c>
      <c r="BM33" s="22" t="s">
        <v>145</v>
      </c>
      <c r="BN33" s="23">
        <v>96</v>
      </c>
      <c r="BO33" s="22" t="s">
        <v>146</v>
      </c>
      <c r="BP33" s="23">
        <v>576</v>
      </c>
      <c r="BQ33" s="22">
        <v>0</v>
      </c>
      <c r="BR33" s="23">
        <v>19</v>
      </c>
      <c r="BS33" s="22">
        <v>0</v>
      </c>
      <c r="BT33" s="23">
        <v>1</v>
      </c>
      <c r="BU33" s="22">
        <v>16</v>
      </c>
      <c r="BV33" s="24">
        <v>20</v>
      </c>
      <c r="BW33" s="17">
        <f>BV33*BU33</f>
        <v>320</v>
      </c>
      <c r="BX33" s="15">
        <v>30</v>
      </c>
      <c r="BY33" s="16">
        <v>3</v>
      </c>
      <c r="BZ33" s="17">
        <v>3</v>
      </c>
      <c r="CA33" s="15">
        <v>6</v>
      </c>
      <c r="CB33" s="16">
        <v>1</v>
      </c>
      <c r="CC33" s="17">
        <v>1</v>
      </c>
      <c r="CD33" s="2"/>
      <c r="CE33" s="22">
        <v>75</v>
      </c>
      <c r="CF33" s="23">
        <v>10</v>
      </c>
      <c r="CG33" s="22">
        <v>60</v>
      </c>
      <c r="CH33" s="23">
        <v>10</v>
      </c>
      <c r="CI33" s="22">
        <v>192</v>
      </c>
      <c r="CJ33" s="23">
        <v>32</v>
      </c>
      <c r="CK33" s="22">
        <v>480</v>
      </c>
      <c r="CL33" s="23">
        <v>64</v>
      </c>
      <c r="CM33" s="22">
        <v>1536</v>
      </c>
      <c r="CN33" s="23">
        <v>256</v>
      </c>
      <c r="CO33" s="22">
        <v>576</v>
      </c>
      <c r="CP33" s="23">
        <v>96</v>
      </c>
      <c r="CQ33" s="22">
        <v>3456</v>
      </c>
      <c r="CR33" s="23">
        <v>576</v>
      </c>
      <c r="CS33" s="22">
        <v>0</v>
      </c>
      <c r="CT33" s="23">
        <v>19</v>
      </c>
      <c r="CU33" s="22">
        <v>0</v>
      </c>
      <c r="CV33" s="23">
        <v>1</v>
      </c>
      <c r="CW33" s="22">
        <v>16</v>
      </c>
      <c r="CX33" s="24">
        <v>20</v>
      </c>
      <c r="CY33" s="17">
        <f>CX33*CW33</f>
        <v>320</v>
      </c>
      <c r="CZ33" s="15">
        <v>30</v>
      </c>
      <c r="DA33" s="16">
        <v>3</v>
      </c>
      <c r="DB33" s="17">
        <v>3</v>
      </c>
      <c r="DC33" s="15">
        <v>6</v>
      </c>
      <c r="DD33" s="16">
        <v>1</v>
      </c>
      <c r="DE33" s="17">
        <v>1</v>
      </c>
      <c r="DF33" s="3"/>
      <c r="DG33" s="3"/>
      <c r="DH33" s="3"/>
      <c r="DI33" s="3"/>
      <c r="DJ33" s="3"/>
      <c r="DK33" s="10" t="s">
        <v>43</v>
      </c>
      <c r="DL33" s="7" t="s">
        <v>44</v>
      </c>
      <c r="DM33" s="7" t="s">
        <v>45</v>
      </c>
      <c r="DN33" s="20" t="s">
        <v>46</v>
      </c>
      <c r="DO33" s="7" t="s">
        <v>47</v>
      </c>
      <c r="DP33" s="20" t="s">
        <v>48</v>
      </c>
      <c r="DQ33" s="20" t="s">
        <v>1</v>
      </c>
      <c r="DR33" s="20" t="s">
        <v>2</v>
      </c>
      <c r="DS33" s="79" t="s">
        <v>49</v>
      </c>
      <c r="DT33" s="7" t="s">
        <v>50</v>
      </c>
      <c r="DU33" s="20" t="s">
        <v>51</v>
      </c>
      <c r="DV33" s="7" t="s">
        <v>40</v>
      </c>
      <c r="DW33" s="21" t="s">
        <v>34</v>
      </c>
      <c r="DX33" s="20" t="s">
        <v>35</v>
      </c>
      <c r="DY33" s="3"/>
      <c r="DZ33" s="10" t="s">
        <v>43</v>
      </c>
      <c r="EA33" s="7" t="s">
        <v>44</v>
      </c>
      <c r="EB33" s="7" t="s">
        <v>45</v>
      </c>
      <c r="EC33" s="20" t="s">
        <v>46</v>
      </c>
      <c r="ED33" s="7" t="s">
        <v>47</v>
      </c>
      <c r="EE33" s="20" t="s">
        <v>48</v>
      </c>
      <c r="EF33" s="20" t="s">
        <v>1</v>
      </c>
      <c r="EG33" s="20" t="s">
        <v>2</v>
      </c>
      <c r="EH33" s="20" t="s">
        <v>49</v>
      </c>
      <c r="EI33" s="7" t="s">
        <v>50</v>
      </c>
      <c r="EJ33" s="20" t="s">
        <v>51</v>
      </c>
      <c r="EK33" s="7" t="s">
        <v>40</v>
      </c>
      <c r="EL33" s="21" t="s">
        <v>34</v>
      </c>
      <c r="EM33" s="20" t="s">
        <v>35</v>
      </c>
      <c r="EN33" s="3"/>
      <c r="EO33" s="3"/>
      <c r="EP33" s="3"/>
      <c r="EQ33" s="3"/>
      <c r="ER33" s="3"/>
      <c r="ES33" s="3"/>
      <c r="ET33" s="3"/>
      <c r="EU33" s="3"/>
    </row>
    <row r="34" spans="1:151" ht="15.75" customHeight="1">
      <c r="A34" s="78">
        <v>8</v>
      </c>
      <c r="B34" s="50">
        <f>A2*B15</f>
        <v>54000</v>
      </c>
      <c r="C34" s="34">
        <f>B34/B40</f>
        <v>1.0774410774410775E-2</v>
      </c>
      <c r="D34" s="49">
        <v>8</v>
      </c>
      <c r="E34" s="45">
        <f>B2*E15</f>
        <v>192000</v>
      </c>
      <c r="F34" s="34">
        <f>E34/D40</f>
        <v>4.3103448275862072E-2</v>
      </c>
      <c r="G34" s="60">
        <v>8</v>
      </c>
      <c r="H34" s="59">
        <f>C2*H15</f>
        <v>2400000</v>
      </c>
      <c r="I34" s="56">
        <f>H34/G40</f>
        <v>0.54229934924078094</v>
      </c>
      <c r="J34" s="47"/>
      <c r="K34" s="47"/>
      <c r="L34" s="47"/>
      <c r="M34" s="45">
        <v>8</v>
      </c>
      <c r="N34" s="45">
        <f t="shared" si="25"/>
        <v>2646000</v>
      </c>
      <c r="O34" s="35">
        <f>N34/M40</f>
        <v>0.16019979566352593</v>
      </c>
      <c r="P34" s="2"/>
      <c r="Q34" s="52">
        <v>8</v>
      </c>
      <c r="R34" s="50">
        <f>SUM(B27:B34)</f>
        <v>97875</v>
      </c>
      <c r="S34" s="34">
        <f>R34/R40</f>
        <v>1.9528619528619527E-2</v>
      </c>
      <c r="T34" s="49">
        <v>8</v>
      </c>
      <c r="U34" s="45">
        <f>SUM(E27:E34)</f>
        <v>374400</v>
      </c>
      <c r="V34" s="34">
        <f>U34/T40</f>
        <v>8.4051724137931036E-2</v>
      </c>
      <c r="W34" s="60">
        <v>8</v>
      </c>
      <c r="X34" s="59">
        <f>SUM(H27:H34)</f>
        <v>4425600</v>
      </c>
      <c r="Y34" s="56">
        <f>X34/W40</f>
        <v>1</v>
      </c>
      <c r="Z34" s="47"/>
      <c r="AA34" s="47"/>
      <c r="AB34" s="47"/>
      <c r="AC34" s="45">
        <v>8</v>
      </c>
      <c r="AD34" s="45">
        <f>R34+U34+X34+AA31</f>
        <v>7522875</v>
      </c>
      <c r="AE34" s="34">
        <f>AD34/AC40</f>
        <v>0.45546600068112159</v>
      </c>
      <c r="AF34" s="46"/>
      <c r="AG34" s="52">
        <v>8</v>
      </c>
      <c r="AH34" s="50">
        <f>SUM($AH$8:AH15)</f>
        <v>200</v>
      </c>
      <c r="AI34" s="34">
        <f>AH34/AH40</f>
        <v>2.2214817283127845E-2</v>
      </c>
      <c r="AJ34" s="49">
        <v>8</v>
      </c>
      <c r="AK34" s="50">
        <f>SUM($AK$8:AK15)</f>
        <v>791</v>
      </c>
      <c r="AL34" s="34">
        <f>AK34/AJ40</f>
        <v>8.8876404494382027E-2</v>
      </c>
      <c r="AM34" s="60">
        <v>8</v>
      </c>
      <c r="AN34" s="59">
        <f>SUM($AN$8:AN15)</f>
        <v>3725</v>
      </c>
      <c r="AO34" s="56">
        <f>AN34/AM40</f>
        <v>0.44477611940298506</v>
      </c>
      <c r="AP34" s="47"/>
      <c r="AQ34" s="47"/>
      <c r="AR34" s="47"/>
      <c r="AS34" s="45">
        <v>8</v>
      </c>
      <c r="AT34" s="45">
        <f>AH34+AK34+AN34+AQ31</f>
        <v>7966</v>
      </c>
      <c r="AU34" s="34">
        <f>AT34/AS40</f>
        <v>0.24679348162835368</v>
      </c>
      <c r="AV34" s="2"/>
      <c r="AW34" s="3"/>
      <c r="AX34" s="3"/>
      <c r="AY34" s="3"/>
      <c r="AZ34" s="3"/>
      <c r="BA34" s="3"/>
      <c r="BB34" s="3"/>
      <c r="BC34" s="131" t="s">
        <v>147</v>
      </c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2"/>
      <c r="CE34" s="131" t="s">
        <v>147</v>
      </c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3"/>
      <c r="DG34" s="3"/>
      <c r="DH34" s="3"/>
      <c r="DI34" s="3"/>
      <c r="DJ34" s="3"/>
      <c r="DK34" s="12" t="s">
        <v>16</v>
      </c>
      <c r="DL34" s="25">
        <v>42</v>
      </c>
      <c r="DM34" s="25">
        <v>48</v>
      </c>
      <c r="DN34" s="26">
        <f t="shared" ref="DN34:DN40" si="26">(DL34+DM34)/2</f>
        <v>45</v>
      </c>
      <c r="DO34" s="18">
        <f t="shared" ref="DO34:DO40" si="27">DP34+DQ34+DR34</f>
        <v>6</v>
      </c>
      <c r="DP34" s="12">
        <v>6</v>
      </c>
      <c r="DQ34" s="27">
        <v>0</v>
      </c>
      <c r="DR34" s="3">
        <v>0</v>
      </c>
      <c r="DS34" s="31">
        <f>((DO34*$DI$5)/$DI$4)*(1/$DI$8)</f>
        <v>1.0227272727272728E-3</v>
      </c>
      <c r="DT34" s="80">
        <f t="shared" ref="DT34:DT40" si="28">(DP34*$O$3)+(DQ34*$P$3)+($Q$3*DR34)+DL34</f>
        <v>72</v>
      </c>
      <c r="DU34" s="30">
        <f t="shared" ref="DU34:DU40" si="29">(DP34*$O$3)+(DQ34*$P$3)+($Q$3*DR34)+DM34</f>
        <v>78</v>
      </c>
      <c r="DV34" s="18" t="s">
        <v>0</v>
      </c>
      <c r="DW34" s="3">
        <v>20</v>
      </c>
      <c r="DX34" s="19">
        <v>4</v>
      </c>
      <c r="DY34" s="3"/>
      <c r="DZ34" s="12" t="s">
        <v>16</v>
      </c>
      <c r="EA34" s="25">
        <v>84</v>
      </c>
      <c r="EB34" s="25">
        <v>96</v>
      </c>
      <c r="EC34" s="26">
        <f t="shared" ref="EC34:EC40" si="30">(EA34+EB34)/2</f>
        <v>90</v>
      </c>
      <c r="ED34" s="18">
        <f t="shared" ref="ED34:ED40" si="31">EE34+EF34+EG34</f>
        <v>12</v>
      </c>
      <c r="EE34" s="12">
        <v>11</v>
      </c>
      <c r="EF34" s="27">
        <v>1</v>
      </c>
      <c r="EG34" s="19">
        <v>0</v>
      </c>
      <c r="EH34" s="31">
        <f>((ED34*$DI$5)/$DI$4)*(1/$DI$8)</f>
        <v>2.0454545454545456E-3</v>
      </c>
      <c r="EI34" s="29">
        <f t="shared" ref="EI34:EI40" si="32">(EE34*$O$3)+(EF34*$P$3)+($Q$3*EG34)+EA34</f>
        <v>189</v>
      </c>
      <c r="EJ34" s="30">
        <f t="shared" ref="EJ34:EJ40" si="33">(EE34*$O$3)+(EF34*$P$3)+($Q$3*EG34)+EB34</f>
        <v>201</v>
      </c>
      <c r="EK34" s="18" t="s">
        <v>0</v>
      </c>
      <c r="EL34" s="3">
        <v>40</v>
      </c>
      <c r="EM34" s="19">
        <v>8</v>
      </c>
      <c r="EN34" s="3"/>
      <c r="EO34" s="3"/>
      <c r="EP34" s="3"/>
      <c r="EQ34" s="3"/>
      <c r="ER34" s="3"/>
      <c r="ES34" s="3"/>
      <c r="ET34" s="3"/>
      <c r="EU34" s="3"/>
    </row>
    <row r="35" spans="1:151" ht="15.75" customHeight="1">
      <c r="A35" s="78">
        <v>9</v>
      </c>
      <c r="B35" s="50">
        <f>A2*B16</f>
        <v>108000</v>
      </c>
      <c r="C35" s="34">
        <f>B35/B40</f>
        <v>2.154882154882155E-2</v>
      </c>
      <c r="D35" s="49">
        <v>9</v>
      </c>
      <c r="E35" s="45">
        <f>B2*E16</f>
        <v>480000</v>
      </c>
      <c r="F35" s="34">
        <f>E35/D40</f>
        <v>0.10775862068965517</v>
      </c>
      <c r="G35" s="47"/>
      <c r="H35" s="47"/>
      <c r="I35" s="47"/>
      <c r="J35" s="47"/>
      <c r="K35" s="47"/>
      <c r="L35" s="47"/>
      <c r="M35" s="45">
        <v>9</v>
      </c>
      <c r="N35" s="45">
        <f t="shared" si="25"/>
        <v>588000</v>
      </c>
      <c r="O35" s="35">
        <f>N35/M40</f>
        <v>3.5599954591894654E-2</v>
      </c>
      <c r="P35" s="2"/>
      <c r="Q35" s="52">
        <v>9</v>
      </c>
      <c r="R35" s="50">
        <f>SUM(B27:B35)</f>
        <v>205875</v>
      </c>
      <c r="S35" s="34">
        <f>R35/R40</f>
        <v>4.1077441077441081E-2</v>
      </c>
      <c r="T35" s="49">
        <v>9</v>
      </c>
      <c r="U35" s="45">
        <f>SUM(E27:E35)</f>
        <v>854400</v>
      </c>
      <c r="V35" s="34">
        <f>U35/T40</f>
        <v>0.19181034482758622</v>
      </c>
      <c r="W35" s="47"/>
      <c r="X35" s="47"/>
      <c r="Y35" s="47"/>
      <c r="Z35" s="47"/>
      <c r="AA35" s="47"/>
      <c r="AB35" s="47"/>
      <c r="AC35" s="45">
        <v>9</v>
      </c>
      <c r="AD35" s="45">
        <f>R35+U35+X34+AA31</f>
        <v>8110875</v>
      </c>
      <c r="AE35" s="34">
        <f>AD35/AC40</f>
        <v>0.49106595527301622</v>
      </c>
      <c r="AF35" s="46"/>
      <c r="AG35" s="52">
        <v>9</v>
      </c>
      <c r="AH35" s="50">
        <f>SUM($AH$8:AH16)</f>
        <v>400</v>
      </c>
      <c r="AI35" s="34">
        <f>AH35/AH40</f>
        <v>4.4429634566255691E-2</v>
      </c>
      <c r="AJ35" s="49">
        <v>9</v>
      </c>
      <c r="AK35" s="50">
        <f>SUM($AK$8:AK16)</f>
        <v>1391</v>
      </c>
      <c r="AL35" s="34">
        <f>AK35/AJ40</f>
        <v>0.15629213483146068</v>
      </c>
      <c r="AM35" s="47"/>
      <c r="AN35" s="47"/>
      <c r="AO35" s="47"/>
      <c r="AP35" s="47"/>
      <c r="AQ35" s="47"/>
      <c r="AR35" s="47"/>
      <c r="AS35" s="45">
        <v>9</v>
      </c>
      <c r="AT35" s="45">
        <f>AH35+AK35+AN34+AQ31</f>
        <v>8766</v>
      </c>
      <c r="AU35" s="34">
        <f>AT35/AS40</f>
        <v>0.27157816469421897</v>
      </c>
      <c r="AV35" s="2"/>
      <c r="AW35" s="3"/>
      <c r="AX35" s="3"/>
      <c r="AY35" s="3"/>
      <c r="AZ35" s="3"/>
      <c r="BA35" s="3"/>
      <c r="BB35" s="3"/>
      <c r="BC35" s="133" t="s">
        <v>24</v>
      </c>
      <c r="BD35" s="133"/>
      <c r="BE35" s="133" t="s">
        <v>25</v>
      </c>
      <c r="BF35" s="133"/>
      <c r="BG35" s="133" t="s">
        <v>26</v>
      </c>
      <c r="BH35" s="133"/>
      <c r="BI35" s="133" t="s">
        <v>27</v>
      </c>
      <c r="BJ35" s="133"/>
      <c r="BK35" s="133" t="s">
        <v>28</v>
      </c>
      <c r="BL35" s="133"/>
      <c r="BM35" s="133" t="s">
        <v>29</v>
      </c>
      <c r="BN35" s="133"/>
      <c r="BO35" s="133" t="s">
        <v>30</v>
      </c>
      <c r="BP35" s="133"/>
      <c r="BQ35" s="133" t="s">
        <v>31</v>
      </c>
      <c r="BR35" s="133"/>
      <c r="BS35" s="133" t="s">
        <v>32</v>
      </c>
      <c r="BT35" s="133"/>
      <c r="BU35" s="133" t="s">
        <v>33</v>
      </c>
      <c r="BV35" s="133"/>
      <c r="BW35" s="133"/>
      <c r="BX35" s="133" t="s">
        <v>34</v>
      </c>
      <c r="BY35" s="133"/>
      <c r="BZ35" s="133"/>
      <c r="CA35" s="134" t="s">
        <v>35</v>
      </c>
      <c r="CB35" s="134"/>
      <c r="CC35" s="134"/>
      <c r="CD35" s="2"/>
      <c r="CE35" s="133" t="s">
        <v>24</v>
      </c>
      <c r="CF35" s="133"/>
      <c r="CG35" s="133" t="s">
        <v>25</v>
      </c>
      <c r="CH35" s="133"/>
      <c r="CI35" s="133" t="s">
        <v>26</v>
      </c>
      <c r="CJ35" s="133"/>
      <c r="CK35" s="133" t="s">
        <v>27</v>
      </c>
      <c r="CL35" s="133"/>
      <c r="CM35" s="133" t="s">
        <v>28</v>
      </c>
      <c r="CN35" s="133"/>
      <c r="CO35" s="133" t="s">
        <v>29</v>
      </c>
      <c r="CP35" s="133"/>
      <c r="CQ35" s="133" t="s">
        <v>30</v>
      </c>
      <c r="CR35" s="133"/>
      <c r="CS35" s="133" t="s">
        <v>31</v>
      </c>
      <c r="CT35" s="133"/>
      <c r="CU35" s="133" t="s">
        <v>32</v>
      </c>
      <c r="CV35" s="133"/>
      <c r="CW35" s="133" t="s">
        <v>33</v>
      </c>
      <c r="CX35" s="133"/>
      <c r="CY35" s="133"/>
      <c r="CZ35" s="133" t="s">
        <v>34</v>
      </c>
      <c r="DA35" s="133"/>
      <c r="DB35" s="133"/>
      <c r="DC35" s="134" t="s">
        <v>35</v>
      </c>
      <c r="DD35" s="134"/>
      <c r="DE35" s="134"/>
      <c r="DF35" s="3"/>
      <c r="DG35" s="3"/>
      <c r="DH35" s="3"/>
      <c r="DI35" s="3"/>
      <c r="DJ35" s="3"/>
      <c r="DK35" s="18" t="s">
        <v>14</v>
      </c>
      <c r="DL35" s="32">
        <v>30</v>
      </c>
      <c r="DM35" s="32">
        <v>42</v>
      </c>
      <c r="DN35" s="30">
        <f t="shared" si="26"/>
        <v>36</v>
      </c>
      <c r="DO35" s="18">
        <f t="shared" si="27"/>
        <v>6</v>
      </c>
      <c r="DP35" s="18">
        <v>6</v>
      </c>
      <c r="DQ35" s="33">
        <v>0</v>
      </c>
      <c r="DR35" s="3">
        <v>0</v>
      </c>
      <c r="DS35" s="35">
        <f>((DO35*$DI$5)/$DI$4)*(1/$DI$6)</f>
        <v>4.0909090909090908E-4</v>
      </c>
      <c r="DT35" s="80">
        <f t="shared" si="28"/>
        <v>60</v>
      </c>
      <c r="DU35" s="30">
        <f t="shared" si="29"/>
        <v>72</v>
      </c>
      <c r="DV35" s="18" t="s">
        <v>1</v>
      </c>
      <c r="DW35" s="3">
        <v>2</v>
      </c>
      <c r="DX35" s="19">
        <v>1</v>
      </c>
      <c r="DY35" s="3"/>
      <c r="DZ35" s="18" t="s">
        <v>14</v>
      </c>
      <c r="EA35" s="32">
        <v>60</v>
      </c>
      <c r="EB35" s="32">
        <v>84</v>
      </c>
      <c r="EC35" s="30">
        <f t="shared" si="30"/>
        <v>72</v>
      </c>
      <c r="ED35" s="18">
        <f t="shared" si="31"/>
        <v>13</v>
      </c>
      <c r="EE35" s="18">
        <v>12</v>
      </c>
      <c r="EF35" s="33">
        <v>1</v>
      </c>
      <c r="EG35" s="19">
        <v>0</v>
      </c>
      <c r="EH35" s="35">
        <f>((ED35*$DI$5)/$DI$4)*(1/$DI$6)</f>
        <v>8.8636363636363641E-4</v>
      </c>
      <c r="EI35" s="29">
        <f t="shared" si="32"/>
        <v>170</v>
      </c>
      <c r="EJ35" s="30">
        <f t="shared" si="33"/>
        <v>194</v>
      </c>
      <c r="EK35" s="18" t="s">
        <v>1</v>
      </c>
      <c r="EL35" s="3">
        <v>4</v>
      </c>
      <c r="EM35" s="19">
        <v>1</v>
      </c>
      <c r="EN35" s="3"/>
      <c r="EO35" s="3"/>
      <c r="EP35" s="3"/>
      <c r="EQ35" s="3"/>
      <c r="ER35" s="3"/>
      <c r="ES35" s="3"/>
      <c r="ET35" s="3"/>
      <c r="EU35" s="3"/>
    </row>
    <row r="36" spans="1:151" ht="15.75" customHeight="1">
      <c r="A36" s="78">
        <v>10</v>
      </c>
      <c r="B36" s="50">
        <f>A2*B17</f>
        <v>216000</v>
      </c>
      <c r="C36" s="34">
        <f>B36/B40</f>
        <v>4.30976430976431E-2</v>
      </c>
      <c r="D36" s="49">
        <v>10</v>
      </c>
      <c r="E36" s="45">
        <f>B2*E17</f>
        <v>1200000</v>
      </c>
      <c r="F36" s="34">
        <f>E36/D40</f>
        <v>0.26939655172413796</v>
      </c>
      <c r="G36" s="47"/>
      <c r="H36" s="47"/>
      <c r="I36" s="47"/>
      <c r="J36" s="47"/>
      <c r="K36" s="47"/>
      <c r="L36" s="47"/>
      <c r="M36" s="45">
        <v>10</v>
      </c>
      <c r="N36" s="45">
        <f t="shared" si="25"/>
        <v>1416000</v>
      </c>
      <c r="O36" s="35">
        <f>N36/M40</f>
        <v>8.5730502894766719E-2</v>
      </c>
      <c r="P36" s="2"/>
      <c r="Q36" s="52">
        <v>10</v>
      </c>
      <c r="R36" s="50">
        <f>SUM(B27:B36)</f>
        <v>421875</v>
      </c>
      <c r="S36" s="34">
        <f>R36/R40</f>
        <v>8.4175084175084181E-2</v>
      </c>
      <c r="T36" s="49">
        <v>10</v>
      </c>
      <c r="U36" s="45">
        <f>SUM(E27:E36)</f>
        <v>2054400</v>
      </c>
      <c r="V36" s="34">
        <f>U36/T40</f>
        <v>0.46120689655172414</v>
      </c>
      <c r="W36" s="47"/>
      <c r="X36" s="47"/>
      <c r="Y36" s="47"/>
      <c r="Z36" s="47"/>
      <c r="AA36" s="47"/>
      <c r="AB36" s="47"/>
      <c r="AC36" s="45">
        <v>10</v>
      </c>
      <c r="AD36" s="45">
        <f>R36+U36+X34+AA31</f>
        <v>9526875</v>
      </c>
      <c r="AE36" s="34">
        <f>AD36/AC40</f>
        <v>0.57679645816778291</v>
      </c>
      <c r="AF36" s="46"/>
      <c r="AG36" s="52">
        <v>10</v>
      </c>
      <c r="AH36" s="50">
        <f>SUM($AH$8:AH17)</f>
        <v>800</v>
      </c>
      <c r="AI36" s="34">
        <f>AH36/AH40</f>
        <v>8.8859269132511381E-2</v>
      </c>
      <c r="AJ36" s="49">
        <v>10</v>
      </c>
      <c r="AK36" s="50">
        <f>SUM($AK$8:AK17)</f>
        <v>2191</v>
      </c>
      <c r="AL36" s="34">
        <f>AK36/AJ40</f>
        <v>0.24617977528089888</v>
      </c>
      <c r="AM36" s="47"/>
      <c r="AN36" s="47"/>
      <c r="AO36" s="47"/>
      <c r="AP36" s="47"/>
      <c r="AQ36" s="47"/>
      <c r="AR36" s="47"/>
      <c r="AS36" s="45">
        <v>10</v>
      </c>
      <c r="AT36" s="45">
        <f>AH36+AK36+AN34+AQ31</f>
        <v>9966</v>
      </c>
      <c r="AU36" s="34">
        <f>AT36/AS40</f>
        <v>0.30875518929301693</v>
      </c>
      <c r="AV36" s="2"/>
      <c r="AW36" s="3"/>
      <c r="AX36" s="3"/>
      <c r="AY36" s="3"/>
      <c r="AZ36" s="3"/>
      <c r="BA36" s="3"/>
      <c r="BB36" s="3"/>
      <c r="BC36" s="18" t="s">
        <v>17</v>
      </c>
      <c r="BD36" s="19" t="s">
        <v>40</v>
      </c>
      <c r="BE36" s="18" t="s">
        <v>17</v>
      </c>
      <c r="BF36" s="19" t="s">
        <v>40</v>
      </c>
      <c r="BG36" s="18" t="s">
        <v>17</v>
      </c>
      <c r="BH36" s="19" t="s">
        <v>40</v>
      </c>
      <c r="BI36" s="18" t="s">
        <v>17</v>
      </c>
      <c r="BJ36" s="19" t="s">
        <v>40</v>
      </c>
      <c r="BK36" s="18" t="s">
        <v>17</v>
      </c>
      <c r="BL36" s="19" t="s">
        <v>40</v>
      </c>
      <c r="BM36" s="18" t="s">
        <v>17</v>
      </c>
      <c r="BN36" s="19" t="s">
        <v>40</v>
      </c>
      <c r="BO36" s="18" t="s">
        <v>17</v>
      </c>
      <c r="BP36" s="19" t="s">
        <v>40</v>
      </c>
      <c r="BQ36" s="18" t="s">
        <v>17</v>
      </c>
      <c r="BR36" s="19" t="s">
        <v>40</v>
      </c>
      <c r="BS36" s="18" t="s">
        <v>17</v>
      </c>
      <c r="BT36" s="19" t="s">
        <v>40</v>
      </c>
      <c r="BU36" s="18" t="s">
        <v>17</v>
      </c>
      <c r="BV36" s="3" t="s">
        <v>41</v>
      </c>
      <c r="BW36" s="19" t="s">
        <v>4</v>
      </c>
      <c r="BX36" s="18" t="s">
        <v>0</v>
      </c>
      <c r="BY36" s="3" t="s">
        <v>10</v>
      </c>
      <c r="BZ36" s="19" t="s">
        <v>11</v>
      </c>
      <c r="CA36" s="18" t="s">
        <v>0</v>
      </c>
      <c r="CB36" s="3" t="s">
        <v>10</v>
      </c>
      <c r="CC36" s="19" t="s">
        <v>11</v>
      </c>
      <c r="CD36" s="2"/>
      <c r="CE36" s="18" t="s">
        <v>17</v>
      </c>
      <c r="CF36" s="19" t="s">
        <v>40</v>
      </c>
      <c r="CG36" s="18" t="s">
        <v>17</v>
      </c>
      <c r="CH36" s="19" t="s">
        <v>40</v>
      </c>
      <c r="CI36" s="18" t="s">
        <v>17</v>
      </c>
      <c r="CJ36" s="19" t="s">
        <v>40</v>
      </c>
      <c r="CK36" s="18" t="s">
        <v>17</v>
      </c>
      <c r="CL36" s="19" t="s">
        <v>40</v>
      </c>
      <c r="CM36" s="18" t="s">
        <v>17</v>
      </c>
      <c r="CN36" s="19" t="s">
        <v>40</v>
      </c>
      <c r="CO36" s="18" t="s">
        <v>17</v>
      </c>
      <c r="CP36" s="19" t="s">
        <v>40</v>
      </c>
      <c r="CQ36" s="18" t="s">
        <v>17</v>
      </c>
      <c r="CR36" s="19" t="s">
        <v>40</v>
      </c>
      <c r="CS36" s="18" t="s">
        <v>17</v>
      </c>
      <c r="CT36" s="19" t="s">
        <v>40</v>
      </c>
      <c r="CU36" s="18" t="s">
        <v>17</v>
      </c>
      <c r="CV36" s="19" t="s">
        <v>40</v>
      </c>
      <c r="CW36" s="18" t="s">
        <v>17</v>
      </c>
      <c r="CX36" s="3" t="s">
        <v>41</v>
      </c>
      <c r="CY36" s="19" t="s">
        <v>4</v>
      </c>
      <c r="CZ36" s="18" t="s">
        <v>0</v>
      </c>
      <c r="DA36" s="3" t="s">
        <v>10</v>
      </c>
      <c r="DB36" s="19" t="s">
        <v>11</v>
      </c>
      <c r="DC36" s="18" t="s">
        <v>0</v>
      </c>
      <c r="DD36" s="3" t="s">
        <v>10</v>
      </c>
      <c r="DE36" s="19" t="s">
        <v>11</v>
      </c>
      <c r="DF36" s="3"/>
      <c r="DG36" s="3"/>
      <c r="DH36" s="3"/>
      <c r="DI36" s="3"/>
      <c r="DJ36" s="3"/>
      <c r="DK36" s="18" t="s">
        <v>66</v>
      </c>
      <c r="DL36" s="32">
        <v>100</v>
      </c>
      <c r="DM36" s="32">
        <v>140</v>
      </c>
      <c r="DN36" s="30">
        <f t="shared" si="26"/>
        <v>120</v>
      </c>
      <c r="DO36" s="18">
        <f t="shared" si="27"/>
        <v>20</v>
      </c>
      <c r="DP36" s="18">
        <v>18</v>
      </c>
      <c r="DQ36" s="33">
        <v>2</v>
      </c>
      <c r="DR36" s="3">
        <v>0</v>
      </c>
      <c r="DS36" s="35">
        <f>((DO36*$DI$5)/$DI$4)*(1/$DI$10)</f>
        <v>2.3923444976076554E-3</v>
      </c>
      <c r="DT36" s="80">
        <f t="shared" si="28"/>
        <v>290</v>
      </c>
      <c r="DU36" s="30">
        <f t="shared" si="29"/>
        <v>330</v>
      </c>
      <c r="DV36" s="15" t="s">
        <v>2</v>
      </c>
      <c r="DW36" s="16">
        <v>2</v>
      </c>
      <c r="DX36" s="17">
        <v>1</v>
      </c>
      <c r="DY36" s="3"/>
      <c r="DZ36" s="18" t="s">
        <v>66</v>
      </c>
      <c r="EA36" s="32">
        <v>190</v>
      </c>
      <c r="EB36" s="32">
        <v>266</v>
      </c>
      <c r="EC36" s="30">
        <f t="shared" si="30"/>
        <v>228</v>
      </c>
      <c r="ED36" s="18">
        <f t="shared" si="31"/>
        <v>38</v>
      </c>
      <c r="EE36" s="18">
        <v>35</v>
      </c>
      <c r="EF36" s="33">
        <v>3</v>
      </c>
      <c r="EG36" s="19">
        <v>0</v>
      </c>
      <c r="EH36" s="35">
        <f>((ED36*$DI$5)/$DI$4)*(1/$DI$10)</f>
        <v>4.5454545454545452E-3</v>
      </c>
      <c r="EI36" s="29">
        <f t="shared" si="32"/>
        <v>515</v>
      </c>
      <c r="EJ36" s="30">
        <f t="shared" si="33"/>
        <v>591</v>
      </c>
      <c r="EK36" s="15" t="s">
        <v>2</v>
      </c>
      <c r="EL36" s="16">
        <v>4</v>
      </c>
      <c r="EM36" s="17">
        <v>1</v>
      </c>
      <c r="EN36" s="3"/>
      <c r="EO36" s="3"/>
      <c r="EP36" s="3"/>
      <c r="EQ36" s="3"/>
      <c r="ER36" s="3"/>
      <c r="ES36" s="3"/>
      <c r="ET36" s="3"/>
      <c r="EU36" s="3"/>
    </row>
    <row r="37" spans="1:151" ht="15.75" customHeight="1">
      <c r="A37" s="78">
        <v>11</v>
      </c>
      <c r="B37" s="50">
        <f>A2*B18</f>
        <v>540000</v>
      </c>
      <c r="C37" s="34">
        <f>B37/B40</f>
        <v>0.10774410774410774</v>
      </c>
      <c r="D37" s="61">
        <v>11</v>
      </c>
      <c r="E37" s="59">
        <f>B2*E18</f>
        <v>2400000</v>
      </c>
      <c r="F37" s="56">
        <f>E37/D40</f>
        <v>0.53879310344827591</v>
      </c>
      <c r="G37" s="47"/>
      <c r="H37" s="47"/>
      <c r="I37" s="47"/>
      <c r="J37" s="47"/>
      <c r="K37" s="47"/>
      <c r="L37" s="47"/>
      <c r="M37" s="45">
        <v>11</v>
      </c>
      <c r="N37" s="45">
        <f t="shared" si="25"/>
        <v>2940000</v>
      </c>
      <c r="O37" s="35">
        <f>N37/M40</f>
        <v>0.17799977295947328</v>
      </c>
      <c r="P37" s="2"/>
      <c r="Q37" s="52">
        <v>11</v>
      </c>
      <c r="R37" s="50">
        <f>SUM(B27:B37)</f>
        <v>961875</v>
      </c>
      <c r="S37" s="34">
        <f>R37/R40</f>
        <v>0.19191919191919191</v>
      </c>
      <c r="T37" s="61">
        <v>11</v>
      </c>
      <c r="U37" s="59">
        <f>SUM(E27:E37)</f>
        <v>4454400</v>
      </c>
      <c r="V37" s="56">
        <f>U37/T40</f>
        <v>1</v>
      </c>
      <c r="W37" s="47"/>
      <c r="X37" s="47"/>
      <c r="Y37" s="47"/>
      <c r="Z37" s="47"/>
      <c r="AA37" s="47"/>
      <c r="AB37" s="47"/>
      <c r="AC37" s="45">
        <v>11</v>
      </c>
      <c r="AD37" s="45">
        <f>R37+U37+X34+AA31</f>
        <v>12466875</v>
      </c>
      <c r="AE37" s="34">
        <f>AD37/AC40</f>
        <v>0.75479623112725625</v>
      </c>
      <c r="AF37" s="46"/>
      <c r="AG37" s="52">
        <v>11</v>
      </c>
      <c r="AH37" s="50">
        <f>SUM($AH$8:AH18)</f>
        <v>1400</v>
      </c>
      <c r="AI37" s="34">
        <f>AH37/AH40</f>
        <v>0.15550372098189491</v>
      </c>
      <c r="AJ37" s="61">
        <v>11</v>
      </c>
      <c r="AK37" s="59">
        <f>SUM($AK$8:AK18)</f>
        <v>3791</v>
      </c>
      <c r="AL37" s="56">
        <f>AK37/AJ40</f>
        <v>0.4259550561797753</v>
      </c>
      <c r="AM37" s="47"/>
      <c r="AN37" s="47"/>
      <c r="AO37" s="47"/>
      <c r="AP37" s="47"/>
      <c r="AQ37" s="47"/>
      <c r="AR37" s="47"/>
      <c r="AS37" s="45">
        <v>11</v>
      </c>
      <c r="AT37" s="45">
        <f>AH37+AK37+AN34+AQ31</f>
        <v>12166</v>
      </c>
      <c r="AU37" s="34">
        <f>AT37/AS40</f>
        <v>0.37691306772414646</v>
      </c>
      <c r="AV37" s="2"/>
      <c r="AW37" s="3"/>
      <c r="AX37" s="3"/>
      <c r="AY37" s="3"/>
      <c r="AZ37" s="3"/>
      <c r="BA37" s="3"/>
      <c r="BB37" s="3"/>
      <c r="BC37" s="22" t="s">
        <v>148</v>
      </c>
      <c r="BD37" s="23">
        <v>11</v>
      </c>
      <c r="BE37" s="22" t="s">
        <v>149</v>
      </c>
      <c r="BF37" s="23">
        <v>11</v>
      </c>
      <c r="BG37" s="22" t="s">
        <v>150</v>
      </c>
      <c r="BH37" s="23">
        <v>35</v>
      </c>
      <c r="BI37" s="22" t="s">
        <v>151</v>
      </c>
      <c r="BJ37" s="23">
        <v>70</v>
      </c>
      <c r="BK37" s="22" t="s">
        <v>152</v>
      </c>
      <c r="BL37" s="23">
        <v>280</v>
      </c>
      <c r="BM37" s="22" t="s">
        <v>153</v>
      </c>
      <c r="BN37" s="23">
        <v>105</v>
      </c>
      <c r="BO37" s="22" t="s">
        <v>154</v>
      </c>
      <c r="BP37" s="23">
        <v>630</v>
      </c>
      <c r="BQ37" s="22">
        <v>0</v>
      </c>
      <c r="BR37" s="23">
        <v>20</v>
      </c>
      <c r="BS37" s="22">
        <v>0</v>
      </c>
      <c r="BT37" s="23">
        <v>1</v>
      </c>
      <c r="BU37" s="22">
        <v>18</v>
      </c>
      <c r="BV37" s="24">
        <v>20</v>
      </c>
      <c r="BW37" s="17">
        <f>BV37*BU37</f>
        <v>360</v>
      </c>
      <c r="BX37" s="15">
        <v>30</v>
      </c>
      <c r="BY37" s="16">
        <v>3</v>
      </c>
      <c r="BZ37" s="17">
        <v>3</v>
      </c>
      <c r="CA37" s="15">
        <v>6</v>
      </c>
      <c r="CB37" s="16">
        <v>1</v>
      </c>
      <c r="CC37" s="17">
        <v>1</v>
      </c>
      <c r="CD37" s="2"/>
      <c r="CE37" s="22">
        <v>83</v>
      </c>
      <c r="CF37" s="23">
        <v>11</v>
      </c>
      <c r="CG37" s="22">
        <v>66</v>
      </c>
      <c r="CH37" s="23">
        <v>11</v>
      </c>
      <c r="CI37" s="22">
        <v>210</v>
      </c>
      <c r="CJ37" s="23">
        <v>35</v>
      </c>
      <c r="CK37" s="22">
        <v>525</v>
      </c>
      <c r="CL37" s="23">
        <v>70</v>
      </c>
      <c r="CM37" s="22">
        <v>1680</v>
      </c>
      <c r="CN37" s="23">
        <v>280</v>
      </c>
      <c r="CO37" s="22">
        <v>630</v>
      </c>
      <c r="CP37" s="23">
        <v>105</v>
      </c>
      <c r="CQ37" s="22">
        <v>3780</v>
      </c>
      <c r="CR37" s="23">
        <v>630</v>
      </c>
      <c r="CS37" s="22">
        <v>0</v>
      </c>
      <c r="CT37" s="23">
        <v>20</v>
      </c>
      <c r="CU37" s="22">
        <v>0</v>
      </c>
      <c r="CV37" s="23">
        <v>1</v>
      </c>
      <c r="CW37" s="22">
        <v>18</v>
      </c>
      <c r="CX37" s="24">
        <v>20</v>
      </c>
      <c r="CY37" s="17">
        <f>CX37*CW37</f>
        <v>360</v>
      </c>
      <c r="CZ37" s="15">
        <v>30</v>
      </c>
      <c r="DA37" s="16">
        <v>3</v>
      </c>
      <c r="DB37" s="17">
        <v>3</v>
      </c>
      <c r="DC37" s="15">
        <v>6</v>
      </c>
      <c r="DD37" s="16">
        <v>1</v>
      </c>
      <c r="DE37" s="17">
        <v>1</v>
      </c>
      <c r="DF37" s="3"/>
      <c r="DG37" s="3"/>
      <c r="DH37" s="3"/>
      <c r="DI37" s="3"/>
      <c r="DJ37" s="3"/>
      <c r="DK37" s="18" t="s">
        <v>70</v>
      </c>
      <c r="DL37" s="32">
        <v>280</v>
      </c>
      <c r="DM37" s="32">
        <v>320</v>
      </c>
      <c r="DN37" s="30">
        <f t="shared" si="26"/>
        <v>300</v>
      </c>
      <c r="DO37" s="18">
        <f t="shared" si="27"/>
        <v>40</v>
      </c>
      <c r="DP37" s="18">
        <v>36</v>
      </c>
      <c r="DQ37" s="33">
        <v>4</v>
      </c>
      <c r="DR37" s="3">
        <v>0</v>
      </c>
      <c r="DS37" s="35">
        <f>((DO37*$DI$5)/$DI$4)*(1/$DI$9)</f>
        <v>6.8181818181818187E-3</v>
      </c>
      <c r="DT37" s="80">
        <f t="shared" si="28"/>
        <v>660</v>
      </c>
      <c r="DU37" s="30">
        <f t="shared" si="29"/>
        <v>700</v>
      </c>
      <c r="DV37" s="36" t="s">
        <v>33</v>
      </c>
      <c r="DW37" s="37"/>
      <c r="DX37" s="11"/>
      <c r="DY37" s="3"/>
      <c r="DZ37" s="18" t="s">
        <v>70</v>
      </c>
      <c r="EA37" s="32">
        <v>532</v>
      </c>
      <c r="EB37" s="32">
        <v>608</v>
      </c>
      <c r="EC37" s="30">
        <f t="shared" si="30"/>
        <v>570</v>
      </c>
      <c r="ED37" s="18">
        <f t="shared" si="31"/>
        <v>76</v>
      </c>
      <c r="EE37" s="18">
        <v>69</v>
      </c>
      <c r="EF37" s="33">
        <v>7</v>
      </c>
      <c r="EG37" s="19">
        <v>0</v>
      </c>
      <c r="EH37" s="35">
        <f>((ED37*$DI$5)/$DI$4)*(1/$DI$9)</f>
        <v>1.2954545454545455E-2</v>
      </c>
      <c r="EI37" s="29">
        <f t="shared" si="32"/>
        <v>1227</v>
      </c>
      <c r="EJ37" s="30">
        <f t="shared" si="33"/>
        <v>1303</v>
      </c>
      <c r="EK37" s="36" t="s">
        <v>33</v>
      </c>
      <c r="EL37" s="37"/>
      <c r="EM37" s="11"/>
      <c r="EN37" s="3"/>
      <c r="EO37" s="3"/>
      <c r="EP37" s="3"/>
      <c r="EQ37" s="3"/>
      <c r="ER37" s="3"/>
      <c r="ES37" s="3"/>
      <c r="ET37" s="3"/>
      <c r="EU37" s="3"/>
    </row>
    <row r="38" spans="1:151" ht="15.75" customHeight="1">
      <c r="A38" s="78">
        <v>12</v>
      </c>
      <c r="B38" s="50">
        <f>A2*B19</f>
        <v>1350000</v>
      </c>
      <c r="C38" s="34">
        <f>B38/B40</f>
        <v>0.26936026936026936</v>
      </c>
      <c r="D38" s="47"/>
      <c r="E38" s="47"/>
      <c r="F38" s="47"/>
      <c r="G38" s="47"/>
      <c r="H38" s="47"/>
      <c r="I38" s="47"/>
      <c r="J38" s="47"/>
      <c r="K38" s="47"/>
      <c r="L38" s="47"/>
      <c r="M38" s="45">
        <v>12</v>
      </c>
      <c r="N38" s="45">
        <f t="shared" si="25"/>
        <v>1350000</v>
      </c>
      <c r="O38" s="35">
        <f>N38/M40</f>
        <v>8.1734589624247928E-2</v>
      </c>
      <c r="P38" s="2"/>
      <c r="Q38" s="52">
        <v>12</v>
      </c>
      <c r="R38" s="50">
        <f>SUM(B27:B38)</f>
        <v>2311875</v>
      </c>
      <c r="S38" s="34">
        <f>R38/R40</f>
        <v>0.46127946127946129</v>
      </c>
      <c r="T38" s="47"/>
      <c r="U38" s="47"/>
      <c r="V38" s="47"/>
      <c r="W38" s="47"/>
      <c r="X38" s="47"/>
      <c r="Y38" s="47"/>
      <c r="Z38" s="47"/>
      <c r="AA38" s="47"/>
      <c r="AB38" s="47"/>
      <c r="AC38" s="45">
        <v>12</v>
      </c>
      <c r="AD38" s="45">
        <f>R38+U37+X34+AA31</f>
        <v>13816875</v>
      </c>
      <c r="AE38" s="34">
        <f>AD38/AC40</f>
        <v>0.83653082075150409</v>
      </c>
      <c r="AF38" s="46"/>
      <c r="AG38" s="52">
        <v>12</v>
      </c>
      <c r="AH38" s="50">
        <f>SUM($AH$8:AH19)</f>
        <v>2200</v>
      </c>
      <c r="AI38" s="34">
        <f>AH38/AH40</f>
        <v>0.24436299011440632</v>
      </c>
      <c r="AJ38" s="47"/>
      <c r="AK38" s="47"/>
      <c r="AL38" s="47"/>
      <c r="AM38" s="47"/>
      <c r="AN38" s="47"/>
      <c r="AO38" s="47"/>
      <c r="AP38" s="47"/>
      <c r="AQ38" s="47"/>
      <c r="AR38" s="47"/>
      <c r="AS38" s="45">
        <v>12</v>
      </c>
      <c r="AT38" s="45">
        <f>AH38+AK37+AN34+AQ31</f>
        <v>12966</v>
      </c>
      <c r="AU38" s="34">
        <f>AT38/AS40</f>
        <v>0.4016977507900118</v>
      </c>
      <c r="AV38" s="2"/>
      <c r="AW38" s="3"/>
      <c r="AX38" s="3"/>
      <c r="AY38" s="3"/>
      <c r="AZ38" s="3"/>
      <c r="BA38" s="3"/>
      <c r="BB38" s="3"/>
      <c r="BC38" s="131" t="s">
        <v>155</v>
      </c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2"/>
      <c r="CE38" s="131" t="s">
        <v>155</v>
      </c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1"/>
      <c r="CT38" s="131"/>
      <c r="CU38" s="131"/>
      <c r="CV38" s="131"/>
      <c r="CW38" s="131"/>
      <c r="CX38" s="131"/>
      <c r="CY38" s="131"/>
      <c r="CZ38" s="131"/>
      <c r="DA38" s="131"/>
      <c r="DB38" s="131"/>
      <c r="DC38" s="131"/>
      <c r="DD38" s="131"/>
      <c r="DE38" s="131"/>
      <c r="DF38" s="3"/>
      <c r="DG38" s="3"/>
      <c r="DH38" s="3"/>
      <c r="DI38" s="3"/>
      <c r="DJ38" s="3"/>
      <c r="DK38" s="18" t="s">
        <v>15</v>
      </c>
      <c r="DL38" s="32">
        <v>420</v>
      </c>
      <c r="DM38" s="32">
        <v>420</v>
      </c>
      <c r="DN38" s="30">
        <f t="shared" si="26"/>
        <v>420</v>
      </c>
      <c r="DO38" s="18">
        <f t="shared" si="27"/>
        <v>140</v>
      </c>
      <c r="DP38" s="18">
        <v>112</v>
      </c>
      <c r="DQ38" s="33">
        <v>28</v>
      </c>
      <c r="DR38" s="3">
        <v>0</v>
      </c>
      <c r="DS38" s="35">
        <f>((DO38*$DI$5)/$DI$4)*(1/$DI$7)</f>
        <v>9.5454545454545462E-3</v>
      </c>
      <c r="DT38" s="80">
        <f t="shared" si="28"/>
        <v>2380</v>
      </c>
      <c r="DU38" s="30">
        <f t="shared" si="29"/>
        <v>2380</v>
      </c>
      <c r="DV38" s="7" t="s">
        <v>78</v>
      </c>
      <c r="DW38" s="7" t="s">
        <v>79</v>
      </c>
      <c r="DX38" s="7" t="s">
        <v>80</v>
      </c>
      <c r="DY38" s="3"/>
      <c r="DZ38" s="18" t="s">
        <v>15</v>
      </c>
      <c r="EA38" s="32">
        <v>798</v>
      </c>
      <c r="EB38" s="32">
        <v>798</v>
      </c>
      <c r="EC38" s="30">
        <f t="shared" si="30"/>
        <v>798</v>
      </c>
      <c r="ED38" s="18">
        <f t="shared" si="31"/>
        <v>266</v>
      </c>
      <c r="EE38" s="18">
        <v>213</v>
      </c>
      <c r="EF38" s="33">
        <v>53</v>
      </c>
      <c r="EG38" s="19">
        <v>0</v>
      </c>
      <c r="EH38" s="35">
        <f>((ED38*$DI$5)/$DI$4)*(1/$DI$7)</f>
        <v>1.8136363636363638E-2</v>
      </c>
      <c r="EI38" s="29">
        <f t="shared" si="32"/>
        <v>4513</v>
      </c>
      <c r="EJ38" s="30">
        <f t="shared" si="33"/>
        <v>4513</v>
      </c>
      <c r="EK38" s="7" t="s">
        <v>78</v>
      </c>
      <c r="EL38" s="7" t="s">
        <v>79</v>
      </c>
      <c r="EM38" s="7" t="s">
        <v>80</v>
      </c>
      <c r="EN38" s="3"/>
      <c r="EO38" s="3"/>
      <c r="EP38" s="3"/>
      <c r="EQ38" s="3"/>
      <c r="ER38" s="3"/>
      <c r="ES38" s="3"/>
      <c r="ET38" s="3"/>
      <c r="EU38" s="3"/>
    </row>
    <row r="39" spans="1:151" ht="15.75" customHeight="1">
      <c r="A39" s="78">
        <v>13</v>
      </c>
      <c r="B39" s="50">
        <f>A2*B20</f>
        <v>2700000</v>
      </c>
      <c r="C39" s="56">
        <f>B39/B40</f>
        <v>0.53872053872053871</v>
      </c>
      <c r="D39" s="47"/>
      <c r="E39" s="47"/>
      <c r="F39" s="47"/>
      <c r="G39" s="47"/>
      <c r="H39" s="47"/>
      <c r="I39" s="47"/>
      <c r="J39" s="47"/>
      <c r="K39" s="47"/>
      <c r="L39" s="47"/>
      <c r="M39" s="45">
        <v>13</v>
      </c>
      <c r="N39" s="45">
        <f t="shared" si="25"/>
        <v>2700000</v>
      </c>
      <c r="O39" s="58">
        <f>N39/M40</f>
        <v>0.16346917924849586</v>
      </c>
      <c r="P39" s="2"/>
      <c r="Q39" s="52">
        <v>13</v>
      </c>
      <c r="R39" s="50">
        <f>SUM(B27:B39)</f>
        <v>5011875</v>
      </c>
      <c r="S39" s="34">
        <f>R39/R40</f>
        <v>1</v>
      </c>
      <c r="T39" s="47"/>
      <c r="U39" s="47"/>
      <c r="V39" s="47"/>
      <c r="W39" s="47"/>
      <c r="X39" s="47"/>
      <c r="Y39" s="47"/>
      <c r="Z39" s="47"/>
      <c r="AA39" s="47"/>
      <c r="AB39" s="47"/>
      <c r="AC39" s="45">
        <v>13</v>
      </c>
      <c r="AD39" s="45">
        <f>R39+U37+X34+AA31</f>
        <v>16516875</v>
      </c>
      <c r="AE39" s="34">
        <f>AD39/AC40</f>
        <v>1</v>
      </c>
      <c r="AF39" s="46"/>
      <c r="AG39" s="52">
        <v>13</v>
      </c>
      <c r="AH39" s="50">
        <f>SUM($AH$8:AH20)</f>
        <v>3800</v>
      </c>
      <c r="AI39" s="34">
        <f>AH39/AH40</f>
        <v>0.42208152837942908</v>
      </c>
      <c r="AJ39" s="47"/>
      <c r="AK39" s="47"/>
      <c r="AL39" s="47"/>
      <c r="AM39" s="47"/>
      <c r="AN39" s="47"/>
      <c r="AO39" s="47"/>
      <c r="AP39" s="47"/>
      <c r="AQ39" s="47"/>
      <c r="AR39" s="47"/>
      <c r="AS39" s="45">
        <v>13</v>
      </c>
      <c r="AT39" s="45">
        <f>AH39+AK37+AN34+AQ31</f>
        <v>14566</v>
      </c>
      <c r="AU39" s="34">
        <f>AT39/AS40</f>
        <v>0.45126711692174237</v>
      </c>
      <c r="AV39" s="2"/>
      <c r="AW39" s="3"/>
      <c r="AX39" s="3"/>
      <c r="AY39" s="3"/>
      <c r="AZ39" s="3"/>
      <c r="BA39" s="3"/>
      <c r="BB39" s="3"/>
      <c r="BC39" s="133" t="s">
        <v>24</v>
      </c>
      <c r="BD39" s="133"/>
      <c r="BE39" s="133" t="s">
        <v>25</v>
      </c>
      <c r="BF39" s="133"/>
      <c r="BG39" s="133" t="s">
        <v>26</v>
      </c>
      <c r="BH39" s="133"/>
      <c r="BI39" s="133" t="s">
        <v>27</v>
      </c>
      <c r="BJ39" s="133"/>
      <c r="BK39" s="133" t="s">
        <v>28</v>
      </c>
      <c r="BL39" s="133"/>
      <c r="BM39" s="133" t="s">
        <v>29</v>
      </c>
      <c r="BN39" s="133"/>
      <c r="BO39" s="133" t="s">
        <v>30</v>
      </c>
      <c r="BP39" s="133"/>
      <c r="BQ39" s="133" t="s">
        <v>31</v>
      </c>
      <c r="BR39" s="133"/>
      <c r="BS39" s="133" t="s">
        <v>32</v>
      </c>
      <c r="BT39" s="133"/>
      <c r="BU39" s="133" t="s">
        <v>33</v>
      </c>
      <c r="BV39" s="133"/>
      <c r="BW39" s="133"/>
      <c r="BX39" s="133" t="s">
        <v>34</v>
      </c>
      <c r="BY39" s="133"/>
      <c r="BZ39" s="133"/>
      <c r="CA39" s="134" t="s">
        <v>35</v>
      </c>
      <c r="CB39" s="134"/>
      <c r="CC39" s="134"/>
      <c r="CD39" s="2"/>
      <c r="CE39" s="133" t="s">
        <v>24</v>
      </c>
      <c r="CF39" s="133"/>
      <c r="CG39" s="133" t="s">
        <v>25</v>
      </c>
      <c r="CH39" s="133"/>
      <c r="CI39" s="133" t="s">
        <v>26</v>
      </c>
      <c r="CJ39" s="133"/>
      <c r="CK39" s="133" t="s">
        <v>27</v>
      </c>
      <c r="CL39" s="133"/>
      <c r="CM39" s="133" t="s">
        <v>28</v>
      </c>
      <c r="CN39" s="133"/>
      <c r="CO39" s="133" t="s">
        <v>29</v>
      </c>
      <c r="CP39" s="133"/>
      <c r="CQ39" s="133" t="s">
        <v>30</v>
      </c>
      <c r="CR39" s="133"/>
      <c r="CS39" s="133" t="s">
        <v>31</v>
      </c>
      <c r="CT39" s="133"/>
      <c r="CU39" s="133" t="s">
        <v>32</v>
      </c>
      <c r="CV39" s="133"/>
      <c r="CW39" s="133" t="s">
        <v>33</v>
      </c>
      <c r="CX39" s="133"/>
      <c r="CY39" s="133"/>
      <c r="CZ39" s="133" t="s">
        <v>34</v>
      </c>
      <c r="DA39" s="133"/>
      <c r="DB39" s="133"/>
      <c r="DC39" s="134" t="s">
        <v>35</v>
      </c>
      <c r="DD39" s="134"/>
      <c r="DE39" s="134"/>
      <c r="DF39" s="3"/>
      <c r="DG39" s="3"/>
      <c r="DH39" s="3"/>
      <c r="DI39" s="3"/>
      <c r="DJ39" s="3"/>
      <c r="DK39" s="18" t="s">
        <v>20</v>
      </c>
      <c r="DL39" s="32">
        <v>600</v>
      </c>
      <c r="DM39" s="32">
        <v>600</v>
      </c>
      <c r="DN39" s="30">
        <f t="shared" si="26"/>
        <v>600</v>
      </c>
      <c r="DO39" s="18">
        <f t="shared" si="27"/>
        <v>60</v>
      </c>
      <c r="DP39" s="18">
        <v>46</v>
      </c>
      <c r="DQ39" s="33">
        <v>12</v>
      </c>
      <c r="DR39" s="3">
        <v>2</v>
      </c>
      <c r="DS39" s="35">
        <f>((DO39*$DI$5)/$DI$4)*(1/$DI$13)</f>
        <v>6.8181818181818177E-2</v>
      </c>
      <c r="DT39" s="80">
        <f t="shared" si="28"/>
        <v>2430</v>
      </c>
      <c r="DU39" s="30">
        <f t="shared" si="29"/>
        <v>2430</v>
      </c>
      <c r="DV39" s="15">
        <v>11</v>
      </c>
      <c r="DW39" s="16">
        <v>20</v>
      </c>
      <c r="DX39" s="17">
        <f>DW39*DV39</f>
        <v>220</v>
      </c>
      <c r="DY39" s="3"/>
      <c r="DZ39" s="18" t="s">
        <v>20</v>
      </c>
      <c r="EA39" s="32">
        <v>1140</v>
      </c>
      <c r="EB39" s="32">
        <v>1140</v>
      </c>
      <c r="EC39" s="30">
        <f t="shared" si="30"/>
        <v>1140</v>
      </c>
      <c r="ED39" s="18">
        <f t="shared" si="31"/>
        <v>114</v>
      </c>
      <c r="EE39" s="18">
        <v>89</v>
      </c>
      <c r="EF39" s="33">
        <v>22</v>
      </c>
      <c r="EG39" s="19">
        <v>3</v>
      </c>
      <c r="EH39" s="35">
        <f>((ED39*$DI$5)/$DI$4)*(1/$DI$13)</f>
        <v>0.12954545454545457</v>
      </c>
      <c r="EI39" s="29">
        <f t="shared" si="32"/>
        <v>4185</v>
      </c>
      <c r="EJ39" s="30">
        <f t="shared" si="33"/>
        <v>4185</v>
      </c>
      <c r="EK39" s="15">
        <v>20</v>
      </c>
      <c r="EL39" s="16">
        <v>20</v>
      </c>
      <c r="EM39" s="17">
        <f>EL39*EK39</f>
        <v>400</v>
      </c>
      <c r="EN39" s="3"/>
      <c r="EO39" s="3"/>
      <c r="EP39" s="3"/>
      <c r="EQ39" s="3"/>
      <c r="ER39" s="3"/>
      <c r="ES39" s="3"/>
      <c r="ET39" s="3"/>
      <c r="EU39" s="3"/>
    </row>
    <row r="40" spans="1:151" ht="15.75" customHeight="1">
      <c r="A40" s="7" t="s">
        <v>112</v>
      </c>
      <c r="B40" s="136">
        <f>SUM(B27:B39)</f>
        <v>5011875</v>
      </c>
      <c r="C40" s="136"/>
      <c r="D40" s="137">
        <f>SUM(E27:E37)</f>
        <v>4454400</v>
      </c>
      <c r="E40" s="137"/>
      <c r="F40" s="137"/>
      <c r="G40" s="137">
        <f>SUM(H27:H34)</f>
        <v>4425600</v>
      </c>
      <c r="H40" s="137"/>
      <c r="I40" s="137"/>
      <c r="J40" s="137">
        <f>SUM(K27:K31)</f>
        <v>2625000</v>
      </c>
      <c r="K40" s="137"/>
      <c r="L40" s="137"/>
      <c r="M40" s="138">
        <f>SUM(N27:N39)</f>
        <v>16516875</v>
      </c>
      <c r="N40" s="138"/>
      <c r="O40" s="138"/>
      <c r="P40" s="2"/>
      <c r="Q40" s="63" t="s">
        <v>112</v>
      </c>
      <c r="R40" s="136">
        <f>SUM(R39)</f>
        <v>5011875</v>
      </c>
      <c r="S40" s="136"/>
      <c r="T40" s="137">
        <f>U37</f>
        <v>4454400</v>
      </c>
      <c r="U40" s="137"/>
      <c r="V40" s="137"/>
      <c r="W40" s="137">
        <f>X34</f>
        <v>4425600</v>
      </c>
      <c r="X40" s="137"/>
      <c r="Y40" s="137"/>
      <c r="Z40" s="137">
        <f>AA31</f>
        <v>2625000</v>
      </c>
      <c r="AA40" s="137"/>
      <c r="AB40" s="137"/>
      <c r="AC40" s="138">
        <f>SUM(R40:AA40)</f>
        <v>16516875</v>
      </c>
      <c r="AD40" s="138"/>
      <c r="AE40" s="138"/>
      <c r="AF40" s="2"/>
      <c r="AG40" s="63" t="s">
        <v>112</v>
      </c>
      <c r="AH40" s="136">
        <f>SUM(AH27:AH39)</f>
        <v>9003</v>
      </c>
      <c r="AI40" s="136"/>
      <c r="AJ40" s="137">
        <f>SUM(AK27:AK37)</f>
        <v>8900</v>
      </c>
      <c r="AK40" s="137"/>
      <c r="AL40" s="137"/>
      <c r="AM40" s="137">
        <f>SUM(AN27:AN34)</f>
        <v>8375</v>
      </c>
      <c r="AN40" s="137"/>
      <c r="AO40" s="137"/>
      <c r="AP40" s="137">
        <f>SUM(AQ27:AQ31)</f>
        <v>6000</v>
      </c>
      <c r="AQ40" s="137"/>
      <c r="AR40" s="137"/>
      <c r="AS40" s="138">
        <f>SUM(AH40:AQ40)</f>
        <v>32278</v>
      </c>
      <c r="AT40" s="138"/>
      <c r="AU40" s="138"/>
      <c r="AV40" s="2"/>
      <c r="AW40" s="3"/>
      <c r="AX40" s="3"/>
      <c r="AY40" s="3"/>
      <c r="AZ40" s="3"/>
      <c r="BA40" s="3"/>
      <c r="BB40" s="3"/>
      <c r="BC40" s="18" t="s">
        <v>17</v>
      </c>
      <c r="BD40" s="19" t="s">
        <v>40</v>
      </c>
      <c r="BE40" s="18" t="s">
        <v>17</v>
      </c>
      <c r="BF40" s="19" t="s">
        <v>40</v>
      </c>
      <c r="BG40" s="18" t="s">
        <v>17</v>
      </c>
      <c r="BH40" s="19" t="s">
        <v>40</v>
      </c>
      <c r="BI40" s="18" t="s">
        <v>17</v>
      </c>
      <c r="BJ40" s="19" t="s">
        <v>40</v>
      </c>
      <c r="BK40" s="18" t="s">
        <v>17</v>
      </c>
      <c r="BL40" s="19" t="s">
        <v>40</v>
      </c>
      <c r="BM40" s="18" t="s">
        <v>17</v>
      </c>
      <c r="BN40" s="19" t="s">
        <v>40</v>
      </c>
      <c r="BO40" s="18" t="s">
        <v>17</v>
      </c>
      <c r="BP40" s="19" t="s">
        <v>40</v>
      </c>
      <c r="BQ40" s="18" t="s">
        <v>17</v>
      </c>
      <c r="BR40" s="19" t="s">
        <v>40</v>
      </c>
      <c r="BS40" s="18" t="s">
        <v>17</v>
      </c>
      <c r="BT40" s="19" t="s">
        <v>40</v>
      </c>
      <c r="BU40" s="18" t="s">
        <v>17</v>
      </c>
      <c r="BV40" s="3" t="s">
        <v>41</v>
      </c>
      <c r="BW40" s="19" t="s">
        <v>4</v>
      </c>
      <c r="BX40" s="18" t="s">
        <v>0</v>
      </c>
      <c r="BY40" s="3" t="s">
        <v>10</v>
      </c>
      <c r="BZ40" s="19" t="s">
        <v>11</v>
      </c>
      <c r="CA40" s="18" t="s">
        <v>0</v>
      </c>
      <c r="CB40" s="3" t="s">
        <v>10</v>
      </c>
      <c r="CC40" s="19" t="s">
        <v>11</v>
      </c>
      <c r="CD40" s="2"/>
      <c r="CE40" s="18" t="s">
        <v>17</v>
      </c>
      <c r="CF40" s="19" t="s">
        <v>40</v>
      </c>
      <c r="CG40" s="18" t="s">
        <v>17</v>
      </c>
      <c r="CH40" s="19" t="s">
        <v>40</v>
      </c>
      <c r="CI40" s="18" t="s">
        <v>17</v>
      </c>
      <c r="CJ40" s="19" t="s">
        <v>40</v>
      </c>
      <c r="CK40" s="18" t="s">
        <v>17</v>
      </c>
      <c r="CL40" s="19" t="s">
        <v>40</v>
      </c>
      <c r="CM40" s="18" t="s">
        <v>17</v>
      </c>
      <c r="CN40" s="19" t="s">
        <v>40</v>
      </c>
      <c r="CO40" s="18" t="s">
        <v>17</v>
      </c>
      <c r="CP40" s="19" t="s">
        <v>40</v>
      </c>
      <c r="CQ40" s="18" t="s">
        <v>17</v>
      </c>
      <c r="CR40" s="19" t="s">
        <v>40</v>
      </c>
      <c r="CS40" s="18" t="s">
        <v>17</v>
      </c>
      <c r="CT40" s="19" t="s">
        <v>40</v>
      </c>
      <c r="CU40" s="18" t="s">
        <v>17</v>
      </c>
      <c r="CV40" s="19" t="s">
        <v>40</v>
      </c>
      <c r="CW40" s="18" t="s">
        <v>17</v>
      </c>
      <c r="CX40" s="3" t="s">
        <v>41</v>
      </c>
      <c r="CY40" s="19" t="s">
        <v>4</v>
      </c>
      <c r="CZ40" s="18" t="s">
        <v>0</v>
      </c>
      <c r="DA40" s="3" t="s">
        <v>10</v>
      </c>
      <c r="DB40" s="19" t="s">
        <v>11</v>
      </c>
      <c r="DC40" s="18" t="s">
        <v>0</v>
      </c>
      <c r="DD40" s="3" t="s">
        <v>10</v>
      </c>
      <c r="DE40" s="19" t="s">
        <v>11</v>
      </c>
      <c r="DF40" s="3"/>
      <c r="DG40" s="3"/>
      <c r="DH40" s="3"/>
      <c r="DI40" s="3"/>
      <c r="DJ40" s="3"/>
      <c r="DK40" s="15" t="s">
        <v>82</v>
      </c>
      <c r="DL40" s="53">
        <v>3240</v>
      </c>
      <c r="DM40" s="53">
        <v>3240</v>
      </c>
      <c r="DN40" s="54">
        <f t="shared" si="26"/>
        <v>3240</v>
      </c>
      <c r="DO40" s="15">
        <f t="shared" si="27"/>
        <v>360</v>
      </c>
      <c r="DP40" s="15">
        <v>276</v>
      </c>
      <c r="DQ40" s="55">
        <v>72</v>
      </c>
      <c r="DR40" s="16">
        <v>12</v>
      </c>
      <c r="DS40" s="58">
        <f>((DO40*$DI$5)/$DI$4)*(1/$DI$14)</f>
        <v>0.40909090909090912</v>
      </c>
      <c r="DT40" s="81">
        <f t="shared" si="28"/>
        <v>14220</v>
      </c>
      <c r="DU40" s="54">
        <f t="shared" si="29"/>
        <v>14220</v>
      </c>
      <c r="DV40" s="3"/>
      <c r="DW40" s="3"/>
      <c r="DX40" s="3"/>
      <c r="DY40" s="3"/>
      <c r="DZ40" s="15" t="s">
        <v>82</v>
      </c>
      <c r="EA40" s="53">
        <v>6156</v>
      </c>
      <c r="EB40" s="53">
        <v>6156</v>
      </c>
      <c r="EC40" s="54">
        <f t="shared" si="30"/>
        <v>6156</v>
      </c>
      <c r="ED40" s="15">
        <f t="shared" si="31"/>
        <v>684</v>
      </c>
      <c r="EE40" s="15">
        <v>526</v>
      </c>
      <c r="EF40" s="55">
        <v>136</v>
      </c>
      <c r="EG40" s="17">
        <v>22</v>
      </c>
      <c r="EH40" s="58">
        <f>((ED40*$DI$5)/$DI$4)*(1/$DI$14)</f>
        <v>0.77727272727272734</v>
      </c>
      <c r="EI40" s="57">
        <f t="shared" si="32"/>
        <v>26586</v>
      </c>
      <c r="EJ40" s="54">
        <f t="shared" si="33"/>
        <v>26586</v>
      </c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</row>
    <row r="41" spans="1:151" ht="15.75" customHeight="1">
      <c r="A41" s="63" t="s">
        <v>69</v>
      </c>
      <c r="B41" s="142">
        <f>B40/M40</f>
        <v>0.30343966398002042</v>
      </c>
      <c r="C41" s="142"/>
      <c r="D41" s="143">
        <f>D40/M40</f>
        <v>0.2696878192757407</v>
      </c>
      <c r="E41" s="143"/>
      <c r="F41" s="143"/>
      <c r="G41" s="143">
        <f>G40/M40</f>
        <v>0.26794414803042343</v>
      </c>
      <c r="H41" s="143"/>
      <c r="I41" s="143"/>
      <c r="J41" s="143">
        <f>J40/M40</f>
        <v>0.15892836871381541</v>
      </c>
      <c r="K41" s="143"/>
      <c r="L41" s="143"/>
      <c r="M41" s="143">
        <f>M40/M40</f>
        <v>1</v>
      </c>
      <c r="N41" s="143"/>
      <c r="O41" s="143"/>
      <c r="P41" s="2"/>
      <c r="Q41" s="7" t="s">
        <v>69</v>
      </c>
      <c r="R41" s="139">
        <f>R40/AC40</f>
        <v>0.30343966398002042</v>
      </c>
      <c r="S41" s="139"/>
      <c r="T41" s="140">
        <f>T40/AC40</f>
        <v>0.2696878192757407</v>
      </c>
      <c r="U41" s="140"/>
      <c r="V41" s="140"/>
      <c r="W41" s="140">
        <f>W40/AC40</f>
        <v>0.26794414803042343</v>
      </c>
      <c r="X41" s="140"/>
      <c r="Y41" s="140"/>
      <c r="Z41" s="140">
        <f>Z40/AC40</f>
        <v>0.15892836871381541</v>
      </c>
      <c r="AA41" s="140"/>
      <c r="AB41" s="140"/>
      <c r="AC41" s="141">
        <f>AC40/AC40</f>
        <v>1</v>
      </c>
      <c r="AD41" s="141"/>
      <c r="AE41" s="141"/>
      <c r="AF41" s="2"/>
      <c r="AG41" s="7" t="s">
        <v>69</v>
      </c>
      <c r="AH41" s="139">
        <f>AH40/AS40</f>
        <v>0.27892062705248155</v>
      </c>
      <c r="AI41" s="139"/>
      <c r="AJ41" s="140">
        <f>AJ40/AS40</f>
        <v>0.27572959910775141</v>
      </c>
      <c r="AK41" s="140"/>
      <c r="AL41" s="140"/>
      <c r="AM41" s="140">
        <f>AM40/AS40</f>
        <v>0.2594646508457773</v>
      </c>
      <c r="AN41" s="140"/>
      <c r="AO41" s="140"/>
      <c r="AP41" s="140">
        <f>AP40/AS40</f>
        <v>0.18588512299398971</v>
      </c>
      <c r="AQ41" s="140"/>
      <c r="AR41" s="140"/>
      <c r="AS41" s="140">
        <f>AS40/AS40</f>
        <v>1</v>
      </c>
      <c r="AT41" s="140"/>
      <c r="AU41" s="140"/>
      <c r="AV41" s="2"/>
      <c r="AW41" s="3"/>
      <c r="AX41" s="3"/>
      <c r="AY41" s="3"/>
      <c r="AZ41" s="3"/>
      <c r="BA41" s="3"/>
      <c r="BB41" s="3"/>
      <c r="BC41" s="82" t="s">
        <v>156</v>
      </c>
      <c r="BD41" s="83">
        <v>12</v>
      </c>
      <c r="BE41" s="82" t="s">
        <v>157</v>
      </c>
      <c r="BF41" s="83">
        <v>12</v>
      </c>
      <c r="BG41" s="82" t="s">
        <v>158</v>
      </c>
      <c r="BH41" s="83">
        <v>38</v>
      </c>
      <c r="BI41" s="82" t="s">
        <v>159</v>
      </c>
      <c r="BJ41" s="83">
        <v>76</v>
      </c>
      <c r="BK41" s="82" t="s">
        <v>160</v>
      </c>
      <c r="BL41" s="23">
        <v>304</v>
      </c>
      <c r="BM41" s="22" t="s">
        <v>161</v>
      </c>
      <c r="BN41" s="23">
        <v>114</v>
      </c>
      <c r="BO41" s="22" t="s">
        <v>162</v>
      </c>
      <c r="BP41" s="23">
        <v>684</v>
      </c>
      <c r="BQ41" s="22">
        <v>0</v>
      </c>
      <c r="BR41" s="23">
        <v>20</v>
      </c>
      <c r="BS41" s="22">
        <v>0</v>
      </c>
      <c r="BT41" s="23">
        <v>1</v>
      </c>
      <c r="BU41" s="22">
        <v>20</v>
      </c>
      <c r="BV41" s="24">
        <v>20</v>
      </c>
      <c r="BW41" s="17">
        <f>BV41*BU41</f>
        <v>400</v>
      </c>
      <c r="BX41" s="15">
        <v>40</v>
      </c>
      <c r="BY41" s="16">
        <v>4</v>
      </c>
      <c r="BZ41" s="17">
        <v>4</v>
      </c>
      <c r="CA41" s="15">
        <v>8</v>
      </c>
      <c r="CB41" s="16">
        <v>1</v>
      </c>
      <c r="CC41" s="17">
        <v>1</v>
      </c>
      <c r="CD41" s="2"/>
      <c r="CE41" s="22">
        <v>90</v>
      </c>
      <c r="CF41" s="23">
        <v>12</v>
      </c>
      <c r="CG41" s="22">
        <v>72</v>
      </c>
      <c r="CH41" s="23">
        <v>12</v>
      </c>
      <c r="CI41" s="22">
        <v>228</v>
      </c>
      <c r="CJ41" s="23">
        <v>38</v>
      </c>
      <c r="CK41" s="22">
        <v>570</v>
      </c>
      <c r="CL41" s="23">
        <v>76</v>
      </c>
      <c r="CM41" s="22">
        <v>1824</v>
      </c>
      <c r="CN41" s="23">
        <v>304</v>
      </c>
      <c r="CO41" s="22">
        <v>684</v>
      </c>
      <c r="CP41" s="23">
        <v>114</v>
      </c>
      <c r="CQ41" s="22">
        <v>4104</v>
      </c>
      <c r="CR41" s="23">
        <v>684</v>
      </c>
      <c r="CS41" s="22">
        <v>0</v>
      </c>
      <c r="CT41" s="23">
        <v>20</v>
      </c>
      <c r="CU41" s="22">
        <v>0</v>
      </c>
      <c r="CV41" s="23">
        <v>1</v>
      </c>
      <c r="CW41" s="22">
        <v>20</v>
      </c>
      <c r="CX41" s="24">
        <v>20</v>
      </c>
      <c r="CY41" s="17">
        <f>CX41*CW41</f>
        <v>400</v>
      </c>
      <c r="CZ41" s="15">
        <v>40</v>
      </c>
      <c r="DA41" s="16">
        <v>4</v>
      </c>
      <c r="DB41" s="17">
        <v>4</v>
      </c>
      <c r="DC41" s="15">
        <v>8</v>
      </c>
      <c r="DD41" s="16">
        <v>1</v>
      </c>
      <c r="DE41" s="17">
        <v>1</v>
      </c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</row>
    <row r="42" spans="1:15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76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3"/>
      <c r="AX42" s="3"/>
      <c r="AY42" s="3"/>
      <c r="AZ42" s="3"/>
      <c r="BA42" s="3"/>
      <c r="BB42" s="3"/>
      <c r="BC42" s="84"/>
      <c r="BD42" s="84"/>
      <c r="BE42" s="84"/>
      <c r="BF42" s="84"/>
      <c r="BG42" s="84"/>
      <c r="BH42" s="84"/>
      <c r="BI42" s="84"/>
      <c r="BJ42" s="84"/>
      <c r="BK42" s="84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2"/>
      <c r="CE42" s="134" t="s">
        <v>163</v>
      </c>
      <c r="CF42" s="134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12" t="s">
        <v>164</v>
      </c>
      <c r="DL42" s="135" t="s">
        <v>165</v>
      </c>
      <c r="DM42" s="135"/>
      <c r="DN42" s="135"/>
      <c r="DO42" s="135"/>
      <c r="DP42" s="135"/>
      <c r="DQ42" s="135"/>
      <c r="DR42" s="135"/>
      <c r="DS42" s="135"/>
      <c r="DT42" s="135"/>
      <c r="DU42" s="135"/>
      <c r="DV42" s="135"/>
      <c r="DW42" s="135"/>
      <c r="DX42" s="135"/>
      <c r="DY42" s="3"/>
      <c r="DZ42" s="12" t="s">
        <v>166</v>
      </c>
      <c r="EA42" s="135" t="s">
        <v>167</v>
      </c>
      <c r="EB42" s="135"/>
      <c r="EC42" s="135"/>
      <c r="ED42" s="135"/>
      <c r="EE42" s="135"/>
      <c r="EF42" s="135"/>
      <c r="EG42" s="135"/>
      <c r="EH42" s="135"/>
      <c r="EI42" s="135"/>
      <c r="EJ42" s="135"/>
      <c r="EK42" s="135"/>
      <c r="EL42" s="135"/>
      <c r="EM42" s="135"/>
      <c r="EN42" s="3"/>
      <c r="EO42" s="3"/>
      <c r="EP42" s="3"/>
      <c r="EQ42" s="3"/>
      <c r="ER42" s="3"/>
      <c r="ES42" s="3"/>
      <c r="ET42" s="3"/>
      <c r="EU42" s="3"/>
    </row>
    <row r="43" spans="1:151" ht="15.75" customHeight="1">
      <c r="A43" s="134" t="s">
        <v>168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2"/>
      <c r="Q43" s="134" t="s">
        <v>169</v>
      </c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2"/>
      <c r="AG43" s="85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2"/>
      <c r="CE43" s="18" t="s">
        <v>17</v>
      </c>
      <c r="CF43" s="19" t="s">
        <v>40</v>
      </c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10" t="s">
        <v>43</v>
      </c>
      <c r="DL43" s="7" t="s">
        <v>44</v>
      </c>
      <c r="DM43" s="7" t="s">
        <v>45</v>
      </c>
      <c r="DN43" s="20" t="s">
        <v>46</v>
      </c>
      <c r="DO43" s="7" t="s">
        <v>47</v>
      </c>
      <c r="DP43" s="20" t="s">
        <v>48</v>
      </c>
      <c r="DQ43" s="20" t="s">
        <v>1</v>
      </c>
      <c r="DR43" s="20" t="s">
        <v>2</v>
      </c>
      <c r="DS43" s="20" t="s">
        <v>49</v>
      </c>
      <c r="DT43" s="7" t="s">
        <v>50</v>
      </c>
      <c r="DU43" s="20" t="s">
        <v>51</v>
      </c>
      <c r="DV43" s="7" t="s">
        <v>40</v>
      </c>
      <c r="DW43" s="21" t="s">
        <v>34</v>
      </c>
      <c r="DX43" s="20" t="s">
        <v>35</v>
      </c>
      <c r="DY43" s="3"/>
      <c r="DZ43" s="10" t="s">
        <v>43</v>
      </c>
      <c r="EA43" s="7" t="s">
        <v>44</v>
      </c>
      <c r="EB43" s="7" t="s">
        <v>45</v>
      </c>
      <c r="EC43" s="20" t="s">
        <v>46</v>
      </c>
      <c r="ED43" s="7" t="s">
        <v>47</v>
      </c>
      <c r="EE43" s="20" t="s">
        <v>48</v>
      </c>
      <c r="EF43" s="20" t="s">
        <v>1</v>
      </c>
      <c r="EG43" s="20" t="s">
        <v>2</v>
      </c>
      <c r="EH43" s="20" t="s">
        <v>49</v>
      </c>
      <c r="EI43" s="7" t="s">
        <v>50</v>
      </c>
      <c r="EJ43" s="20" t="s">
        <v>51</v>
      </c>
      <c r="EK43" s="7" t="s">
        <v>40</v>
      </c>
      <c r="EL43" s="21" t="s">
        <v>34</v>
      </c>
      <c r="EM43" s="20" t="s">
        <v>35</v>
      </c>
      <c r="EN43" s="3"/>
      <c r="EO43" s="3"/>
      <c r="EP43" s="3"/>
      <c r="EQ43" s="3"/>
      <c r="ER43" s="3"/>
      <c r="ES43" s="3"/>
      <c r="ET43" s="3"/>
      <c r="EU43" s="3"/>
    </row>
    <row r="44" spans="1:151" ht="15.75" customHeight="1">
      <c r="A44" s="131" t="s">
        <v>48</v>
      </c>
      <c r="B44" s="131"/>
      <c r="C44" s="131"/>
      <c r="D44" s="131" t="s">
        <v>1</v>
      </c>
      <c r="E44" s="131"/>
      <c r="F44" s="131"/>
      <c r="G44" s="131" t="s">
        <v>2</v>
      </c>
      <c r="H44" s="131"/>
      <c r="I44" s="131"/>
      <c r="J44" s="131" t="s">
        <v>3</v>
      </c>
      <c r="K44" s="131"/>
      <c r="L44" s="131"/>
      <c r="M44" s="134" t="s">
        <v>65</v>
      </c>
      <c r="N44" s="134"/>
      <c r="O44" s="134"/>
      <c r="P44" s="2"/>
      <c r="Q44" s="131" t="s">
        <v>48</v>
      </c>
      <c r="R44" s="131"/>
      <c r="S44" s="131"/>
      <c r="T44" s="131" t="s">
        <v>1</v>
      </c>
      <c r="U44" s="131"/>
      <c r="V44" s="131"/>
      <c r="W44" s="131" t="s">
        <v>2</v>
      </c>
      <c r="X44" s="131"/>
      <c r="Y44" s="131"/>
      <c r="Z44" s="131" t="s">
        <v>3</v>
      </c>
      <c r="AA44" s="131"/>
      <c r="AB44" s="131"/>
      <c r="AC44" s="131" t="s">
        <v>65</v>
      </c>
      <c r="AD44" s="131"/>
      <c r="AE44" s="131"/>
      <c r="AF44" s="2"/>
      <c r="AG44" s="85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2"/>
      <c r="CE44" s="15">
        <v>1620</v>
      </c>
      <c r="CF44" s="17">
        <v>270</v>
      </c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12" t="s">
        <v>16</v>
      </c>
      <c r="DL44" s="25">
        <v>49</v>
      </c>
      <c r="DM44" s="25">
        <v>56</v>
      </c>
      <c r="DN44" s="26">
        <f t="shared" ref="DN44:DN50" si="34">(DL44+DM44)/2</f>
        <v>52.5</v>
      </c>
      <c r="DO44" s="18">
        <f t="shared" ref="DO44:DO50" si="35">DP44+DQ44+DR44</f>
        <v>7</v>
      </c>
      <c r="DP44" s="12">
        <v>7</v>
      </c>
      <c r="DQ44" s="27">
        <v>0</v>
      </c>
      <c r="DR44" s="19">
        <v>0</v>
      </c>
      <c r="DS44" s="31">
        <f>((DO44*$DI$5)/$DI$4)*(1/$DI$8)</f>
        <v>1.1931818181818181E-3</v>
      </c>
      <c r="DT44" s="29">
        <f t="shared" ref="DT44:DT50" si="36">(DP44*$O$3)+(DQ44*$P$3)+($Q$3*DR44)+DL44</f>
        <v>84</v>
      </c>
      <c r="DU44" s="30">
        <f t="shared" ref="DU44:DU50" si="37">(DP44*$O$3)+(DQ44*$P$3)+($Q$3*DR44)+DM44</f>
        <v>91</v>
      </c>
      <c r="DV44" s="18" t="s">
        <v>0</v>
      </c>
      <c r="DW44" s="3">
        <v>20</v>
      </c>
      <c r="DX44" s="19">
        <v>4</v>
      </c>
      <c r="DY44" s="3"/>
      <c r="DZ44" s="12" t="s">
        <v>16</v>
      </c>
      <c r="EA44" s="25">
        <v>91</v>
      </c>
      <c r="EB44" s="25">
        <v>104</v>
      </c>
      <c r="EC44" s="26">
        <f t="shared" ref="EC44:EC50" si="38">(EA44+EB44)/2</f>
        <v>97.5</v>
      </c>
      <c r="ED44" s="18">
        <f t="shared" ref="ED44:ED50" si="39">EE44+EF44+EG44</f>
        <v>13</v>
      </c>
      <c r="EE44" s="12">
        <v>12</v>
      </c>
      <c r="EF44" s="27">
        <v>1</v>
      </c>
      <c r="EG44" s="19">
        <v>0</v>
      </c>
      <c r="EH44" s="31">
        <f>((ED44*$DI$5)/$DI$4)*(1/$DI$8)</f>
        <v>2.2159090909090909E-3</v>
      </c>
      <c r="EI44" s="29">
        <f t="shared" ref="EI44:EI50" si="40">(EE44*$O$3)+(EF44*$P$3)+($Q$3*EG44)+EA44</f>
        <v>201</v>
      </c>
      <c r="EJ44" s="30">
        <f t="shared" ref="EJ44:EJ50" si="41">(EE44*$O$3)+(EF44*$P$3)+($Q$3*EG44)+EB44</f>
        <v>214</v>
      </c>
      <c r="EK44" s="18" t="s">
        <v>0</v>
      </c>
      <c r="EL44" s="3">
        <v>40</v>
      </c>
      <c r="EM44" s="19">
        <v>8</v>
      </c>
      <c r="EN44" s="3"/>
      <c r="EO44" s="3"/>
      <c r="EP44" s="3"/>
      <c r="EQ44" s="3"/>
      <c r="ER44" s="3"/>
      <c r="ES44" s="3"/>
      <c r="ET44" s="3"/>
      <c r="EU44" s="3"/>
    </row>
    <row r="45" spans="1:151" ht="15.75" customHeight="1">
      <c r="A45" s="7" t="s">
        <v>67</v>
      </c>
      <c r="B45" s="7" t="s">
        <v>40</v>
      </c>
      <c r="C45" s="7" t="s">
        <v>69</v>
      </c>
      <c r="D45" s="7" t="s">
        <v>67</v>
      </c>
      <c r="E45" s="7" t="s">
        <v>40</v>
      </c>
      <c r="F45" s="7" t="s">
        <v>69</v>
      </c>
      <c r="G45" s="4" t="s">
        <v>67</v>
      </c>
      <c r="H45" s="7" t="s">
        <v>68</v>
      </c>
      <c r="I45" s="7" t="s">
        <v>69</v>
      </c>
      <c r="J45" s="7" t="s">
        <v>67</v>
      </c>
      <c r="K45" s="7" t="s">
        <v>40</v>
      </c>
      <c r="L45" s="7" t="s">
        <v>69</v>
      </c>
      <c r="M45" s="7" t="s">
        <v>67</v>
      </c>
      <c r="N45" s="7" t="s">
        <v>40</v>
      </c>
      <c r="O45" s="7" t="s">
        <v>69</v>
      </c>
      <c r="P45" s="2"/>
      <c r="Q45" s="27" t="s">
        <v>67</v>
      </c>
      <c r="R45" s="27" t="s">
        <v>68</v>
      </c>
      <c r="S45" s="27" t="s">
        <v>69</v>
      </c>
      <c r="T45" s="7" t="s">
        <v>67</v>
      </c>
      <c r="U45" s="7" t="s">
        <v>68</v>
      </c>
      <c r="V45" s="27" t="s">
        <v>69</v>
      </c>
      <c r="W45" s="7" t="s">
        <v>67</v>
      </c>
      <c r="X45" s="7" t="s">
        <v>68</v>
      </c>
      <c r="Y45" s="27" t="s">
        <v>69</v>
      </c>
      <c r="Z45" s="7" t="s">
        <v>67</v>
      </c>
      <c r="AA45" s="7" t="s">
        <v>68</v>
      </c>
      <c r="AB45" s="27" t="s">
        <v>69</v>
      </c>
      <c r="AC45" s="27" t="s">
        <v>67</v>
      </c>
      <c r="AD45" s="27" t="s">
        <v>68</v>
      </c>
      <c r="AE45" s="27" t="s">
        <v>69</v>
      </c>
      <c r="AF45" s="2"/>
      <c r="AG45" s="85"/>
      <c r="AH45" s="3"/>
      <c r="AI45" s="6"/>
      <c r="AJ45" s="1"/>
      <c r="AK45" s="3"/>
      <c r="AL45" s="6"/>
      <c r="AM45" s="1"/>
      <c r="AN45" s="3"/>
      <c r="AO45" s="6"/>
      <c r="AP45" s="1"/>
      <c r="AQ45" s="3"/>
      <c r="AR45" s="6"/>
      <c r="AS45" s="1"/>
      <c r="AT45" s="47"/>
      <c r="AU45" s="6"/>
      <c r="AV45" s="3"/>
      <c r="AW45" s="85"/>
      <c r="AX45" s="47"/>
      <c r="AY45" s="6"/>
      <c r="AZ45" s="85"/>
      <c r="BA45" s="47"/>
      <c r="BB45" s="6"/>
      <c r="BC45" s="47"/>
      <c r="BD45" s="47"/>
      <c r="BE45" s="6"/>
      <c r="BF45" s="47"/>
      <c r="BG45" s="47"/>
      <c r="BH45" s="6"/>
      <c r="BI45" s="47"/>
      <c r="BJ45" s="47"/>
      <c r="BK45" s="6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18" t="s">
        <v>14</v>
      </c>
      <c r="DL45" s="32">
        <v>35</v>
      </c>
      <c r="DM45" s="32">
        <v>49</v>
      </c>
      <c r="DN45" s="30">
        <f t="shared" si="34"/>
        <v>42</v>
      </c>
      <c r="DO45" s="18">
        <f t="shared" si="35"/>
        <v>7</v>
      </c>
      <c r="DP45" s="18">
        <v>7</v>
      </c>
      <c r="DQ45" s="33">
        <v>0</v>
      </c>
      <c r="DR45" s="19">
        <v>0</v>
      </c>
      <c r="DS45" s="35">
        <f>((DO45*$DI$5)/$DI$4)*(1/$DI$6)</f>
        <v>4.7727272727272728E-4</v>
      </c>
      <c r="DT45" s="29">
        <f t="shared" si="36"/>
        <v>70</v>
      </c>
      <c r="DU45" s="30">
        <f t="shared" si="37"/>
        <v>84</v>
      </c>
      <c r="DV45" s="18" t="s">
        <v>1</v>
      </c>
      <c r="DW45" s="3">
        <v>2</v>
      </c>
      <c r="DX45" s="19">
        <v>1</v>
      </c>
      <c r="DY45" s="3"/>
      <c r="DZ45" s="18" t="s">
        <v>14</v>
      </c>
      <c r="EA45" s="32">
        <v>65</v>
      </c>
      <c r="EB45" s="32">
        <v>91</v>
      </c>
      <c r="EC45" s="30">
        <f t="shared" si="38"/>
        <v>78</v>
      </c>
      <c r="ED45" s="18">
        <f t="shared" si="39"/>
        <v>13</v>
      </c>
      <c r="EE45" s="18">
        <v>12</v>
      </c>
      <c r="EF45" s="33">
        <v>1</v>
      </c>
      <c r="EG45" s="19">
        <v>0</v>
      </c>
      <c r="EH45" s="35">
        <f>((ED45*$DI$5)/$DI$4)*(1/$DI$6)</f>
        <v>8.8636363636363641E-4</v>
      </c>
      <c r="EI45" s="29">
        <f t="shared" si="40"/>
        <v>175</v>
      </c>
      <c r="EJ45" s="30">
        <f t="shared" si="41"/>
        <v>201</v>
      </c>
      <c r="EK45" s="18" t="s">
        <v>1</v>
      </c>
      <c r="EL45" s="3">
        <v>4</v>
      </c>
      <c r="EM45" s="19">
        <v>1</v>
      </c>
      <c r="EN45" s="3"/>
      <c r="EO45" s="3"/>
      <c r="EP45" s="3"/>
      <c r="EQ45" s="3"/>
      <c r="ER45" s="3"/>
      <c r="ES45" s="3"/>
      <c r="ET45" s="3"/>
      <c r="EU45" s="3"/>
    </row>
    <row r="46" spans="1:151" ht="15.75" customHeight="1">
      <c r="A46" s="38">
        <v>1</v>
      </c>
      <c r="B46" s="39">
        <v>1</v>
      </c>
      <c r="C46" s="28">
        <f>B46/B59</f>
        <v>1.0430791697089809E-4</v>
      </c>
      <c r="D46" s="40">
        <v>1</v>
      </c>
      <c r="E46" s="41">
        <v>1</v>
      </c>
      <c r="F46" s="28">
        <f>E46/D59</f>
        <v>3.8654812524159255E-4</v>
      </c>
      <c r="G46" s="40">
        <v>1</v>
      </c>
      <c r="H46" s="43">
        <v>1</v>
      </c>
      <c r="I46" s="28">
        <f>H46/G59</f>
        <v>2.5839793281653748E-3</v>
      </c>
      <c r="J46" s="38">
        <v>1</v>
      </c>
      <c r="K46" s="42">
        <v>1</v>
      </c>
      <c r="L46" s="28">
        <f>K46/J59</f>
        <v>2.7027027027027029E-2</v>
      </c>
      <c r="M46" s="38">
        <v>1</v>
      </c>
      <c r="N46" s="43">
        <f t="shared" ref="N46:N58" si="42">B46+E46+H46+K46</f>
        <v>4</v>
      </c>
      <c r="O46" s="31">
        <f>N46/M59</f>
        <v>3.1751071598666456E-4</v>
      </c>
      <c r="P46" s="2"/>
      <c r="Q46" s="44">
        <v>1</v>
      </c>
      <c r="R46" s="41">
        <f>B46</f>
        <v>1</v>
      </c>
      <c r="S46" s="28">
        <f>R46/R59</f>
        <v>1.0430791697089809E-4</v>
      </c>
      <c r="T46" s="40">
        <v>1</v>
      </c>
      <c r="U46" s="43">
        <f>E46</f>
        <v>1</v>
      </c>
      <c r="V46" s="28">
        <f>U46/T59</f>
        <v>3.8654812524159255E-4</v>
      </c>
      <c r="W46" s="42">
        <v>1</v>
      </c>
      <c r="X46" s="43">
        <f>H46</f>
        <v>1</v>
      </c>
      <c r="Y46" s="28">
        <f>X46/W59</f>
        <v>2.5839793281653748E-3</v>
      </c>
      <c r="Z46" s="43">
        <v>1</v>
      </c>
      <c r="AA46" s="43">
        <f>K46</f>
        <v>1</v>
      </c>
      <c r="AB46" s="28">
        <f>AA46/Z59</f>
        <v>2.7027027027027029E-2</v>
      </c>
      <c r="AC46" s="45">
        <v>1</v>
      </c>
      <c r="AD46" s="45">
        <f>R46+U46+X46+AA46</f>
        <v>4</v>
      </c>
      <c r="AE46" s="28">
        <f>AD46/AC59</f>
        <v>3.1751071598666456E-4</v>
      </c>
      <c r="AF46" s="2"/>
      <c r="AG46" s="85"/>
      <c r="AH46" s="47"/>
      <c r="AI46" s="6"/>
      <c r="AJ46" s="85"/>
      <c r="AK46" s="47"/>
      <c r="AL46" s="6"/>
      <c r="AM46" s="85"/>
      <c r="AN46" s="47"/>
      <c r="AO46" s="6"/>
      <c r="AP46" s="85"/>
      <c r="AQ46" s="47"/>
      <c r="AR46" s="6"/>
      <c r="AS46" s="85"/>
      <c r="AT46" s="47"/>
      <c r="AU46" s="86"/>
      <c r="AV46" s="3"/>
      <c r="AW46" s="85"/>
      <c r="AX46" s="47"/>
      <c r="AY46" s="6"/>
      <c r="AZ46" s="85"/>
      <c r="BA46" s="47"/>
      <c r="BB46" s="6"/>
      <c r="BC46" s="47"/>
      <c r="BD46" s="47"/>
      <c r="BE46" s="6"/>
      <c r="BF46" s="47"/>
      <c r="BG46" s="47"/>
      <c r="BH46" s="6"/>
      <c r="BI46" s="47"/>
      <c r="BJ46" s="47"/>
      <c r="BK46" s="6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18" t="s">
        <v>66</v>
      </c>
      <c r="DL46" s="32">
        <v>115</v>
      </c>
      <c r="DM46" s="32">
        <v>161</v>
      </c>
      <c r="DN46" s="30">
        <f t="shared" si="34"/>
        <v>138</v>
      </c>
      <c r="DO46" s="18">
        <f t="shared" si="35"/>
        <v>23</v>
      </c>
      <c r="DP46" s="18">
        <v>21</v>
      </c>
      <c r="DQ46" s="33">
        <v>2</v>
      </c>
      <c r="DR46" s="19">
        <v>0</v>
      </c>
      <c r="DS46" s="35">
        <f>((DO46*$DI$5)/$DI$4)*(1/$DI$10)</f>
        <v>2.7511961722488038E-3</v>
      </c>
      <c r="DT46" s="29">
        <f t="shared" si="36"/>
        <v>320</v>
      </c>
      <c r="DU46" s="30">
        <f t="shared" si="37"/>
        <v>366</v>
      </c>
      <c r="DV46" s="15" t="s">
        <v>2</v>
      </c>
      <c r="DW46" s="16">
        <v>2</v>
      </c>
      <c r="DX46" s="17">
        <v>1</v>
      </c>
      <c r="DY46" s="3"/>
      <c r="DZ46" s="18" t="s">
        <v>66</v>
      </c>
      <c r="EA46" s="32">
        <v>205</v>
      </c>
      <c r="EB46" s="32">
        <v>287</v>
      </c>
      <c r="EC46" s="30">
        <f t="shared" si="38"/>
        <v>246</v>
      </c>
      <c r="ED46" s="18">
        <f t="shared" si="39"/>
        <v>41</v>
      </c>
      <c r="EE46" s="18">
        <v>37</v>
      </c>
      <c r="EF46" s="33">
        <v>4</v>
      </c>
      <c r="EG46" s="19">
        <v>0</v>
      </c>
      <c r="EH46" s="35">
        <f>((ED46*$DI$5)/$DI$4)*(1/$DI$10)</f>
        <v>4.9043062200956932E-3</v>
      </c>
      <c r="EI46" s="29">
        <f t="shared" si="40"/>
        <v>590</v>
      </c>
      <c r="EJ46" s="30">
        <f t="shared" si="41"/>
        <v>672</v>
      </c>
      <c r="EK46" s="15" t="s">
        <v>2</v>
      </c>
      <c r="EL46" s="16">
        <v>4</v>
      </c>
      <c r="EM46" s="17">
        <v>1</v>
      </c>
      <c r="EN46" s="3"/>
      <c r="EO46" s="3"/>
      <c r="EP46" s="3"/>
      <c r="EQ46" s="3"/>
      <c r="ER46" s="3"/>
      <c r="ES46" s="3"/>
      <c r="ET46" s="3"/>
      <c r="EU46" s="3"/>
    </row>
    <row r="47" spans="1:151" ht="15.75" customHeight="1">
      <c r="A47" s="48">
        <v>2</v>
      </c>
      <c r="B47" s="47">
        <v>2</v>
      </c>
      <c r="C47" s="34">
        <f>B47/B59</f>
        <v>2.0861583394179617E-4</v>
      </c>
      <c r="D47" s="49">
        <v>2</v>
      </c>
      <c r="E47" s="50">
        <v>2</v>
      </c>
      <c r="F47" s="34">
        <f>E47/D59</f>
        <v>7.7309625048318511E-4</v>
      </c>
      <c r="G47" s="49">
        <v>2</v>
      </c>
      <c r="H47" s="45">
        <v>2</v>
      </c>
      <c r="I47" s="34">
        <f>H47/G59</f>
        <v>5.1679586563307496E-3</v>
      </c>
      <c r="J47" s="48">
        <v>2</v>
      </c>
      <c r="K47" s="51">
        <v>2</v>
      </c>
      <c r="L47" s="34">
        <f>K47/J59</f>
        <v>5.4054054054054057E-2</v>
      </c>
      <c r="M47" s="48">
        <v>2</v>
      </c>
      <c r="N47" s="45">
        <f t="shared" si="42"/>
        <v>8</v>
      </c>
      <c r="O47" s="35">
        <f>N47/M59</f>
        <v>6.3502143197332911E-4</v>
      </c>
      <c r="P47" s="2"/>
      <c r="Q47" s="52">
        <v>2</v>
      </c>
      <c r="R47" s="50">
        <f>SUM(B46:B47)</f>
        <v>3</v>
      </c>
      <c r="S47" s="34">
        <f>R47/R59</f>
        <v>3.1292375091269427E-4</v>
      </c>
      <c r="T47" s="49">
        <v>2</v>
      </c>
      <c r="U47" s="45">
        <f>SUM(E46:E47)</f>
        <v>3</v>
      </c>
      <c r="V47" s="34">
        <f>U47/T59</f>
        <v>1.1596443757247777E-3</v>
      </c>
      <c r="W47" s="51">
        <v>2</v>
      </c>
      <c r="X47" s="45">
        <f>SUM(H46:H47)</f>
        <v>3</v>
      </c>
      <c r="Y47" s="34">
        <f>X47/W59</f>
        <v>7.7519379844961239E-3</v>
      </c>
      <c r="Z47" s="45">
        <v>2</v>
      </c>
      <c r="AA47" s="45">
        <f>SUM(K46:K47)</f>
        <v>3</v>
      </c>
      <c r="AB47" s="34">
        <f>AA47/Z59</f>
        <v>8.1081081081081086E-2</v>
      </c>
      <c r="AC47" s="45">
        <v>2</v>
      </c>
      <c r="AD47" s="45">
        <f>R47+U47+X47+AA47</f>
        <v>12</v>
      </c>
      <c r="AE47" s="34">
        <f>AD47/AC59</f>
        <v>9.5253214795999362E-4</v>
      </c>
      <c r="AF47" s="2"/>
      <c r="AG47" s="85"/>
      <c r="AH47" s="47"/>
      <c r="AI47" s="6"/>
      <c r="AJ47" s="85"/>
      <c r="AK47" s="47"/>
      <c r="AL47" s="6"/>
      <c r="AM47" s="85"/>
      <c r="AN47" s="47"/>
      <c r="AO47" s="6"/>
      <c r="AP47" s="85"/>
      <c r="AQ47" s="47"/>
      <c r="AR47" s="6"/>
      <c r="AS47" s="85"/>
      <c r="AT47" s="47"/>
      <c r="AU47" s="86"/>
      <c r="AV47" s="3"/>
      <c r="AW47" s="85"/>
      <c r="AX47" s="47"/>
      <c r="AY47" s="6"/>
      <c r="AZ47" s="85"/>
      <c r="BA47" s="47"/>
      <c r="BB47" s="6"/>
      <c r="BC47" s="47"/>
      <c r="BD47" s="47"/>
      <c r="BE47" s="6"/>
      <c r="BF47" s="47"/>
      <c r="BG47" s="47"/>
      <c r="BH47" s="6"/>
      <c r="BI47" s="47"/>
      <c r="BJ47" s="47"/>
      <c r="BK47" s="6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18" t="s">
        <v>70</v>
      </c>
      <c r="DL47" s="32">
        <v>322</v>
      </c>
      <c r="DM47" s="32">
        <v>368</v>
      </c>
      <c r="DN47" s="30">
        <f t="shared" si="34"/>
        <v>345</v>
      </c>
      <c r="DO47" s="18">
        <f t="shared" si="35"/>
        <v>46</v>
      </c>
      <c r="DP47" s="18">
        <v>42</v>
      </c>
      <c r="DQ47" s="33">
        <v>4</v>
      </c>
      <c r="DR47" s="19">
        <v>0</v>
      </c>
      <c r="DS47" s="35">
        <f>((DO47*$DI$5)/$DI$4)*(1/$DI$9)</f>
        <v>7.8409090909090911E-3</v>
      </c>
      <c r="DT47" s="29">
        <f t="shared" si="36"/>
        <v>732</v>
      </c>
      <c r="DU47" s="30">
        <f t="shared" si="37"/>
        <v>778</v>
      </c>
      <c r="DV47" s="36" t="s">
        <v>33</v>
      </c>
      <c r="DW47" s="37"/>
      <c r="DX47" s="11"/>
      <c r="DY47" s="3"/>
      <c r="DZ47" s="18" t="s">
        <v>70</v>
      </c>
      <c r="EA47" s="32">
        <v>574</v>
      </c>
      <c r="EB47" s="32">
        <v>656</v>
      </c>
      <c r="EC47" s="30">
        <f t="shared" si="38"/>
        <v>615</v>
      </c>
      <c r="ED47" s="18">
        <f t="shared" si="39"/>
        <v>82</v>
      </c>
      <c r="EE47" s="18">
        <v>74</v>
      </c>
      <c r="EF47" s="33">
        <v>8</v>
      </c>
      <c r="EG47" s="19">
        <v>0</v>
      </c>
      <c r="EH47" s="35">
        <f>((ED47*$DI$5)/$DI$4)*(1/$DI$9)</f>
        <v>1.3977272727272727E-2</v>
      </c>
      <c r="EI47" s="29">
        <f t="shared" si="40"/>
        <v>1344</v>
      </c>
      <c r="EJ47" s="30">
        <f t="shared" si="41"/>
        <v>1426</v>
      </c>
      <c r="EK47" s="36" t="s">
        <v>33</v>
      </c>
      <c r="EL47" s="37"/>
      <c r="EM47" s="11"/>
      <c r="EN47" s="3"/>
      <c r="EO47" s="3"/>
      <c r="EP47" s="3"/>
      <c r="EQ47" s="3"/>
      <c r="ER47" s="3"/>
      <c r="ES47" s="3"/>
      <c r="ET47" s="3"/>
      <c r="EU47" s="3"/>
    </row>
    <row r="48" spans="1:151" ht="15.75" customHeight="1">
      <c r="A48" s="48">
        <v>3</v>
      </c>
      <c r="B48" s="47">
        <v>4</v>
      </c>
      <c r="C48" s="34">
        <f>B48/B59</f>
        <v>4.1723166788359235E-4</v>
      </c>
      <c r="D48" s="49">
        <v>3</v>
      </c>
      <c r="E48" s="50">
        <v>4</v>
      </c>
      <c r="F48" s="34">
        <f>E48/D59</f>
        <v>1.5461925009663702E-3</v>
      </c>
      <c r="G48" s="49">
        <v>3</v>
      </c>
      <c r="H48" s="45">
        <v>4</v>
      </c>
      <c r="I48" s="34">
        <f>H48/G59</f>
        <v>1.0335917312661499E-2</v>
      </c>
      <c r="J48" s="48">
        <v>3</v>
      </c>
      <c r="K48" s="51">
        <v>4</v>
      </c>
      <c r="L48" s="34">
        <f>K48/J59</f>
        <v>0.10810810810810811</v>
      </c>
      <c r="M48" s="48">
        <v>3</v>
      </c>
      <c r="N48" s="45">
        <f t="shared" si="42"/>
        <v>16</v>
      </c>
      <c r="O48" s="35">
        <f>N48/M59</f>
        <v>1.2700428639466582E-3</v>
      </c>
      <c r="P48" s="2"/>
      <c r="Q48" s="52">
        <v>3</v>
      </c>
      <c r="R48" s="50">
        <f>SUM(B46:B48)</f>
        <v>7</v>
      </c>
      <c r="S48" s="34">
        <f>R48/R59</f>
        <v>7.3015541879628662E-4</v>
      </c>
      <c r="T48" s="49">
        <v>3</v>
      </c>
      <c r="U48" s="45">
        <f>SUM(E46:E48)</f>
        <v>7</v>
      </c>
      <c r="V48" s="34">
        <f>U48/T59</f>
        <v>2.7058368766911482E-3</v>
      </c>
      <c r="W48" s="51">
        <v>3</v>
      </c>
      <c r="X48" s="45">
        <f>SUM(H46:H48)</f>
        <v>7</v>
      </c>
      <c r="Y48" s="34">
        <f>X48/W59</f>
        <v>1.8087855297157621E-2</v>
      </c>
      <c r="Z48" s="45">
        <v>3</v>
      </c>
      <c r="AA48" s="45">
        <f>SUM(K46:K48)</f>
        <v>7</v>
      </c>
      <c r="AB48" s="34">
        <f>AA48/Z59</f>
        <v>0.1891891891891892</v>
      </c>
      <c r="AC48" s="45">
        <v>3</v>
      </c>
      <c r="AD48" s="45">
        <f>R48+U48+X48+AA48</f>
        <v>28</v>
      </c>
      <c r="AE48" s="34">
        <f>AD48/AC59</f>
        <v>2.222575011906652E-3</v>
      </c>
      <c r="AF48" s="2"/>
      <c r="AG48" s="85"/>
      <c r="AH48" s="47"/>
      <c r="AI48" s="6"/>
      <c r="AJ48" s="85"/>
      <c r="AK48" s="47"/>
      <c r="AL48" s="6"/>
      <c r="AM48" s="85"/>
      <c r="AN48" s="47"/>
      <c r="AO48" s="6"/>
      <c r="AP48" s="85"/>
      <c r="AQ48" s="47"/>
      <c r="AR48" s="6"/>
      <c r="AS48" s="85"/>
      <c r="AT48" s="47"/>
      <c r="AU48" s="86"/>
      <c r="AV48" s="3"/>
      <c r="AW48" s="85"/>
      <c r="AX48" s="47"/>
      <c r="AY48" s="6"/>
      <c r="AZ48" s="85"/>
      <c r="BA48" s="47"/>
      <c r="BB48" s="6"/>
      <c r="BC48" s="47"/>
      <c r="BD48" s="47"/>
      <c r="BE48" s="6"/>
      <c r="BF48" s="47"/>
      <c r="BG48" s="47"/>
      <c r="BH48" s="6"/>
      <c r="BI48" s="47"/>
      <c r="BJ48" s="47"/>
      <c r="BK48" s="6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18" t="s">
        <v>15</v>
      </c>
      <c r="DL48" s="32">
        <v>483</v>
      </c>
      <c r="DM48" s="32">
        <v>483</v>
      </c>
      <c r="DN48" s="30">
        <f t="shared" si="34"/>
        <v>483</v>
      </c>
      <c r="DO48" s="18">
        <f t="shared" si="35"/>
        <v>161</v>
      </c>
      <c r="DP48" s="18">
        <v>129</v>
      </c>
      <c r="DQ48" s="33">
        <v>32</v>
      </c>
      <c r="DR48" s="19">
        <v>0</v>
      </c>
      <c r="DS48" s="35">
        <f>((DO48*$DI$5)/$DI$4)*(1/$DI$7)</f>
        <v>1.0977272727272728E-2</v>
      </c>
      <c r="DT48" s="29">
        <f t="shared" si="36"/>
        <v>2728</v>
      </c>
      <c r="DU48" s="30">
        <f t="shared" si="37"/>
        <v>2728</v>
      </c>
      <c r="DV48" s="7" t="s">
        <v>78</v>
      </c>
      <c r="DW48" s="7" t="s">
        <v>79</v>
      </c>
      <c r="DX48" s="7" t="s">
        <v>80</v>
      </c>
      <c r="DY48" s="3"/>
      <c r="DZ48" s="18" t="s">
        <v>15</v>
      </c>
      <c r="EA48" s="32">
        <v>861</v>
      </c>
      <c r="EB48" s="32">
        <v>861</v>
      </c>
      <c r="EC48" s="30">
        <f t="shared" si="38"/>
        <v>861</v>
      </c>
      <c r="ED48" s="18">
        <f t="shared" si="39"/>
        <v>287</v>
      </c>
      <c r="EE48" s="18">
        <v>230</v>
      </c>
      <c r="EF48" s="33">
        <v>57</v>
      </c>
      <c r="EG48" s="19">
        <v>0</v>
      </c>
      <c r="EH48" s="35">
        <f>((ED48*$DI$5)/$DI$4)*(1/$DI$7)</f>
        <v>1.9568181818181821E-2</v>
      </c>
      <c r="EI48" s="29">
        <f t="shared" si="40"/>
        <v>4861</v>
      </c>
      <c r="EJ48" s="30">
        <f t="shared" si="41"/>
        <v>4861</v>
      </c>
      <c r="EK48" s="7" t="s">
        <v>78</v>
      </c>
      <c r="EL48" s="7" t="s">
        <v>79</v>
      </c>
      <c r="EM48" s="7" t="s">
        <v>80</v>
      </c>
      <c r="EN48" s="3"/>
      <c r="EO48" s="3"/>
      <c r="EP48" s="3"/>
      <c r="EQ48" s="3"/>
      <c r="ER48" s="3"/>
      <c r="ES48" s="3"/>
      <c r="ET48" s="3"/>
      <c r="EU48" s="3"/>
    </row>
    <row r="49" spans="1:151" ht="15.75" customHeight="1">
      <c r="A49" s="48">
        <v>4</v>
      </c>
      <c r="B49" s="47">
        <v>10</v>
      </c>
      <c r="C49" s="34">
        <f>B49/B59</f>
        <v>1.043079169708981E-3</v>
      </c>
      <c r="D49" s="49">
        <v>4</v>
      </c>
      <c r="E49" s="50">
        <v>10</v>
      </c>
      <c r="F49" s="34">
        <f>E49/D59</f>
        <v>3.8654812524159259E-3</v>
      </c>
      <c r="G49" s="49">
        <v>4</v>
      </c>
      <c r="H49" s="45">
        <v>10</v>
      </c>
      <c r="I49" s="34">
        <f>H49/G59</f>
        <v>2.5839793281653745E-2</v>
      </c>
      <c r="J49" s="48">
        <v>4</v>
      </c>
      <c r="K49" s="51">
        <v>10</v>
      </c>
      <c r="L49" s="34">
        <f>K49/J59</f>
        <v>0.27027027027027029</v>
      </c>
      <c r="M49" s="48">
        <v>4</v>
      </c>
      <c r="N49" s="45">
        <f t="shared" si="42"/>
        <v>40</v>
      </c>
      <c r="O49" s="35">
        <f>N49/M59</f>
        <v>3.1751071598666455E-3</v>
      </c>
      <c r="P49" s="2"/>
      <c r="Q49" s="52">
        <v>4</v>
      </c>
      <c r="R49" s="50">
        <f>SUM(B46:B49)</f>
        <v>17</v>
      </c>
      <c r="S49" s="34">
        <f>R49/R59</f>
        <v>1.7732345885052676E-3</v>
      </c>
      <c r="T49" s="49">
        <v>4</v>
      </c>
      <c r="U49" s="45">
        <f>SUM(E46:E49)</f>
        <v>17</v>
      </c>
      <c r="V49" s="34">
        <f>U49/T59</f>
        <v>6.5713181291070736E-3</v>
      </c>
      <c r="W49" s="51">
        <v>4</v>
      </c>
      <c r="X49" s="45">
        <f>SUM(H46:H49)</f>
        <v>17</v>
      </c>
      <c r="Y49" s="34">
        <f>X49/W59</f>
        <v>4.3927648578811367E-2</v>
      </c>
      <c r="Z49" s="45">
        <v>4</v>
      </c>
      <c r="AA49" s="45">
        <f>SUM(K46:K49)</f>
        <v>17</v>
      </c>
      <c r="AB49" s="34">
        <f>AA49/Z59</f>
        <v>0.45945945945945948</v>
      </c>
      <c r="AC49" s="45">
        <v>4</v>
      </c>
      <c r="AD49" s="45">
        <f>R49+U49+X49+AA49</f>
        <v>68</v>
      </c>
      <c r="AE49" s="34">
        <f>AD49/AC59</f>
        <v>5.397682171773297E-3</v>
      </c>
      <c r="AF49" s="2"/>
      <c r="AG49" s="85"/>
      <c r="AH49" s="47"/>
      <c r="AI49" s="6"/>
      <c r="AJ49" s="85"/>
      <c r="AK49" s="47"/>
      <c r="AL49" s="6"/>
      <c r="AM49" s="85"/>
      <c r="AN49" s="47"/>
      <c r="AO49" s="6"/>
      <c r="AP49" s="85"/>
      <c r="AQ49" s="47"/>
      <c r="AR49" s="6"/>
      <c r="AS49" s="85"/>
      <c r="AT49" s="47"/>
      <c r="AU49" s="86"/>
      <c r="AV49" s="3"/>
      <c r="AW49" s="85"/>
      <c r="AX49" s="47"/>
      <c r="AY49" s="6"/>
      <c r="AZ49" s="85"/>
      <c r="BA49" s="47"/>
      <c r="BB49" s="6"/>
      <c r="BC49" s="47"/>
      <c r="BD49" s="47"/>
      <c r="BE49" s="6"/>
      <c r="BF49" s="47"/>
      <c r="BG49" s="47"/>
      <c r="BH49" s="6"/>
      <c r="BI49" s="47"/>
      <c r="BJ49" s="47"/>
      <c r="BK49" s="6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18" t="s">
        <v>20</v>
      </c>
      <c r="DL49" s="32">
        <v>690</v>
      </c>
      <c r="DM49" s="32">
        <v>690</v>
      </c>
      <c r="DN49" s="30">
        <f t="shared" si="34"/>
        <v>690</v>
      </c>
      <c r="DO49" s="18">
        <f t="shared" si="35"/>
        <v>69</v>
      </c>
      <c r="DP49" s="18">
        <v>54</v>
      </c>
      <c r="DQ49" s="33">
        <v>13</v>
      </c>
      <c r="DR49" s="19">
        <v>2</v>
      </c>
      <c r="DS49" s="35">
        <f>((DO49*$DI$5)/$DI$4)*(1/$DI$13)</f>
        <v>7.8409090909090914E-2</v>
      </c>
      <c r="DT49" s="29">
        <f t="shared" si="36"/>
        <v>2610</v>
      </c>
      <c r="DU49" s="30">
        <f t="shared" si="37"/>
        <v>2610</v>
      </c>
      <c r="DV49" s="15">
        <v>12</v>
      </c>
      <c r="DW49" s="16">
        <v>20</v>
      </c>
      <c r="DX49" s="17">
        <f>DW49*DV49</f>
        <v>240</v>
      </c>
      <c r="DY49" s="3"/>
      <c r="DZ49" s="18" t="s">
        <v>20</v>
      </c>
      <c r="EA49" s="32">
        <v>1230</v>
      </c>
      <c r="EB49" s="32">
        <v>1230</v>
      </c>
      <c r="EC49" s="30">
        <f t="shared" si="38"/>
        <v>1230</v>
      </c>
      <c r="ED49" s="18">
        <f t="shared" si="39"/>
        <v>123</v>
      </c>
      <c r="EE49" s="18">
        <v>95</v>
      </c>
      <c r="EF49" s="33">
        <v>24</v>
      </c>
      <c r="EG49" s="19">
        <v>4</v>
      </c>
      <c r="EH49" s="35">
        <f>((ED49*$DI$5)/$DI$4)*(1/$DI$13)</f>
        <v>0.13977272727272727</v>
      </c>
      <c r="EI49" s="29">
        <f t="shared" si="40"/>
        <v>4905</v>
      </c>
      <c r="EJ49" s="30">
        <f t="shared" si="41"/>
        <v>4905</v>
      </c>
      <c r="EK49" s="15">
        <v>22</v>
      </c>
      <c r="EL49" s="16">
        <v>20</v>
      </c>
      <c r="EM49" s="17">
        <f>EL49*EK49</f>
        <v>440</v>
      </c>
      <c r="EN49" s="3"/>
      <c r="EO49" s="3"/>
      <c r="EP49" s="3"/>
      <c r="EQ49" s="3"/>
      <c r="ER49" s="3"/>
      <c r="ES49" s="3"/>
      <c r="ET49" s="3"/>
      <c r="EU49" s="3"/>
    </row>
    <row r="50" spans="1:151" ht="15.75" customHeight="1">
      <c r="A50" s="48">
        <v>5</v>
      </c>
      <c r="B50" s="47">
        <v>20</v>
      </c>
      <c r="C50" s="34">
        <f>B50/B59</f>
        <v>2.0861583394179619E-3</v>
      </c>
      <c r="D50" s="49">
        <v>5</v>
      </c>
      <c r="E50" s="50">
        <v>20</v>
      </c>
      <c r="F50" s="34">
        <f>E50/D59</f>
        <v>7.7309625048318517E-3</v>
      </c>
      <c r="G50" s="49">
        <v>5</v>
      </c>
      <c r="H50" s="45">
        <v>20</v>
      </c>
      <c r="I50" s="34">
        <f>H50/G59</f>
        <v>5.1679586563307491E-2</v>
      </c>
      <c r="J50" s="87">
        <v>5</v>
      </c>
      <c r="K50" s="60">
        <v>20</v>
      </c>
      <c r="L50" s="56">
        <f>K50/J59</f>
        <v>0.54054054054054057</v>
      </c>
      <c r="M50" s="48">
        <v>5</v>
      </c>
      <c r="N50" s="45">
        <f t="shared" si="42"/>
        <v>80</v>
      </c>
      <c r="O50" s="35">
        <f>N50/M59</f>
        <v>6.3502143197332909E-3</v>
      </c>
      <c r="P50" s="2"/>
      <c r="Q50" s="52">
        <v>5</v>
      </c>
      <c r="R50" s="50">
        <f>SUM(B46:B50)</f>
        <v>37</v>
      </c>
      <c r="S50" s="34">
        <f>R50/R59</f>
        <v>3.8593929279232293E-3</v>
      </c>
      <c r="T50" s="49">
        <v>5</v>
      </c>
      <c r="U50" s="45">
        <f>SUM(E46:E50)</f>
        <v>37</v>
      </c>
      <c r="V50" s="34">
        <f>U50/T59</f>
        <v>1.4302280633938926E-2</v>
      </c>
      <c r="W50" s="51">
        <v>5</v>
      </c>
      <c r="X50" s="45">
        <f>SUM(H46:H50)</f>
        <v>37</v>
      </c>
      <c r="Y50" s="34">
        <f>X50/W59</f>
        <v>9.5607235142118857E-2</v>
      </c>
      <c r="Z50" s="59">
        <v>5</v>
      </c>
      <c r="AA50" s="59">
        <f>SUM(K46:K50)</f>
        <v>37</v>
      </c>
      <c r="AB50" s="56">
        <f>AA50/Z59</f>
        <v>1</v>
      </c>
      <c r="AC50" s="45">
        <v>5</v>
      </c>
      <c r="AD50" s="45">
        <f>R50+U50+X50+AA50</f>
        <v>148</v>
      </c>
      <c r="AE50" s="34">
        <f>AD50/AC59</f>
        <v>1.1747896491506588E-2</v>
      </c>
      <c r="AF50" s="2"/>
      <c r="AG50" s="85"/>
      <c r="AH50" s="47"/>
      <c r="AI50" s="6"/>
      <c r="AJ50" s="85"/>
      <c r="AK50" s="47"/>
      <c r="AL50" s="6"/>
      <c r="AM50" s="85"/>
      <c r="AN50" s="47"/>
      <c r="AO50" s="6"/>
      <c r="AP50" s="85"/>
      <c r="AQ50" s="47"/>
      <c r="AR50" s="6"/>
      <c r="AS50" s="85"/>
      <c r="AT50" s="47"/>
      <c r="AU50" s="86"/>
      <c r="AV50" s="3"/>
      <c r="AW50" s="85"/>
      <c r="AX50" s="47"/>
      <c r="AY50" s="6"/>
      <c r="AZ50" s="85"/>
      <c r="BA50" s="47"/>
      <c r="BB50" s="6"/>
      <c r="BC50" s="47"/>
      <c r="BD50" s="47"/>
      <c r="BE50" s="6"/>
      <c r="BF50" s="47"/>
      <c r="BG50" s="47"/>
      <c r="BH50" s="47"/>
      <c r="BI50" s="47"/>
      <c r="BJ50" s="47"/>
      <c r="BK50" s="6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15" t="s">
        <v>82</v>
      </c>
      <c r="DL50" s="53">
        <v>3726</v>
      </c>
      <c r="DM50" s="53">
        <v>3726</v>
      </c>
      <c r="DN50" s="54">
        <f t="shared" si="34"/>
        <v>3726</v>
      </c>
      <c r="DO50" s="15">
        <f t="shared" si="35"/>
        <v>414</v>
      </c>
      <c r="DP50" s="15">
        <v>319</v>
      </c>
      <c r="DQ50" s="55">
        <v>82</v>
      </c>
      <c r="DR50" s="17">
        <v>13</v>
      </c>
      <c r="DS50" s="58">
        <f>((DO50*$DI$5)/$DI$4)*(1/$DI$14)</f>
        <v>0.47045454545454546</v>
      </c>
      <c r="DT50" s="57">
        <f t="shared" si="36"/>
        <v>15921</v>
      </c>
      <c r="DU50" s="54">
        <f t="shared" si="37"/>
        <v>15921</v>
      </c>
      <c r="DV50" s="3"/>
      <c r="DW50" s="3"/>
      <c r="DX50" s="3"/>
      <c r="DY50" s="3"/>
      <c r="DZ50" s="15" t="s">
        <v>82</v>
      </c>
      <c r="EA50" s="53">
        <v>6642</v>
      </c>
      <c r="EB50" s="53">
        <v>6642</v>
      </c>
      <c r="EC50" s="54">
        <f t="shared" si="38"/>
        <v>6642</v>
      </c>
      <c r="ED50" s="15">
        <f t="shared" si="39"/>
        <v>738</v>
      </c>
      <c r="EE50" s="15">
        <v>567</v>
      </c>
      <c r="EF50" s="55">
        <v>147</v>
      </c>
      <c r="EG50" s="17">
        <v>24</v>
      </c>
      <c r="EH50" s="58">
        <f>((ED50*$DI$5)/$DI$4)*(1/$DI$14)</f>
        <v>0.83863636363636374</v>
      </c>
      <c r="EI50" s="57">
        <f t="shared" si="40"/>
        <v>28827</v>
      </c>
      <c r="EJ50" s="54">
        <f t="shared" si="41"/>
        <v>28827</v>
      </c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</row>
    <row r="51" spans="1:151" ht="15.75" customHeight="1">
      <c r="A51" s="48">
        <v>6</v>
      </c>
      <c r="B51" s="47">
        <v>50</v>
      </c>
      <c r="C51" s="34">
        <f>B51/B59</f>
        <v>5.2153958485449048E-3</v>
      </c>
      <c r="D51" s="49">
        <v>6</v>
      </c>
      <c r="E51" s="50">
        <v>50</v>
      </c>
      <c r="F51" s="34">
        <f>E51/D59</f>
        <v>1.9327406262079627E-2</v>
      </c>
      <c r="G51" s="49">
        <v>6</v>
      </c>
      <c r="H51" s="45">
        <v>50</v>
      </c>
      <c r="I51" s="34">
        <f>H51/G59</f>
        <v>0.12919896640826872</v>
      </c>
      <c r="J51" s="47"/>
      <c r="K51" s="47"/>
      <c r="L51" s="47"/>
      <c r="M51" s="48">
        <v>6</v>
      </c>
      <c r="N51" s="45">
        <f t="shared" si="42"/>
        <v>150</v>
      </c>
      <c r="O51" s="35">
        <f>N51/M59</f>
        <v>1.1906651849499921E-2</v>
      </c>
      <c r="P51" s="2"/>
      <c r="Q51" s="52">
        <v>6</v>
      </c>
      <c r="R51" s="50">
        <f>SUM(B46:B51)</f>
        <v>87</v>
      </c>
      <c r="S51" s="34">
        <f>R51/R59</f>
        <v>9.0747887764681331E-3</v>
      </c>
      <c r="T51" s="49">
        <v>6</v>
      </c>
      <c r="U51" s="45">
        <f>SUM(E46:E51)</f>
        <v>87</v>
      </c>
      <c r="V51" s="34">
        <f>U51/T59</f>
        <v>3.3629686896018557E-2</v>
      </c>
      <c r="W51" s="51">
        <v>6</v>
      </c>
      <c r="X51" s="45">
        <f>SUM(H46:H51)</f>
        <v>87</v>
      </c>
      <c r="Y51" s="34">
        <f>X51/W59</f>
        <v>0.22480620155038761</v>
      </c>
      <c r="Z51" s="47"/>
      <c r="AA51" s="47"/>
      <c r="AB51" s="47"/>
      <c r="AC51" s="45">
        <v>6</v>
      </c>
      <c r="AD51" s="45">
        <f>R51+U51+X51+AA50</f>
        <v>298</v>
      </c>
      <c r="AE51" s="34">
        <f>AD51/AC59</f>
        <v>2.3654548341006509E-2</v>
      </c>
      <c r="AF51" s="2"/>
      <c r="AG51" s="85"/>
      <c r="AH51" s="47"/>
      <c r="AI51" s="6"/>
      <c r="AJ51" s="85"/>
      <c r="AK51" s="47"/>
      <c r="AL51" s="6"/>
      <c r="AM51" s="85"/>
      <c r="AN51" s="47"/>
      <c r="AO51" s="6"/>
      <c r="AP51" s="47"/>
      <c r="AQ51" s="47"/>
      <c r="AR51" s="47"/>
      <c r="AS51" s="85"/>
      <c r="AT51" s="47"/>
      <c r="AU51" s="86"/>
      <c r="AV51" s="3"/>
      <c r="AW51" s="85"/>
      <c r="AX51" s="47"/>
      <c r="AY51" s="6"/>
      <c r="AZ51" s="85"/>
      <c r="BA51" s="47"/>
      <c r="BB51" s="6"/>
      <c r="BC51" s="47"/>
      <c r="BD51" s="47"/>
      <c r="BE51" s="6"/>
      <c r="BF51" s="47"/>
      <c r="BG51" s="47"/>
      <c r="BH51" s="47"/>
      <c r="BI51" s="47"/>
      <c r="BJ51" s="47"/>
      <c r="BK51" s="6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</row>
    <row r="52" spans="1:151" ht="15.75" customHeight="1">
      <c r="A52" s="48">
        <v>7</v>
      </c>
      <c r="B52" s="47">
        <v>100</v>
      </c>
      <c r="C52" s="34">
        <f>B52/B59</f>
        <v>1.043079169708981E-2</v>
      </c>
      <c r="D52" s="49">
        <v>7</v>
      </c>
      <c r="E52" s="50">
        <v>100</v>
      </c>
      <c r="F52" s="34">
        <f>E52/D59</f>
        <v>3.8654812524159254E-2</v>
      </c>
      <c r="G52" s="49">
        <v>7</v>
      </c>
      <c r="H52" s="45">
        <v>100</v>
      </c>
      <c r="I52" s="34">
        <f>H52/G59</f>
        <v>0.25839793281653745</v>
      </c>
      <c r="J52" s="47"/>
      <c r="K52" s="47"/>
      <c r="L52" s="47"/>
      <c r="M52" s="48">
        <v>7</v>
      </c>
      <c r="N52" s="45">
        <f t="shared" si="42"/>
        <v>300</v>
      </c>
      <c r="O52" s="35">
        <f>N52/M59</f>
        <v>2.3813303698999842E-2</v>
      </c>
      <c r="P52" s="2"/>
      <c r="Q52" s="52">
        <v>7</v>
      </c>
      <c r="R52" s="50">
        <f>SUM(B46:B52)</f>
        <v>187</v>
      </c>
      <c r="S52" s="34">
        <f>R52/R59</f>
        <v>1.9505580473557944E-2</v>
      </c>
      <c r="T52" s="49">
        <v>7</v>
      </c>
      <c r="U52" s="45">
        <f>SUM(E46:E52)</f>
        <v>187</v>
      </c>
      <c r="V52" s="34">
        <f>U52/T59</f>
        <v>7.2284499420177811E-2</v>
      </c>
      <c r="W52" s="51">
        <v>7</v>
      </c>
      <c r="X52" s="45">
        <f>SUM(H46:H52)</f>
        <v>187</v>
      </c>
      <c r="Y52" s="34">
        <f>X52/W59</f>
        <v>0.48320413436692505</v>
      </c>
      <c r="Z52" s="47"/>
      <c r="AA52" s="47"/>
      <c r="AB52" s="47"/>
      <c r="AC52" s="45">
        <v>7</v>
      </c>
      <c r="AD52" s="45">
        <f>R52+U52+X52+AA50</f>
        <v>598</v>
      </c>
      <c r="AE52" s="34">
        <f>AD52/AC59</f>
        <v>4.746785204000635E-2</v>
      </c>
      <c r="AF52" s="2"/>
      <c r="AG52" s="85"/>
      <c r="AH52" s="47"/>
      <c r="AI52" s="6"/>
      <c r="AJ52" s="85"/>
      <c r="AK52" s="47"/>
      <c r="AL52" s="6"/>
      <c r="AM52" s="85"/>
      <c r="AN52" s="47"/>
      <c r="AO52" s="6"/>
      <c r="AP52" s="47"/>
      <c r="AQ52" s="47"/>
      <c r="AR52" s="47"/>
      <c r="AS52" s="85"/>
      <c r="AT52" s="47"/>
      <c r="AU52" s="86"/>
      <c r="AV52" s="3"/>
      <c r="AW52" s="85"/>
      <c r="AX52" s="47"/>
      <c r="AY52" s="6"/>
      <c r="AZ52" s="85"/>
      <c r="BA52" s="47"/>
      <c r="BB52" s="6"/>
      <c r="BC52" s="47"/>
      <c r="BD52" s="47"/>
      <c r="BE52" s="6"/>
      <c r="BF52" s="47"/>
      <c r="BG52" s="47"/>
      <c r="BH52" s="47"/>
      <c r="BI52" s="47"/>
      <c r="BJ52" s="47"/>
      <c r="BK52" s="6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12" t="s">
        <v>170</v>
      </c>
      <c r="DL52" s="135" t="s">
        <v>171</v>
      </c>
      <c r="DM52" s="135"/>
      <c r="DN52" s="135"/>
      <c r="DO52" s="135"/>
      <c r="DP52" s="135"/>
      <c r="DQ52" s="135"/>
      <c r="DR52" s="135"/>
      <c r="DS52" s="135"/>
      <c r="DT52" s="135"/>
      <c r="DU52" s="135"/>
      <c r="DV52" s="135"/>
      <c r="DW52" s="135"/>
      <c r="DX52" s="135"/>
      <c r="DY52" s="3"/>
      <c r="DZ52" s="12" t="s">
        <v>172</v>
      </c>
      <c r="EA52" s="135" t="s">
        <v>173</v>
      </c>
      <c r="EB52" s="135"/>
      <c r="EC52" s="135"/>
      <c r="ED52" s="135"/>
      <c r="EE52" s="135"/>
      <c r="EF52" s="135"/>
      <c r="EG52" s="135"/>
      <c r="EH52" s="135"/>
      <c r="EI52" s="135"/>
      <c r="EJ52" s="135"/>
      <c r="EK52" s="135"/>
      <c r="EL52" s="135"/>
      <c r="EM52" s="135"/>
      <c r="EN52" s="3"/>
      <c r="EO52" s="3"/>
      <c r="EP52" s="3"/>
      <c r="EQ52" s="3"/>
      <c r="ER52" s="3"/>
      <c r="ES52" s="3"/>
      <c r="ET52" s="3"/>
      <c r="EU52" s="3"/>
    </row>
    <row r="53" spans="1:151" ht="15.75" customHeight="1">
      <c r="A53" s="48">
        <v>8</v>
      </c>
      <c r="B53" s="47">
        <v>200</v>
      </c>
      <c r="C53" s="34">
        <f>B53/B59</f>
        <v>2.0861583394179619E-2</v>
      </c>
      <c r="D53" s="49">
        <v>8</v>
      </c>
      <c r="E53" s="50">
        <v>200</v>
      </c>
      <c r="F53" s="34">
        <f>E53/D59</f>
        <v>7.7309625048318509E-2</v>
      </c>
      <c r="G53" s="61">
        <v>8</v>
      </c>
      <c r="H53" s="59">
        <v>200</v>
      </c>
      <c r="I53" s="56">
        <f>H53/G59</f>
        <v>0.51679586563307489</v>
      </c>
      <c r="J53" s="47"/>
      <c r="K53" s="47"/>
      <c r="L53" s="47"/>
      <c r="M53" s="48">
        <v>8</v>
      </c>
      <c r="N53" s="45">
        <f t="shared" si="42"/>
        <v>600</v>
      </c>
      <c r="O53" s="35">
        <f>N53/M59</f>
        <v>4.7626607397999683E-2</v>
      </c>
      <c r="P53" s="2"/>
      <c r="Q53" s="52">
        <v>8</v>
      </c>
      <c r="R53" s="50">
        <f>SUM(B46:B53)</f>
        <v>387</v>
      </c>
      <c r="S53" s="34">
        <f>R53/R59</f>
        <v>4.036716386773756E-2</v>
      </c>
      <c r="T53" s="49">
        <v>8</v>
      </c>
      <c r="U53" s="45">
        <f>SUM(E46:E53)</f>
        <v>387</v>
      </c>
      <c r="V53" s="34">
        <f>U53/T59</f>
        <v>0.14959412446849632</v>
      </c>
      <c r="W53" s="60">
        <v>8</v>
      </c>
      <c r="X53" s="59">
        <f>SUM(H46:H53)</f>
        <v>387</v>
      </c>
      <c r="Y53" s="56">
        <f>X53/W59</f>
        <v>1</v>
      </c>
      <c r="Z53" s="47"/>
      <c r="AA53" s="47"/>
      <c r="AB53" s="47"/>
      <c r="AC53" s="45">
        <v>8</v>
      </c>
      <c r="AD53" s="45">
        <f>R53+U53+X53+AA50</f>
        <v>1198</v>
      </c>
      <c r="AE53" s="34">
        <f>AD53/AC59</f>
        <v>9.5094459438006027E-2</v>
      </c>
      <c r="AF53" s="2"/>
      <c r="AG53" s="85"/>
      <c r="AH53" s="47"/>
      <c r="AI53" s="6"/>
      <c r="AJ53" s="85"/>
      <c r="AK53" s="47"/>
      <c r="AL53" s="6"/>
      <c r="AM53" s="85"/>
      <c r="AN53" s="47"/>
      <c r="AO53" s="6"/>
      <c r="AP53" s="47"/>
      <c r="AQ53" s="47"/>
      <c r="AR53" s="47"/>
      <c r="AS53" s="85"/>
      <c r="AT53" s="47"/>
      <c r="AU53" s="86"/>
      <c r="AV53" s="3"/>
      <c r="AW53" s="85"/>
      <c r="AX53" s="47"/>
      <c r="AY53" s="6"/>
      <c r="AZ53" s="85"/>
      <c r="BA53" s="47"/>
      <c r="BB53" s="6"/>
      <c r="BC53" s="47"/>
      <c r="BD53" s="47"/>
      <c r="BE53" s="47"/>
      <c r="BF53" s="47"/>
      <c r="BG53" s="47"/>
      <c r="BH53" s="47"/>
      <c r="BI53" s="47"/>
      <c r="BJ53" s="47"/>
      <c r="BK53" s="6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10" t="s">
        <v>43</v>
      </c>
      <c r="DL53" s="7" t="s">
        <v>44</v>
      </c>
      <c r="DM53" s="7" t="s">
        <v>45</v>
      </c>
      <c r="DN53" s="20" t="s">
        <v>46</v>
      </c>
      <c r="DO53" s="7" t="s">
        <v>47</v>
      </c>
      <c r="DP53" s="20" t="s">
        <v>48</v>
      </c>
      <c r="DQ53" s="20" t="s">
        <v>1</v>
      </c>
      <c r="DR53" s="20" t="s">
        <v>2</v>
      </c>
      <c r="DS53" s="20" t="s">
        <v>49</v>
      </c>
      <c r="DT53" s="7" t="s">
        <v>50</v>
      </c>
      <c r="DU53" s="20" t="s">
        <v>51</v>
      </c>
      <c r="DV53" s="7" t="s">
        <v>40</v>
      </c>
      <c r="DW53" s="21" t="s">
        <v>34</v>
      </c>
      <c r="DX53" s="20" t="s">
        <v>35</v>
      </c>
      <c r="DY53" s="3"/>
      <c r="DZ53" s="10" t="s">
        <v>43</v>
      </c>
      <c r="EA53" s="7" t="s">
        <v>44</v>
      </c>
      <c r="EB53" s="7" t="s">
        <v>45</v>
      </c>
      <c r="EC53" s="20" t="s">
        <v>46</v>
      </c>
      <c r="ED53" s="7" t="s">
        <v>47</v>
      </c>
      <c r="EE53" s="20" t="s">
        <v>48</v>
      </c>
      <c r="EF53" s="20" t="s">
        <v>1</v>
      </c>
      <c r="EG53" s="20" t="s">
        <v>2</v>
      </c>
      <c r="EH53" s="20" t="s">
        <v>49</v>
      </c>
      <c r="EI53" s="7" t="s">
        <v>50</v>
      </c>
      <c r="EJ53" s="20" t="s">
        <v>51</v>
      </c>
      <c r="EK53" s="7" t="s">
        <v>40</v>
      </c>
      <c r="EL53" s="21" t="s">
        <v>34</v>
      </c>
      <c r="EM53" s="20" t="s">
        <v>35</v>
      </c>
      <c r="EN53" s="3"/>
      <c r="EO53" s="3"/>
      <c r="EP53" s="3"/>
      <c r="EQ53" s="3"/>
      <c r="ER53" s="3"/>
      <c r="ES53" s="3"/>
      <c r="ET53" s="3"/>
      <c r="EU53" s="3"/>
    </row>
    <row r="54" spans="1:151" ht="15.75" customHeight="1">
      <c r="A54" s="48">
        <v>9</v>
      </c>
      <c r="B54" s="47">
        <v>400</v>
      </c>
      <c r="C54" s="34">
        <f>B54/B59</f>
        <v>4.1723166788359238E-2</v>
      </c>
      <c r="D54" s="49">
        <v>9</v>
      </c>
      <c r="E54" s="50">
        <v>400</v>
      </c>
      <c r="F54" s="34">
        <f>E54/D59</f>
        <v>0.15461925009663702</v>
      </c>
      <c r="G54" s="47"/>
      <c r="H54" s="47"/>
      <c r="I54" s="47"/>
      <c r="J54" s="47"/>
      <c r="K54" s="47"/>
      <c r="L54" s="47"/>
      <c r="M54" s="48">
        <v>9</v>
      </c>
      <c r="N54" s="45">
        <f t="shared" si="42"/>
        <v>800</v>
      </c>
      <c r="O54" s="35">
        <f>N54/M59</f>
        <v>6.3502143197332911E-2</v>
      </c>
      <c r="P54" s="2"/>
      <c r="Q54" s="52">
        <v>9</v>
      </c>
      <c r="R54" s="50">
        <f>SUM(B46:B54)</f>
        <v>787</v>
      </c>
      <c r="S54" s="34">
        <f>R54/R59</f>
        <v>8.2090330656096791E-2</v>
      </c>
      <c r="T54" s="49">
        <v>9</v>
      </c>
      <c r="U54" s="45">
        <f>SUM(E46:E54)</f>
        <v>787</v>
      </c>
      <c r="V54" s="34">
        <f>U54/T59</f>
        <v>0.30421337456513337</v>
      </c>
      <c r="W54" s="47"/>
      <c r="X54" s="47"/>
      <c r="Y54" s="47"/>
      <c r="Z54" s="47"/>
      <c r="AA54" s="47"/>
      <c r="AB54" s="47"/>
      <c r="AC54" s="45">
        <v>9</v>
      </c>
      <c r="AD54" s="45">
        <f>R54+U54+X53+AA50</f>
        <v>1998</v>
      </c>
      <c r="AE54" s="34">
        <f>AD54/AC59</f>
        <v>0.15859660263533895</v>
      </c>
      <c r="AF54" s="2"/>
      <c r="AG54" s="85"/>
      <c r="AH54" s="47"/>
      <c r="AI54" s="6"/>
      <c r="AJ54" s="85"/>
      <c r="AK54" s="47"/>
      <c r="AL54" s="6"/>
      <c r="AM54" s="47"/>
      <c r="AN54" s="47"/>
      <c r="AO54" s="47"/>
      <c r="AP54" s="47"/>
      <c r="AQ54" s="47"/>
      <c r="AR54" s="47"/>
      <c r="AS54" s="85"/>
      <c r="AT54" s="47"/>
      <c r="AU54" s="86"/>
      <c r="AV54" s="3"/>
      <c r="AW54" s="85"/>
      <c r="AX54" s="47"/>
      <c r="AY54" s="6"/>
      <c r="AZ54" s="85"/>
      <c r="BA54" s="47"/>
      <c r="BB54" s="6"/>
      <c r="BC54" s="47"/>
      <c r="BD54" s="47"/>
      <c r="BE54" s="47"/>
      <c r="BF54" s="47"/>
      <c r="BG54" s="47"/>
      <c r="BH54" s="47"/>
      <c r="BI54" s="47"/>
      <c r="BJ54" s="47"/>
      <c r="BK54" s="6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12" t="s">
        <v>16</v>
      </c>
      <c r="DL54" s="25">
        <v>56</v>
      </c>
      <c r="DM54" s="25">
        <v>64</v>
      </c>
      <c r="DN54" s="26">
        <f t="shared" ref="DN54:DN60" si="43">(DL54+DM54)/2</f>
        <v>60</v>
      </c>
      <c r="DO54" s="18">
        <f t="shared" ref="DO54:DO60" si="44">DP54+DQ54+DR54</f>
        <v>8</v>
      </c>
      <c r="DP54" s="12">
        <v>8</v>
      </c>
      <c r="DQ54" s="27">
        <v>0</v>
      </c>
      <c r="DR54" s="19">
        <v>0</v>
      </c>
      <c r="DS54" s="31">
        <f>((DO54*$DI$5)/$DI$4)*(1/$DI$8)</f>
        <v>1.3636363636363635E-3</v>
      </c>
      <c r="DT54" s="29">
        <f t="shared" ref="DT54:DT60" si="45">(DP54*$O$3)+(DQ54*$P$3)+($Q$3*DR54)+DL54</f>
        <v>96</v>
      </c>
      <c r="DU54" s="30">
        <f t="shared" ref="DU54:DU60" si="46">(DP54*$O$3)+(DQ54*$P$3)+($Q$3*DR54)+DM54</f>
        <v>104</v>
      </c>
      <c r="DV54" s="18" t="s">
        <v>0</v>
      </c>
      <c r="DW54" s="3">
        <v>20</v>
      </c>
      <c r="DX54" s="19">
        <v>4</v>
      </c>
      <c r="DY54" s="3"/>
      <c r="DZ54" s="12" t="s">
        <v>16</v>
      </c>
      <c r="EA54" s="25">
        <v>98</v>
      </c>
      <c r="EB54" s="25">
        <v>112</v>
      </c>
      <c r="EC54" s="26">
        <f t="shared" ref="EC54:EC60" si="47">(EA54+EB54)/2</f>
        <v>105</v>
      </c>
      <c r="ED54" s="18">
        <f t="shared" ref="ED54:ED60" si="48">EE54+EF54+EG54</f>
        <v>14</v>
      </c>
      <c r="EE54" s="12">
        <v>13</v>
      </c>
      <c r="EF54" s="27">
        <v>1</v>
      </c>
      <c r="EG54" s="19">
        <v>0</v>
      </c>
      <c r="EH54" s="31">
        <f>((ED54*$DI$5)/$DI$4)*(1/$DI$8)</f>
        <v>2.3863636363636361E-3</v>
      </c>
      <c r="EI54" s="29">
        <f t="shared" ref="EI54:EI60" si="49">(EE54*$O$3)+(EF54*$P$3)+($Q$3*EG54)+EA54</f>
        <v>213</v>
      </c>
      <c r="EJ54" s="30">
        <f t="shared" ref="EJ54:EJ60" si="50">(EE54*$O$3)+(EF54*$P$3)+($Q$3*EG54)+EB54</f>
        <v>227</v>
      </c>
      <c r="EK54" s="18" t="s">
        <v>0</v>
      </c>
      <c r="EL54" s="3">
        <v>40</v>
      </c>
      <c r="EM54" s="19">
        <v>8</v>
      </c>
      <c r="EN54" s="3"/>
      <c r="EO54" s="3"/>
      <c r="EP54" s="3"/>
      <c r="EQ54" s="3"/>
      <c r="ER54" s="3"/>
      <c r="ES54" s="3"/>
      <c r="ET54" s="3"/>
      <c r="EU54" s="3"/>
    </row>
    <row r="55" spans="1:151" ht="15.75" customHeight="1">
      <c r="A55" s="48">
        <v>10</v>
      </c>
      <c r="B55" s="47">
        <v>800</v>
      </c>
      <c r="C55" s="34">
        <f>B55/B59</f>
        <v>8.3446333576718476E-2</v>
      </c>
      <c r="D55" s="49">
        <v>10</v>
      </c>
      <c r="E55" s="50">
        <v>800</v>
      </c>
      <c r="F55" s="34">
        <f>E55/D59</f>
        <v>0.30923850019327404</v>
      </c>
      <c r="G55" s="47"/>
      <c r="H55" s="47"/>
      <c r="I55" s="47"/>
      <c r="J55" s="47"/>
      <c r="K55" s="47"/>
      <c r="L55" s="47"/>
      <c r="M55" s="48">
        <v>10</v>
      </c>
      <c r="N55" s="45">
        <f t="shared" si="42"/>
        <v>1600</v>
      </c>
      <c r="O55" s="35">
        <f>N55/M59</f>
        <v>0.12700428639466582</v>
      </c>
      <c r="P55" s="2"/>
      <c r="Q55" s="52">
        <v>10</v>
      </c>
      <c r="R55" s="50">
        <f>SUM(B46:B55)</f>
        <v>1587</v>
      </c>
      <c r="S55" s="34">
        <f>R55/R59</f>
        <v>0.16553666423281527</v>
      </c>
      <c r="T55" s="49">
        <v>10</v>
      </c>
      <c r="U55" s="45">
        <f>SUM(E46:E55)</f>
        <v>1587</v>
      </c>
      <c r="V55" s="34">
        <f>U55/T59</f>
        <v>0.61345187475840746</v>
      </c>
      <c r="W55" s="47"/>
      <c r="X55" s="47"/>
      <c r="Y55" s="47"/>
      <c r="Z55" s="47"/>
      <c r="AA55" s="47"/>
      <c r="AB55" s="47"/>
      <c r="AC55" s="45">
        <v>10</v>
      </c>
      <c r="AD55" s="45">
        <f>R55+U55+X53+AA50</f>
        <v>3598</v>
      </c>
      <c r="AE55" s="34">
        <f>AD55/AC59</f>
        <v>0.28560088903000475</v>
      </c>
      <c r="AF55" s="2"/>
      <c r="AG55" s="85"/>
      <c r="AH55" s="47"/>
      <c r="AI55" s="6"/>
      <c r="AJ55" s="85"/>
      <c r="AK55" s="88"/>
      <c r="AL55" s="6"/>
      <c r="AM55" s="47"/>
      <c r="AN55" s="47"/>
      <c r="AO55" s="47"/>
      <c r="AP55" s="47"/>
      <c r="AQ55" s="47"/>
      <c r="AR55" s="47"/>
      <c r="AS55" s="85"/>
      <c r="AT55" s="47"/>
      <c r="AU55" s="86"/>
      <c r="AV55" s="3"/>
      <c r="AW55" s="85"/>
      <c r="AX55" s="47"/>
      <c r="AY55" s="6"/>
      <c r="AZ55" s="85"/>
      <c r="BA55" s="47"/>
      <c r="BB55" s="6"/>
      <c r="BC55" s="47"/>
      <c r="BD55" s="47"/>
      <c r="BE55" s="47"/>
      <c r="BF55" s="47"/>
      <c r="BG55" s="47"/>
      <c r="BH55" s="47"/>
      <c r="BI55" s="47"/>
      <c r="BJ55" s="47"/>
      <c r="BK55" s="6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18" t="s">
        <v>14</v>
      </c>
      <c r="DL55" s="32">
        <v>40</v>
      </c>
      <c r="DM55" s="32">
        <v>56</v>
      </c>
      <c r="DN55" s="30">
        <f t="shared" si="43"/>
        <v>48</v>
      </c>
      <c r="DO55" s="18">
        <f t="shared" si="44"/>
        <v>8</v>
      </c>
      <c r="DP55" s="18">
        <v>8</v>
      </c>
      <c r="DQ55" s="33">
        <v>0</v>
      </c>
      <c r="DR55" s="19">
        <v>0</v>
      </c>
      <c r="DS55" s="35">
        <f>((DO55*$DI$5)/$DI$4)*(1/$DI$6)</f>
        <v>5.4545454545454548E-4</v>
      </c>
      <c r="DT55" s="29">
        <f t="shared" si="45"/>
        <v>80</v>
      </c>
      <c r="DU55" s="30">
        <f t="shared" si="46"/>
        <v>96</v>
      </c>
      <c r="DV55" s="18" t="s">
        <v>1</v>
      </c>
      <c r="DW55" s="3">
        <v>2</v>
      </c>
      <c r="DX55" s="19">
        <v>1</v>
      </c>
      <c r="DY55" s="3"/>
      <c r="DZ55" s="18" t="s">
        <v>14</v>
      </c>
      <c r="EA55" s="32">
        <v>70</v>
      </c>
      <c r="EB55" s="32">
        <v>98</v>
      </c>
      <c r="EC55" s="30">
        <f t="shared" si="47"/>
        <v>84</v>
      </c>
      <c r="ED55" s="18">
        <f t="shared" si="48"/>
        <v>14</v>
      </c>
      <c r="EE55" s="18">
        <v>13</v>
      </c>
      <c r="EF55" s="33">
        <v>1</v>
      </c>
      <c r="EG55" s="19">
        <v>0</v>
      </c>
      <c r="EH55" s="35">
        <f>((ED55*$DI$5)/$DI$4)*(1/$DI$6)</f>
        <v>9.5454545454545456E-4</v>
      </c>
      <c r="EI55" s="29">
        <f t="shared" si="49"/>
        <v>185</v>
      </c>
      <c r="EJ55" s="30">
        <f t="shared" si="50"/>
        <v>213</v>
      </c>
      <c r="EK55" s="18" t="s">
        <v>1</v>
      </c>
      <c r="EL55" s="3">
        <v>4</v>
      </c>
      <c r="EM55" s="19">
        <v>1</v>
      </c>
      <c r="EN55" s="3"/>
      <c r="EO55" s="3"/>
      <c r="EP55" s="3"/>
      <c r="EQ55" s="3"/>
      <c r="ER55" s="3"/>
      <c r="ES55" s="3"/>
      <c r="ET55" s="3"/>
      <c r="EU55" s="3"/>
    </row>
    <row r="56" spans="1:151" ht="15.75" customHeight="1">
      <c r="A56" s="48">
        <v>11</v>
      </c>
      <c r="B56" s="47">
        <v>1000</v>
      </c>
      <c r="C56" s="34">
        <f>B56/B59</f>
        <v>0.10430791697089808</v>
      </c>
      <c r="D56" s="61">
        <v>11</v>
      </c>
      <c r="E56" s="62">
        <v>1000</v>
      </c>
      <c r="F56" s="56">
        <f>E56/D59</f>
        <v>0.3865481252415926</v>
      </c>
      <c r="G56" s="47"/>
      <c r="H56" s="47"/>
      <c r="I56" s="47"/>
      <c r="J56" s="47"/>
      <c r="K56" s="47"/>
      <c r="L56" s="47"/>
      <c r="M56" s="48">
        <v>11</v>
      </c>
      <c r="N56" s="45">
        <f t="shared" si="42"/>
        <v>2000</v>
      </c>
      <c r="O56" s="35">
        <f>N56/M59</f>
        <v>0.15875535799333226</v>
      </c>
      <c r="P56" s="2"/>
      <c r="Q56" s="52">
        <v>11</v>
      </c>
      <c r="R56" s="50">
        <f>SUM(B46:B56)</f>
        <v>2587</v>
      </c>
      <c r="S56" s="34">
        <f>R56/R59</f>
        <v>0.26984458120371335</v>
      </c>
      <c r="T56" s="61">
        <v>11</v>
      </c>
      <c r="U56" s="59">
        <f>SUM(E46:E56)</f>
        <v>2587</v>
      </c>
      <c r="V56" s="56">
        <f>U56/T59</f>
        <v>1</v>
      </c>
      <c r="W56" s="47"/>
      <c r="X56" s="47"/>
      <c r="Y56" s="47"/>
      <c r="Z56" s="47"/>
      <c r="AA56" s="47"/>
      <c r="AB56" s="47"/>
      <c r="AC56" s="45">
        <v>11</v>
      </c>
      <c r="AD56" s="45">
        <f>R56+U56+X53+AA50</f>
        <v>5598</v>
      </c>
      <c r="AE56" s="34">
        <f>AD56/AC59</f>
        <v>0.44435624702333704</v>
      </c>
      <c r="AF56" s="2"/>
      <c r="AG56" s="85"/>
      <c r="AH56" s="47"/>
      <c r="AI56" s="6"/>
      <c r="AJ56" s="85"/>
      <c r="AK56" s="88"/>
      <c r="AL56" s="6"/>
      <c r="AM56" s="47"/>
      <c r="AN56" s="47"/>
      <c r="AO56" s="47"/>
      <c r="AP56" s="47"/>
      <c r="AQ56" s="47"/>
      <c r="AR56" s="47"/>
      <c r="AS56" s="85"/>
      <c r="AT56" s="47"/>
      <c r="AU56" s="86"/>
      <c r="AV56" s="3"/>
      <c r="AW56" s="85"/>
      <c r="AX56" s="47"/>
      <c r="AY56" s="6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6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18" t="s">
        <v>66</v>
      </c>
      <c r="DL56" s="32">
        <v>130</v>
      </c>
      <c r="DM56" s="32">
        <v>182</v>
      </c>
      <c r="DN56" s="30">
        <f t="shared" si="43"/>
        <v>156</v>
      </c>
      <c r="DO56" s="18">
        <f t="shared" si="44"/>
        <v>26</v>
      </c>
      <c r="DP56" s="18">
        <v>24</v>
      </c>
      <c r="DQ56" s="33">
        <v>2</v>
      </c>
      <c r="DR56" s="19">
        <v>0</v>
      </c>
      <c r="DS56" s="35">
        <f>((DO56*$DI$5)/$DI$4)*(1/$DI$10)</f>
        <v>3.1100478468899517E-3</v>
      </c>
      <c r="DT56" s="29">
        <f t="shared" si="45"/>
        <v>350</v>
      </c>
      <c r="DU56" s="30">
        <f t="shared" si="46"/>
        <v>402</v>
      </c>
      <c r="DV56" s="15" t="s">
        <v>2</v>
      </c>
      <c r="DW56" s="16">
        <v>2</v>
      </c>
      <c r="DX56" s="17">
        <v>1</v>
      </c>
      <c r="DY56" s="3"/>
      <c r="DZ56" s="18" t="s">
        <v>66</v>
      </c>
      <c r="EA56" s="32">
        <v>220</v>
      </c>
      <c r="EB56" s="32">
        <v>308</v>
      </c>
      <c r="EC56" s="30">
        <f t="shared" si="47"/>
        <v>264</v>
      </c>
      <c r="ED56" s="18">
        <f t="shared" si="48"/>
        <v>48</v>
      </c>
      <c r="EE56" s="18">
        <v>44</v>
      </c>
      <c r="EF56" s="33">
        <v>4</v>
      </c>
      <c r="EG56" s="19">
        <v>0</v>
      </c>
      <c r="EH56" s="35">
        <f>((ED56*$DI$5)/$DI$4)*(1/$DI$10)</f>
        <v>5.7416267942583723E-3</v>
      </c>
      <c r="EI56" s="29">
        <f t="shared" si="49"/>
        <v>640</v>
      </c>
      <c r="EJ56" s="30">
        <f t="shared" si="50"/>
        <v>728</v>
      </c>
      <c r="EK56" s="15" t="s">
        <v>2</v>
      </c>
      <c r="EL56" s="16">
        <v>4</v>
      </c>
      <c r="EM56" s="17">
        <v>1</v>
      </c>
      <c r="EN56" s="3"/>
      <c r="EO56" s="3"/>
      <c r="EP56" s="3"/>
      <c r="EQ56" s="3"/>
      <c r="ER56" s="3"/>
      <c r="ES56" s="3"/>
      <c r="ET56" s="3"/>
      <c r="EU56" s="3"/>
    </row>
    <row r="57" spans="1:151" ht="15.75" customHeight="1">
      <c r="A57" s="48">
        <v>12</v>
      </c>
      <c r="B57" s="47">
        <v>2000</v>
      </c>
      <c r="C57" s="34">
        <f>B57/B59</f>
        <v>0.20861583394179617</v>
      </c>
      <c r="D57" s="47"/>
      <c r="E57" s="47"/>
      <c r="F57" s="47"/>
      <c r="G57" s="47"/>
      <c r="H57" s="47"/>
      <c r="I57" s="47"/>
      <c r="J57" s="47"/>
      <c r="K57" s="47"/>
      <c r="L57" s="47"/>
      <c r="M57" s="48">
        <v>12</v>
      </c>
      <c r="N57" s="45">
        <f t="shared" si="42"/>
        <v>2000</v>
      </c>
      <c r="O57" s="35">
        <f>N57/M59</f>
        <v>0.15875535799333226</v>
      </c>
      <c r="P57" s="2"/>
      <c r="Q57" s="52">
        <v>12</v>
      </c>
      <c r="R57" s="50">
        <f>SUM(B46:B57)</f>
        <v>4587</v>
      </c>
      <c r="S57" s="34">
        <f>R57/R59</f>
        <v>0.47846041514550952</v>
      </c>
      <c r="T57" s="47"/>
      <c r="U57" s="47"/>
      <c r="V57" s="47"/>
      <c r="W57" s="47"/>
      <c r="X57" s="47"/>
      <c r="Y57" s="47"/>
      <c r="Z57" s="47"/>
      <c r="AA57" s="47"/>
      <c r="AB57" s="47"/>
      <c r="AC57" s="45">
        <v>12</v>
      </c>
      <c r="AD57" s="45">
        <f>R57+U56+X53+AA50</f>
        <v>7598</v>
      </c>
      <c r="AE57" s="34">
        <f>AD57/AC59</f>
        <v>0.60311160501666927</v>
      </c>
      <c r="AF57" s="2"/>
      <c r="AG57" s="85"/>
      <c r="AH57" s="47"/>
      <c r="AI57" s="6"/>
      <c r="AJ57" s="47"/>
      <c r="AK57" s="47"/>
      <c r="AL57" s="47"/>
      <c r="AM57" s="47"/>
      <c r="AN57" s="47"/>
      <c r="AO57" s="47"/>
      <c r="AP57" s="47"/>
      <c r="AQ57" s="47"/>
      <c r="AR57" s="47"/>
      <c r="AS57" s="85"/>
      <c r="AT57" s="47"/>
      <c r="AU57" s="86"/>
      <c r="AV57" s="3"/>
      <c r="AW57" s="85"/>
      <c r="AX57" s="47"/>
      <c r="AY57" s="6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6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18" t="s">
        <v>70</v>
      </c>
      <c r="DL57" s="32">
        <v>364</v>
      </c>
      <c r="DM57" s="32">
        <v>416</v>
      </c>
      <c r="DN57" s="30">
        <f t="shared" si="43"/>
        <v>390</v>
      </c>
      <c r="DO57" s="18">
        <f t="shared" si="44"/>
        <v>52</v>
      </c>
      <c r="DP57" s="18">
        <v>47</v>
      </c>
      <c r="DQ57" s="33">
        <v>5</v>
      </c>
      <c r="DR57" s="19">
        <v>0</v>
      </c>
      <c r="DS57" s="35">
        <f>((DO57*$DI$5)/$DI$4)*(1/$DI$9)</f>
        <v>8.8636363636363635E-3</v>
      </c>
      <c r="DT57" s="29">
        <f t="shared" si="45"/>
        <v>849</v>
      </c>
      <c r="DU57" s="30">
        <f t="shared" si="46"/>
        <v>901</v>
      </c>
      <c r="DV57" s="36" t="s">
        <v>33</v>
      </c>
      <c r="DW57" s="37"/>
      <c r="DX57" s="11"/>
      <c r="DY57" s="3"/>
      <c r="DZ57" s="18" t="s">
        <v>70</v>
      </c>
      <c r="EA57" s="32">
        <v>616</v>
      </c>
      <c r="EB57" s="32">
        <v>704</v>
      </c>
      <c r="EC57" s="30">
        <f t="shared" si="47"/>
        <v>660</v>
      </c>
      <c r="ED57" s="18">
        <f t="shared" si="48"/>
        <v>88</v>
      </c>
      <c r="EE57" s="18">
        <v>80</v>
      </c>
      <c r="EF57" s="33">
        <v>8</v>
      </c>
      <c r="EG57" s="19">
        <v>0</v>
      </c>
      <c r="EH57" s="35">
        <f>((ED57*$DI$5)/$DI$4)*(1/$DI$9)</f>
        <v>1.4999999999999999E-2</v>
      </c>
      <c r="EI57" s="29">
        <f t="shared" si="49"/>
        <v>1416</v>
      </c>
      <c r="EJ57" s="30">
        <f t="shared" si="50"/>
        <v>1504</v>
      </c>
      <c r="EK57" s="36" t="s">
        <v>33</v>
      </c>
      <c r="EL57" s="37"/>
      <c r="EM57" s="11"/>
      <c r="EN57" s="3"/>
      <c r="EO57" s="3"/>
      <c r="EP57" s="3"/>
      <c r="EQ57" s="3"/>
      <c r="ER57" s="3"/>
      <c r="ES57" s="3"/>
      <c r="ET57" s="3"/>
      <c r="EU57" s="3"/>
    </row>
    <row r="58" spans="1:151" ht="15.75" customHeight="1">
      <c r="A58" s="48">
        <v>13</v>
      </c>
      <c r="B58" s="47">
        <v>5000</v>
      </c>
      <c r="C58" s="34">
        <f>B58/B59</f>
        <v>0.52153958485449048</v>
      </c>
      <c r="D58" s="47"/>
      <c r="E58" s="47"/>
      <c r="F58" s="47"/>
      <c r="G58" s="47"/>
      <c r="H58" s="47"/>
      <c r="I58" s="47"/>
      <c r="J58" s="47"/>
      <c r="K58" s="47"/>
      <c r="L58" s="47"/>
      <c r="M58" s="48">
        <v>13</v>
      </c>
      <c r="N58" s="45">
        <f t="shared" si="42"/>
        <v>5000</v>
      </c>
      <c r="O58" s="35">
        <f>N58/M59</f>
        <v>0.39688839498333067</v>
      </c>
      <c r="P58" s="2"/>
      <c r="Q58" s="52">
        <v>13</v>
      </c>
      <c r="R58" s="50">
        <f>SUM(B46:B58)</f>
        <v>9587</v>
      </c>
      <c r="S58" s="34">
        <f>R58/R59</f>
        <v>1</v>
      </c>
      <c r="T58" s="47"/>
      <c r="U58" s="47"/>
      <c r="V58" s="47"/>
      <c r="W58" s="47"/>
      <c r="X58" s="47"/>
      <c r="Y58" s="47"/>
      <c r="Z58" s="47"/>
      <c r="AA58" s="47"/>
      <c r="AB58" s="47"/>
      <c r="AC58" s="45">
        <v>13</v>
      </c>
      <c r="AD58" s="45">
        <f>R58+U56+X53+AA50</f>
        <v>12598</v>
      </c>
      <c r="AE58" s="34">
        <f>AD58/AC59</f>
        <v>1</v>
      </c>
      <c r="AF58" s="2"/>
      <c r="AG58" s="85"/>
      <c r="AH58" s="47"/>
      <c r="AI58" s="6"/>
      <c r="AJ58" s="47"/>
      <c r="AK58" s="47"/>
      <c r="AL58" s="47"/>
      <c r="AM58" s="47"/>
      <c r="AN58" s="47"/>
      <c r="AO58" s="47"/>
      <c r="AP58" s="47"/>
      <c r="AQ58" s="47"/>
      <c r="AR58" s="47"/>
      <c r="AS58" s="85"/>
      <c r="AT58" s="47"/>
      <c r="AU58" s="86"/>
      <c r="AV58" s="3"/>
      <c r="AW58" s="47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18" t="s">
        <v>15</v>
      </c>
      <c r="DL58" s="32">
        <v>546</v>
      </c>
      <c r="DM58" s="32">
        <v>546</v>
      </c>
      <c r="DN58" s="30">
        <f t="shared" si="43"/>
        <v>546</v>
      </c>
      <c r="DO58" s="18">
        <f t="shared" si="44"/>
        <v>182</v>
      </c>
      <c r="DP58" s="18">
        <v>146</v>
      </c>
      <c r="DQ58" s="33">
        <v>36</v>
      </c>
      <c r="DR58" s="19">
        <v>0</v>
      </c>
      <c r="DS58" s="35">
        <f>((DO58*$DI$5)/$DI$4)*(1/$DI$7)</f>
        <v>1.240909090909091E-2</v>
      </c>
      <c r="DT58" s="29">
        <f t="shared" si="45"/>
        <v>3076</v>
      </c>
      <c r="DU58" s="30">
        <f t="shared" si="46"/>
        <v>3076</v>
      </c>
      <c r="DV58" s="7" t="s">
        <v>78</v>
      </c>
      <c r="DW58" s="7" t="s">
        <v>79</v>
      </c>
      <c r="DX58" s="7" t="s">
        <v>80</v>
      </c>
      <c r="DY58" s="3"/>
      <c r="DZ58" s="18" t="s">
        <v>15</v>
      </c>
      <c r="EA58" s="32">
        <v>924</v>
      </c>
      <c r="EB58" s="32">
        <v>924</v>
      </c>
      <c r="EC58" s="30">
        <f t="shared" si="47"/>
        <v>924</v>
      </c>
      <c r="ED58" s="18">
        <f t="shared" si="48"/>
        <v>308</v>
      </c>
      <c r="EE58" s="18">
        <v>247</v>
      </c>
      <c r="EF58" s="33">
        <v>61</v>
      </c>
      <c r="EG58" s="19">
        <v>0</v>
      </c>
      <c r="EH58" s="35">
        <f>((ED58*$DI$5)/$DI$4)*(1/$DI$7)</f>
        <v>2.1000000000000001E-2</v>
      </c>
      <c r="EI58" s="29">
        <f t="shared" si="49"/>
        <v>5209</v>
      </c>
      <c r="EJ58" s="30">
        <f t="shared" si="50"/>
        <v>5209</v>
      </c>
      <c r="EK58" s="7" t="s">
        <v>78</v>
      </c>
      <c r="EL58" s="7" t="s">
        <v>79</v>
      </c>
      <c r="EM58" s="7" t="s">
        <v>80</v>
      </c>
      <c r="EN58" s="3"/>
      <c r="EO58" s="3"/>
      <c r="EP58" s="3"/>
      <c r="EQ58" s="3"/>
      <c r="ER58" s="3"/>
      <c r="ES58" s="3"/>
      <c r="ET58" s="3"/>
      <c r="EU58" s="3"/>
    </row>
    <row r="59" spans="1:151" ht="15.75" customHeight="1">
      <c r="A59" s="63" t="s">
        <v>112</v>
      </c>
      <c r="B59" s="136">
        <f>SUM(B46:B58)</f>
        <v>9587</v>
      </c>
      <c r="C59" s="136"/>
      <c r="D59" s="137">
        <f>SUM(E46:E56)</f>
        <v>2587</v>
      </c>
      <c r="E59" s="137"/>
      <c r="F59" s="137"/>
      <c r="G59" s="137">
        <f>SUM(H46:H53)</f>
        <v>387</v>
      </c>
      <c r="H59" s="137"/>
      <c r="I59" s="65"/>
      <c r="J59" s="137">
        <f>SUM(K46:K50)</f>
        <v>37</v>
      </c>
      <c r="K59" s="137"/>
      <c r="L59" s="65"/>
      <c r="M59" s="138">
        <f>SUM(N46:N58)</f>
        <v>12598</v>
      </c>
      <c r="N59" s="138"/>
      <c r="O59" s="138"/>
      <c r="P59" s="2"/>
      <c r="Q59" s="63" t="s">
        <v>112</v>
      </c>
      <c r="R59" s="136">
        <f>SUM(R58)</f>
        <v>9587</v>
      </c>
      <c r="S59" s="136"/>
      <c r="T59" s="137">
        <f>U56</f>
        <v>2587</v>
      </c>
      <c r="U59" s="137"/>
      <c r="V59" s="137"/>
      <c r="W59" s="137">
        <f>X53</f>
        <v>387</v>
      </c>
      <c r="X59" s="137"/>
      <c r="Y59" s="137"/>
      <c r="Z59" s="137">
        <f>AA50</f>
        <v>37</v>
      </c>
      <c r="AA59" s="137"/>
      <c r="AB59" s="137"/>
      <c r="AC59" s="138">
        <f>SUM(R59:AA59)</f>
        <v>12598</v>
      </c>
      <c r="AD59" s="138"/>
      <c r="AE59" s="138"/>
      <c r="AF59" s="2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3"/>
      <c r="AW59" s="3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18" t="s">
        <v>20</v>
      </c>
      <c r="DL59" s="32">
        <v>780</v>
      </c>
      <c r="DM59" s="32">
        <v>780</v>
      </c>
      <c r="DN59" s="30">
        <f t="shared" si="43"/>
        <v>780</v>
      </c>
      <c r="DO59" s="18">
        <f t="shared" si="44"/>
        <v>78</v>
      </c>
      <c r="DP59" s="18">
        <v>61</v>
      </c>
      <c r="DQ59" s="33">
        <v>15</v>
      </c>
      <c r="DR59" s="19">
        <v>2</v>
      </c>
      <c r="DS59" s="35">
        <f>((DO59*$DI$5)/$DI$4)*(1/$DI$13)</f>
        <v>8.8636363636363638E-2</v>
      </c>
      <c r="DT59" s="29">
        <f t="shared" si="45"/>
        <v>2835</v>
      </c>
      <c r="DU59" s="30">
        <f t="shared" si="46"/>
        <v>2835</v>
      </c>
      <c r="DV59" s="15">
        <v>14</v>
      </c>
      <c r="DW59" s="16">
        <v>20</v>
      </c>
      <c r="DX59" s="17">
        <f>DW59*DV59</f>
        <v>280</v>
      </c>
      <c r="DY59" s="3"/>
      <c r="DZ59" s="18" t="s">
        <v>20</v>
      </c>
      <c r="EA59" s="32">
        <v>1320</v>
      </c>
      <c r="EB59" s="32">
        <v>1320</v>
      </c>
      <c r="EC59" s="30">
        <f t="shared" si="47"/>
        <v>1320</v>
      </c>
      <c r="ED59" s="18">
        <f t="shared" si="48"/>
        <v>132</v>
      </c>
      <c r="EE59" s="18">
        <v>102</v>
      </c>
      <c r="EF59" s="33">
        <v>26</v>
      </c>
      <c r="EG59" s="19">
        <v>4</v>
      </c>
      <c r="EH59" s="35">
        <f>((ED59*$DI$5)/$DI$4)*(1/$DI$13)</f>
        <v>0.15000000000000002</v>
      </c>
      <c r="EI59" s="29">
        <f t="shared" si="49"/>
        <v>5130</v>
      </c>
      <c r="EJ59" s="30">
        <f t="shared" si="50"/>
        <v>5130</v>
      </c>
      <c r="EK59" s="15">
        <v>24</v>
      </c>
      <c r="EL59" s="16">
        <v>20</v>
      </c>
      <c r="EM59" s="17">
        <f>EL59*EK59</f>
        <v>480</v>
      </c>
      <c r="EN59" s="3"/>
      <c r="EO59" s="3"/>
      <c r="EP59" s="3"/>
      <c r="EQ59" s="3"/>
      <c r="ER59" s="3"/>
      <c r="ES59" s="3"/>
      <c r="ET59" s="3"/>
      <c r="EU59" s="3"/>
    </row>
    <row r="60" spans="1:151" ht="15.75" customHeight="1">
      <c r="A60" s="63" t="s">
        <v>69</v>
      </c>
      <c r="B60" s="139">
        <f>B59/M59</f>
        <v>0.76099380854103826</v>
      </c>
      <c r="C60" s="139"/>
      <c r="D60" s="140">
        <f>D59/M59</f>
        <v>0.2053500555643753</v>
      </c>
      <c r="E60" s="140"/>
      <c r="F60" s="140"/>
      <c r="G60" s="140">
        <f>G59/M59</f>
        <v>3.0719161771709795E-2</v>
      </c>
      <c r="H60" s="140"/>
      <c r="I60" s="140"/>
      <c r="J60" s="140">
        <f>J59/M59</f>
        <v>2.936974122876647E-3</v>
      </c>
      <c r="K60" s="140"/>
      <c r="L60" s="140"/>
      <c r="M60" s="141">
        <f>M59/M59</f>
        <v>1</v>
      </c>
      <c r="N60" s="141"/>
      <c r="O60" s="141"/>
      <c r="P60" s="2"/>
      <c r="Q60" s="7" t="s">
        <v>69</v>
      </c>
      <c r="R60" s="139">
        <f>R59/AC59</f>
        <v>0.76099380854103826</v>
      </c>
      <c r="S60" s="139"/>
      <c r="T60" s="140">
        <f>T59/AC59</f>
        <v>0.2053500555643753</v>
      </c>
      <c r="U60" s="140"/>
      <c r="V60" s="140"/>
      <c r="W60" s="140">
        <f>W59/AC59</f>
        <v>3.0719161771709795E-2</v>
      </c>
      <c r="X60" s="140"/>
      <c r="Y60" s="140"/>
      <c r="Z60" s="140">
        <f>Z59/AC59</f>
        <v>2.936974122876647E-3</v>
      </c>
      <c r="AA60" s="140"/>
      <c r="AB60" s="140"/>
      <c r="AC60" s="141">
        <f>AC59/AC59</f>
        <v>1</v>
      </c>
      <c r="AD60" s="141"/>
      <c r="AE60" s="141"/>
      <c r="AF60" s="2"/>
      <c r="AG60" s="4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3"/>
      <c r="AW60" s="3"/>
      <c r="AX60" s="3"/>
      <c r="AY60" s="3"/>
      <c r="AZ60" s="89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15" t="s">
        <v>82</v>
      </c>
      <c r="DL60" s="53">
        <v>4212</v>
      </c>
      <c r="DM60" s="53">
        <v>4212</v>
      </c>
      <c r="DN60" s="54">
        <f t="shared" si="43"/>
        <v>4212</v>
      </c>
      <c r="DO60" s="15">
        <f t="shared" si="44"/>
        <v>468</v>
      </c>
      <c r="DP60" s="15">
        <v>360</v>
      </c>
      <c r="DQ60" s="55">
        <v>93</v>
      </c>
      <c r="DR60" s="17">
        <v>15</v>
      </c>
      <c r="DS60" s="58">
        <f>((DO60*$DI$5)/$DI$4)*(1/$DI$14)</f>
        <v>0.53181818181818186</v>
      </c>
      <c r="DT60" s="57">
        <f t="shared" si="45"/>
        <v>18162</v>
      </c>
      <c r="DU60" s="54">
        <f t="shared" si="46"/>
        <v>18162</v>
      </c>
      <c r="DV60" s="3"/>
      <c r="DW60" s="3"/>
      <c r="DX60" s="3"/>
      <c r="DY60" s="3"/>
      <c r="DZ60" s="15" t="s">
        <v>82</v>
      </c>
      <c r="EA60" s="53">
        <v>7128</v>
      </c>
      <c r="EB60" s="53">
        <v>7128</v>
      </c>
      <c r="EC60" s="54">
        <f t="shared" si="47"/>
        <v>7128</v>
      </c>
      <c r="ED60" s="15">
        <f t="shared" si="48"/>
        <v>792</v>
      </c>
      <c r="EE60" s="15">
        <v>608</v>
      </c>
      <c r="EF60" s="55">
        <v>158</v>
      </c>
      <c r="EG60" s="17">
        <v>26</v>
      </c>
      <c r="EH60" s="58">
        <f>((ED60*$DI$5)/$DI$4)*(1/$DI$14)</f>
        <v>0.9</v>
      </c>
      <c r="EI60" s="57">
        <f t="shared" si="49"/>
        <v>31068</v>
      </c>
      <c r="EJ60" s="54">
        <f t="shared" si="50"/>
        <v>31068</v>
      </c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</row>
    <row r="61" spans="1:15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31" t="s">
        <v>174</v>
      </c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31"/>
      <c r="AZ61" s="131"/>
      <c r="BA61" s="131"/>
      <c r="BB61" s="131"/>
      <c r="BC61" s="3"/>
      <c r="BD61" s="3"/>
      <c r="BE61" s="3"/>
      <c r="BF61" s="145" t="s">
        <v>175</v>
      </c>
      <c r="BG61" s="145"/>
      <c r="BH61" s="145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</row>
    <row r="62" spans="1:151" ht="15.75" customHeight="1">
      <c r="A62" s="134" t="s">
        <v>176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2"/>
      <c r="Q62" s="134" t="s">
        <v>177</v>
      </c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2"/>
      <c r="AG62" s="132" t="s">
        <v>178</v>
      </c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1" t="s">
        <v>179</v>
      </c>
      <c r="AW62" s="131"/>
      <c r="AX62" s="131"/>
      <c r="AY62" s="131"/>
      <c r="AZ62" s="131"/>
      <c r="BA62" s="131"/>
      <c r="BB62" s="131"/>
      <c r="BC62" s="3"/>
      <c r="BD62" s="3"/>
      <c r="BE62" s="3"/>
      <c r="BF62" s="55" t="s">
        <v>180</v>
      </c>
      <c r="BG62" s="55" t="s">
        <v>181</v>
      </c>
      <c r="BH62" s="55" t="s">
        <v>17</v>
      </c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145" t="s">
        <v>182</v>
      </c>
      <c r="EA62" s="145"/>
      <c r="EB62" s="145"/>
      <c r="EC62" s="145"/>
      <c r="ED62" s="145"/>
      <c r="EE62" s="145"/>
      <c r="EF62" s="145"/>
      <c r="EG62" s="145"/>
      <c r="EH62" s="145"/>
      <c r="EI62" s="145"/>
      <c r="EJ62" s="145"/>
      <c r="EK62" s="145"/>
      <c r="EL62" s="145"/>
      <c r="EM62" s="145"/>
      <c r="EN62" s="131" t="s">
        <v>33</v>
      </c>
      <c r="EO62" s="131"/>
      <c r="EP62" s="131"/>
      <c r="EQ62" s="3"/>
      <c r="ER62" s="3"/>
      <c r="ES62" s="3"/>
      <c r="ET62" s="3"/>
      <c r="EU62" s="3"/>
    </row>
    <row r="63" spans="1:151" ht="15.75" customHeight="1">
      <c r="A63" s="131" t="s">
        <v>48</v>
      </c>
      <c r="B63" s="131"/>
      <c r="C63" s="131"/>
      <c r="D63" s="131" t="s">
        <v>1</v>
      </c>
      <c r="E63" s="131"/>
      <c r="F63" s="131"/>
      <c r="G63" s="131" t="s">
        <v>2</v>
      </c>
      <c r="H63" s="131"/>
      <c r="I63" s="131"/>
      <c r="J63" s="131" t="s">
        <v>3</v>
      </c>
      <c r="K63" s="131"/>
      <c r="L63" s="131"/>
      <c r="M63" s="131" t="s">
        <v>65</v>
      </c>
      <c r="N63" s="131"/>
      <c r="O63" s="131"/>
      <c r="P63" s="2"/>
      <c r="Q63" s="131" t="s">
        <v>48</v>
      </c>
      <c r="R63" s="131"/>
      <c r="S63" s="131"/>
      <c r="T63" s="131" t="s">
        <v>1</v>
      </c>
      <c r="U63" s="131"/>
      <c r="V63" s="131"/>
      <c r="W63" s="131" t="s">
        <v>2</v>
      </c>
      <c r="X63" s="131"/>
      <c r="Y63" s="131"/>
      <c r="Z63" s="131" t="s">
        <v>3</v>
      </c>
      <c r="AA63" s="131"/>
      <c r="AB63" s="131"/>
      <c r="AC63" s="131" t="s">
        <v>65</v>
      </c>
      <c r="AD63" s="131"/>
      <c r="AE63" s="7"/>
      <c r="AF63" s="2"/>
      <c r="AG63" s="131" t="s">
        <v>183</v>
      </c>
      <c r="AH63" s="131"/>
      <c r="AI63" s="131"/>
      <c r="AJ63" s="131" t="s">
        <v>9</v>
      </c>
      <c r="AK63" s="131"/>
      <c r="AL63" s="131"/>
      <c r="AM63" s="131"/>
      <c r="AN63" s="131" t="s">
        <v>1</v>
      </c>
      <c r="AO63" s="131"/>
      <c r="AP63" s="131"/>
      <c r="AQ63" s="131"/>
      <c r="AR63" s="131" t="s">
        <v>2</v>
      </c>
      <c r="AS63" s="131"/>
      <c r="AT63" s="131"/>
      <c r="AU63" s="131"/>
      <c r="AV63" s="55" t="s">
        <v>180</v>
      </c>
      <c r="AW63" s="55" t="s">
        <v>181</v>
      </c>
      <c r="AX63" s="15" t="s">
        <v>17</v>
      </c>
      <c r="AY63" s="131" t="s">
        <v>9</v>
      </c>
      <c r="AZ63" s="131"/>
      <c r="BA63" s="131"/>
      <c r="BB63" s="131"/>
      <c r="BC63" s="21"/>
      <c r="BD63" s="20"/>
      <c r="BE63" s="3"/>
      <c r="BF63" s="12" t="s">
        <v>16</v>
      </c>
      <c r="BG63" s="25">
        <v>186</v>
      </c>
      <c r="BH63" s="26">
        <f>BG63*$CE$41</f>
        <v>16740</v>
      </c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7" t="s">
        <v>180</v>
      </c>
      <c r="EA63" s="7" t="s">
        <v>184</v>
      </c>
      <c r="EB63" s="7" t="s">
        <v>185</v>
      </c>
      <c r="EC63" s="7" t="s">
        <v>186</v>
      </c>
      <c r="ED63" s="7" t="s">
        <v>44</v>
      </c>
      <c r="EE63" s="7" t="s">
        <v>45</v>
      </c>
      <c r="EF63" s="79" t="s">
        <v>46</v>
      </c>
      <c r="EG63" s="7" t="s">
        <v>47</v>
      </c>
      <c r="EH63" s="20" t="s">
        <v>48</v>
      </c>
      <c r="EI63" s="20" t="s">
        <v>1</v>
      </c>
      <c r="EJ63" s="20" t="s">
        <v>2</v>
      </c>
      <c r="EK63" s="79" t="s">
        <v>49</v>
      </c>
      <c r="EL63" s="7" t="s">
        <v>50</v>
      </c>
      <c r="EM63" s="20" t="s">
        <v>51</v>
      </c>
      <c r="EN63" s="27" t="s">
        <v>78</v>
      </c>
      <c r="EO63" s="27" t="s">
        <v>79</v>
      </c>
      <c r="EP63" s="27" t="s">
        <v>80</v>
      </c>
      <c r="EQ63" s="3"/>
      <c r="ER63" s="3"/>
      <c r="ES63" s="3"/>
      <c r="ET63" s="3"/>
      <c r="EU63" s="3"/>
    </row>
    <row r="64" spans="1:151" ht="15.75" customHeight="1">
      <c r="A64" s="27" t="s">
        <v>67</v>
      </c>
      <c r="B64" s="27" t="s">
        <v>68</v>
      </c>
      <c r="C64" s="27" t="s">
        <v>69</v>
      </c>
      <c r="D64" s="7" t="s">
        <v>67</v>
      </c>
      <c r="E64" s="7" t="s">
        <v>68</v>
      </c>
      <c r="F64" s="27" t="s">
        <v>69</v>
      </c>
      <c r="G64" s="7" t="s">
        <v>67</v>
      </c>
      <c r="H64" s="7" t="s">
        <v>68</v>
      </c>
      <c r="I64" s="27" t="s">
        <v>69</v>
      </c>
      <c r="J64" s="7" t="s">
        <v>67</v>
      </c>
      <c r="K64" s="10" t="s">
        <v>68</v>
      </c>
      <c r="L64" s="27" t="s">
        <v>69</v>
      </c>
      <c r="M64" s="27" t="s">
        <v>67</v>
      </c>
      <c r="N64" s="27" t="s">
        <v>68</v>
      </c>
      <c r="O64" s="27" t="s">
        <v>69</v>
      </c>
      <c r="P64" s="2"/>
      <c r="Q64" s="27" t="s">
        <v>67</v>
      </c>
      <c r="R64" s="27" t="s">
        <v>68</v>
      </c>
      <c r="S64" s="27" t="s">
        <v>69</v>
      </c>
      <c r="T64" s="7" t="s">
        <v>67</v>
      </c>
      <c r="U64" s="7" t="s">
        <v>68</v>
      </c>
      <c r="V64" s="27" t="s">
        <v>69</v>
      </c>
      <c r="W64" s="7" t="s">
        <v>67</v>
      </c>
      <c r="X64" s="7" t="s">
        <v>68</v>
      </c>
      <c r="Y64" s="27" t="s">
        <v>69</v>
      </c>
      <c r="Z64" s="7" t="s">
        <v>67</v>
      </c>
      <c r="AA64" s="7" t="s">
        <v>68</v>
      </c>
      <c r="AB64" s="27" t="s">
        <v>69</v>
      </c>
      <c r="AC64" s="27" t="s">
        <v>67</v>
      </c>
      <c r="AD64" s="27" t="s">
        <v>68</v>
      </c>
      <c r="AE64" s="27" t="s">
        <v>69</v>
      </c>
      <c r="AF64" s="2"/>
      <c r="AG64" s="7" t="s">
        <v>43</v>
      </c>
      <c r="AH64" s="7" t="s">
        <v>187</v>
      </c>
      <c r="AI64" s="7" t="s">
        <v>17</v>
      </c>
      <c r="AJ64" s="20" t="s">
        <v>43</v>
      </c>
      <c r="AK64" s="7" t="s">
        <v>187</v>
      </c>
      <c r="AL64" s="7" t="s">
        <v>188</v>
      </c>
      <c r="AM64" s="7" t="s">
        <v>189</v>
      </c>
      <c r="AN64" s="20" t="s">
        <v>43</v>
      </c>
      <c r="AO64" s="7" t="s">
        <v>187</v>
      </c>
      <c r="AP64" s="7" t="s">
        <v>188</v>
      </c>
      <c r="AQ64" s="7" t="s">
        <v>189</v>
      </c>
      <c r="AR64" s="20" t="s">
        <v>43</v>
      </c>
      <c r="AS64" s="7" t="s">
        <v>187</v>
      </c>
      <c r="AT64" s="7" t="s">
        <v>188</v>
      </c>
      <c r="AU64" s="7" t="s">
        <v>189</v>
      </c>
      <c r="AV64" s="12" t="s">
        <v>16</v>
      </c>
      <c r="AW64" s="27">
        <v>42</v>
      </c>
      <c r="AX64" s="90">
        <f>AW64*$CE$41</f>
        <v>3780</v>
      </c>
      <c r="AY64" s="7" t="s">
        <v>43</v>
      </c>
      <c r="AZ64" s="7" t="s">
        <v>187</v>
      </c>
      <c r="BA64" s="7" t="s">
        <v>188</v>
      </c>
      <c r="BB64" s="7" t="s">
        <v>189</v>
      </c>
      <c r="BC64" s="3"/>
      <c r="BD64" s="3"/>
      <c r="BE64" s="3"/>
      <c r="BF64" s="18" t="s">
        <v>14</v>
      </c>
      <c r="BG64" s="32">
        <v>120</v>
      </c>
      <c r="BH64" s="30">
        <f>BG64*$CG$41</f>
        <v>8640</v>
      </c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27" t="s">
        <v>190</v>
      </c>
      <c r="EA64" s="12">
        <v>4000</v>
      </c>
      <c r="EB64" s="84">
        <f t="shared" ref="EB64:EB71" si="51">EA65</f>
        <v>4300</v>
      </c>
      <c r="EC64" s="146">
        <v>4000</v>
      </c>
      <c r="ED64" s="25">
        <v>1919</v>
      </c>
      <c r="EE64" s="91">
        <v>2121</v>
      </c>
      <c r="EF64" s="25">
        <f t="shared" ref="EF64:EF72" si="52">(ED64+EE64)/2</f>
        <v>2020</v>
      </c>
      <c r="EG64" s="27">
        <f t="shared" ref="EG64:EG72" si="53">EH64+EI64+EJ64</f>
        <v>101</v>
      </c>
      <c r="EH64" s="27">
        <v>41</v>
      </c>
      <c r="EI64" s="27">
        <v>50</v>
      </c>
      <c r="EJ64" s="12">
        <v>10</v>
      </c>
      <c r="EK64" s="31">
        <f t="shared" ref="EK64:EK72" si="54">((EG64*$DI$5)/$DI$4)*(1/$DI$16)</f>
        <v>0.3443181818181818</v>
      </c>
      <c r="EL64" s="90">
        <f t="shared" ref="EL64:EL72" si="55">(EH64*$O$3)+(EI64*$P$3)+($Q$3*EJ64)+ED64</f>
        <v>9624</v>
      </c>
      <c r="EM64" s="26">
        <f t="shared" ref="EM64:EM72" si="56">(EH64*$O$3)+(EI64*$P$3)+($Q$3*EJ64)+EE64</f>
        <v>9826</v>
      </c>
      <c r="EN64" s="12">
        <v>26</v>
      </c>
      <c r="EO64" s="84">
        <v>20</v>
      </c>
      <c r="EP64" s="79">
        <f t="shared" ref="EP64:EP72" si="57">EO64*EN64</f>
        <v>520</v>
      </c>
      <c r="EQ64" s="3"/>
      <c r="ER64" s="3"/>
      <c r="ES64" s="3"/>
      <c r="ET64" s="3"/>
      <c r="EU64" s="3"/>
    </row>
    <row r="65" spans="1:151" ht="15.75" customHeight="1">
      <c r="A65" s="77">
        <v>1</v>
      </c>
      <c r="B65" s="41">
        <f>A2*B46</f>
        <v>27</v>
      </c>
      <c r="C65" s="28">
        <f>B65/B78</f>
        <v>1.0430791697089809E-4</v>
      </c>
      <c r="D65" s="40">
        <v>1</v>
      </c>
      <c r="E65" s="43">
        <f>B2*E46</f>
        <v>24</v>
      </c>
      <c r="F65" s="28">
        <f>E65/D78</f>
        <v>3.8654812524159255E-4</v>
      </c>
      <c r="G65" s="42">
        <v>1</v>
      </c>
      <c r="H65" s="45">
        <f>C2*H46</f>
        <v>24</v>
      </c>
      <c r="I65" s="28">
        <f>H65/G78</f>
        <v>2.5839793281653748E-3</v>
      </c>
      <c r="J65" s="42">
        <v>1</v>
      </c>
      <c r="K65" s="43">
        <f>D2*K46</f>
        <v>15</v>
      </c>
      <c r="L65" s="28">
        <f>K65/J78</f>
        <v>2.7027027027027029E-2</v>
      </c>
      <c r="M65" s="45">
        <v>1</v>
      </c>
      <c r="N65" s="45">
        <f t="shared" ref="N65:N77" si="58">B65+E65+H65+K65</f>
        <v>90</v>
      </c>
      <c r="O65" s="31">
        <f>N65/M78</f>
        <v>2.7208416470161435E-4</v>
      </c>
      <c r="P65" s="2"/>
      <c r="Q65" s="44">
        <v>1</v>
      </c>
      <c r="R65" s="41">
        <f>B65</f>
        <v>27</v>
      </c>
      <c r="S65" s="28">
        <f>R65/R78</f>
        <v>1.0430791697089809E-4</v>
      </c>
      <c r="T65" s="40">
        <v>1</v>
      </c>
      <c r="U65" s="43">
        <f>E65</f>
        <v>24</v>
      </c>
      <c r="V65" s="28">
        <f>U65/T78</f>
        <v>3.8654812524159255E-4</v>
      </c>
      <c r="W65" s="42">
        <v>1</v>
      </c>
      <c r="X65" s="43">
        <f>H65</f>
        <v>24</v>
      </c>
      <c r="Y65" s="28">
        <f>X65/W78</f>
        <v>2.5839793281653748E-3</v>
      </c>
      <c r="Z65" s="43">
        <v>1</v>
      </c>
      <c r="AA65" s="43">
        <f>K65</f>
        <v>15</v>
      </c>
      <c r="AB65" s="28">
        <f>AA65/Z78</f>
        <v>2.7027027027027029E-2</v>
      </c>
      <c r="AC65" s="45">
        <v>1</v>
      </c>
      <c r="AD65" s="45">
        <f>R65+U65+X65+AA65</f>
        <v>90</v>
      </c>
      <c r="AE65" s="28">
        <f>AD65/AC78</f>
        <v>2.7208416470161435E-4</v>
      </c>
      <c r="AF65" s="2"/>
      <c r="AG65" s="27" t="s">
        <v>16</v>
      </c>
      <c r="AH65" s="27">
        <v>3</v>
      </c>
      <c r="AI65" s="25">
        <f>AH65*CE41</f>
        <v>270</v>
      </c>
      <c r="AJ65" s="79" t="s">
        <v>16</v>
      </c>
      <c r="AK65" s="27">
        <f>AH65</f>
        <v>3</v>
      </c>
      <c r="AL65" s="26">
        <f>AK65*13</f>
        <v>39</v>
      </c>
      <c r="AM65" s="25">
        <f>5*AL65</f>
        <v>195</v>
      </c>
      <c r="AN65" s="79" t="s">
        <v>16</v>
      </c>
      <c r="AO65" s="92">
        <f>AH65</f>
        <v>3</v>
      </c>
      <c r="AP65" s="26">
        <f>AO65*1</f>
        <v>3</v>
      </c>
      <c r="AQ65" s="25">
        <f>AP65*50</f>
        <v>150</v>
      </c>
      <c r="AR65" s="79" t="s">
        <v>16</v>
      </c>
      <c r="AS65" s="25">
        <f>AP65</f>
        <v>3</v>
      </c>
      <c r="AT65" s="26">
        <v>1</v>
      </c>
      <c r="AU65" s="25">
        <f>1000*AT65</f>
        <v>1000</v>
      </c>
      <c r="AV65" s="18" t="s">
        <v>14</v>
      </c>
      <c r="AW65" s="33">
        <v>28</v>
      </c>
      <c r="AX65" s="80">
        <f>AW65*$CG$41</f>
        <v>2016</v>
      </c>
      <c r="AY65" s="27" t="s">
        <v>16</v>
      </c>
      <c r="AZ65" s="27">
        <f>AW65</f>
        <v>28</v>
      </c>
      <c r="BA65" s="26">
        <f>AZ65*12</f>
        <v>336</v>
      </c>
      <c r="BB65" s="25">
        <f>5*BA65</f>
        <v>1680</v>
      </c>
      <c r="BC65" s="3"/>
      <c r="BD65" s="3"/>
      <c r="BE65" s="3"/>
      <c r="BF65" s="18" t="s">
        <v>78</v>
      </c>
      <c r="BG65" s="32">
        <v>32</v>
      </c>
      <c r="BH65" s="30">
        <f>BG65*$CI$41</f>
        <v>7296</v>
      </c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3" t="s">
        <v>191</v>
      </c>
      <c r="EA65" s="18">
        <v>4300</v>
      </c>
      <c r="EB65" s="3">
        <f t="shared" si="51"/>
        <v>4600</v>
      </c>
      <c r="EC65" s="146"/>
      <c r="ED65" s="32">
        <v>2869</v>
      </c>
      <c r="EE65" s="29">
        <v>3171</v>
      </c>
      <c r="EF65" s="32">
        <f t="shared" si="52"/>
        <v>3020</v>
      </c>
      <c r="EG65" s="33">
        <f t="shared" si="53"/>
        <v>151</v>
      </c>
      <c r="EH65" s="33">
        <v>61</v>
      </c>
      <c r="EI65" s="33">
        <v>75</v>
      </c>
      <c r="EJ65" s="18">
        <v>15</v>
      </c>
      <c r="EK65" s="35">
        <f t="shared" si="54"/>
        <v>0.51477272727272727</v>
      </c>
      <c r="EL65" s="80">
        <f t="shared" si="55"/>
        <v>14424</v>
      </c>
      <c r="EM65" s="30">
        <f t="shared" si="56"/>
        <v>14726</v>
      </c>
      <c r="EN65" s="18">
        <v>28</v>
      </c>
      <c r="EO65" s="3">
        <v>20</v>
      </c>
      <c r="EP65" s="19">
        <f t="shared" si="57"/>
        <v>560</v>
      </c>
      <c r="EQ65" s="3"/>
      <c r="ER65" s="3"/>
      <c r="ES65" s="3"/>
      <c r="ET65" s="3"/>
      <c r="EU65" s="3"/>
    </row>
    <row r="66" spans="1:151" ht="15.75" customHeight="1">
      <c r="A66" s="78">
        <v>2</v>
      </c>
      <c r="B66" s="50">
        <f>A2*B47</f>
        <v>54</v>
      </c>
      <c r="C66" s="34">
        <f>B66/B78</f>
        <v>2.0861583394179617E-4</v>
      </c>
      <c r="D66" s="49">
        <v>2</v>
      </c>
      <c r="E66" s="45">
        <f>B2*E47</f>
        <v>48</v>
      </c>
      <c r="F66" s="34">
        <f>E66/D78</f>
        <v>7.7309625048318511E-4</v>
      </c>
      <c r="G66" s="51">
        <v>2</v>
      </c>
      <c r="H66" s="45">
        <f>C2*H47</f>
        <v>48</v>
      </c>
      <c r="I66" s="34">
        <f>H66/G78</f>
        <v>5.1679586563307496E-3</v>
      </c>
      <c r="J66" s="51">
        <v>2</v>
      </c>
      <c r="K66" s="45">
        <f>D2*K47</f>
        <v>30</v>
      </c>
      <c r="L66" s="34">
        <f>K66/J78</f>
        <v>5.4054054054054057E-2</v>
      </c>
      <c r="M66" s="45">
        <v>2</v>
      </c>
      <c r="N66" s="45">
        <f t="shared" si="58"/>
        <v>180</v>
      </c>
      <c r="O66" s="35">
        <f>N66/M78</f>
        <v>5.4416832940322869E-4</v>
      </c>
      <c r="P66" s="2"/>
      <c r="Q66" s="52">
        <v>2</v>
      </c>
      <c r="R66" s="50">
        <f>SUM(B65:B66)</f>
        <v>81</v>
      </c>
      <c r="S66" s="34">
        <f>R66/R78</f>
        <v>3.1292375091269427E-4</v>
      </c>
      <c r="T66" s="49">
        <v>2</v>
      </c>
      <c r="U66" s="45">
        <f>SUM(E65:E66)</f>
        <v>72</v>
      </c>
      <c r="V66" s="34">
        <f>U66/T78</f>
        <v>1.1596443757247777E-3</v>
      </c>
      <c r="W66" s="51">
        <v>2</v>
      </c>
      <c r="X66" s="45">
        <f>SUM(H65:H66)</f>
        <v>72</v>
      </c>
      <c r="Y66" s="34">
        <f>X66/W78</f>
        <v>7.7519379844961239E-3</v>
      </c>
      <c r="Z66" s="45">
        <v>2</v>
      </c>
      <c r="AA66" s="45">
        <f>SUM(K65:K66)</f>
        <v>45</v>
      </c>
      <c r="AB66" s="34">
        <f>AA66/Z78</f>
        <v>8.1081081081081086E-2</v>
      </c>
      <c r="AC66" s="45">
        <v>2</v>
      </c>
      <c r="AD66" s="45">
        <f>R66+U66+X66+AA66</f>
        <v>270</v>
      </c>
      <c r="AE66" s="34">
        <f>AD66/AC78</f>
        <v>8.1625249410484314E-4</v>
      </c>
      <c r="AF66" s="2"/>
      <c r="AG66" s="33" t="s">
        <v>14</v>
      </c>
      <c r="AH66" s="33">
        <v>4</v>
      </c>
      <c r="AI66" s="32">
        <f>AH66*CG41</f>
        <v>288</v>
      </c>
      <c r="AJ66" s="19" t="s">
        <v>14</v>
      </c>
      <c r="AK66" s="33">
        <f>AH66</f>
        <v>4</v>
      </c>
      <c r="AL66" s="30">
        <f>AK66*13</f>
        <v>52</v>
      </c>
      <c r="AM66" s="32">
        <f>5*AL66</f>
        <v>260</v>
      </c>
      <c r="AN66" s="19" t="s">
        <v>14</v>
      </c>
      <c r="AO66" s="93">
        <f>AH66</f>
        <v>4</v>
      </c>
      <c r="AP66" s="30">
        <f>AO66*1</f>
        <v>4</v>
      </c>
      <c r="AQ66" s="32">
        <f>AP66*50</f>
        <v>200</v>
      </c>
      <c r="AR66" s="19" t="s">
        <v>14</v>
      </c>
      <c r="AS66" s="32">
        <f>AP66</f>
        <v>4</v>
      </c>
      <c r="AT66" s="30">
        <v>0</v>
      </c>
      <c r="AU66" s="32">
        <f>5*AT66</f>
        <v>0</v>
      </c>
      <c r="AV66" s="18" t="s">
        <v>17</v>
      </c>
      <c r="AW66" s="33">
        <v>7</v>
      </c>
      <c r="AX66" s="80">
        <f>AW66*$CI$41</f>
        <v>1596</v>
      </c>
      <c r="AY66" s="33" t="s">
        <v>14</v>
      </c>
      <c r="AZ66" s="33">
        <f>AW66</f>
        <v>7</v>
      </c>
      <c r="BA66" s="30">
        <f>AZ66*12</f>
        <v>84</v>
      </c>
      <c r="BB66" s="32">
        <f>5*BA66</f>
        <v>420</v>
      </c>
      <c r="BC66" s="3"/>
      <c r="BD66" s="3"/>
      <c r="BE66" s="3"/>
      <c r="BF66" s="18" t="s">
        <v>192</v>
      </c>
      <c r="BG66" s="32">
        <v>31</v>
      </c>
      <c r="BH66" s="30">
        <f>BG66*$CK$41</f>
        <v>17670</v>
      </c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3" t="s">
        <v>193</v>
      </c>
      <c r="EA66" s="15">
        <v>4600</v>
      </c>
      <c r="EB66" s="16">
        <f t="shared" si="51"/>
        <v>4900</v>
      </c>
      <c r="EC66" s="146"/>
      <c r="ED66" s="32">
        <v>3819</v>
      </c>
      <c r="EE66" s="29">
        <v>4221</v>
      </c>
      <c r="EF66" s="32">
        <f t="shared" si="52"/>
        <v>4020</v>
      </c>
      <c r="EG66" s="33">
        <f t="shared" si="53"/>
        <v>201</v>
      </c>
      <c r="EH66" s="33">
        <v>81</v>
      </c>
      <c r="EI66" s="33">
        <v>100</v>
      </c>
      <c r="EJ66" s="18">
        <v>20</v>
      </c>
      <c r="EK66" s="35">
        <f t="shared" si="54"/>
        <v>0.68522727272727268</v>
      </c>
      <c r="EL66" s="80">
        <f t="shared" si="55"/>
        <v>19224</v>
      </c>
      <c r="EM66" s="30">
        <f t="shared" si="56"/>
        <v>19626</v>
      </c>
      <c r="EN66" s="18">
        <v>30</v>
      </c>
      <c r="EO66" s="3">
        <v>20</v>
      </c>
      <c r="EP66" s="19">
        <f t="shared" si="57"/>
        <v>600</v>
      </c>
      <c r="EQ66" s="3"/>
      <c r="ER66" s="3"/>
      <c r="ES66" s="3"/>
      <c r="ET66" s="3"/>
      <c r="EU66" s="3"/>
    </row>
    <row r="67" spans="1:151" ht="15.75" customHeight="1">
      <c r="A67" s="78">
        <v>3</v>
      </c>
      <c r="B67" s="50">
        <f>A2*B48</f>
        <v>108</v>
      </c>
      <c r="C67" s="34">
        <f>B67/B78</f>
        <v>4.1723166788359235E-4</v>
      </c>
      <c r="D67" s="49">
        <v>3</v>
      </c>
      <c r="E67" s="45">
        <f>B2*E48</f>
        <v>96</v>
      </c>
      <c r="F67" s="34">
        <f>E67/D78</f>
        <v>1.5461925009663702E-3</v>
      </c>
      <c r="G67" s="51">
        <v>3</v>
      </c>
      <c r="H67" s="45">
        <f>C2*H48</f>
        <v>96</v>
      </c>
      <c r="I67" s="34">
        <f>H67/G78</f>
        <v>1.0335917312661499E-2</v>
      </c>
      <c r="J67" s="51">
        <v>3</v>
      </c>
      <c r="K67" s="45">
        <f>D2*K48</f>
        <v>60</v>
      </c>
      <c r="L67" s="34">
        <f>K67/J78</f>
        <v>0.10810810810810811</v>
      </c>
      <c r="M67" s="45">
        <v>3</v>
      </c>
      <c r="N67" s="45">
        <f t="shared" si="58"/>
        <v>360</v>
      </c>
      <c r="O67" s="35">
        <f>N67/M78</f>
        <v>1.0883366588064574E-3</v>
      </c>
      <c r="P67" s="2"/>
      <c r="Q67" s="52">
        <v>3</v>
      </c>
      <c r="R67" s="50">
        <f>SUM(B65:B67)</f>
        <v>189</v>
      </c>
      <c r="S67" s="34">
        <f>R67/R78</f>
        <v>7.3015541879628662E-4</v>
      </c>
      <c r="T67" s="49">
        <v>3</v>
      </c>
      <c r="U67" s="45">
        <f>SUM(E65:E67)</f>
        <v>168</v>
      </c>
      <c r="V67" s="34">
        <f>U67/T78</f>
        <v>2.7058368766911482E-3</v>
      </c>
      <c r="W67" s="51">
        <v>3</v>
      </c>
      <c r="X67" s="45">
        <f>SUM(H65:H67)</f>
        <v>168</v>
      </c>
      <c r="Y67" s="34">
        <f>X67/W78</f>
        <v>1.8087855297157621E-2</v>
      </c>
      <c r="Z67" s="45">
        <v>3</v>
      </c>
      <c r="AA67" s="45">
        <f>SUM(K65:K67)</f>
        <v>105</v>
      </c>
      <c r="AB67" s="34">
        <f>AA67/Z78</f>
        <v>0.1891891891891892</v>
      </c>
      <c r="AC67" s="45">
        <v>3</v>
      </c>
      <c r="AD67" s="45">
        <f>R67+U67+X67+AA67</f>
        <v>630</v>
      </c>
      <c r="AE67" s="34">
        <f>AD67/AC78</f>
        <v>1.9045891529113005E-3</v>
      </c>
      <c r="AF67" s="2"/>
      <c r="AG67" s="33" t="s">
        <v>17</v>
      </c>
      <c r="AH67" s="33">
        <v>1</v>
      </c>
      <c r="AI67" s="32">
        <f>AH67*CI41</f>
        <v>228</v>
      </c>
      <c r="AJ67" s="19" t="s">
        <v>17</v>
      </c>
      <c r="AK67" s="33">
        <f>AH67</f>
        <v>1</v>
      </c>
      <c r="AL67" s="30">
        <f>AK67*40</f>
        <v>40</v>
      </c>
      <c r="AM67" s="32">
        <f>5*AL67</f>
        <v>200</v>
      </c>
      <c r="AN67" s="19" t="s">
        <v>17</v>
      </c>
      <c r="AO67" s="93">
        <f>AH67</f>
        <v>1</v>
      </c>
      <c r="AP67" s="30">
        <f>AO67*4</f>
        <v>4</v>
      </c>
      <c r="AQ67" s="32">
        <f>AP67*50</f>
        <v>200</v>
      </c>
      <c r="AR67" s="19" t="s">
        <v>17</v>
      </c>
      <c r="AS67" s="32">
        <f>AP67</f>
        <v>4</v>
      </c>
      <c r="AT67" s="30">
        <v>0</v>
      </c>
      <c r="AU67" s="32">
        <f>5*AT67</f>
        <v>0</v>
      </c>
      <c r="AV67" s="18" t="s">
        <v>27</v>
      </c>
      <c r="AW67" s="33">
        <v>7</v>
      </c>
      <c r="AX67" s="80">
        <f>AW67*$CK$41</f>
        <v>3990</v>
      </c>
      <c r="AY67" s="33" t="s">
        <v>17</v>
      </c>
      <c r="AZ67" s="33">
        <f>AW67</f>
        <v>7</v>
      </c>
      <c r="BA67" s="30">
        <f>AZ67*37</f>
        <v>259</v>
      </c>
      <c r="BB67" s="32">
        <f>5*BA67</f>
        <v>1295</v>
      </c>
      <c r="BC67" s="3"/>
      <c r="BD67" s="3"/>
      <c r="BE67" s="3"/>
      <c r="BF67" s="18" t="s">
        <v>15</v>
      </c>
      <c r="BG67" s="32">
        <v>4</v>
      </c>
      <c r="BH67" s="30">
        <f>BG67*$CM$41</f>
        <v>7296</v>
      </c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3" t="s">
        <v>194</v>
      </c>
      <c r="EA67" s="18">
        <v>4900</v>
      </c>
      <c r="EB67" s="3">
        <f t="shared" si="51"/>
        <v>5200</v>
      </c>
      <c r="EC67" s="146">
        <v>4300</v>
      </c>
      <c r="ED67" s="32">
        <v>4769</v>
      </c>
      <c r="EE67" s="29">
        <v>5271</v>
      </c>
      <c r="EF67" s="32">
        <f t="shared" si="52"/>
        <v>5020</v>
      </c>
      <c r="EG67" s="33">
        <f t="shared" si="53"/>
        <v>251</v>
      </c>
      <c r="EH67" s="33">
        <v>101</v>
      </c>
      <c r="EI67" s="33">
        <v>125</v>
      </c>
      <c r="EJ67" s="18">
        <v>25</v>
      </c>
      <c r="EK67" s="35">
        <f t="shared" si="54"/>
        <v>0.8556818181818181</v>
      </c>
      <c r="EL67" s="80">
        <f t="shared" si="55"/>
        <v>24024</v>
      </c>
      <c r="EM67" s="30">
        <f t="shared" si="56"/>
        <v>24526</v>
      </c>
      <c r="EN67" s="18">
        <v>32</v>
      </c>
      <c r="EO67" s="3">
        <v>20</v>
      </c>
      <c r="EP67" s="19">
        <f t="shared" si="57"/>
        <v>640</v>
      </c>
      <c r="EQ67" s="3"/>
      <c r="ER67" s="3"/>
      <c r="ES67" s="3"/>
      <c r="ET67" s="3"/>
      <c r="EU67" s="3"/>
    </row>
    <row r="68" spans="1:151" ht="15.75" customHeight="1">
      <c r="A68" s="78">
        <v>4</v>
      </c>
      <c r="B68" s="50">
        <f>A2*B49</f>
        <v>270</v>
      </c>
      <c r="C68" s="34">
        <f>B68/B78</f>
        <v>1.043079169708981E-3</v>
      </c>
      <c r="D68" s="49">
        <v>4</v>
      </c>
      <c r="E68" s="45">
        <f>B2*E49</f>
        <v>240</v>
      </c>
      <c r="F68" s="34">
        <f>E68/D78</f>
        <v>3.8654812524159259E-3</v>
      </c>
      <c r="G68" s="51">
        <v>4</v>
      </c>
      <c r="H68" s="45">
        <f>C2*H49</f>
        <v>240</v>
      </c>
      <c r="I68" s="34">
        <f>H68/G78</f>
        <v>2.5839793281653745E-2</v>
      </c>
      <c r="J68" s="51">
        <v>4</v>
      </c>
      <c r="K68" s="45">
        <f>D2*K49</f>
        <v>150</v>
      </c>
      <c r="L68" s="34">
        <f>K68/J78</f>
        <v>0.27027027027027029</v>
      </c>
      <c r="M68" s="45">
        <v>4</v>
      </c>
      <c r="N68" s="45">
        <f t="shared" si="58"/>
        <v>900</v>
      </c>
      <c r="O68" s="35">
        <f>N68/M78</f>
        <v>2.7208416470161437E-3</v>
      </c>
      <c r="P68" s="2"/>
      <c r="Q68" s="52">
        <v>4</v>
      </c>
      <c r="R68" s="50">
        <f>SUM(B65:B68)</f>
        <v>459</v>
      </c>
      <c r="S68" s="34">
        <f>R68/R78</f>
        <v>1.7732345885052676E-3</v>
      </c>
      <c r="T68" s="49">
        <v>4</v>
      </c>
      <c r="U68" s="45">
        <f>SUM(E65:E68)</f>
        <v>408</v>
      </c>
      <c r="V68" s="34">
        <f>U68/T78</f>
        <v>6.5713181291070736E-3</v>
      </c>
      <c r="W68" s="51">
        <v>4</v>
      </c>
      <c r="X68" s="45">
        <f>SUM(H65:H68)</f>
        <v>408</v>
      </c>
      <c r="Y68" s="34">
        <f>X68/W78</f>
        <v>4.3927648578811367E-2</v>
      </c>
      <c r="Z68" s="45">
        <v>4</v>
      </c>
      <c r="AA68" s="45">
        <f>SUM(K65:K68)</f>
        <v>255</v>
      </c>
      <c r="AB68" s="34">
        <f>AA68/Z78</f>
        <v>0.45945945945945948</v>
      </c>
      <c r="AC68" s="45">
        <v>4</v>
      </c>
      <c r="AD68" s="45">
        <f>R68+U68+X68+AA68</f>
        <v>1530</v>
      </c>
      <c r="AE68" s="34">
        <f>AD68/AC78</f>
        <v>4.6254307999274444E-3</v>
      </c>
      <c r="AF68" s="2"/>
      <c r="AG68" s="33" t="s">
        <v>27</v>
      </c>
      <c r="AH68" s="33">
        <v>1</v>
      </c>
      <c r="AI68" s="32">
        <f>AH68*CK41</f>
        <v>570</v>
      </c>
      <c r="AJ68" s="19" t="s">
        <v>27</v>
      </c>
      <c r="AK68" s="33">
        <f>AH68</f>
        <v>1</v>
      </c>
      <c r="AL68" s="30">
        <f>AK68*80</f>
        <v>80</v>
      </c>
      <c r="AM68" s="53">
        <f>5*AL68</f>
        <v>400</v>
      </c>
      <c r="AN68" s="19" t="s">
        <v>27</v>
      </c>
      <c r="AO68" s="93">
        <f>AH68</f>
        <v>1</v>
      </c>
      <c r="AP68" s="30">
        <f>AO68*8</f>
        <v>8</v>
      </c>
      <c r="AQ68" s="53">
        <f>AP68*50</f>
        <v>400</v>
      </c>
      <c r="AR68" s="19" t="s">
        <v>27</v>
      </c>
      <c r="AS68" s="32">
        <f>AP68</f>
        <v>8</v>
      </c>
      <c r="AT68" s="30">
        <v>1</v>
      </c>
      <c r="AU68" s="53">
        <f>1000*AT68</f>
        <v>1000</v>
      </c>
      <c r="AV68" s="18" t="s">
        <v>15</v>
      </c>
      <c r="AW68" s="33">
        <v>1</v>
      </c>
      <c r="AX68" s="80">
        <f>AW68*$CM$41</f>
        <v>1824</v>
      </c>
      <c r="AY68" s="33" t="s">
        <v>27</v>
      </c>
      <c r="AZ68" s="33">
        <f>AW68</f>
        <v>1</v>
      </c>
      <c r="BA68" s="30">
        <f>AZ68*74</f>
        <v>74</v>
      </c>
      <c r="BB68" s="32">
        <f>5*BA68</f>
        <v>370</v>
      </c>
      <c r="BC68" s="3"/>
      <c r="BD68" s="3"/>
      <c r="BE68" s="3"/>
      <c r="BF68" s="18" t="s">
        <v>20</v>
      </c>
      <c r="BG68" s="32">
        <v>3</v>
      </c>
      <c r="BH68" s="30">
        <f>$CO$41*BG68</f>
        <v>2052</v>
      </c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3" t="s">
        <v>195</v>
      </c>
      <c r="EA68" s="18">
        <v>5200</v>
      </c>
      <c r="EB68" s="3">
        <f t="shared" si="51"/>
        <v>5500</v>
      </c>
      <c r="EC68" s="146"/>
      <c r="ED68" s="32">
        <v>5719</v>
      </c>
      <c r="EE68" s="29">
        <v>6321</v>
      </c>
      <c r="EF68" s="32">
        <f t="shared" si="52"/>
        <v>6020</v>
      </c>
      <c r="EG68" s="33">
        <f t="shared" si="53"/>
        <v>301</v>
      </c>
      <c r="EH68" s="33">
        <v>121</v>
      </c>
      <c r="EI68" s="33">
        <v>150</v>
      </c>
      <c r="EJ68" s="18">
        <v>30</v>
      </c>
      <c r="EK68" s="35">
        <f t="shared" si="54"/>
        <v>1.0261363636363636</v>
      </c>
      <c r="EL68" s="80">
        <f t="shared" si="55"/>
        <v>28824</v>
      </c>
      <c r="EM68" s="30">
        <f t="shared" si="56"/>
        <v>29426</v>
      </c>
      <c r="EN68" s="18">
        <v>34</v>
      </c>
      <c r="EO68" s="3">
        <v>20</v>
      </c>
      <c r="EP68" s="19">
        <f t="shared" si="57"/>
        <v>680</v>
      </c>
      <c r="EQ68" s="3"/>
      <c r="ER68" s="3"/>
      <c r="ES68" s="3"/>
      <c r="ET68" s="3"/>
      <c r="EU68" s="3"/>
    </row>
    <row r="69" spans="1:151" ht="15.75" customHeight="1">
      <c r="A69" s="78">
        <v>5</v>
      </c>
      <c r="B69" s="50">
        <f>A2*B50</f>
        <v>540</v>
      </c>
      <c r="C69" s="34">
        <f>B69/B78</f>
        <v>2.0861583394179619E-3</v>
      </c>
      <c r="D69" s="49">
        <v>5</v>
      </c>
      <c r="E69" s="45">
        <f>B2*E50</f>
        <v>480</v>
      </c>
      <c r="F69" s="34">
        <f>E69/D78</f>
        <v>7.7309625048318517E-3</v>
      </c>
      <c r="G69" s="51">
        <v>5</v>
      </c>
      <c r="H69" s="45">
        <f>C2*H50</f>
        <v>480</v>
      </c>
      <c r="I69" s="34">
        <f>H69/G78</f>
        <v>5.1679586563307491E-2</v>
      </c>
      <c r="J69" s="60">
        <v>5</v>
      </c>
      <c r="K69" s="59">
        <f>D2*K50</f>
        <v>300</v>
      </c>
      <c r="L69" s="56">
        <f>K69/J78</f>
        <v>0.54054054054054057</v>
      </c>
      <c r="M69" s="45">
        <v>5</v>
      </c>
      <c r="N69" s="45">
        <f t="shared" si="58"/>
        <v>1800</v>
      </c>
      <c r="O69" s="35">
        <f>N69/M78</f>
        <v>5.4416832940322873E-3</v>
      </c>
      <c r="P69" s="2"/>
      <c r="Q69" s="52">
        <v>5</v>
      </c>
      <c r="R69" s="50">
        <f>SUM(B65:B69)</f>
        <v>999</v>
      </c>
      <c r="S69" s="34">
        <f>R69/R78</f>
        <v>3.8593929279232293E-3</v>
      </c>
      <c r="T69" s="49">
        <v>5</v>
      </c>
      <c r="U69" s="45">
        <f>SUM(E65:E69)</f>
        <v>888</v>
      </c>
      <c r="V69" s="34">
        <f>U69/T78</f>
        <v>1.4302280633938926E-2</v>
      </c>
      <c r="W69" s="51">
        <v>5</v>
      </c>
      <c r="X69" s="45">
        <f>SUM(H65:H69)</f>
        <v>888</v>
      </c>
      <c r="Y69" s="34">
        <f>X69/W78</f>
        <v>9.5607235142118857E-2</v>
      </c>
      <c r="Z69" s="59">
        <v>5</v>
      </c>
      <c r="AA69" s="59">
        <f>SUM(K65:K69)</f>
        <v>555</v>
      </c>
      <c r="AB69" s="56">
        <f>AA69/Z78</f>
        <v>1</v>
      </c>
      <c r="AC69" s="45">
        <v>5</v>
      </c>
      <c r="AD69" s="45">
        <f>R69+U69+X69+AA69</f>
        <v>3330</v>
      </c>
      <c r="AE69" s="34">
        <f>AD69/AC78</f>
        <v>1.0067114093959731E-2</v>
      </c>
      <c r="AF69" s="2"/>
      <c r="AG69" s="33" t="s">
        <v>33</v>
      </c>
      <c r="AH69" s="33">
        <v>20</v>
      </c>
      <c r="AI69" s="32">
        <f>AH69*CW41</f>
        <v>400</v>
      </c>
      <c r="AJ69" s="21" t="s">
        <v>4</v>
      </c>
      <c r="AK69" s="147">
        <f>SUM(AM65:AM68)</f>
        <v>1055</v>
      </c>
      <c r="AL69" s="147"/>
      <c r="AM69" s="147"/>
      <c r="AN69" s="21" t="s">
        <v>4</v>
      </c>
      <c r="AO69" s="147">
        <f>SUM(AQ65:AQ68)</f>
        <v>950</v>
      </c>
      <c r="AP69" s="147"/>
      <c r="AQ69" s="147"/>
      <c r="AR69" s="21" t="s">
        <v>4</v>
      </c>
      <c r="AS69" s="147">
        <f>SUM(AU65:AU68)</f>
        <v>2000</v>
      </c>
      <c r="AT69" s="147"/>
      <c r="AU69" s="147"/>
      <c r="AV69" s="18" t="s">
        <v>20</v>
      </c>
      <c r="AW69" s="33">
        <v>1</v>
      </c>
      <c r="AX69" s="80">
        <f>$CO$41*$AW$69</f>
        <v>684</v>
      </c>
      <c r="AY69" s="33" t="s">
        <v>15</v>
      </c>
      <c r="AZ69" s="30">
        <v>1</v>
      </c>
      <c r="BA69" s="30">
        <v>230</v>
      </c>
      <c r="BB69" s="30">
        <f>BA69*5</f>
        <v>1150</v>
      </c>
      <c r="BC69" s="3"/>
      <c r="BD69" s="3"/>
      <c r="BE69" s="3"/>
      <c r="BF69" s="18" t="s">
        <v>196</v>
      </c>
      <c r="BG69" s="32">
        <v>0</v>
      </c>
      <c r="BH69" s="30">
        <f>BG69*BD69</f>
        <v>0</v>
      </c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3" t="s">
        <v>197</v>
      </c>
      <c r="EA69" s="18">
        <v>5500</v>
      </c>
      <c r="EB69" s="3">
        <f t="shared" si="51"/>
        <v>5800</v>
      </c>
      <c r="EC69" s="146"/>
      <c r="ED69" s="32">
        <v>6669</v>
      </c>
      <c r="EE69" s="29">
        <v>7371</v>
      </c>
      <c r="EF69" s="32">
        <f t="shared" si="52"/>
        <v>7020</v>
      </c>
      <c r="EG69" s="33">
        <f t="shared" si="53"/>
        <v>351</v>
      </c>
      <c r="EH69" s="33">
        <v>141</v>
      </c>
      <c r="EI69" s="33">
        <v>175</v>
      </c>
      <c r="EJ69" s="18">
        <v>35</v>
      </c>
      <c r="EK69" s="35">
        <f t="shared" si="54"/>
        <v>1.196590909090909</v>
      </c>
      <c r="EL69" s="80">
        <f t="shared" si="55"/>
        <v>33624</v>
      </c>
      <c r="EM69" s="30">
        <f t="shared" si="56"/>
        <v>34326</v>
      </c>
      <c r="EN69" s="18">
        <v>36</v>
      </c>
      <c r="EO69" s="3">
        <v>20</v>
      </c>
      <c r="EP69" s="19">
        <f t="shared" si="57"/>
        <v>720</v>
      </c>
      <c r="EQ69" s="3"/>
      <c r="ER69" s="3"/>
      <c r="ES69" s="3"/>
      <c r="ET69" s="3"/>
      <c r="EU69" s="3"/>
    </row>
    <row r="70" spans="1:151" ht="15.75" customHeight="1">
      <c r="A70" s="78">
        <v>6</v>
      </c>
      <c r="B70" s="50">
        <f>A2*B51</f>
        <v>1350</v>
      </c>
      <c r="C70" s="34">
        <f>B70/B78</f>
        <v>5.2153958485449048E-3</v>
      </c>
      <c r="D70" s="49">
        <v>6</v>
      </c>
      <c r="E70" s="45">
        <f>B2*E51</f>
        <v>1200</v>
      </c>
      <c r="F70" s="34">
        <f>E70/D78</f>
        <v>1.9327406262079627E-2</v>
      </c>
      <c r="G70" s="51">
        <v>6</v>
      </c>
      <c r="H70" s="45">
        <f>C2*H51</f>
        <v>1200</v>
      </c>
      <c r="I70" s="34">
        <f>H70/G78</f>
        <v>0.12919896640826872</v>
      </c>
      <c r="J70" s="47"/>
      <c r="K70" s="47"/>
      <c r="L70" s="47"/>
      <c r="M70" s="45">
        <v>6</v>
      </c>
      <c r="N70" s="45">
        <f t="shared" si="58"/>
        <v>3750</v>
      </c>
      <c r="O70" s="35">
        <f>N70/M78</f>
        <v>1.1336840195900599E-2</v>
      </c>
      <c r="P70" s="2"/>
      <c r="Q70" s="52">
        <v>6</v>
      </c>
      <c r="R70" s="50">
        <f>SUM(B65:B70)</f>
        <v>2349</v>
      </c>
      <c r="S70" s="34">
        <f>R70/R78</f>
        <v>9.0747887764681331E-3</v>
      </c>
      <c r="T70" s="49">
        <v>6</v>
      </c>
      <c r="U70" s="45">
        <f>SUM(E65:E70)</f>
        <v>2088</v>
      </c>
      <c r="V70" s="34">
        <f>U70/T78</f>
        <v>3.3629686896018557E-2</v>
      </c>
      <c r="W70" s="51">
        <v>6</v>
      </c>
      <c r="X70" s="45">
        <f>SUM(H65:H70)</f>
        <v>2088</v>
      </c>
      <c r="Y70" s="34">
        <f>X70/W78</f>
        <v>0.22480620155038761</v>
      </c>
      <c r="Z70" s="47"/>
      <c r="AA70" s="47"/>
      <c r="AB70" s="47"/>
      <c r="AC70" s="45">
        <v>6</v>
      </c>
      <c r="AD70" s="45">
        <f>R70+U70+X70+AA69</f>
        <v>7080</v>
      </c>
      <c r="AE70" s="34">
        <f>AD70/AC78</f>
        <v>2.140395428986033E-2</v>
      </c>
      <c r="AF70" s="2"/>
      <c r="AG70" s="55" t="s">
        <v>198</v>
      </c>
      <c r="AH70" s="55">
        <v>140</v>
      </c>
      <c r="AI70" s="53">
        <f>AH70*5</f>
        <v>700</v>
      </c>
      <c r="AJ70" s="131" t="s">
        <v>199</v>
      </c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8" t="s">
        <v>82</v>
      </c>
      <c r="AW70" s="33">
        <v>0</v>
      </c>
      <c r="AX70" s="80">
        <f>$CZ$41*$AW$70</f>
        <v>0</v>
      </c>
      <c r="AY70" s="33" t="s">
        <v>20</v>
      </c>
      <c r="AZ70" s="30">
        <v>1</v>
      </c>
      <c r="BA70" s="30">
        <v>95</v>
      </c>
      <c r="BB70" s="30">
        <f>BA70*5</f>
        <v>475</v>
      </c>
      <c r="BC70" s="3"/>
      <c r="BD70" s="3"/>
      <c r="BE70" s="3"/>
      <c r="BF70" s="18" t="s">
        <v>163</v>
      </c>
      <c r="BG70" s="32">
        <v>4</v>
      </c>
      <c r="BH70" s="30">
        <f>AU70*$CE$44</f>
        <v>0</v>
      </c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3" t="s">
        <v>200</v>
      </c>
      <c r="EA70" s="12">
        <v>5800</v>
      </c>
      <c r="EB70" s="84">
        <f t="shared" si="51"/>
        <v>6100</v>
      </c>
      <c r="EC70" s="146">
        <v>4600</v>
      </c>
      <c r="ED70" s="32">
        <v>7619</v>
      </c>
      <c r="EE70" s="29">
        <v>8421</v>
      </c>
      <c r="EF70" s="32">
        <f t="shared" si="52"/>
        <v>8020</v>
      </c>
      <c r="EG70" s="33">
        <f t="shared" si="53"/>
        <v>401</v>
      </c>
      <c r="EH70" s="33">
        <v>161</v>
      </c>
      <c r="EI70" s="33">
        <v>200</v>
      </c>
      <c r="EJ70" s="18">
        <v>40</v>
      </c>
      <c r="EK70" s="35">
        <f t="shared" si="54"/>
        <v>1.3670454545454547</v>
      </c>
      <c r="EL70" s="80">
        <f t="shared" si="55"/>
        <v>38424</v>
      </c>
      <c r="EM70" s="30">
        <f t="shared" si="56"/>
        <v>39226</v>
      </c>
      <c r="EN70" s="18">
        <v>38</v>
      </c>
      <c r="EO70" s="3">
        <v>20</v>
      </c>
      <c r="EP70" s="19">
        <f t="shared" si="57"/>
        <v>760</v>
      </c>
      <c r="EQ70" s="3"/>
      <c r="ER70" s="3"/>
      <c r="ES70" s="3"/>
      <c r="ET70" s="3"/>
      <c r="EU70" s="3"/>
    </row>
    <row r="71" spans="1:151" ht="15.75" customHeight="1">
      <c r="A71" s="78">
        <v>7</v>
      </c>
      <c r="B71" s="50">
        <f>A2*B52</f>
        <v>2700</v>
      </c>
      <c r="C71" s="34">
        <f>B71/B78</f>
        <v>1.043079169708981E-2</v>
      </c>
      <c r="D71" s="49">
        <v>7</v>
      </c>
      <c r="E71" s="45">
        <f>B2*E52</f>
        <v>2400</v>
      </c>
      <c r="F71" s="34">
        <f>E71/D78</f>
        <v>3.8654812524159254E-2</v>
      </c>
      <c r="G71" s="51">
        <v>7</v>
      </c>
      <c r="H71" s="45">
        <f>C2*H52</f>
        <v>2400</v>
      </c>
      <c r="I71" s="34">
        <f>H71/G78</f>
        <v>0.25839793281653745</v>
      </c>
      <c r="J71" s="47"/>
      <c r="K71" s="47"/>
      <c r="L71" s="47"/>
      <c r="M71" s="45">
        <v>7</v>
      </c>
      <c r="N71" s="45">
        <f t="shared" si="58"/>
        <v>7500</v>
      </c>
      <c r="O71" s="35">
        <f>N71/M78</f>
        <v>2.2673680391801197E-2</v>
      </c>
      <c r="P71" s="2"/>
      <c r="Q71" s="52">
        <v>7</v>
      </c>
      <c r="R71" s="50">
        <f>SUM(B65:B71)</f>
        <v>5049</v>
      </c>
      <c r="S71" s="34">
        <f>R71/R78</f>
        <v>1.9505580473557944E-2</v>
      </c>
      <c r="T71" s="49">
        <v>7</v>
      </c>
      <c r="U71" s="45">
        <f>SUM(E65:E71)</f>
        <v>4488</v>
      </c>
      <c r="V71" s="34">
        <f>U71/T78</f>
        <v>7.2284499420177811E-2</v>
      </c>
      <c r="W71" s="51">
        <v>7</v>
      </c>
      <c r="X71" s="45">
        <f>SUM(H65:H71)</f>
        <v>4488</v>
      </c>
      <c r="Y71" s="34">
        <f>X71/W78</f>
        <v>0.48320413436692505</v>
      </c>
      <c r="Z71" s="47"/>
      <c r="AA71" s="47"/>
      <c r="AB71" s="47"/>
      <c r="AC71" s="45">
        <v>7</v>
      </c>
      <c r="AD71" s="45">
        <f>R71+U71+X71+AA69</f>
        <v>14580</v>
      </c>
      <c r="AE71" s="34">
        <f>AD71/AC78</f>
        <v>4.407763468166153E-2</v>
      </c>
      <c r="AF71" s="2"/>
      <c r="AG71" s="7" t="s">
        <v>4</v>
      </c>
      <c r="AH71" s="148">
        <f>SUM(AI65:AI70)</f>
        <v>2456</v>
      </c>
      <c r="AI71" s="148"/>
      <c r="AJ71" s="148">
        <f>AH71+AK69</f>
        <v>3511</v>
      </c>
      <c r="AK71" s="148"/>
      <c r="AL71" s="148"/>
      <c r="AM71" s="148"/>
      <c r="AN71" s="148">
        <f>AH71+AO69</f>
        <v>3406</v>
      </c>
      <c r="AO71" s="148"/>
      <c r="AP71" s="148"/>
      <c r="AQ71" s="148"/>
      <c r="AR71" s="148">
        <f>AH71+AS69</f>
        <v>4456</v>
      </c>
      <c r="AS71" s="148"/>
      <c r="AT71" s="148"/>
      <c r="AU71" s="148"/>
      <c r="AV71" s="18" t="s">
        <v>163</v>
      </c>
      <c r="AW71" s="33">
        <v>1</v>
      </c>
      <c r="AX71" s="80">
        <f>$CE$44*$AW$71</f>
        <v>1620</v>
      </c>
      <c r="AY71" s="55" t="s">
        <v>163</v>
      </c>
      <c r="AZ71" s="54">
        <v>1</v>
      </c>
      <c r="BA71" s="54">
        <v>241</v>
      </c>
      <c r="BB71" s="54">
        <f>BA71*5</f>
        <v>1205</v>
      </c>
      <c r="BC71" s="3"/>
      <c r="BD71" s="3"/>
      <c r="BE71" s="3"/>
      <c r="BF71" s="18" t="s">
        <v>33</v>
      </c>
      <c r="BG71" s="32">
        <v>620</v>
      </c>
      <c r="BH71" s="30">
        <f>BG71*24</f>
        <v>14880</v>
      </c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3" t="s">
        <v>201</v>
      </c>
      <c r="EA71" s="18">
        <v>6100</v>
      </c>
      <c r="EB71" s="3">
        <f t="shared" si="51"/>
        <v>6400</v>
      </c>
      <c r="EC71" s="146"/>
      <c r="ED71" s="32">
        <v>8569</v>
      </c>
      <c r="EE71" s="29">
        <v>9471</v>
      </c>
      <c r="EF71" s="32">
        <f t="shared" si="52"/>
        <v>9020</v>
      </c>
      <c r="EG71" s="33">
        <f t="shared" si="53"/>
        <v>451</v>
      </c>
      <c r="EH71" s="33">
        <v>181</v>
      </c>
      <c r="EI71" s="33">
        <v>225</v>
      </c>
      <c r="EJ71" s="18">
        <v>45</v>
      </c>
      <c r="EK71" s="35">
        <f t="shared" si="54"/>
        <v>1.5375000000000001</v>
      </c>
      <c r="EL71" s="80">
        <f t="shared" si="55"/>
        <v>43224</v>
      </c>
      <c r="EM71" s="30">
        <f t="shared" si="56"/>
        <v>44126</v>
      </c>
      <c r="EN71" s="18">
        <v>40</v>
      </c>
      <c r="EO71" s="3">
        <v>20</v>
      </c>
      <c r="EP71" s="19">
        <f t="shared" si="57"/>
        <v>800</v>
      </c>
      <c r="EQ71" s="3"/>
      <c r="ER71" s="3"/>
      <c r="ES71" s="3"/>
      <c r="ET71" s="3"/>
      <c r="EU71" s="3"/>
    </row>
    <row r="72" spans="1:151" ht="15.75" customHeight="1">
      <c r="A72" s="78">
        <v>8</v>
      </c>
      <c r="B72" s="50">
        <f>A2*B53</f>
        <v>5400</v>
      </c>
      <c r="C72" s="34">
        <f>B72/B78</f>
        <v>2.0861583394179619E-2</v>
      </c>
      <c r="D72" s="49">
        <v>8</v>
      </c>
      <c r="E72" s="45">
        <f>B2*E53</f>
        <v>4800</v>
      </c>
      <c r="F72" s="34">
        <f>E72/D78</f>
        <v>7.7309625048318509E-2</v>
      </c>
      <c r="G72" s="60">
        <v>8</v>
      </c>
      <c r="H72" s="59">
        <f>C2*H53</f>
        <v>4800</v>
      </c>
      <c r="I72" s="56">
        <f>H72/G78</f>
        <v>0.51679586563307489</v>
      </c>
      <c r="J72" s="47"/>
      <c r="K72" s="47"/>
      <c r="L72" s="47"/>
      <c r="M72" s="45">
        <v>8</v>
      </c>
      <c r="N72" s="45">
        <f t="shared" si="58"/>
        <v>15000</v>
      </c>
      <c r="O72" s="35">
        <f>N72/M78</f>
        <v>4.5347360783602395E-2</v>
      </c>
      <c r="P72" s="2"/>
      <c r="Q72" s="52">
        <v>8</v>
      </c>
      <c r="R72" s="50">
        <f>SUM(B65:B72)</f>
        <v>10449</v>
      </c>
      <c r="S72" s="34">
        <f>R72/R78</f>
        <v>4.036716386773756E-2</v>
      </c>
      <c r="T72" s="49">
        <v>8</v>
      </c>
      <c r="U72" s="45">
        <f>SUM(E65:E72)</f>
        <v>9288</v>
      </c>
      <c r="V72" s="34">
        <f>U72/T78</f>
        <v>0.14959412446849632</v>
      </c>
      <c r="W72" s="60">
        <v>8</v>
      </c>
      <c r="X72" s="59">
        <f>SUM(H65:H72)</f>
        <v>9288</v>
      </c>
      <c r="Y72" s="56">
        <f>X72/W78</f>
        <v>1</v>
      </c>
      <c r="Z72" s="47"/>
      <c r="AA72" s="47"/>
      <c r="AB72" s="47"/>
      <c r="AC72" s="45">
        <v>8</v>
      </c>
      <c r="AD72" s="45">
        <f>R72+U72+X72+AA69</f>
        <v>29580</v>
      </c>
      <c r="AE72" s="34">
        <f>AD72/AC78</f>
        <v>8.9424995465263918E-2</v>
      </c>
      <c r="AF72" s="2"/>
      <c r="AG72" s="7" t="s">
        <v>65</v>
      </c>
      <c r="AH72" s="149">
        <f>AS69+AO69+AK69+AH71</f>
        <v>6461</v>
      </c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8" t="s">
        <v>33</v>
      </c>
      <c r="AW72" s="33">
        <v>140</v>
      </c>
      <c r="AX72" s="80">
        <f>$CW$41*AW72</f>
        <v>2800</v>
      </c>
      <c r="AY72" s="10" t="s">
        <v>4</v>
      </c>
      <c r="AZ72" s="147">
        <f>SUM(BB65:BB71)</f>
        <v>6595</v>
      </c>
      <c r="BA72" s="147"/>
      <c r="BB72" s="147"/>
      <c r="BC72" s="3"/>
      <c r="BD72" s="3"/>
      <c r="BE72" s="3"/>
      <c r="BF72" s="15" t="s">
        <v>198</v>
      </c>
      <c r="BG72" s="53">
        <v>5580</v>
      </c>
      <c r="BH72" s="54">
        <f>BG72*5</f>
        <v>27900</v>
      </c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55" t="s">
        <v>202</v>
      </c>
      <c r="EA72" s="15">
        <v>6400</v>
      </c>
      <c r="EB72" s="16">
        <v>6400</v>
      </c>
      <c r="EC72" s="146"/>
      <c r="ED72" s="53">
        <v>9519</v>
      </c>
      <c r="EE72" s="57">
        <v>10521</v>
      </c>
      <c r="EF72" s="53">
        <f t="shared" si="52"/>
        <v>10020</v>
      </c>
      <c r="EG72" s="55">
        <f t="shared" si="53"/>
        <v>501</v>
      </c>
      <c r="EH72" s="55">
        <v>201</v>
      </c>
      <c r="EI72" s="55">
        <v>250</v>
      </c>
      <c r="EJ72" s="15">
        <v>50</v>
      </c>
      <c r="EK72" s="58">
        <f t="shared" si="54"/>
        <v>1.7079545454545453</v>
      </c>
      <c r="EL72" s="81">
        <f t="shared" si="55"/>
        <v>48024</v>
      </c>
      <c r="EM72" s="54">
        <f t="shared" si="56"/>
        <v>49026</v>
      </c>
      <c r="EN72" s="15">
        <v>42</v>
      </c>
      <c r="EO72" s="16">
        <v>20</v>
      </c>
      <c r="EP72" s="17">
        <f t="shared" si="57"/>
        <v>840</v>
      </c>
      <c r="EQ72" s="3"/>
      <c r="ER72" s="3"/>
      <c r="ES72" s="3"/>
      <c r="ET72" s="3"/>
      <c r="EU72" s="3"/>
    </row>
    <row r="73" spans="1:151" ht="15.75" customHeight="1">
      <c r="A73" s="78">
        <v>9</v>
      </c>
      <c r="B73" s="50">
        <f>A2*B54</f>
        <v>10800</v>
      </c>
      <c r="C73" s="34">
        <f>B73/B78</f>
        <v>4.1723166788359238E-2</v>
      </c>
      <c r="D73" s="49">
        <v>9</v>
      </c>
      <c r="E73" s="45">
        <f>B2*E54</f>
        <v>9600</v>
      </c>
      <c r="F73" s="34">
        <f>E73/D78</f>
        <v>0.15461925009663702</v>
      </c>
      <c r="G73" s="47"/>
      <c r="H73" s="47"/>
      <c r="I73" s="47"/>
      <c r="J73" s="47"/>
      <c r="K73" s="47"/>
      <c r="L73" s="47"/>
      <c r="M73" s="45">
        <v>9</v>
      </c>
      <c r="N73" s="45">
        <f t="shared" si="58"/>
        <v>20400</v>
      </c>
      <c r="O73" s="35">
        <f>N73/M78</f>
        <v>6.1672410665699257E-2</v>
      </c>
      <c r="P73" s="2"/>
      <c r="Q73" s="52">
        <v>9</v>
      </c>
      <c r="R73" s="50">
        <f>SUM(B65:B73)</f>
        <v>21249</v>
      </c>
      <c r="S73" s="34">
        <f>R73/R78</f>
        <v>8.2090330656096791E-2</v>
      </c>
      <c r="T73" s="49">
        <v>9</v>
      </c>
      <c r="U73" s="45">
        <f>SUM(E65:E73)</f>
        <v>18888</v>
      </c>
      <c r="V73" s="34">
        <f>U73/T78</f>
        <v>0.30421337456513337</v>
      </c>
      <c r="W73" s="47"/>
      <c r="X73" s="47"/>
      <c r="Y73" s="47"/>
      <c r="Z73" s="47"/>
      <c r="AA73" s="47"/>
      <c r="AB73" s="47"/>
      <c r="AC73" s="45">
        <v>9</v>
      </c>
      <c r="AD73" s="45">
        <f>R73+U73+X72+AA69</f>
        <v>49980</v>
      </c>
      <c r="AE73" s="34">
        <f>AD73/AC78</f>
        <v>0.15109740613096317</v>
      </c>
      <c r="AF73" s="2"/>
      <c r="AG73" s="3"/>
      <c r="AH73" s="3"/>
      <c r="AI73" s="3"/>
      <c r="AJ73" s="3"/>
      <c r="AK73" s="3"/>
      <c r="AL73" s="80"/>
      <c r="AM73" s="3"/>
      <c r="AN73" s="80"/>
      <c r="AO73" s="80"/>
      <c r="AP73" s="3"/>
      <c r="AQ73" s="3"/>
      <c r="AR73" s="80"/>
      <c r="AS73" s="3"/>
      <c r="AT73" s="3"/>
      <c r="AU73" s="3"/>
      <c r="AV73" s="15" t="s">
        <v>198</v>
      </c>
      <c r="AW73" s="55">
        <v>980</v>
      </c>
      <c r="AX73" s="81">
        <f>AW73*5</f>
        <v>4900</v>
      </c>
      <c r="AY73" s="134" t="s">
        <v>203</v>
      </c>
      <c r="AZ73" s="134"/>
      <c r="BA73" s="134"/>
      <c r="BB73" s="134"/>
      <c r="BC73" s="3"/>
      <c r="BD73" s="3"/>
      <c r="BE73" s="3"/>
      <c r="BF73" s="15" t="s">
        <v>4</v>
      </c>
      <c r="BG73" s="150">
        <f>SUM(BH63:BH72)</f>
        <v>102474</v>
      </c>
      <c r="BH73" s="150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</row>
    <row r="74" spans="1:151" ht="15.75" customHeight="1">
      <c r="A74" s="78">
        <v>10</v>
      </c>
      <c r="B74" s="50">
        <f>A2*B55</f>
        <v>21600</v>
      </c>
      <c r="C74" s="34">
        <f>B74/B78</f>
        <v>8.3446333576718476E-2</v>
      </c>
      <c r="D74" s="49">
        <v>10</v>
      </c>
      <c r="E74" s="45">
        <f>B2*E55</f>
        <v>19200</v>
      </c>
      <c r="F74" s="34">
        <f>E74/D78</f>
        <v>0.30923850019327404</v>
      </c>
      <c r="G74" s="47"/>
      <c r="H74" s="47"/>
      <c r="I74" s="47"/>
      <c r="J74" s="47"/>
      <c r="K74" s="47"/>
      <c r="L74" s="47"/>
      <c r="M74" s="45">
        <v>10</v>
      </c>
      <c r="N74" s="45">
        <f t="shared" si="58"/>
        <v>40800</v>
      </c>
      <c r="O74" s="35">
        <f>N74/M78</f>
        <v>0.12334482133139851</v>
      </c>
      <c r="P74" s="2"/>
      <c r="Q74" s="52">
        <v>10</v>
      </c>
      <c r="R74" s="50">
        <f>SUM(B65:B74)</f>
        <v>42849</v>
      </c>
      <c r="S74" s="34">
        <f>R74/R78</f>
        <v>0.16553666423281527</v>
      </c>
      <c r="T74" s="49">
        <v>10</v>
      </c>
      <c r="U74" s="45">
        <f>SUM(E65:E74)</f>
        <v>38088</v>
      </c>
      <c r="V74" s="34">
        <f>U74/T78</f>
        <v>0.61345187475840746</v>
      </c>
      <c r="W74" s="47"/>
      <c r="X74" s="47"/>
      <c r="Y74" s="47"/>
      <c r="Z74" s="47"/>
      <c r="AA74" s="47"/>
      <c r="AB74" s="47"/>
      <c r="AC74" s="45">
        <v>10</v>
      </c>
      <c r="AD74" s="45">
        <f>R74+U74+X72+AA69</f>
        <v>90780</v>
      </c>
      <c r="AE74" s="34">
        <f>AD74/AC78</f>
        <v>0.27444222746236169</v>
      </c>
      <c r="AF74" s="2"/>
      <c r="AG74" s="3"/>
      <c r="AH74" s="3"/>
      <c r="AI74" s="3"/>
      <c r="AJ74" s="3"/>
      <c r="AK74" s="80"/>
      <c r="AL74" s="80"/>
      <c r="AM74" s="3"/>
      <c r="AN74" s="80"/>
      <c r="AO74" s="80"/>
      <c r="AP74" s="3"/>
      <c r="AQ74" s="3"/>
      <c r="AR74" s="3"/>
      <c r="AS74" s="3"/>
      <c r="AT74" s="3"/>
      <c r="AU74" s="3"/>
      <c r="AV74" s="12" t="s">
        <v>4</v>
      </c>
      <c r="AW74" s="151">
        <f>SUM(AX64:AX73)</f>
        <v>23210</v>
      </c>
      <c r="AX74" s="151"/>
      <c r="AY74" s="148">
        <f>AW74+AZ72</f>
        <v>29805</v>
      </c>
      <c r="AZ74" s="148"/>
      <c r="BA74" s="148"/>
      <c r="BB74" s="148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</row>
    <row r="75" spans="1:151" ht="15.75" customHeight="1">
      <c r="A75" s="78">
        <v>11</v>
      </c>
      <c r="B75" s="50">
        <f>A2*B56</f>
        <v>27000</v>
      </c>
      <c r="C75" s="34">
        <f>B75/B78</f>
        <v>0.10430791697089808</v>
      </c>
      <c r="D75" s="61">
        <v>11</v>
      </c>
      <c r="E75" s="59">
        <f>B2*E56</f>
        <v>24000</v>
      </c>
      <c r="F75" s="56">
        <f>E75/D78</f>
        <v>0.3865481252415926</v>
      </c>
      <c r="G75" s="47"/>
      <c r="H75" s="47"/>
      <c r="I75" s="47"/>
      <c r="J75" s="47"/>
      <c r="K75" s="47"/>
      <c r="L75" s="47"/>
      <c r="M75" s="45">
        <v>11</v>
      </c>
      <c r="N75" s="45">
        <f t="shared" si="58"/>
        <v>51000</v>
      </c>
      <c r="O75" s="35">
        <f>N75/M78</f>
        <v>0.15418102666424813</v>
      </c>
      <c r="P75" s="2"/>
      <c r="Q75" s="52">
        <v>11</v>
      </c>
      <c r="R75" s="50">
        <f>SUM(B65:B75)</f>
        <v>69849</v>
      </c>
      <c r="S75" s="34">
        <f>R75/R78</f>
        <v>0.26984458120371335</v>
      </c>
      <c r="T75" s="61">
        <v>11</v>
      </c>
      <c r="U75" s="59">
        <f>SUM(E65:E75)</f>
        <v>62088</v>
      </c>
      <c r="V75" s="56">
        <f>U75/T78</f>
        <v>1</v>
      </c>
      <c r="W75" s="47"/>
      <c r="X75" s="47"/>
      <c r="Y75" s="47"/>
      <c r="Z75" s="47"/>
      <c r="AA75" s="47"/>
      <c r="AB75" s="47"/>
      <c r="AC75" s="45">
        <v>11</v>
      </c>
      <c r="AD75" s="45">
        <f>R75+U75+X72+AA69</f>
        <v>141780</v>
      </c>
      <c r="AE75" s="34">
        <f>AD75/AC78</f>
        <v>0.42862325412660984</v>
      </c>
      <c r="AF75" s="2"/>
      <c r="AG75" s="3"/>
      <c r="AH75" s="3"/>
      <c r="AI75" s="3"/>
      <c r="AJ75" s="3"/>
      <c r="AK75" s="3"/>
      <c r="AL75" s="3"/>
      <c r="AM75" s="3"/>
      <c r="AN75" s="144"/>
      <c r="AO75" s="144"/>
      <c r="AP75" s="3"/>
      <c r="AQ75" s="3"/>
      <c r="AR75" s="3"/>
      <c r="AS75" s="3"/>
      <c r="AT75" s="3"/>
      <c r="AU75" s="3"/>
      <c r="AV75" s="84"/>
      <c r="AW75" s="90"/>
      <c r="AX75" s="90"/>
      <c r="AY75" s="3"/>
      <c r="AZ75" s="144"/>
      <c r="BA75" s="144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</row>
    <row r="76" spans="1:151" ht="15.75" customHeight="1">
      <c r="A76" s="78">
        <v>12</v>
      </c>
      <c r="B76" s="50">
        <f>A2*B57</f>
        <v>54000</v>
      </c>
      <c r="C76" s="34">
        <f>B76/B78</f>
        <v>0.20861583394179617</v>
      </c>
      <c r="D76" s="47"/>
      <c r="E76" s="47"/>
      <c r="F76" s="47"/>
      <c r="G76" s="47"/>
      <c r="H76" s="47"/>
      <c r="I76" s="47"/>
      <c r="J76" s="47"/>
      <c r="K76" s="47"/>
      <c r="L76" s="47"/>
      <c r="M76" s="45">
        <v>12</v>
      </c>
      <c r="N76" s="45">
        <f t="shared" si="58"/>
        <v>54000</v>
      </c>
      <c r="O76" s="35">
        <f>N76/M78</f>
        <v>0.16325049882096862</v>
      </c>
      <c r="P76" s="2"/>
      <c r="Q76" s="52">
        <v>12</v>
      </c>
      <c r="R76" s="50">
        <f>SUM(B65:B76)</f>
        <v>123849</v>
      </c>
      <c r="S76" s="34">
        <f>R76/R78</f>
        <v>0.47846041514550952</v>
      </c>
      <c r="T76" s="47"/>
      <c r="U76" s="47"/>
      <c r="V76" s="47"/>
      <c r="W76" s="47"/>
      <c r="X76" s="47"/>
      <c r="Y76" s="47"/>
      <c r="Z76" s="47"/>
      <c r="AA76" s="47"/>
      <c r="AB76" s="47"/>
      <c r="AC76" s="45">
        <v>12</v>
      </c>
      <c r="AD76" s="45">
        <f>R76+U75+X72+AA69</f>
        <v>195780</v>
      </c>
      <c r="AE76" s="34">
        <f>AD76/AC78</f>
        <v>0.59187375294757849</v>
      </c>
      <c r="AF76" s="2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</row>
    <row r="77" spans="1:151" ht="15.75" customHeight="1">
      <c r="A77" s="78">
        <v>13</v>
      </c>
      <c r="B77" s="50">
        <f>A2*B58</f>
        <v>135000</v>
      </c>
      <c r="C77" s="56">
        <f>B77/B78</f>
        <v>0.52153958485449048</v>
      </c>
      <c r="D77" s="47"/>
      <c r="E77" s="47"/>
      <c r="F77" s="47"/>
      <c r="G77" s="47"/>
      <c r="H77" s="47"/>
      <c r="I77" s="47"/>
      <c r="J77" s="47"/>
      <c r="K77" s="47"/>
      <c r="L77" s="47"/>
      <c r="M77" s="45">
        <v>13</v>
      </c>
      <c r="N77" s="45">
        <f t="shared" si="58"/>
        <v>135000</v>
      </c>
      <c r="O77" s="58">
        <f>N77/M78</f>
        <v>0.40812624705242156</v>
      </c>
      <c r="P77" s="2"/>
      <c r="Q77" s="52">
        <v>13</v>
      </c>
      <c r="R77" s="50">
        <f>SUM(B65:B77)</f>
        <v>258849</v>
      </c>
      <c r="S77" s="34">
        <f>R77/R78</f>
        <v>1</v>
      </c>
      <c r="T77" s="47"/>
      <c r="U77" s="47"/>
      <c r="V77" s="47"/>
      <c r="W77" s="47"/>
      <c r="X77" s="47"/>
      <c r="Y77" s="47"/>
      <c r="Z77" s="47"/>
      <c r="AA77" s="47"/>
      <c r="AB77" s="47"/>
      <c r="AC77" s="45">
        <v>13</v>
      </c>
      <c r="AD77" s="45">
        <f>R77+U75+X72+AA69</f>
        <v>330780</v>
      </c>
      <c r="AE77" s="34">
        <f>AD77/AC78</f>
        <v>1</v>
      </c>
      <c r="AF77" s="2"/>
      <c r="AG77" s="3"/>
      <c r="AH77" s="3"/>
      <c r="AI77" s="3"/>
      <c r="AJ77" s="3"/>
      <c r="AK77" s="3"/>
      <c r="AL77" s="3"/>
      <c r="AM77" s="94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12" t="s">
        <v>172</v>
      </c>
      <c r="EA77" s="135" t="s">
        <v>173</v>
      </c>
      <c r="EB77" s="135"/>
      <c r="EC77" s="135"/>
      <c r="ED77" s="135"/>
      <c r="EE77" s="135"/>
      <c r="EF77" s="135"/>
      <c r="EG77" s="135"/>
      <c r="EH77" s="135"/>
      <c r="EI77" s="135"/>
      <c r="EJ77" s="135"/>
      <c r="EK77" s="135"/>
      <c r="EL77" s="135"/>
      <c r="EM77" s="135"/>
      <c r="EN77" s="3"/>
      <c r="EO77" s="3"/>
      <c r="EP77" s="3"/>
      <c r="EQ77" s="3"/>
      <c r="ER77" s="3"/>
      <c r="ES77" s="3"/>
      <c r="ET77" s="3"/>
      <c r="EU77" s="3"/>
    </row>
    <row r="78" spans="1:151" ht="15.75" customHeight="1">
      <c r="A78" s="7" t="s">
        <v>112</v>
      </c>
      <c r="B78" s="136">
        <f>SUM(B65:B77)</f>
        <v>258849</v>
      </c>
      <c r="C78" s="136"/>
      <c r="D78" s="137">
        <f>SUM(E65:E75)</f>
        <v>62088</v>
      </c>
      <c r="E78" s="137"/>
      <c r="F78" s="137"/>
      <c r="G78" s="137">
        <f>SUM(H65:H72)</f>
        <v>9288</v>
      </c>
      <c r="H78" s="137"/>
      <c r="I78" s="137"/>
      <c r="J78" s="137">
        <f>SUM(K65:K69)</f>
        <v>555</v>
      </c>
      <c r="K78" s="137"/>
      <c r="L78" s="137"/>
      <c r="M78" s="138">
        <f>SUM(N65:N77)</f>
        <v>330780</v>
      </c>
      <c r="N78" s="138"/>
      <c r="O78" s="138"/>
      <c r="P78" s="2"/>
      <c r="Q78" s="63" t="s">
        <v>112</v>
      </c>
      <c r="R78" s="136">
        <f>SUM(R77)</f>
        <v>258849</v>
      </c>
      <c r="S78" s="136"/>
      <c r="T78" s="137">
        <f>U75</f>
        <v>62088</v>
      </c>
      <c r="U78" s="137"/>
      <c r="V78" s="137"/>
      <c r="W78" s="137">
        <f>X72</f>
        <v>9288</v>
      </c>
      <c r="X78" s="137"/>
      <c r="Y78" s="137"/>
      <c r="Z78" s="137">
        <f>AA69</f>
        <v>555</v>
      </c>
      <c r="AA78" s="137"/>
      <c r="AB78" s="137"/>
      <c r="AC78" s="138">
        <f>SUM(R78:AA78)</f>
        <v>330780</v>
      </c>
      <c r="AD78" s="138"/>
      <c r="AE78" s="138"/>
      <c r="AF78" s="2"/>
      <c r="AG78" s="3"/>
      <c r="AH78" s="3"/>
      <c r="AI78" s="3"/>
      <c r="AJ78" s="3"/>
      <c r="AK78" s="47"/>
      <c r="AL78" s="3"/>
      <c r="AM78" s="94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10" t="s">
        <v>43</v>
      </c>
      <c r="EA78" s="7" t="s">
        <v>44</v>
      </c>
      <c r="EB78" s="7" t="s">
        <v>45</v>
      </c>
      <c r="EC78" s="20" t="s">
        <v>46</v>
      </c>
      <c r="ED78" s="7" t="s">
        <v>47</v>
      </c>
      <c r="EE78" s="20" t="s">
        <v>48</v>
      </c>
      <c r="EF78" s="20" t="s">
        <v>1</v>
      </c>
      <c r="EG78" s="20" t="s">
        <v>2</v>
      </c>
      <c r="EH78" s="20" t="s">
        <v>49</v>
      </c>
      <c r="EI78" s="7" t="s">
        <v>50</v>
      </c>
      <c r="EJ78" s="20" t="s">
        <v>51</v>
      </c>
      <c r="EK78" s="7" t="s">
        <v>40</v>
      </c>
      <c r="EL78" s="21" t="s">
        <v>34</v>
      </c>
      <c r="EM78" s="20" t="s">
        <v>35</v>
      </c>
      <c r="EN78" s="3"/>
      <c r="EO78" s="3"/>
      <c r="EP78" s="3"/>
      <c r="EQ78" s="3"/>
      <c r="ER78" s="3"/>
      <c r="ES78" s="3"/>
      <c r="ET78" s="3"/>
      <c r="EU78" s="3"/>
    </row>
    <row r="79" spans="1:151" ht="15.75" customHeight="1">
      <c r="A79" s="63" t="s">
        <v>69</v>
      </c>
      <c r="B79" s="139">
        <f>B78/M78</f>
        <v>0.78254126609831309</v>
      </c>
      <c r="C79" s="139"/>
      <c r="D79" s="140">
        <f>D78/M78</f>
        <v>0.18770179575548704</v>
      </c>
      <c r="E79" s="140"/>
      <c r="F79" s="140"/>
      <c r="G79" s="140">
        <f>G78/M78</f>
        <v>2.8079085797206603E-2</v>
      </c>
      <c r="H79" s="140"/>
      <c r="I79" s="140"/>
      <c r="J79" s="140">
        <f>J78/M78</f>
        <v>1.6778523489932886E-3</v>
      </c>
      <c r="K79" s="140"/>
      <c r="L79" s="140"/>
      <c r="M79" s="141">
        <f>M78/M78</f>
        <v>1</v>
      </c>
      <c r="N79" s="141"/>
      <c r="O79" s="141"/>
      <c r="P79" s="2"/>
      <c r="Q79" s="7" t="s">
        <v>69</v>
      </c>
      <c r="R79" s="139">
        <f>R78/AC78</f>
        <v>0.78254126609831309</v>
      </c>
      <c r="S79" s="139"/>
      <c r="T79" s="140">
        <f>T78/AC78</f>
        <v>0.18770179575548704</v>
      </c>
      <c r="U79" s="140"/>
      <c r="V79" s="140"/>
      <c r="W79" s="140">
        <f>W78/AC78</f>
        <v>2.8079085797206603E-2</v>
      </c>
      <c r="X79" s="140"/>
      <c r="Y79" s="140"/>
      <c r="Z79" s="140">
        <f>Z78/AC78</f>
        <v>1.6778523489932886E-3</v>
      </c>
      <c r="AA79" s="140"/>
      <c r="AB79" s="140"/>
      <c r="AC79" s="141">
        <f>AC78/AC78</f>
        <v>1</v>
      </c>
      <c r="AD79" s="141"/>
      <c r="AE79" s="141"/>
      <c r="AF79" s="2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12" t="s">
        <v>16</v>
      </c>
      <c r="EA79" s="25">
        <v>98</v>
      </c>
      <c r="EB79" s="25">
        <v>112</v>
      </c>
      <c r="EC79" s="26">
        <f t="shared" ref="EC79:EC85" si="59">(EA79+EB79)/2</f>
        <v>105</v>
      </c>
      <c r="ED79" s="18">
        <f t="shared" ref="ED79:ED85" si="60">EE79+EF79+EG79</f>
        <v>14</v>
      </c>
      <c r="EE79" s="12">
        <v>13</v>
      </c>
      <c r="EF79" s="27">
        <v>1</v>
      </c>
      <c r="EG79" s="19">
        <v>0</v>
      </c>
      <c r="EH79" s="31">
        <f>((ED79*$DI$5)/$DI$4)*(1/$DI$8)</f>
        <v>2.3863636363636361E-3</v>
      </c>
      <c r="EI79" s="29">
        <f t="shared" ref="EI79:EI85" si="61">(EE79*$O$3)+(EF79*$P$3)+($Q$3*EG79)+EA79</f>
        <v>213</v>
      </c>
      <c r="EJ79" s="30">
        <f t="shared" ref="EJ79:EJ85" si="62">(EE79*$O$3)+(EF79*$P$3)+($Q$3*EG79)+EB79</f>
        <v>227</v>
      </c>
      <c r="EK79" s="18" t="s">
        <v>0</v>
      </c>
      <c r="EL79" s="3">
        <v>40</v>
      </c>
      <c r="EM79" s="19">
        <v>8</v>
      </c>
      <c r="EN79" s="3"/>
      <c r="EO79" s="3"/>
      <c r="EP79" s="3"/>
      <c r="EQ79" s="3"/>
      <c r="ER79" s="3"/>
      <c r="ES79" s="3"/>
      <c r="ET79" s="3"/>
      <c r="EU79" s="3"/>
    </row>
    <row r="80" spans="1:15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18" t="s">
        <v>14</v>
      </c>
      <c r="EA80" s="32">
        <v>126</v>
      </c>
      <c r="EB80" s="32">
        <v>144</v>
      </c>
      <c r="EC80" s="30">
        <f t="shared" si="59"/>
        <v>135</v>
      </c>
      <c r="ED80" s="18">
        <f t="shared" si="60"/>
        <v>18</v>
      </c>
      <c r="EE80" s="18">
        <v>16</v>
      </c>
      <c r="EF80" s="33">
        <v>2</v>
      </c>
      <c r="EG80" s="19">
        <v>0</v>
      </c>
      <c r="EH80" s="35">
        <f>((ED80*$DI$5)/$DI$4)*(1/$DI$6)</f>
        <v>1.2272727272727275E-3</v>
      </c>
      <c r="EI80" s="29">
        <f t="shared" si="61"/>
        <v>306</v>
      </c>
      <c r="EJ80" s="30">
        <f t="shared" si="62"/>
        <v>324</v>
      </c>
      <c r="EK80" s="18" t="s">
        <v>1</v>
      </c>
      <c r="EL80" s="3">
        <v>4</v>
      </c>
      <c r="EM80" s="19">
        <v>1</v>
      </c>
      <c r="EN80" s="3"/>
      <c r="EO80" s="3"/>
      <c r="EP80" s="3"/>
      <c r="EQ80" s="3"/>
      <c r="ER80" s="3"/>
      <c r="ES80" s="3"/>
      <c r="ET80" s="3"/>
      <c r="EU80" s="3"/>
    </row>
    <row r="81" spans="1:151" ht="15.75" customHeight="1">
      <c r="A81" s="131" t="s">
        <v>204</v>
      </c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2"/>
      <c r="V81" s="131" t="s">
        <v>205</v>
      </c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2"/>
      <c r="AQ81" s="131" t="s">
        <v>206</v>
      </c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 t="s">
        <v>207</v>
      </c>
      <c r="BD81" s="131"/>
      <c r="BE81" s="131"/>
      <c r="BF81" s="131"/>
      <c r="BG81" s="131"/>
      <c r="BH81" s="131"/>
      <c r="BI81" s="131"/>
      <c r="BJ81" s="131"/>
      <c r="BK81" s="131" t="s">
        <v>208</v>
      </c>
      <c r="BL81" s="131"/>
      <c r="BM81" s="131"/>
      <c r="BN81" s="131"/>
      <c r="BO81" s="131"/>
      <c r="BP81" s="131"/>
      <c r="BQ81" s="131"/>
      <c r="BR81" s="131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18" t="s">
        <v>66</v>
      </c>
      <c r="EA81" s="32">
        <v>490</v>
      </c>
      <c r="EB81" s="32">
        <v>560</v>
      </c>
      <c r="EC81" s="30">
        <f t="shared" si="59"/>
        <v>525</v>
      </c>
      <c r="ED81" s="18">
        <f t="shared" si="60"/>
        <v>35</v>
      </c>
      <c r="EE81" s="18">
        <v>27</v>
      </c>
      <c r="EF81" s="33">
        <v>8</v>
      </c>
      <c r="EG81" s="19">
        <v>0</v>
      </c>
      <c r="EH81" s="35">
        <f>((ED81*$DI$5)/$DI$4)*(1/$DI$10)</f>
        <v>4.1866028708133964E-3</v>
      </c>
      <c r="EI81" s="29">
        <f t="shared" si="61"/>
        <v>1025</v>
      </c>
      <c r="EJ81" s="30">
        <f t="shared" si="62"/>
        <v>1095</v>
      </c>
      <c r="EK81" s="15" t="s">
        <v>2</v>
      </c>
      <c r="EL81" s="16">
        <v>4</v>
      </c>
      <c r="EM81" s="17">
        <v>1</v>
      </c>
      <c r="EN81" s="3"/>
      <c r="EO81" s="3"/>
      <c r="EP81" s="3"/>
      <c r="EQ81" s="3"/>
      <c r="ER81" s="3"/>
      <c r="ES81" s="3"/>
      <c r="ET81" s="3"/>
      <c r="EU81" s="3"/>
    </row>
    <row r="82" spans="1:151" ht="15.75" customHeight="1">
      <c r="A82" s="145" t="s">
        <v>48</v>
      </c>
      <c r="B82" s="145"/>
      <c r="C82" s="145"/>
      <c r="D82" s="145"/>
      <c r="E82" s="131" t="s">
        <v>209</v>
      </c>
      <c r="F82" s="131"/>
      <c r="G82" s="131"/>
      <c r="H82" s="131"/>
      <c r="I82" s="131" t="s">
        <v>210</v>
      </c>
      <c r="J82" s="131"/>
      <c r="K82" s="131"/>
      <c r="L82" s="131"/>
      <c r="M82" s="131" t="s">
        <v>3</v>
      </c>
      <c r="N82" s="131"/>
      <c r="O82" s="131"/>
      <c r="P82" s="131"/>
      <c r="Q82" s="131" t="s">
        <v>65</v>
      </c>
      <c r="R82" s="131"/>
      <c r="S82" s="131"/>
      <c r="T82" s="131"/>
      <c r="U82" s="2"/>
      <c r="V82" s="131" t="s">
        <v>48</v>
      </c>
      <c r="W82" s="131"/>
      <c r="X82" s="131"/>
      <c r="Y82" s="131"/>
      <c r="Z82" s="131" t="s">
        <v>209</v>
      </c>
      <c r="AA82" s="131"/>
      <c r="AB82" s="131"/>
      <c r="AC82" s="131"/>
      <c r="AD82" s="131" t="s">
        <v>210</v>
      </c>
      <c r="AE82" s="131"/>
      <c r="AF82" s="131"/>
      <c r="AG82" s="131"/>
      <c r="AH82" s="131" t="s">
        <v>3</v>
      </c>
      <c r="AI82" s="131"/>
      <c r="AJ82" s="131"/>
      <c r="AK82" s="131"/>
      <c r="AL82" s="131" t="s">
        <v>65</v>
      </c>
      <c r="AM82" s="131"/>
      <c r="AN82" s="131"/>
      <c r="AO82" s="131"/>
      <c r="AP82" s="2"/>
      <c r="AQ82" s="133" t="s">
        <v>0</v>
      </c>
      <c r="AR82" s="133"/>
      <c r="AS82" s="133"/>
      <c r="AT82" s="133" t="s">
        <v>1</v>
      </c>
      <c r="AU82" s="133"/>
      <c r="AV82" s="133"/>
      <c r="AW82" s="133" t="s">
        <v>2</v>
      </c>
      <c r="AX82" s="133"/>
      <c r="AY82" s="133"/>
      <c r="AZ82" s="133" t="s">
        <v>0</v>
      </c>
      <c r="BA82" s="133"/>
      <c r="BB82" s="133"/>
      <c r="BC82" s="33" t="s">
        <v>211</v>
      </c>
      <c r="BD82" s="33" t="s">
        <v>212</v>
      </c>
      <c r="BE82" s="33" t="s">
        <v>17</v>
      </c>
      <c r="BF82" s="33" t="s">
        <v>0</v>
      </c>
      <c r="BG82" s="33" t="s">
        <v>1</v>
      </c>
      <c r="BH82" s="33" t="s">
        <v>2</v>
      </c>
      <c r="BI82" s="33" t="s">
        <v>213</v>
      </c>
      <c r="BJ82" s="27" t="s">
        <v>214</v>
      </c>
      <c r="BK82" s="33" t="s">
        <v>211</v>
      </c>
      <c r="BL82" s="33" t="s">
        <v>212</v>
      </c>
      <c r="BM82" s="33" t="s">
        <v>17</v>
      </c>
      <c r="BN82" s="33" t="s">
        <v>0</v>
      </c>
      <c r="BO82" s="33" t="s">
        <v>1</v>
      </c>
      <c r="BP82" s="33" t="s">
        <v>2</v>
      </c>
      <c r="BQ82" s="33" t="s">
        <v>213</v>
      </c>
      <c r="BR82" s="27" t="s">
        <v>214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18" t="s">
        <v>70</v>
      </c>
      <c r="EA82" s="32">
        <v>980</v>
      </c>
      <c r="EB82" s="32">
        <v>1120</v>
      </c>
      <c r="EC82" s="30">
        <f t="shared" si="59"/>
        <v>1050</v>
      </c>
      <c r="ED82" s="18">
        <f t="shared" si="60"/>
        <v>70</v>
      </c>
      <c r="EE82" s="18">
        <v>59</v>
      </c>
      <c r="EF82" s="33">
        <v>11</v>
      </c>
      <c r="EG82" s="19">
        <v>0</v>
      </c>
      <c r="EH82" s="35">
        <f>((ED82*$DI$5)/$DI$4)*(1/$DI$9)</f>
        <v>1.1931818181818182E-2</v>
      </c>
      <c r="EI82" s="29">
        <f t="shared" si="61"/>
        <v>1825</v>
      </c>
      <c r="EJ82" s="30">
        <f t="shared" si="62"/>
        <v>1965</v>
      </c>
      <c r="EK82" s="36" t="s">
        <v>33</v>
      </c>
      <c r="EL82" s="37"/>
      <c r="EM82" s="11"/>
      <c r="EN82" s="3"/>
      <c r="EO82" s="3"/>
      <c r="EP82" s="3"/>
      <c r="EQ82" s="3"/>
      <c r="ER82" s="3"/>
      <c r="ES82" s="3"/>
      <c r="ET82" s="3"/>
      <c r="EU82" s="3"/>
    </row>
    <row r="83" spans="1:151" ht="15.75" customHeight="1">
      <c r="A83" s="4" t="s">
        <v>215</v>
      </c>
      <c r="B83" s="36" t="s">
        <v>188</v>
      </c>
      <c r="C83" s="4" t="s">
        <v>78</v>
      </c>
      <c r="D83" s="11" t="s">
        <v>69</v>
      </c>
      <c r="E83" s="9" t="s">
        <v>215</v>
      </c>
      <c r="F83" s="4" t="s">
        <v>188</v>
      </c>
      <c r="G83" s="4" t="s">
        <v>78</v>
      </c>
      <c r="H83" s="4" t="s">
        <v>69</v>
      </c>
      <c r="I83" s="9" t="s">
        <v>215</v>
      </c>
      <c r="J83" s="4" t="s">
        <v>188</v>
      </c>
      <c r="K83" s="4" t="s">
        <v>78</v>
      </c>
      <c r="L83" s="4" t="s">
        <v>69</v>
      </c>
      <c r="M83" s="9" t="s">
        <v>215</v>
      </c>
      <c r="N83" s="4" t="s">
        <v>188</v>
      </c>
      <c r="O83" s="4" t="s">
        <v>78</v>
      </c>
      <c r="P83" s="4" t="s">
        <v>69</v>
      </c>
      <c r="Q83" s="4" t="s">
        <v>215</v>
      </c>
      <c r="R83" s="36" t="s">
        <v>188</v>
      </c>
      <c r="S83" s="4" t="s">
        <v>78</v>
      </c>
      <c r="T83" s="11" t="s">
        <v>69</v>
      </c>
      <c r="U83" s="95"/>
      <c r="V83" s="4" t="s">
        <v>215</v>
      </c>
      <c r="W83" s="4" t="s">
        <v>188</v>
      </c>
      <c r="X83" s="4" t="s">
        <v>78</v>
      </c>
      <c r="Y83" s="11" t="s">
        <v>69</v>
      </c>
      <c r="Z83" s="11" t="s">
        <v>215</v>
      </c>
      <c r="AA83" s="4" t="s">
        <v>188</v>
      </c>
      <c r="AB83" s="4" t="s">
        <v>78</v>
      </c>
      <c r="AC83" s="11" t="s">
        <v>69</v>
      </c>
      <c r="AD83" s="4" t="s">
        <v>215</v>
      </c>
      <c r="AE83" s="4" t="s">
        <v>188</v>
      </c>
      <c r="AF83" s="4" t="s">
        <v>78</v>
      </c>
      <c r="AG83" s="11" t="s">
        <v>69</v>
      </c>
      <c r="AH83" s="4" t="s">
        <v>215</v>
      </c>
      <c r="AI83" s="4" t="s">
        <v>188</v>
      </c>
      <c r="AJ83" s="4" t="s">
        <v>78</v>
      </c>
      <c r="AK83" s="11" t="s">
        <v>69</v>
      </c>
      <c r="AL83" s="4" t="s">
        <v>215</v>
      </c>
      <c r="AM83" s="36" t="s">
        <v>188</v>
      </c>
      <c r="AN83" s="4" t="s">
        <v>78</v>
      </c>
      <c r="AO83" s="4" t="s">
        <v>69</v>
      </c>
      <c r="AP83" s="2"/>
      <c r="AQ83" s="36" t="s">
        <v>216</v>
      </c>
      <c r="AR83" s="36" t="s">
        <v>217</v>
      </c>
      <c r="AS83" s="96" t="s">
        <v>218</v>
      </c>
      <c r="AT83" s="77" t="s">
        <v>216</v>
      </c>
      <c r="AU83" s="77" t="s">
        <v>217</v>
      </c>
      <c r="AV83" s="96" t="s">
        <v>218</v>
      </c>
      <c r="AW83" s="36" t="s">
        <v>216</v>
      </c>
      <c r="AX83" s="36" t="s">
        <v>217</v>
      </c>
      <c r="AY83" s="96" t="s">
        <v>218</v>
      </c>
      <c r="AZ83" s="36" t="s">
        <v>216</v>
      </c>
      <c r="BA83" s="36" t="s">
        <v>217</v>
      </c>
      <c r="BB83" s="97" t="s">
        <v>218</v>
      </c>
      <c r="BC83" s="27">
        <v>1</v>
      </c>
      <c r="BD83" s="25">
        <v>70</v>
      </c>
      <c r="BE83" s="90">
        <v>108</v>
      </c>
      <c r="BF83" s="90">
        <v>17</v>
      </c>
      <c r="BG83" s="90">
        <v>1</v>
      </c>
      <c r="BH83" s="90">
        <v>0</v>
      </c>
      <c r="BI83" s="91">
        <f t="shared" ref="BI83:BI92" si="63">BF83+BG83+BH83</f>
        <v>18</v>
      </c>
      <c r="BJ83" s="26">
        <f t="shared" ref="BJ83:BJ92" si="64">BE83+(BF83*5)+(BG83*50)+(BH83*1000)</f>
        <v>243</v>
      </c>
      <c r="BK83" s="12">
        <v>1</v>
      </c>
      <c r="BL83" s="91">
        <f t="shared" ref="BL83:BL92" si="65">2*BD83</f>
        <v>140</v>
      </c>
      <c r="BM83" s="91">
        <f t="shared" ref="BM83:BM92" si="66">2*BE83</f>
        <v>216</v>
      </c>
      <c r="BN83" s="90">
        <f t="shared" ref="BN83:BN92" si="67">2*BF83</f>
        <v>34</v>
      </c>
      <c r="BO83" s="90">
        <f t="shared" ref="BO83:BO92" si="68">2*BG83</f>
        <v>2</v>
      </c>
      <c r="BP83" s="26">
        <f t="shared" ref="BP83:BP92" si="69">2*BH83</f>
        <v>0</v>
      </c>
      <c r="BQ83" s="90">
        <f t="shared" ref="BQ83:BQ92" si="70">BN83+BO83+BP83</f>
        <v>36</v>
      </c>
      <c r="BR83" s="26">
        <f t="shared" ref="BR83:BR92" si="71">BM83+(BN83*5)+(BO83*50)+(BP83*1000)</f>
        <v>486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18" t="s">
        <v>15</v>
      </c>
      <c r="EA83" s="32">
        <v>2772</v>
      </c>
      <c r="EB83" s="32">
        <v>2772</v>
      </c>
      <c r="EC83" s="30">
        <f t="shared" si="59"/>
        <v>2772</v>
      </c>
      <c r="ED83" s="18">
        <f t="shared" si="60"/>
        <v>308</v>
      </c>
      <c r="EE83" s="18">
        <v>247</v>
      </c>
      <c r="EF83" s="33">
        <v>61</v>
      </c>
      <c r="EG83" s="19">
        <v>0</v>
      </c>
      <c r="EH83" s="35">
        <f>((ED83*$DI$5)/$DI$4)*(1/$DI$7)</f>
        <v>2.1000000000000001E-2</v>
      </c>
      <c r="EI83" s="29">
        <f t="shared" si="61"/>
        <v>7057</v>
      </c>
      <c r="EJ83" s="30">
        <f t="shared" si="62"/>
        <v>7057</v>
      </c>
      <c r="EK83" s="7" t="s">
        <v>78</v>
      </c>
      <c r="EL83" s="7" t="s">
        <v>79</v>
      </c>
      <c r="EM83" s="7" t="s">
        <v>80</v>
      </c>
      <c r="EN83" s="3"/>
      <c r="EO83" s="3"/>
      <c r="EP83" s="3"/>
      <c r="EQ83" s="3"/>
      <c r="ER83" s="3"/>
      <c r="ES83" s="3"/>
      <c r="ET83" s="3"/>
      <c r="EU83" s="3"/>
    </row>
    <row r="84" spans="1:151" ht="15.75" customHeight="1">
      <c r="A84" s="77">
        <v>0</v>
      </c>
      <c r="B84" s="18">
        <f>A2-SUM(B85:B97)</f>
        <v>0</v>
      </c>
      <c r="C84" s="98">
        <f>B84*0</f>
        <v>0</v>
      </c>
      <c r="D84" s="28">
        <f>C84/B99</f>
        <v>0</v>
      </c>
      <c r="E84" s="99">
        <v>0</v>
      </c>
      <c r="F84" s="33">
        <f>B2-SUM(F85:F95)</f>
        <v>0</v>
      </c>
      <c r="G84" s="98">
        <f>F84*0</f>
        <v>0</v>
      </c>
      <c r="H84" s="28">
        <f>G84/E99</f>
        <v>0</v>
      </c>
      <c r="I84" s="99">
        <v>0</v>
      </c>
      <c r="J84" s="33">
        <f>C2-SUM(J85:J92)</f>
        <v>0</v>
      </c>
      <c r="K84" s="32">
        <f>J84*0</f>
        <v>0</v>
      </c>
      <c r="L84" s="100">
        <f>K84/I99</f>
        <v>0</v>
      </c>
      <c r="M84" s="9">
        <v>0</v>
      </c>
      <c r="N84" s="33">
        <f>COUNTIF('Card Progress'!$D$97:$D$111,M84)</f>
        <v>4</v>
      </c>
      <c r="O84" s="98">
        <f>N84*0</f>
        <v>0</v>
      </c>
      <c r="P84" s="100">
        <f>O84/M99</f>
        <v>0</v>
      </c>
      <c r="Q84" s="77">
        <v>0</v>
      </c>
      <c r="R84" s="18">
        <f t="shared" ref="R84:R95" si="72">B84+F84+J84+N84</f>
        <v>4</v>
      </c>
      <c r="S84" s="29">
        <f t="shared" ref="S84:S95" si="73">C84+G84+K84+O84</f>
        <v>0</v>
      </c>
      <c r="T84" s="28">
        <f>S84/Q99</f>
        <v>0</v>
      </c>
      <c r="U84" s="101"/>
      <c r="V84" s="9">
        <v>0</v>
      </c>
      <c r="W84" s="33">
        <v>0</v>
      </c>
      <c r="X84" s="32">
        <f>W84*SUM(B8:B20)</f>
        <v>0</v>
      </c>
      <c r="Y84" s="28">
        <f>X84/W99</f>
        <v>0</v>
      </c>
      <c r="Z84" s="99">
        <v>0</v>
      </c>
      <c r="AA84" s="33">
        <v>0</v>
      </c>
      <c r="AB84" s="32">
        <f>AA84*SUM(E8:E18)</f>
        <v>0</v>
      </c>
      <c r="AC84" s="28">
        <f>AB84/Z99</f>
        <v>0</v>
      </c>
      <c r="AD84" s="9">
        <v>0</v>
      </c>
      <c r="AE84" s="33">
        <f t="shared" ref="AE84:AE92" si="74">J84</f>
        <v>0</v>
      </c>
      <c r="AF84" s="32">
        <f>AE84*SUM(H8:H15)</f>
        <v>0</v>
      </c>
      <c r="AG84" s="28">
        <f>AF84/AD99</f>
        <v>0</v>
      </c>
      <c r="AH84" s="9">
        <v>0</v>
      </c>
      <c r="AI84" s="33">
        <f t="shared" ref="AI84:AI89" si="75">N84</f>
        <v>4</v>
      </c>
      <c r="AJ84" s="32">
        <f>AI84*SUM(K8:K12)</f>
        <v>700000</v>
      </c>
      <c r="AK84" s="28">
        <f>AJ84/AH99</f>
        <v>0.26768642447418739</v>
      </c>
      <c r="AL84" s="77">
        <v>0</v>
      </c>
      <c r="AM84" s="18">
        <f t="shared" ref="AM84:AM97" si="76">W84+AA84+AE84+AI84</f>
        <v>4</v>
      </c>
      <c r="AN84" s="29">
        <f t="shared" ref="AN84:AN97" si="77">X84+AB84+AF84+AJ84</f>
        <v>700000</v>
      </c>
      <c r="AO84" s="28">
        <f>AN84/AL99</f>
        <v>4.8064956355303022E-2</v>
      </c>
      <c r="AP84" s="2"/>
      <c r="AQ84" s="27">
        <v>1</v>
      </c>
      <c r="AR84" s="27">
        <v>2</v>
      </c>
      <c r="AS84" s="91">
        <f>AR84</f>
        <v>2</v>
      </c>
      <c r="AT84" s="27">
        <v>1</v>
      </c>
      <c r="AU84" s="25">
        <v>20</v>
      </c>
      <c r="AV84" s="25">
        <f>SUM(AU84)</f>
        <v>20</v>
      </c>
      <c r="AW84" s="27">
        <v>1</v>
      </c>
      <c r="AX84" s="25">
        <v>1000</v>
      </c>
      <c r="AY84" s="25">
        <f>SUM(AX84)</f>
        <v>1000</v>
      </c>
      <c r="AZ84" s="27">
        <v>1</v>
      </c>
      <c r="BA84" s="25">
        <v>40000</v>
      </c>
      <c r="BB84" s="91">
        <f>SUM(BA84)</f>
        <v>40000</v>
      </c>
      <c r="BC84" s="33">
        <v>2</v>
      </c>
      <c r="BD84" s="32">
        <v>160</v>
      </c>
      <c r="BE84" s="80">
        <v>228</v>
      </c>
      <c r="BF84" s="80">
        <v>35</v>
      </c>
      <c r="BG84" s="80">
        <v>3</v>
      </c>
      <c r="BH84" s="80">
        <v>0</v>
      </c>
      <c r="BI84" s="29">
        <f t="shared" si="63"/>
        <v>38</v>
      </c>
      <c r="BJ84" s="30">
        <f t="shared" si="64"/>
        <v>553</v>
      </c>
      <c r="BK84" s="18">
        <v>2</v>
      </c>
      <c r="BL84" s="29">
        <f t="shared" si="65"/>
        <v>320</v>
      </c>
      <c r="BM84" s="29">
        <f t="shared" si="66"/>
        <v>456</v>
      </c>
      <c r="BN84" s="80">
        <f t="shared" si="67"/>
        <v>70</v>
      </c>
      <c r="BO84" s="80">
        <f t="shared" si="68"/>
        <v>6</v>
      </c>
      <c r="BP84" s="30">
        <f t="shared" si="69"/>
        <v>0</v>
      </c>
      <c r="BQ84" s="80">
        <f t="shared" si="70"/>
        <v>76</v>
      </c>
      <c r="BR84" s="30">
        <f t="shared" si="71"/>
        <v>1106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18" t="s">
        <v>20</v>
      </c>
      <c r="EA84" s="32">
        <v>1408</v>
      </c>
      <c r="EB84" s="32">
        <v>1408</v>
      </c>
      <c r="EC84" s="30">
        <f t="shared" si="59"/>
        <v>1408</v>
      </c>
      <c r="ED84" s="18">
        <f t="shared" si="60"/>
        <v>88</v>
      </c>
      <c r="EE84" s="18">
        <v>63</v>
      </c>
      <c r="EF84" s="33">
        <v>17</v>
      </c>
      <c r="EG84" s="19">
        <v>8</v>
      </c>
      <c r="EH84" s="35">
        <f>((ED84*$DI$5)/$DI$4)*(1/$DI$13)</f>
        <v>0.1</v>
      </c>
      <c r="EI84" s="29">
        <f t="shared" si="61"/>
        <v>6573</v>
      </c>
      <c r="EJ84" s="30">
        <f t="shared" si="62"/>
        <v>6573</v>
      </c>
      <c r="EK84" s="15">
        <v>24</v>
      </c>
      <c r="EL84" s="16">
        <v>20</v>
      </c>
      <c r="EM84" s="17">
        <f>EL84*EK84</f>
        <v>480</v>
      </c>
      <c r="EN84" s="3"/>
      <c r="EO84" s="3"/>
      <c r="EP84" s="3"/>
      <c r="EQ84" s="3"/>
      <c r="ER84" s="3"/>
      <c r="ES84" s="3"/>
      <c r="ET84" s="3"/>
      <c r="EU84" s="3"/>
    </row>
    <row r="85" spans="1:151" ht="15.75" customHeight="1">
      <c r="A85" s="78">
        <v>1</v>
      </c>
      <c r="B85" s="18">
        <f>COUNTIF('Card Progress'!$D$10:$D$36,A85)</f>
        <v>1</v>
      </c>
      <c r="C85" s="32">
        <f t="shared" ref="C85:C96" si="78">B85*B9</f>
        <v>5</v>
      </c>
      <c r="D85" s="34">
        <f>C85/B99</f>
        <v>1.5431860619434884E-5</v>
      </c>
      <c r="E85" s="102">
        <v>1</v>
      </c>
      <c r="F85" s="33">
        <f>COUNTIF('Card Progress'!$D$41:$D$64,E85)</f>
        <v>1</v>
      </c>
      <c r="G85" s="32">
        <f t="shared" ref="G85:G94" si="79">F85*E9</f>
        <v>50</v>
      </c>
      <c r="H85" s="34">
        <f>G85/E99</f>
        <v>1.3211784912141631E-4</v>
      </c>
      <c r="I85" s="102">
        <v>1</v>
      </c>
      <c r="J85" s="33">
        <f>COUNTIF('Card Progress'!$D$69:$D$92,I85)</f>
        <v>0</v>
      </c>
      <c r="K85" s="32">
        <f t="shared" ref="K85:K92" si="80">J85*H9</f>
        <v>0</v>
      </c>
      <c r="L85" s="100">
        <f>K85/I99</f>
        <v>0</v>
      </c>
      <c r="M85" s="8">
        <v>1</v>
      </c>
      <c r="N85" s="33">
        <f>COUNTIF('Card Progress'!$D$97:$D$111,M85)</f>
        <v>9</v>
      </c>
      <c r="O85" s="32">
        <f>N85*K9</f>
        <v>45000</v>
      </c>
      <c r="P85" s="100">
        <f>O85/M99</f>
        <v>0.52941176470588236</v>
      </c>
      <c r="Q85" s="78">
        <v>1</v>
      </c>
      <c r="R85" s="18">
        <f t="shared" si="72"/>
        <v>11</v>
      </c>
      <c r="S85" s="29">
        <f t="shared" si="73"/>
        <v>45055</v>
      </c>
      <c r="T85" s="34">
        <f>S85/Q99</f>
        <v>3.1920960994151426E-2</v>
      </c>
      <c r="U85" s="103"/>
      <c r="V85" s="8">
        <v>1</v>
      </c>
      <c r="W85" s="33">
        <f t="shared" ref="W85:W97" si="81">B85</f>
        <v>1</v>
      </c>
      <c r="X85" s="32">
        <f>W85*SUM(B9:B20)</f>
        <v>185625</v>
      </c>
      <c r="Y85" s="34">
        <f>X85/W99</f>
        <v>4.8496130106789458E-2</v>
      </c>
      <c r="Z85" s="102">
        <v>1</v>
      </c>
      <c r="AA85" s="33">
        <f t="shared" ref="AA85:AA95" si="82">F85</f>
        <v>1</v>
      </c>
      <c r="AB85" s="32">
        <f>AA85*SUM(E9:E18)</f>
        <v>185600</v>
      </c>
      <c r="AC85" s="34">
        <f>AB85/Z99</f>
        <v>4.4863427604544356E-2</v>
      </c>
      <c r="AD85" s="8">
        <v>1</v>
      </c>
      <c r="AE85" s="33">
        <f t="shared" si="74"/>
        <v>0</v>
      </c>
      <c r="AF85" s="32">
        <f>AE85*SUM(H9:H15)</f>
        <v>0</v>
      </c>
      <c r="AG85" s="34">
        <f>AF85/AD99</f>
        <v>0</v>
      </c>
      <c r="AH85" s="8">
        <v>1</v>
      </c>
      <c r="AI85" s="33">
        <f t="shared" si="75"/>
        <v>9</v>
      </c>
      <c r="AJ85" s="32">
        <f>AI85*SUM(K9:K12)</f>
        <v>1575000</v>
      </c>
      <c r="AK85" s="34">
        <f>AJ85/AH99</f>
        <v>0.60229445506692159</v>
      </c>
      <c r="AL85" s="78">
        <v>1</v>
      </c>
      <c r="AM85" s="18">
        <f t="shared" si="76"/>
        <v>11</v>
      </c>
      <c r="AN85" s="29">
        <f t="shared" si="77"/>
        <v>1946225</v>
      </c>
      <c r="AO85" s="34">
        <f>AN85/AL99</f>
        <v>0.13363602811799946</v>
      </c>
      <c r="AP85" s="2"/>
      <c r="AQ85" s="33">
        <v>2</v>
      </c>
      <c r="AR85" s="33">
        <v>4</v>
      </c>
      <c r="AS85" s="29">
        <f>SUM($AR$84:AR85)</f>
        <v>6</v>
      </c>
      <c r="AT85" s="33">
        <v>2</v>
      </c>
      <c r="AU85" s="32">
        <v>40</v>
      </c>
      <c r="AV85" s="32">
        <f>SUM($AU$84:AU85)</f>
        <v>60</v>
      </c>
      <c r="AW85" s="18">
        <v>2</v>
      </c>
      <c r="AX85" s="32">
        <v>2000</v>
      </c>
      <c r="AY85" s="30">
        <f>SUM($AX$84:AX85)</f>
        <v>3000</v>
      </c>
      <c r="AZ85" s="18">
        <v>2</v>
      </c>
      <c r="BA85" s="32">
        <v>80000</v>
      </c>
      <c r="BB85" s="80">
        <f>SUM($BA$84:BA85)</f>
        <v>120000</v>
      </c>
      <c r="BC85" s="33">
        <v>3</v>
      </c>
      <c r="BD85" s="32">
        <v>270</v>
      </c>
      <c r="BE85" s="80">
        <v>360</v>
      </c>
      <c r="BF85" s="80">
        <v>54</v>
      </c>
      <c r="BG85" s="80">
        <v>6</v>
      </c>
      <c r="BH85" s="80">
        <v>0</v>
      </c>
      <c r="BI85" s="29">
        <f t="shared" si="63"/>
        <v>60</v>
      </c>
      <c r="BJ85" s="30">
        <f t="shared" si="64"/>
        <v>930</v>
      </c>
      <c r="BK85" s="18">
        <v>3</v>
      </c>
      <c r="BL85" s="29">
        <f t="shared" si="65"/>
        <v>540</v>
      </c>
      <c r="BM85" s="29">
        <f t="shared" si="66"/>
        <v>720</v>
      </c>
      <c r="BN85" s="80">
        <f t="shared" si="67"/>
        <v>108</v>
      </c>
      <c r="BO85" s="80">
        <f t="shared" si="68"/>
        <v>12</v>
      </c>
      <c r="BP85" s="30">
        <f t="shared" si="69"/>
        <v>0</v>
      </c>
      <c r="BQ85" s="80">
        <f t="shared" si="70"/>
        <v>120</v>
      </c>
      <c r="BR85" s="30">
        <f t="shared" si="71"/>
        <v>1860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15" t="s">
        <v>82</v>
      </c>
      <c r="EA85" s="53">
        <v>7128</v>
      </c>
      <c r="EB85" s="53">
        <v>7128</v>
      </c>
      <c r="EC85" s="54">
        <f t="shared" si="59"/>
        <v>7128</v>
      </c>
      <c r="ED85" s="15">
        <f t="shared" si="60"/>
        <v>792</v>
      </c>
      <c r="EE85" s="15">
        <v>608</v>
      </c>
      <c r="EF85" s="55">
        <v>158</v>
      </c>
      <c r="EG85" s="17">
        <v>26</v>
      </c>
      <c r="EH85" s="58">
        <f>((ED85*$DI$5)/$DI$4)*(1/$DI$14)</f>
        <v>0.9</v>
      </c>
      <c r="EI85" s="57">
        <f t="shared" si="61"/>
        <v>31068</v>
      </c>
      <c r="EJ85" s="54">
        <f t="shared" si="62"/>
        <v>31068</v>
      </c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</row>
    <row r="86" spans="1:151" ht="15.75" customHeight="1">
      <c r="A86" s="78">
        <v>2</v>
      </c>
      <c r="B86" s="18">
        <f>COUNTIF('Card Progress'!$D$10:$D$36,A86)</f>
        <v>0</v>
      </c>
      <c r="C86" s="32">
        <f t="shared" si="78"/>
        <v>0</v>
      </c>
      <c r="D86" s="34">
        <f>C86/B99</f>
        <v>0</v>
      </c>
      <c r="E86" s="102">
        <v>2</v>
      </c>
      <c r="F86" s="33">
        <f>COUNTIF('Card Progress'!$D$41:$D$64,E86)</f>
        <v>0</v>
      </c>
      <c r="G86" s="32">
        <f t="shared" si="79"/>
        <v>0</v>
      </c>
      <c r="H86" s="34">
        <f>G86/E99</f>
        <v>0</v>
      </c>
      <c r="I86" s="102">
        <v>2</v>
      </c>
      <c r="J86" s="33">
        <f>COUNTIF('Card Progress'!$D$69:$D$92,I86)</f>
        <v>0</v>
      </c>
      <c r="K86" s="32">
        <f t="shared" si="80"/>
        <v>0</v>
      </c>
      <c r="L86" s="100">
        <f>K86/I99</f>
        <v>0</v>
      </c>
      <c r="M86" s="8">
        <v>2</v>
      </c>
      <c r="N86" s="33">
        <f>COUNTIF('Card Progress'!$D$97:$D$111,M86)</f>
        <v>2</v>
      </c>
      <c r="O86" s="32">
        <f>N86*K10</f>
        <v>40000</v>
      </c>
      <c r="P86" s="100">
        <f>O86/M99</f>
        <v>0.47058823529411764</v>
      </c>
      <c r="Q86" s="78">
        <v>2</v>
      </c>
      <c r="R86" s="18">
        <f t="shared" si="72"/>
        <v>2</v>
      </c>
      <c r="S86" s="29">
        <f t="shared" si="73"/>
        <v>40000</v>
      </c>
      <c r="T86" s="34">
        <f>S86/Q99</f>
        <v>2.8339550322185263E-2</v>
      </c>
      <c r="U86" s="103"/>
      <c r="V86" s="8">
        <v>2</v>
      </c>
      <c r="W86" s="33">
        <f t="shared" si="81"/>
        <v>0</v>
      </c>
      <c r="X86" s="32">
        <f>W86*SUM(B10:B20)</f>
        <v>0</v>
      </c>
      <c r="Y86" s="34">
        <f>X86/W99</f>
        <v>0</v>
      </c>
      <c r="Z86" s="102">
        <v>2</v>
      </c>
      <c r="AA86" s="33">
        <f t="shared" si="82"/>
        <v>0</v>
      </c>
      <c r="AB86" s="32">
        <f>AA86*SUM(E10:E18)</f>
        <v>0</v>
      </c>
      <c r="AC86" s="34">
        <f>AB86/Z99</f>
        <v>0</v>
      </c>
      <c r="AD86" s="8">
        <v>2</v>
      </c>
      <c r="AE86" s="33">
        <f t="shared" si="74"/>
        <v>0</v>
      </c>
      <c r="AF86" s="32">
        <f>AE86*SUM(H10:H15)</f>
        <v>0</v>
      </c>
      <c r="AG86" s="34">
        <f>AF86/AD99</f>
        <v>0</v>
      </c>
      <c r="AH86" s="8">
        <v>2</v>
      </c>
      <c r="AI86" s="33">
        <f t="shared" si="75"/>
        <v>2</v>
      </c>
      <c r="AJ86" s="32">
        <f>AI86*SUM(K10:K12)</f>
        <v>340000</v>
      </c>
      <c r="AK86" s="34">
        <f>AJ86/AH99</f>
        <v>0.13001912045889102</v>
      </c>
      <c r="AL86" s="78">
        <v>2</v>
      </c>
      <c r="AM86" s="18">
        <f t="shared" si="76"/>
        <v>2</v>
      </c>
      <c r="AN86" s="29">
        <f t="shared" si="77"/>
        <v>340000</v>
      </c>
      <c r="AO86" s="34">
        <f>AN86/AL99</f>
        <v>2.3345835944004325E-2</v>
      </c>
      <c r="AP86" s="2"/>
      <c r="AQ86" s="33">
        <v>3</v>
      </c>
      <c r="AR86" s="33">
        <v>6</v>
      </c>
      <c r="AS86" s="29">
        <f>SUM($AR$84:AR86)</f>
        <v>12</v>
      </c>
      <c r="AT86" s="33">
        <v>3</v>
      </c>
      <c r="AU86" s="32">
        <v>60</v>
      </c>
      <c r="AV86" s="32">
        <f>SUM($AU$84:AU86)</f>
        <v>120</v>
      </c>
      <c r="AW86" s="33">
        <v>3</v>
      </c>
      <c r="AX86" s="32">
        <v>3000</v>
      </c>
      <c r="AY86" s="32">
        <f>SUM($AX$84:AX86)</f>
        <v>6000</v>
      </c>
      <c r="AZ86" s="33">
        <v>3</v>
      </c>
      <c r="BA86" s="32">
        <v>120000</v>
      </c>
      <c r="BB86" s="29">
        <f>SUM($BA$84:BA86)</f>
        <v>240000</v>
      </c>
      <c r="BC86" s="33">
        <v>4</v>
      </c>
      <c r="BD86" s="32">
        <v>400</v>
      </c>
      <c r="BE86" s="80">
        <v>504</v>
      </c>
      <c r="BF86" s="80">
        <v>76</v>
      </c>
      <c r="BG86" s="80">
        <v>8</v>
      </c>
      <c r="BH86" s="80">
        <v>0</v>
      </c>
      <c r="BI86" s="29">
        <f t="shared" si="63"/>
        <v>84</v>
      </c>
      <c r="BJ86" s="30">
        <f t="shared" si="64"/>
        <v>1284</v>
      </c>
      <c r="BK86" s="18">
        <v>4</v>
      </c>
      <c r="BL86" s="29">
        <f t="shared" si="65"/>
        <v>800</v>
      </c>
      <c r="BM86" s="29">
        <f t="shared" si="66"/>
        <v>1008</v>
      </c>
      <c r="BN86" s="80">
        <f t="shared" si="67"/>
        <v>152</v>
      </c>
      <c r="BO86" s="80">
        <f t="shared" si="68"/>
        <v>16</v>
      </c>
      <c r="BP86" s="30">
        <f t="shared" si="69"/>
        <v>0</v>
      </c>
      <c r="BQ86" s="80">
        <f t="shared" si="70"/>
        <v>168</v>
      </c>
      <c r="BR86" s="30">
        <f t="shared" si="71"/>
        <v>2568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80">
        <f>(3*EC79)+(EC80*4)+(EC81)+EC82+(EK84*5)</f>
        <v>2550</v>
      </c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</row>
    <row r="87" spans="1:151" ht="15.75" customHeight="1">
      <c r="A87" s="78">
        <v>3</v>
      </c>
      <c r="B87" s="18">
        <f>COUNTIF('Card Progress'!$D$10:$D$36,A87)</f>
        <v>0</v>
      </c>
      <c r="C87" s="32">
        <f t="shared" si="78"/>
        <v>0</v>
      </c>
      <c r="D87" s="34">
        <f>C87/B99</f>
        <v>0</v>
      </c>
      <c r="E87" s="102">
        <v>3</v>
      </c>
      <c r="F87" s="33">
        <f>COUNTIF('Card Progress'!$D$41:$D$64,E87)</f>
        <v>1</v>
      </c>
      <c r="G87" s="32">
        <f t="shared" si="79"/>
        <v>400</v>
      </c>
      <c r="H87" s="34">
        <f>G87/E99</f>
        <v>1.0569427929713305E-3</v>
      </c>
      <c r="I87" s="102">
        <v>3</v>
      </c>
      <c r="J87" s="33">
        <f>COUNTIF('Card Progress'!$D$69:$D$92,I87)</f>
        <v>0</v>
      </c>
      <c r="K87" s="32">
        <f t="shared" si="80"/>
        <v>0</v>
      </c>
      <c r="L87" s="100">
        <f>K87/I99</f>
        <v>0</v>
      </c>
      <c r="M87" s="8">
        <v>3</v>
      </c>
      <c r="N87" s="33">
        <f>COUNTIF('Card Progress'!$D$97:$D$111,M87)</f>
        <v>0</v>
      </c>
      <c r="O87" s="32">
        <f>N87*K11</f>
        <v>0</v>
      </c>
      <c r="P87" s="100">
        <f>O87/M99</f>
        <v>0</v>
      </c>
      <c r="Q87" s="78">
        <v>3</v>
      </c>
      <c r="R87" s="18">
        <f t="shared" si="72"/>
        <v>1</v>
      </c>
      <c r="S87" s="29">
        <f t="shared" si="73"/>
        <v>400</v>
      </c>
      <c r="T87" s="34">
        <f>S87/Q99</f>
        <v>2.8339550322185262E-4</v>
      </c>
      <c r="U87" s="103"/>
      <c r="V87" s="8">
        <v>3</v>
      </c>
      <c r="W87" s="33">
        <f t="shared" si="81"/>
        <v>0</v>
      </c>
      <c r="X87" s="32">
        <f>W87*SUM(B11:B20)</f>
        <v>0</v>
      </c>
      <c r="Y87" s="34">
        <f>X87/W99</f>
        <v>0</v>
      </c>
      <c r="Z87" s="102">
        <v>3</v>
      </c>
      <c r="AA87" s="33">
        <f t="shared" si="82"/>
        <v>1</v>
      </c>
      <c r="AB87" s="32">
        <f>AA87*SUM(E11:E18)</f>
        <v>185400</v>
      </c>
      <c r="AC87" s="34">
        <f>AB87/Z99</f>
        <v>4.4815083393763597E-2</v>
      </c>
      <c r="AD87" s="8">
        <v>3</v>
      </c>
      <c r="AE87" s="33">
        <f t="shared" si="74"/>
        <v>0</v>
      </c>
      <c r="AF87" s="32">
        <f>AE87*SUM(H11:H15)</f>
        <v>0</v>
      </c>
      <c r="AG87" s="34">
        <f>AF87/AD99</f>
        <v>0</v>
      </c>
      <c r="AH87" s="8">
        <v>3</v>
      </c>
      <c r="AI87" s="33">
        <f t="shared" si="75"/>
        <v>0</v>
      </c>
      <c r="AJ87" s="32">
        <f>AI87*SUM(K11:K12)</f>
        <v>0</v>
      </c>
      <c r="AK87" s="34">
        <f>AJ87/AH99</f>
        <v>0</v>
      </c>
      <c r="AL87" s="78">
        <v>3</v>
      </c>
      <c r="AM87" s="18">
        <f t="shared" si="76"/>
        <v>1</v>
      </c>
      <c r="AN87" s="29">
        <f t="shared" si="77"/>
        <v>185400</v>
      </c>
      <c r="AO87" s="34">
        <f>AN87/AL99</f>
        <v>1.273034701181883E-2</v>
      </c>
      <c r="AP87" s="2"/>
      <c r="AQ87" s="33">
        <v>4</v>
      </c>
      <c r="AR87" s="33">
        <v>8</v>
      </c>
      <c r="AS87" s="29">
        <f>SUM($AR$84:AR87)</f>
        <v>20</v>
      </c>
      <c r="AT87" s="33">
        <v>4</v>
      </c>
      <c r="AU87" s="32">
        <v>80</v>
      </c>
      <c r="AV87" s="32">
        <f>SUM($AU$84:AU87)</f>
        <v>200</v>
      </c>
      <c r="AW87" s="33">
        <v>4</v>
      </c>
      <c r="AX87" s="32">
        <v>4000</v>
      </c>
      <c r="AY87" s="32">
        <f>SUM($AX$84:AX87)</f>
        <v>10000</v>
      </c>
      <c r="AZ87" s="145" t="s">
        <v>219</v>
      </c>
      <c r="BA87" s="145"/>
      <c r="BB87" s="145"/>
      <c r="BC87" s="33">
        <v>5</v>
      </c>
      <c r="BD87" s="32">
        <v>550</v>
      </c>
      <c r="BE87" s="80">
        <v>660</v>
      </c>
      <c r="BF87" s="80">
        <v>98</v>
      </c>
      <c r="BG87" s="80">
        <v>11</v>
      </c>
      <c r="BH87" s="80">
        <v>1</v>
      </c>
      <c r="BI87" s="29">
        <f t="shared" si="63"/>
        <v>110</v>
      </c>
      <c r="BJ87" s="30">
        <f t="shared" si="64"/>
        <v>2700</v>
      </c>
      <c r="BK87" s="18">
        <v>5</v>
      </c>
      <c r="BL87" s="29">
        <f t="shared" si="65"/>
        <v>1100</v>
      </c>
      <c r="BM87" s="29">
        <f t="shared" si="66"/>
        <v>1320</v>
      </c>
      <c r="BN87" s="80">
        <f t="shared" si="67"/>
        <v>196</v>
      </c>
      <c r="BO87" s="80">
        <f t="shared" si="68"/>
        <v>22</v>
      </c>
      <c r="BP87" s="30">
        <f t="shared" si="69"/>
        <v>2</v>
      </c>
      <c r="BQ87" s="80">
        <f t="shared" si="70"/>
        <v>220</v>
      </c>
      <c r="BR87" s="30">
        <f t="shared" si="71"/>
        <v>5400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>
        <f>((EE79*3)+(EE80*4)+EE81+EE82)*5</f>
        <v>945</v>
      </c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</row>
    <row r="88" spans="1:151" ht="15.75" customHeight="1">
      <c r="A88" s="78">
        <v>4</v>
      </c>
      <c r="B88" s="18">
        <f>COUNTIF('Card Progress'!$D$10:$D$36,A88)</f>
        <v>0</v>
      </c>
      <c r="C88" s="32">
        <f t="shared" si="78"/>
        <v>0</v>
      </c>
      <c r="D88" s="34">
        <f>C88/B99</f>
        <v>0</v>
      </c>
      <c r="E88" s="102">
        <v>4</v>
      </c>
      <c r="F88" s="33">
        <f>COUNTIF('Card Progress'!$D$41:$D$64,E88)</f>
        <v>0</v>
      </c>
      <c r="G88" s="32">
        <f t="shared" si="79"/>
        <v>0</v>
      </c>
      <c r="H88" s="34">
        <f>G88/E99</f>
        <v>0</v>
      </c>
      <c r="I88" s="102">
        <v>4</v>
      </c>
      <c r="J88" s="33">
        <f>COUNTIF('Card Progress'!$D$69:$D$92,I88)</f>
        <v>3</v>
      </c>
      <c r="K88" s="32">
        <f t="shared" si="80"/>
        <v>24000</v>
      </c>
      <c r="L88" s="100">
        <f>K88/I99</f>
        <v>3.8461538461538464E-2</v>
      </c>
      <c r="M88" s="8">
        <v>4</v>
      </c>
      <c r="N88" s="33">
        <f>COUNTIF('Card Progress'!$D$97:$D$111,M88)</f>
        <v>0</v>
      </c>
      <c r="O88" s="32">
        <f>N88*K12</f>
        <v>0</v>
      </c>
      <c r="P88" s="100">
        <f>O88/M99</f>
        <v>0</v>
      </c>
      <c r="Q88" s="78">
        <v>4</v>
      </c>
      <c r="R88" s="18">
        <f t="shared" si="72"/>
        <v>3</v>
      </c>
      <c r="S88" s="29">
        <f t="shared" si="73"/>
        <v>24000</v>
      </c>
      <c r="T88" s="34">
        <f>S88/Q99</f>
        <v>1.7003730193311157E-2</v>
      </c>
      <c r="U88" s="103"/>
      <c r="V88" s="8">
        <v>4</v>
      </c>
      <c r="W88" s="33">
        <f t="shared" si="81"/>
        <v>0</v>
      </c>
      <c r="X88" s="32">
        <f>W88*SUM(B12:B20)</f>
        <v>0</v>
      </c>
      <c r="Y88" s="34">
        <f>X88/W99</f>
        <v>0</v>
      </c>
      <c r="Z88" s="102">
        <v>4</v>
      </c>
      <c r="AA88" s="33">
        <f t="shared" si="82"/>
        <v>0</v>
      </c>
      <c r="AB88" s="32">
        <f>AA88*SUM(E12:E18)</f>
        <v>0</v>
      </c>
      <c r="AC88" s="34">
        <f>AB88/Z99</f>
        <v>0</v>
      </c>
      <c r="AD88" s="8">
        <v>4</v>
      </c>
      <c r="AE88" s="33">
        <f t="shared" si="74"/>
        <v>3</v>
      </c>
      <c r="AF88" s="32">
        <f>AE88*SUM(H12:H15)</f>
        <v>534000</v>
      </c>
      <c r="AG88" s="34">
        <f>AF88/AD99</f>
        <v>0.13403614457831325</v>
      </c>
      <c r="AH88" s="8">
        <v>4</v>
      </c>
      <c r="AI88" s="33">
        <f t="shared" si="75"/>
        <v>0</v>
      </c>
      <c r="AJ88" s="32">
        <f>AI88*SUM(K12)</f>
        <v>0</v>
      </c>
      <c r="AK88" s="34">
        <f>AJ88/AH99</f>
        <v>0</v>
      </c>
      <c r="AL88" s="78">
        <v>4</v>
      </c>
      <c r="AM88" s="18">
        <f t="shared" si="76"/>
        <v>3</v>
      </c>
      <c r="AN88" s="29">
        <f t="shared" si="77"/>
        <v>534000</v>
      </c>
      <c r="AO88" s="34">
        <f>AN88/AL99</f>
        <v>3.6666695276759732E-2</v>
      </c>
      <c r="AP88" s="2"/>
      <c r="AQ88" s="33">
        <v>5</v>
      </c>
      <c r="AR88" s="33">
        <v>10</v>
      </c>
      <c r="AS88" s="29">
        <f>SUM($AR$84:AR88)</f>
        <v>30</v>
      </c>
      <c r="AT88" s="33">
        <v>5</v>
      </c>
      <c r="AU88" s="32">
        <v>100</v>
      </c>
      <c r="AV88" s="32">
        <f>SUM($AU$84:AU88)</f>
        <v>300</v>
      </c>
      <c r="AW88" s="33">
        <v>5</v>
      </c>
      <c r="AX88" s="32">
        <v>5000</v>
      </c>
      <c r="AY88" s="32">
        <f>SUM($AX$84:AX88)</f>
        <v>15000</v>
      </c>
      <c r="AZ88" s="104"/>
      <c r="BA88" s="84" t="s">
        <v>220</v>
      </c>
      <c r="BB88" s="84" t="s">
        <v>221</v>
      </c>
      <c r="BC88" s="33">
        <v>6</v>
      </c>
      <c r="BD88" s="32">
        <v>720</v>
      </c>
      <c r="BE88" s="80">
        <v>828</v>
      </c>
      <c r="BF88" s="80">
        <v>124</v>
      </c>
      <c r="BG88" s="80">
        <v>13</v>
      </c>
      <c r="BH88" s="80">
        <v>1</v>
      </c>
      <c r="BI88" s="29">
        <f t="shared" si="63"/>
        <v>138</v>
      </c>
      <c r="BJ88" s="30">
        <f t="shared" si="64"/>
        <v>3098</v>
      </c>
      <c r="BK88" s="18">
        <v>6</v>
      </c>
      <c r="BL88" s="29">
        <f t="shared" si="65"/>
        <v>1440</v>
      </c>
      <c r="BM88" s="29">
        <f t="shared" si="66"/>
        <v>1656</v>
      </c>
      <c r="BN88" s="80">
        <f t="shared" si="67"/>
        <v>248</v>
      </c>
      <c r="BO88" s="80">
        <f t="shared" si="68"/>
        <v>26</v>
      </c>
      <c r="BP88" s="30">
        <f t="shared" si="69"/>
        <v>2</v>
      </c>
      <c r="BQ88" s="80">
        <f t="shared" si="70"/>
        <v>276</v>
      </c>
      <c r="BR88" s="30">
        <f t="shared" si="71"/>
        <v>6196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</row>
    <row r="89" spans="1:151" ht="15.75" customHeight="1">
      <c r="A89" s="78">
        <v>5</v>
      </c>
      <c r="B89" s="18">
        <f>COUNTIF('Card Progress'!$D$10:$D$36,A89)</f>
        <v>0</v>
      </c>
      <c r="C89" s="32">
        <f t="shared" si="78"/>
        <v>0</v>
      </c>
      <c r="D89" s="34">
        <f>C89/B99</f>
        <v>0</v>
      </c>
      <c r="E89" s="102">
        <v>5</v>
      </c>
      <c r="F89" s="33">
        <f>COUNTIF('Card Progress'!$D$41:$D$64,E89)</f>
        <v>0</v>
      </c>
      <c r="G89" s="32">
        <f t="shared" si="79"/>
        <v>0</v>
      </c>
      <c r="H89" s="34">
        <f>G89/E99</f>
        <v>0</v>
      </c>
      <c r="I89" s="102">
        <v>5</v>
      </c>
      <c r="J89" s="33">
        <f>COUNTIF('Card Progress'!$D$69:$D$92,I89)</f>
        <v>15</v>
      </c>
      <c r="K89" s="32">
        <f t="shared" si="80"/>
        <v>300000</v>
      </c>
      <c r="L89" s="100">
        <f>K89/I99</f>
        <v>0.48076923076923078</v>
      </c>
      <c r="M89" s="5">
        <v>5</v>
      </c>
      <c r="N89" s="55">
        <f>COUNTIF('Card Progress'!$D$97:$D$111,M89)</f>
        <v>0</v>
      </c>
      <c r="O89" s="53">
        <f>N89*K13</f>
        <v>0</v>
      </c>
      <c r="P89" s="105">
        <f>O89/M99</f>
        <v>0</v>
      </c>
      <c r="Q89" s="78">
        <v>5</v>
      </c>
      <c r="R89" s="18">
        <f t="shared" si="72"/>
        <v>15</v>
      </c>
      <c r="S89" s="29">
        <f t="shared" si="73"/>
        <v>300000</v>
      </c>
      <c r="T89" s="34">
        <f>S89/Q99</f>
        <v>0.21254662741638947</v>
      </c>
      <c r="U89" s="103"/>
      <c r="V89" s="8">
        <v>5</v>
      </c>
      <c r="W89" s="33">
        <f t="shared" si="81"/>
        <v>0</v>
      </c>
      <c r="X89" s="32">
        <f>W89*SUM(B13:B20)</f>
        <v>0</v>
      </c>
      <c r="Y89" s="34">
        <f>X89/W99</f>
        <v>0</v>
      </c>
      <c r="Z89" s="102">
        <v>5</v>
      </c>
      <c r="AA89" s="33">
        <f t="shared" si="82"/>
        <v>0</v>
      </c>
      <c r="AB89" s="32">
        <f>AA89*SUM(E13:E18)</f>
        <v>0</v>
      </c>
      <c r="AC89" s="34">
        <f>AB89/Z99</f>
        <v>0</v>
      </c>
      <c r="AD89" s="8">
        <v>5</v>
      </c>
      <c r="AE89" s="33">
        <f t="shared" si="74"/>
        <v>15</v>
      </c>
      <c r="AF89" s="32">
        <f>AE89*SUM(H13:H15)</f>
        <v>2550000</v>
      </c>
      <c r="AG89" s="34">
        <f>AF89/AD99</f>
        <v>0.64006024096385539</v>
      </c>
      <c r="AH89" s="5">
        <v>5</v>
      </c>
      <c r="AI89" s="55">
        <f t="shared" si="75"/>
        <v>0</v>
      </c>
      <c r="AJ89" s="53">
        <f>AI89*0</f>
        <v>0</v>
      </c>
      <c r="AK89" s="56">
        <f>AJ89/AH99</f>
        <v>0</v>
      </c>
      <c r="AL89" s="78">
        <v>5</v>
      </c>
      <c r="AM89" s="18">
        <f t="shared" si="76"/>
        <v>15</v>
      </c>
      <c r="AN89" s="29">
        <f t="shared" si="77"/>
        <v>2550000</v>
      </c>
      <c r="AO89" s="34">
        <f>AN89/AL99</f>
        <v>0.17509376958003245</v>
      </c>
      <c r="AP89" s="2"/>
      <c r="AQ89" s="33">
        <v>6</v>
      </c>
      <c r="AR89" s="33">
        <v>12</v>
      </c>
      <c r="AS89" s="29">
        <f>SUM($AR$84:AR89)</f>
        <v>42</v>
      </c>
      <c r="AT89" s="33">
        <v>6</v>
      </c>
      <c r="AU89" s="32">
        <v>120</v>
      </c>
      <c r="AV89" s="32">
        <f>SUM($AU$84:AU89)</f>
        <v>420</v>
      </c>
      <c r="AW89" s="33">
        <v>6</v>
      </c>
      <c r="AX89" s="32">
        <v>6000</v>
      </c>
      <c r="AY89" s="32">
        <f>SUM($AX$84:AX89)</f>
        <v>21000</v>
      </c>
      <c r="AZ89" s="15">
        <v>1</v>
      </c>
      <c r="BA89" s="81">
        <f>40000*AZ89</f>
        <v>40000</v>
      </c>
      <c r="BB89" s="81">
        <f>20000*AZ89*(AZ89+1)</f>
        <v>40000</v>
      </c>
      <c r="BC89" s="33">
        <v>7</v>
      </c>
      <c r="BD89" s="32">
        <v>910</v>
      </c>
      <c r="BE89" s="80">
        <v>1008</v>
      </c>
      <c r="BF89" s="80">
        <v>151</v>
      </c>
      <c r="BG89" s="80">
        <v>16</v>
      </c>
      <c r="BH89" s="80">
        <v>1</v>
      </c>
      <c r="BI89" s="29">
        <f t="shared" si="63"/>
        <v>168</v>
      </c>
      <c r="BJ89" s="30">
        <f t="shared" si="64"/>
        <v>3563</v>
      </c>
      <c r="BK89" s="18">
        <v>7</v>
      </c>
      <c r="BL89" s="29">
        <f t="shared" si="65"/>
        <v>1820</v>
      </c>
      <c r="BM89" s="29">
        <f t="shared" si="66"/>
        <v>2016</v>
      </c>
      <c r="BN89" s="80">
        <f t="shared" si="67"/>
        <v>302</v>
      </c>
      <c r="BO89" s="80">
        <f t="shared" si="68"/>
        <v>32</v>
      </c>
      <c r="BP89" s="30">
        <f t="shared" si="69"/>
        <v>2</v>
      </c>
      <c r="BQ89" s="80">
        <f t="shared" si="70"/>
        <v>336</v>
      </c>
      <c r="BR89" s="30">
        <f t="shared" si="71"/>
        <v>7126</v>
      </c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</row>
    <row r="90" spans="1:151" ht="15.75" customHeight="1">
      <c r="A90" s="78">
        <v>6</v>
      </c>
      <c r="B90" s="18">
        <f>COUNTIF('Card Progress'!$D$10:$D$36,A90)</f>
        <v>2</v>
      </c>
      <c r="C90" s="32">
        <f t="shared" si="78"/>
        <v>2000</v>
      </c>
      <c r="D90" s="34">
        <f>C90/B99</f>
        <v>6.1727442477739541E-3</v>
      </c>
      <c r="E90" s="102">
        <v>6</v>
      </c>
      <c r="F90" s="33">
        <f>COUNTIF('Card Progress'!$D$41:$D$64,E90)</f>
        <v>1</v>
      </c>
      <c r="G90" s="32">
        <f t="shared" si="79"/>
        <v>4000</v>
      </c>
      <c r="H90" s="34">
        <f>G90/E99</f>
        <v>1.0569427929713304E-2</v>
      </c>
      <c r="I90" s="102">
        <v>6</v>
      </c>
      <c r="J90" s="33">
        <f>COUNTIF('Card Progress'!$D$69:$D$92,I90)</f>
        <v>6</v>
      </c>
      <c r="K90" s="32">
        <f t="shared" si="80"/>
        <v>300000</v>
      </c>
      <c r="L90" s="100">
        <f>K90/I99</f>
        <v>0.48076923076923078</v>
      </c>
      <c r="M90" s="3"/>
      <c r="N90" s="3"/>
      <c r="O90" s="3"/>
      <c r="P90" s="3"/>
      <c r="Q90" s="78">
        <v>6</v>
      </c>
      <c r="R90" s="18">
        <f t="shared" si="72"/>
        <v>9</v>
      </c>
      <c r="S90" s="29">
        <f t="shared" si="73"/>
        <v>306000</v>
      </c>
      <c r="T90" s="34">
        <f>S90/Q99</f>
        <v>0.21679755996471725</v>
      </c>
      <c r="U90" s="103"/>
      <c r="V90" s="8">
        <v>6</v>
      </c>
      <c r="W90" s="33">
        <f t="shared" si="81"/>
        <v>2</v>
      </c>
      <c r="X90" s="32">
        <f>W90*SUM(B14:B20)</f>
        <v>370000</v>
      </c>
      <c r="Y90" s="34">
        <f>X90/W99</f>
        <v>9.666568694686653E-2</v>
      </c>
      <c r="Z90" s="102">
        <v>6</v>
      </c>
      <c r="AA90" s="33">
        <f t="shared" si="82"/>
        <v>1</v>
      </c>
      <c r="AB90" s="32">
        <f>AA90*SUM(E14:E18)</f>
        <v>182000</v>
      </c>
      <c r="AC90" s="34">
        <f>AB90/Z99</f>
        <v>4.3993231810490696E-2</v>
      </c>
      <c r="AD90" s="8">
        <v>6</v>
      </c>
      <c r="AE90" s="33">
        <f t="shared" si="74"/>
        <v>6</v>
      </c>
      <c r="AF90" s="32">
        <f>AE90*SUM(H14:H15)</f>
        <v>900000</v>
      </c>
      <c r="AG90" s="34">
        <f>AF90/AD99</f>
        <v>0.22590361445783133</v>
      </c>
      <c r="AH90" s="3"/>
      <c r="AI90" s="3"/>
      <c r="AJ90" s="3"/>
      <c r="AK90" s="3"/>
      <c r="AL90" s="78">
        <v>6</v>
      </c>
      <c r="AM90" s="18">
        <f t="shared" si="76"/>
        <v>9</v>
      </c>
      <c r="AN90" s="29">
        <f t="shared" si="77"/>
        <v>1452000</v>
      </c>
      <c r="AO90" s="34">
        <f>AN90/AL99</f>
        <v>9.9700452325571412E-2</v>
      </c>
      <c r="AP90" s="2"/>
      <c r="AQ90" s="33">
        <v>7</v>
      </c>
      <c r="AR90" s="33">
        <v>14</v>
      </c>
      <c r="AS90" s="29">
        <f>SUM($AR$84:AR90)</f>
        <v>56</v>
      </c>
      <c r="AT90" s="33">
        <v>7</v>
      </c>
      <c r="AU90" s="32">
        <v>140</v>
      </c>
      <c r="AV90" s="32">
        <f>SUM($AU$84:AU90)</f>
        <v>560</v>
      </c>
      <c r="AW90" s="33">
        <v>7</v>
      </c>
      <c r="AX90" s="32">
        <v>7000</v>
      </c>
      <c r="AY90" s="32">
        <f>SUM($AX$84:AX90)</f>
        <v>28000</v>
      </c>
      <c r="AZ90" s="2"/>
      <c r="BA90" s="2"/>
      <c r="BB90" s="2"/>
      <c r="BC90" s="33">
        <v>8</v>
      </c>
      <c r="BD90" s="32">
        <v>1120</v>
      </c>
      <c r="BE90" s="80">
        <v>1200</v>
      </c>
      <c r="BF90" s="80">
        <v>178</v>
      </c>
      <c r="BG90" s="80">
        <v>20</v>
      </c>
      <c r="BH90" s="80">
        <v>2</v>
      </c>
      <c r="BI90" s="29">
        <f t="shared" si="63"/>
        <v>200</v>
      </c>
      <c r="BJ90" s="30">
        <f t="shared" si="64"/>
        <v>5090</v>
      </c>
      <c r="BK90" s="18">
        <v>8</v>
      </c>
      <c r="BL90" s="29">
        <f t="shared" si="65"/>
        <v>2240</v>
      </c>
      <c r="BM90" s="29">
        <f t="shared" si="66"/>
        <v>2400</v>
      </c>
      <c r="BN90" s="80">
        <f t="shared" si="67"/>
        <v>356</v>
      </c>
      <c r="BO90" s="80">
        <f t="shared" si="68"/>
        <v>40</v>
      </c>
      <c r="BP90" s="30">
        <f t="shared" si="69"/>
        <v>4</v>
      </c>
      <c r="BQ90" s="80">
        <f t="shared" si="70"/>
        <v>400</v>
      </c>
      <c r="BR90" s="30">
        <f t="shared" si="71"/>
        <v>10180</v>
      </c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</row>
    <row r="91" spans="1:151" ht="15.75" customHeight="1">
      <c r="A91" s="78">
        <v>7</v>
      </c>
      <c r="B91" s="18">
        <f>COUNTIF('Card Progress'!$D$10:$D$36,A91)</f>
        <v>1</v>
      </c>
      <c r="C91" s="32">
        <f t="shared" si="78"/>
        <v>2000</v>
      </c>
      <c r="D91" s="34">
        <f>C91/B99</f>
        <v>6.1727442477739541E-3</v>
      </c>
      <c r="E91" s="102">
        <v>7</v>
      </c>
      <c r="F91" s="33">
        <f>COUNTIF('Card Progress'!$D$41:$D$64,E91)</f>
        <v>13</v>
      </c>
      <c r="G91" s="32">
        <f t="shared" si="79"/>
        <v>104000</v>
      </c>
      <c r="H91" s="34">
        <f>G91/E99</f>
        <v>0.27480512617254593</v>
      </c>
      <c r="I91" s="102">
        <v>7</v>
      </c>
      <c r="J91" s="33">
        <f>COUNTIF('Card Progress'!$D$69:$D$92,I91)</f>
        <v>0</v>
      </c>
      <c r="K91" s="32">
        <f t="shared" si="80"/>
        <v>0</v>
      </c>
      <c r="L91" s="100">
        <f>K91/I99</f>
        <v>0</v>
      </c>
      <c r="M91" s="3"/>
      <c r="N91" s="3"/>
      <c r="O91" s="3"/>
      <c r="P91" s="3"/>
      <c r="Q91" s="78">
        <v>7</v>
      </c>
      <c r="R91" s="18">
        <f t="shared" si="72"/>
        <v>14</v>
      </c>
      <c r="S91" s="29">
        <f t="shared" si="73"/>
        <v>106000</v>
      </c>
      <c r="T91" s="34">
        <f>S91/Q99</f>
        <v>7.5099808353790945E-2</v>
      </c>
      <c r="U91" s="103"/>
      <c r="V91" s="8">
        <v>7</v>
      </c>
      <c r="W91" s="33">
        <f t="shared" si="81"/>
        <v>1</v>
      </c>
      <c r="X91" s="32">
        <f>W91*SUM(B15:B20)</f>
        <v>184000</v>
      </c>
      <c r="Y91" s="34">
        <f>X91/W99</f>
        <v>4.8071584860063354E-2</v>
      </c>
      <c r="Z91" s="102">
        <v>7</v>
      </c>
      <c r="AA91" s="33">
        <f t="shared" si="82"/>
        <v>13</v>
      </c>
      <c r="AB91" s="32">
        <f>AA91*SUM(E15:E18)</f>
        <v>2314000</v>
      </c>
      <c r="AC91" s="34">
        <f>AB91/Z99</f>
        <v>0.5593425187333817</v>
      </c>
      <c r="AD91" s="8">
        <v>7</v>
      </c>
      <c r="AE91" s="33">
        <f t="shared" si="74"/>
        <v>0</v>
      </c>
      <c r="AF91" s="32">
        <f>AE91*SUM(H15)</f>
        <v>0</v>
      </c>
      <c r="AG91" s="34">
        <f>AF91/AD99</f>
        <v>0</v>
      </c>
      <c r="AH91" s="3"/>
      <c r="AI91" s="3"/>
      <c r="AJ91" s="3"/>
      <c r="AK91" s="3"/>
      <c r="AL91" s="78">
        <v>7</v>
      </c>
      <c r="AM91" s="18">
        <f t="shared" si="76"/>
        <v>14</v>
      </c>
      <c r="AN91" s="29">
        <f t="shared" si="77"/>
        <v>2498000</v>
      </c>
      <c r="AO91" s="34">
        <f>AN91/AL99</f>
        <v>0.17152322996506708</v>
      </c>
      <c r="AP91" s="2"/>
      <c r="AQ91" s="33">
        <v>8</v>
      </c>
      <c r="AR91" s="33">
        <v>16</v>
      </c>
      <c r="AS91" s="29">
        <f>SUM($AR$84:AR91)</f>
        <v>72</v>
      </c>
      <c r="AT91" s="33">
        <v>8</v>
      </c>
      <c r="AU91" s="32">
        <v>160</v>
      </c>
      <c r="AV91" s="32">
        <f>SUM($AU$84:AU91)</f>
        <v>720</v>
      </c>
      <c r="AW91" s="33">
        <v>8</v>
      </c>
      <c r="AX91" s="32">
        <v>8000</v>
      </c>
      <c r="AY91" s="32">
        <f>SUM($AX$84:AX91)</f>
        <v>36000</v>
      </c>
      <c r="AZ91" s="2"/>
      <c r="BA91" s="2"/>
      <c r="BB91" s="2"/>
      <c r="BC91" s="33">
        <v>9</v>
      </c>
      <c r="BD91" s="32">
        <v>1350</v>
      </c>
      <c r="BE91" s="80">
        <v>1404</v>
      </c>
      <c r="BF91" s="80">
        <v>209</v>
      </c>
      <c r="BG91" s="80">
        <v>23</v>
      </c>
      <c r="BH91" s="80">
        <v>2</v>
      </c>
      <c r="BI91" s="29">
        <f t="shared" si="63"/>
        <v>234</v>
      </c>
      <c r="BJ91" s="30">
        <f t="shared" si="64"/>
        <v>5599</v>
      </c>
      <c r="BK91" s="18">
        <v>9</v>
      </c>
      <c r="BL91" s="29">
        <f t="shared" si="65"/>
        <v>2700</v>
      </c>
      <c r="BM91" s="29">
        <f t="shared" si="66"/>
        <v>2808</v>
      </c>
      <c r="BN91" s="80">
        <f t="shared" si="67"/>
        <v>418</v>
      </c>
      <c r="BO91" s="80">
        <f t="shared" si="68"/>
        <v>46</v>
      </c>
      <c r="BP91" s="30">
        <f t="shared" si="69"/>
        <v>4</v>
      </c>
      <c r="BQ91" s="80">
        <f t="shared" si="70"/>
        <v>468</v>
      </c>
      <c r="BR91" s="30">
        <f t="shared" si="71"/>
        <v>11198</v>
      </c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80">
        <f>(3*EC79)+(EC80*4)+(EC81)+EC82+(EK84*5)</f>
        <v>2550</v>
      </c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</row>
    <row r="92" spans="1:151" ht="15.75" customHeight="1">
      <c r="A92" s="78">
        <v>8</v>
      </c>
      <c r="B92" s="18">
        <f>COUNTIF('Card Progress'!$D$10:$D$36,A92)</f>
        <v>1</v>
      </c>
      <c r="C92" s="32">
        <f t="shared" si="78"/>
        <v>4000</v>
      </c>
      <c r="D92" s="34">
        <f>C92/B99</f>
        <v>1.2345488495547908E-2</v>
      </c>
      <c r="E92" s="102">
        <v>8</v>
      </c>
      <c r="F92" s="33">
        <f>COUNTIF('Card Progress'!$D$41:$D$64,E92)</f>
        <v>6</v>
      </c>
      <c r="G92" s="32">
        <f t="shared" si="79"/>
        <v>120000</v>
      </c>
      <c r="H92" s="34">
        <f>G92/E99</f>
        <v>0.31708283789139913</v>
      </c>
      <c r="I92" s="106">
        <v>8</v>
      </c>
      <c r="J92" s="55">
        <f>COUNTIF('Card Progress'!$D$69:$D$92,I92)</f>
        <v>0</v>
      </c>
      <c r="K92" s="53">
        <f t="shared" si="80"/>
        <v>0</v>
      </c>
      <c r="L92" s="105">
        <f>K92/I99</f>
        <v>0</v>
      </c>
      <c r="M92" s="3"/>
      <c r="N92" s="3"/>
      <c r="O92" s="3"/>
      <c r="P92" s="3"/>
      <c r="Q92" s="78">
        <v>8</v>
      </c>
      <c r="R92" s="18">
        <f t="shared" si="72"/>
        <v>7</v>
      </c>
      <c r="S92" s="29">
        <f t="shared" si="73"/>
        <v>124000</v>
      </c>
      <c r="T92" s="34">
        <f>S92/Q99</f>
        <v>8.7852605998774314E-2</v>
      </c>
      <c r="U92" s="103"/>
      <c r="V92" s="8">
        <v>8</v>
      </c>
      <c r="W92" s="33">
        <f t="shared" si="81"/>
        <v>1</v>
      </c>
      <c r="X92" s="32">
        <f>W92*SUM(B16:B20)</f>
        <v>182000</v>
      </c>
      <c r="Y92" s="34">
        <f>X92/W99</f>
        <v>4.7549067633323533E-2</v>
      </c>
      <c r="Z92" s="102">
        <v>8</v>
      </c>
      <c r="AA92" s="33">
        <f t="shared" si="82"/>
        <v>6</v>
      </c>
      <c r="AB92" s="32">
        <f>AA92*SUM(E16:E18)</f>
        <v>1020000</v>
      </c>
      <c r="AC92" s="34">
        <f>AB92/Z99</f>
        <v>0.24655547498187091</v>
      </c>
      <c r="AD92" s="5">
        <v>8</v>
      </c>
      <c r="AE92" s="55">
        <f t="shared" si="74"/>
        <v>0</v>
      </c>
      <c r="AF92" s="53">
        <f>AE92*0</f>
        <v>0</v>
      </c>
      <c r="AG92" s="55">
        <f>AF92/AD99</f>
        <v>0</v>
      </c>
      <c r="AH92" s="3"/>
      <c r="AI92" s="3"/>
      <c r="AJ92" s="3"/>
      <c r="AK92" s="3"/>
      <c r="AL92" s="78">
        <v>8</v>
      </c>
      <c r="AM92" s="18">
        <f t="shared" si="76"/>
        <v>7</v>
      </c>
      <c r="AN92" s="29">
        <f t="shared" si="77"/>
        <v>1202000</v>
      </c>
      <c r="AO92" s="34">
        <f>AN92/AL99</f>
        <v>8.2534396484391759E-2</v>
      </c>
      <c r="AP92" s="2"/>
      <c r="AQ92" s="33">
        <v>9</v>
      </c>
      <c r="AR92" s="33">
        <v>18</v>
      </c>
      <c r="AS92" s="29">
        <f>SUM($AR$84:AR92)</f>
        <v>90</v>
      </c>
      <c r="AT92" s="33">
        <v>9</v>
      </c>
      <c r="AU92" s="32">
        <v>180</v>
      </c>
      <c r="AV92" s="32">
        <f>SUM($AU$84:AU92)</f>
        <v>900</v>
      </c>
      <c r="AW92" s="33">
        <v>9</v>
      </c>
      <c r="AX92" s="32">
        <v>9000</v>
      </c>
      <c r="AY92" s="32">
        <f>SUM($AX$84:AX92)</f>
        <v>45000</v>
      </c>
      <c r="AZ92" s="2"/>
      <c r="BA92" s="2"/>
      <c r="BB92" s="2"/>
      <c r="BC92" s="55">
        <v>10</v>
      </c>
      <c r="BD92" s="53">
        <v>1600</v>
      </c>
      <c r="BE92" s="81">
        <v>1620</v>
      </c>
      <c r="BF92" s="81">
        <v>241</v>
      </c>
      <c r="BG92" s="81">
        <v>27</v>
      </c>
      <c r="BH92" s="81">
        <v>2</v>
      </c>
      <c r="BI92" s="57">
        <f t="shared" si="63"/>
        <v>270</v>
      </c>
      <c r="BJ92" s="54">
        <f t="shared" si="64"/>
        <v>6175</v>
      </c>
      <c r="BK92" s="15">
        <v>10</v>
      </c>
      <c r="BL92" s="57">
        <f t="shared" si="65"/>
        <v>3200</v>
      </c>
      <c r="BM92" s="57">
        <f t="shared" si="66"/>
        <v>3240</v>
      </c>
      <c r="BN92" s="81">
        <f t="shared" si="67"/>
        <v>482</v>
      </c>
      <c r="BO92" s="81">
        <f t="shared" si="68"/>
        <v>54</v>
      </c>
      <c r="BP92" s="54">
        <f t="shared" si="69"/>
        <v>4</v>
      </c>
      <c r="BQ92" s="81">
        <f t="shared" si="70"/>
        <v>540</v>
      </c>
      <c r="BR92" s="54">
        <f t="shared" si="71"/>
        <v>12350</v>
      </c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</row>
    <row r="93" spans="1:151" ht="15.75" customHeight="1">
      <c r="A93" s="78">
        <v>9</v>
      </c>
      <c r="B93" s="18">
        <f>COUNTIF('Card Progress'!$D$10:$D$36,A93)</f>
        <v>7</v>
      </c>
      <c r="C93" s="32">
        <f t="shared" si="78"/>
        <v>56000</v>
      </c>
      <c r="D93" s="34">
        <f>C93/B99</f>
        <v>0.17283683893767071</v>
      </c>
      <c r="E93" s="102">
        <v>9</v>
      </c>
      <c r="F93" s="33">
        <f>COUNTIF('Card Progress'!$D$41:$D$64,E93)</f>
        <v>1</v>
      </c>
      <c r="G93" s="32">
        <f t="shared" si="79"/>
        <v>50000</v>
      </c>
      <c r="H93" s="34">
        <f>G93/E99</f>
        <v>0.1321178491214163</v>
      </c>
      <c r="I93" s="80"/>
      <c r="J93" s="6"/>
      <c r="K93" s="80"/>
      <c r="L93" s="6"/>
      <c r="M93" s="3"/>
      <c r="N93" s="3"/>
      <c r="O93" s="3"/>
      <c r="P93" s="3"/>
      <c r="Q93" s="78">
        <v>9</v>
      </c>
      <c r="R93" s="107">
        <f t="shared" si="72"/>
        <v>8</v>
      </c>
      <c r="S93" s="29">
        <f t="shared" si="73"/>
        <v>106000</v>
      </c>
      <c r="T93" s="34">
        <f>S93/Q99</f>
        <v>7.5099808353790945E-2</v>
      </c>
      <c r="U93" s="103"/>
      <c r="V93" s="8">
        <v>9</v>
      </c>
      <c r="W93" s="33">
        <f t="shared" si="81"/>
        <v>7</v>
      </c>
      <c r="X93" s="32">
        <f>W93*SUM(B17:B20)</f>
        <v>1246000</v>
      </c>
      <c r="Y93" s="34">
        <f>X93/W99</f>
        <v>0.32552823225890731</v>
      </c>
      <c r="Z93" s="102">
        <v>9</v>
      </c>
      <c r="AA93" s="33">
        <f t="shared" si="82"/>
        <v>1</v>
      </c>
      <c r="AB93" s="32">
        <f>AA93*SUM(E17:E18)</f>
        <v>150000</v>
      </c>
      <c r="AC93" s="34">
        <f>AB93/Z99</f>
        <v>3.6258158085569252E-2</v>
      </c>
      <c r="AD93" s="3"/>
      <c r="AE93" s="3"/>
      <c r="AF93" s="3"/>
      <c r="AG93" s="3"/>
      <c r="AH93" s="3"/>
      <c r="AI93" s="3"/>
      <c r="AJ93" s="3"/>
      <c r="AK93" s="3"/>
      <c r="AL93" s="78">
        <v>9</v>
      </c>
      <c r="AM93" s="18">
        <f t="shared" si="76"/>
        <v>8</v>
      </c>
      <c r="AN93" s="29">
        <f t="shared" si="77"/>
        <v>1396000</v>
      </c>
      <c r="AO93" s="34">
        <f>AN93/AL99</f>
        <v>9.585525581714717E-2</v>
      </c>
      <c r="AP93" s="2"/>
      <c r="AQ93" s="33">
        <v>10</v>
      </c>
      <c r="AR93" s="33">
        <v>20</v>
      </c>
      <c r="AS93" s="29">
        <f>SUM($AR$84:AR93)</f>
        <v>110</v>
      </c>
      <c r="AT93" s="33">
        <v>10</v>
      </c>
      <c r="AU93" s="32">
        <v>200</v>
      </c>
      <c r="AV93" s="32">
        <f>SUM($AU$84:AU93)</f>
        <v>1100</v>
      </c>
      <c r="AW93" s="33">
        <v>10</v>
      </c>
      <c r="AX93" s="32">
        <v>10000</v>
      </c>
      <c r="AY93" s="32">
        <f>SUM($AX$84:AX93)</f>
        <v>55000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</row>
    <row r="94" spans="1:151" ht="15.75" customHeight="1">
      <c r="A94" s="78">
        <v>10</v>
      </c>
      <c r="B94" s="18">
        <f>COUNTIF('Card Progress'!$D$10:$D$36,A94)</f>
        <v>8</v>
      </c>
      <c r="C94" s="32">
        <f t="shared" si="78"/>
        <v>160000</v>
      </c>
      <c r="D94" s="34">
        <f>C94/B99</f>
        <v>0.49381953982191634</v>
      </c>
      <c r="E94" s="102">
        <v>10</v>
      </c>
      <c r="F94" s="33">
        <f>COUNTIF('Card Progress'!$D$41:$D$64,E94)</f>
        <v>1</v>
      </c>
      <c r="G94" s="32">
        <f t="shared" si="79"/>
        <v>100000</v>
      </c>
      <c r="H94" s="34">
        <f>G94/E99</f>
        <v>0.26423569824283261</v>
      </c>
      <c r="I94" s="80"/>
      <c r="J94" s="6"/>
      <c r="K94" s="80"/>
      <c r="L94" s="6"/>
      <c r="M94" s="3"/>
      <c r="N94" s="3"/>
      <c r="O94" s="3"/>
      <c r="P94" s="3"/>
      <c r="Q94" s="78">
        <v>10</v>
      </c>
      <c r="R94" s="107">
        <f t="shared" si="72"/>
        <v>9</v>
      </c>
      <c r="S94" s="29">
        <f t="shared" si="73"/>
        <v>260000</v>
      </c>
      <c r="T94" s="34">
        <f>S94/Q99</f>
        <v>0.1842070770942042</v>
      </c>
      <c r="U94" s="103"/>
      <c r="V94" s="8">
        <v>10</v>
      </c>
      <c r="W94" s="33">
        <f t="shared" si="81"/>
        <v>8</v>
      </c>
      <c r="X94" s="32">
        <f>W94*SUM(B18:B20)</f>
        <v>1360000</v>
      </c>
      <c r="Y94" s="34">
        <f>X94/W99</f>
        <v>0.355311714183077</v>
      </c>
      <c r="Z94" s="102">
        <v>10</v>
      </c>
      <c r="AA94" s="33">
        <f t="shared" si="82"/>
        <v>1</v>
      </c>
      <c r="AB94" s="32">
        <f>AA94*SUM(E18)</f>
        <v>100000</v>
      </c>
      <c r="AC94" s="34">
        <f>AB94/Z99</f>
        <v>2.4172105390379502E-2</v>
      </c>
      <c r="AD94" s="3"/>
      <c r="AE94" s="3"/>
      <c r="AF94" s="3"/>
      <c r="AG94" s="3"/>
      <c r="AH94" s="3"/>
      <c r="AI94" s="3"/>
      <c r="AJ94" s="3"/>
      <c r="AK94" s="3"/>
      <c r="AL94" s="78">
        <v>10</v>
      </c>
      <c r="AM94" s="18">
        <f t="shared" si="76"/>
        <v>9</v>
      </c>
      <c r="AN94" s="29">
        <f t="shared" si="77"/>
        <v>1460000</v>
      </c>
      <c r="AO94" s="34">
        <f>AN94/AL99</f>
        <v>0.10024976611248916</v>
      </c>
      <c r="AP94" s="2"/>
      <c r="AQ94" s="33">
        <v>11</v>
      </c>
      <c r="AR94" s="33">
        <v>22</v>
      </c>
      <c r="AS94" s="29">
        <f>SUM($AR$84:AR94)</f>
        <v>132</v>
      </c>
      <c r="AT94" s="33">
        <v>11</v>
      </c>
      <c r="AU94" s="32">
        <v>220</v>
      </c>
      <c r="AV94" s="32">
        <f>SUM($AU$84:AU94)</f>
        <v>1320</v>
      </c>
      <c r="AW94" s="131" t="s">
        <v>219</v>
      </c>
      <c r="AX94" s="131"/>
      <c r="AY94" s="131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</row>
    <row r="95" spans="1:151" ht="15.75" customHeight="1">
      <c r="A95" s="78">
        <v>11</v>
      </c>
      <c r="B95" s="18">
        <f>COUNTIF('Card Progress'!$D$10:$D$36,A95)</f>
        <v>2</v>
      </c>
      <c r="C95" s="32">
        <f t="shared" si="78"/>
        <v>100000</v>
      </c>
      <c r="D95" s="34">
        <f>C95/B99</f>
        <v>0.30863721238869768</v>
      </c>
      <c r="E95" s="106">
        <v>11</v>
      </c>
      <c r="F95" s="55">
        <f>COUNTIF('Card Progress'!$D$41:$D$64,E95)</f>
        <v>0</v>
      </c>
      <c r="G95" s="32">
        <f>F95*D19</f>
        <v>0</v>
      </c>
      <c r="H95" s="56">
        <f>G95/E99</f>
        <v>0</v>
      </c>
      <c r="I95" s="80"/>
      <c r="J95" s="6"/>
      <c r="K95" s="80"/>
      <c r="L95" s="6"/>
      <c r="M95" s="3"/>
      <c r="N95" s="3"/>
      <c r="O95" s="3"/>
      <c r="P95" s="3"/>
      <c r="Q95" s="78">
        <v>11</v>
      </c>
      <c r="R95" s="107">
        <f t="shared" si="72"/>
        <v>2</v>
      </c>
      <c r="S95" s="29">
        <f t="shared" si="73"/>
        <v>100000</v>
      </c>
      <c r="T95" s="34">
        <f>S95/Q99</f>
        <v>7.084887580546316E-2</v>
      </c>
      <c r="U95" s="103"/>
      <c r="V95" s="8">
        <v>11</v>
      </c>
      <c r="W95" s="33">
        <f t="shared" si="81"/>
        <v>2</v>
      </c>
      <c r="X95" s="32">
        <f>W95*SUM(B19:B20)</f>
        <v>300000</v>
      </c>
      <c r="Y95" s="34">
        <f>X95/W99</f>
        <v>7.8377584010972862E-2</v>
      </c>
      <c r="Z95" s="106">
        <v>11</v>
      </c>
      <c r="AA95" s="55">
        <f t="shared" si="82"/>
        <v>0</v>
      </c>
      <c r="AB95" s="53">
        <f>AA95*0</f>
        <v>0</v>
      </c>
      <c r="AC95" s="56">
        <f>AB95/Z99</f>
        <v>0</v>
      </c>
      <c r="AD95" s="3"/>
      <c r="AE95" s="3"/>
      <c r="AF95" s="3"/>
      <c r="AG95" s="3"/>
      <c r="AH95" s="3"/>
      <c r="AI95" s="3"/>
      <c r="AJ95" s="3"/>
      <c r="AK95" s="3"/>
      <c r="AL95" s="78">
        <v>11</v>
      </c>
      <c r="AM95" s="18">
        <f t="shared" si="76"/>
        <v>2</v>
      </c>
      <c r="AN95" s="29">
        <f t="shared" si="77"/>
        <v>300000</v>
      </c>
      <c r="AO95" s="34">
        <f>AN95/AL99</f>
        <v>2.059926700941558E-2</v>
      </c>
      <c r="AP95" s="2"/>
      <c r="AQ95" s="33">
        <v>12</v>
      </c>
      <c r="AR95" s="33">
        <v>24</v>
      </c>
      <c r="AS95" s="29">
        <f>SUM($AR$84:AR95)</f>
        <v>156</v>
      </c>
      <c r="AT95" s="33">
        <v>12</v>
      </c>
      <c r="AU95" s="32">
        <v>240</v>
      </c>
      <c r="AV95" s="32">
        <f>SUM($AU$84:AU95)</f>
        <v>1560</v>
      </c>
      <c r="AW95" s="104"/>
      <c r="AX95" s="84" t="s">
        <v>222</v>
      </c>
      <c r="AY95" s="79" t="s">
        <v>223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</row>
    <row r="96" spans="1:151" ht="15.75" customHeight="1">
      <c r="A96" s="78">
        <v>12</v>
      </c>
      <c r="B96" s="18">
        <f>COUNTIF('Card Progress'!$D$10:$D$36,A96)</f>
        <v>0</v>
      </c>
      <c r="C96" s="32">
        <f t="shared" si="78"/>
        <v>0</v>
      </c>
      <c r="D96" s="34">
        <f>C96/B99</f>
        <v>0</v>
      </c>
      <c r="E96" s="80"/>
      <c r="F96" s="6"/>
      <c r="G96" s="108"/>
      <c r="H96" s="3"/>
      <c r="I96" s="80"/>
      <c r="J96" s="6"/>
      <c r="K96" s="80"/>
      <c r="L96" s="6"/>
      <c r="M96" s="3"/>
      <c r="N96" s="3"/>
      <c r="O96" s="3"/>
      <c r="P96" s="3"/>
      <c r="Q96" s="78">
        <v>12</v>
      </c>
      <c r="R96" s="107">
        <f>B96+F96+J96+N96</f>
        <v>0</v>
      </c>
      <c r="S96" s="29">
        <f>C96++K96+O96</f>
        <v>0</v>
      </c>
      <c r="T96" s="34">
        <f>S96/Q99</f>
        <v>0</v>
      </c>
      <c r="U96" s="103"/>
      <c r="V96" s="8">
        <v>12</v>
      </c>
      <c r="W96" s="33">
        <f t="shared" si="81"/>
        <v>0</v>
      </c>
      <c r="X96" s="32">
        <f>W96*SUM(B20)</f>
        <v>0</v>
      </c>
      <c r="Y96" s="34">
        <f>X96/W99</f>
        <v>0</v>
      </c>
      <c r="Z96" s="1"/>
      <c r="AA96" s="3"/>
      <c r="AB96" s="80"/>
      <c r="AC96" s="6"/>
      <c r="AD96" s="3"/>
      <c r="AE96" s="3"/>
      <c r="AF96" s="3"/>
      <c r="AG96" s="3"/>
      <c r="AH96" s="3"/>
      <c r="AI96" s="3"/>
      <c r="AJ96" s="3"/>
      <c r="AK96" s="3"/>
      <c r="AL96" s="78">
        <v>12</v>
      </c>
      <c r="AM96" s="18">
        <f t="shared" si="76"/>
        <v>0</v>
      </c>
      <c r="AN96" s="29">
        <f t="shared" si="77"/>
        <v>0</v>
      </c>
      <c r="AO96" s="34">
        <f>AN96/AL99</f>
        <v>0</v>
      </c>
      <c r="AP96" s="2"/>
      <c r="AQ96" s="33">
        <v>13</v>
      </c>
      <c r="AR96" s="33">
        <v>26</v>
      </c>
      <c r="AS96" s="29">
        <f>SUM($AR$84:AR96)</f>
        <v>182</v>
      </c>
      <c r="AT96" s="33">
        <v>13</v>
      </c>
      <c r="AU96" s="32">
        <v>260</v>
      </c>
      <c r="AV96" s="32">
        <f>SUM($AU$84:AU96)</f>
        <v>1820</v>
      </c>
      <c r="AW96" s="15">
        <v>2</v>
      </c>
      <c r="AX96" s="81">
        <f>1000*AW96</f>
        <v>2000</v>
      </c>
      <c r="AY96" s="54">
        <f>500*AW96*(AW96+1)</f>
        <v>3000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</row>
    <row r="97" spans="1:151" ht="15.75" customHeight="1">
      <c r="A97" s="109">
        <v>13</v>
      </c>
      <c r="B97" s="18">
        <f>COUNTIF('Card Progress'!$D$10:$D$36,A97)</f>
        <v>5</v>
      </c>
      <c r="C97" s="53">
        <f>B97*0</f>
        <v>0</v>
      </c>
      <c r="D97" s="56">
        <f>C97/B99</f>
        <v>0</v>
      </c>
      <c r="E97" s="80"/>
      <c r="F97" s="6"/>
      <c r="G97" s="80"/>
      <c r="H97" s="3"/>
      <c r="I97" s="80"/>
      <c r="J97" s="6"/>
      <c r="K97" s="80"/>
      <c r="L97" s="6"/>
      <c r="M97" s="3"/>
      <c r="N97" s="3"/>
      <c r="O97" s="3"/>
      <c r="P97" s="3"/>
      <c r="Q97" s="109">
        <v>13</v>
      </c>
      <c r="R97" s="107">
        <f>B97+F97+J97+N97</f>
        <v>5</v>
      </c>
      <c r="S97" s="29">
        <f>C97+G97+K97+O97</f>
        <v>0</v>
      </c>
      <c r="T97" s="56">
        <f>S97/Q99</f>
        <v>0</v>
      </c>
      <c r="U97" s="110"/>
      <c r="V97" s="5">
        <v>13</v>
      </c>
      <c r="W97" s="55">
        <f t="shared" si="81"/>
        <v>5</v>
      </c>
      <c r="X97" s="53">
        <f>W97*0</f>
        <v>0</v>
      </c>
      <c r="Y97" s="56">
        <f>X97/W99</f>
        <v>0</v>
      </c>
      <c r="Z97" s="1"/>
      <c r="AA97" s="3"/>
      <c r="AB97" s="80"/>
      <c r="AC97" s="6"/>
      <c r="AD97" s="3"/>
      <c r="AE97" s="3"/>
      <c r="AF97" s="3"/>
      <c r="AG97" s="3"/>
      <c r="AH97" s="3"/>
      <c r="AI97" s="3"/>
      <c r="AJ97" s="3"/>
      <c r="AK97" s="3"/>
      <c r="AL97" s="109">
        <v>13</v>
      </c>
      <c r="AM97" s="18">
        <f t="shared" si="76"/>
        <v>5</v>
      </c>
      <c r="AN97" s="29">
        <f t="shared" si="77"/>
        <v>0</v>
      </c>
      <c r="AO97" s="56">
        <f>AN97/AL99</f>
        <v>0</v>
      </c>
      <c r="AP97" s="2"/>
      <c r="AQ97" s="33">
        <v>14</v>
      </c>
      <c r="AR97" s="33">
        <v>28</v>
      </c>
      <c r="AS97" s="29">
        <f>SUM($AR$84:AR97)</f>
        <v>210</v>
      </c>
      <c r="AT97" s="33">
        <v>14</v>
      </c>
      <c r="AU97" s="32">
        <v>280</v>
      </c>
      <c r="AV97" s="32">
        <f>SUM($AU$84:AU97)</f>
        <v>2100</v>
      </c>
      <c r="AW97" s="2"/>
      <c r="AX97" s="111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</row>
    <row r="98" spans="1:151" ht="15.75" customHeight="1">
      <c r="A98" s="12" t="s">
        <v>224</v>
      </c>
      <c r="B98" s="131">
        <f>SUM(B85:B97)</f>
        <v>27</v>
      </c>
      <c r="C98" s="131"/>
      <c r="D98" s="131"/>
      <c r="E98" s="131">
        <f>SUM(F85:F95)</f>
        <v>24</v>
      </c>
      <c r="F98" s="131"/>
      <c r="G98" s="131"/>
      <c r="H98" s="131"/>
      <c r="I98" s="131">
        <f>SUM(J85:J92)</f>
        <v>24</v>
      </c>
      <c r="J98" s="131"/>
      <c r="K98" s="131"/>
      <c r="L98" s="131"/>
      <c r="M98" s="131">
        <f>SUM(N85:N89)</f>
        <v>11</v>
      </c>
      <c r="N98" s="131"/>
      <c r="O98" s="131"/>
      <c r="P98" s="131"/>
      <c r="Q98" s="131">
        <f>SUM(R85:R97)</f>
        <v>86</v>
      </c>
      <c r="R98" s="131"/>
      <c r="S98" s="131"/>
      <c r="T98" s="131"/>
      <c r="U98" s="112"/>
      <c r="V98" s="27" t="s">
        <v>224</v>
      </c>
      <c r="W98" s="152">
        <f>SUM(W84:W97)</f>
        <v>27</v>
      </c>
      <c r="X98" s="152"/>
      <c r="Y98" s="152"/>
      <c r="Z98" s="131">
        <f>SUM(AA84:AA95)</f>
        <v>24</v>
      </c>
      <c r="AA98" s="131"/>
      <c r="AB98" s="131"/>
      <c r="AC98" s="131"/>
      <c r="AD98" s="131">
        <f>SUM(AE84:AE92)</f>
        <v>24</v>
      </c>
      <c r="AE98" s="131"/>
      <c r="AF98" s="131"/>
      <c r="AG98" s="131"/>
      <c r="AH98" s="131">
        <f>SUM(AI84:AI92)</f>
        <v>15</v>
      </c>
      <c r="AI98" s="131"/>
      <c r="AJ98" s="131"/>
      <c r="AK98" s="131"/>
      <c r="AL98" s="131">
        <f>SUM(AM84:AM97)</f>
        <v>90</v>
      </c>
      <c r="AM98" s="131"/>
      <c r="AN98" s="131"/>
      <c r="AO98" s="131"/>
      <c r="AP98" s="2"/>
      <c r="AQ98" s="33">
        <v>15</v>
      </c>
      <c r="AR98" s="33">
        <v>30</v>
      </c>
      <c r="AS98" s="29">
        <f>SUM($AR$84:AR98)</f>
        <v>240</v>
      </c>
      <c r="AT98" s="33">
        <v>15</v>
      </c>
      <c r="AU98" s="32">
        <v>300</v>
      </c>
      <c r="AV98" s="32">
        <f>SUM($AU$84:AU98)</f>
        <v>2400</v>
      </c>
      <c r="AW98" s="2"/>
      <c r="AX98" s="131" t="s">
        <v>225</v>
      </c>
      <c r="AY98" s="131"/>
      <c r="AZ98" s="131"/>
      <c r="BA98" s="131"/>
      <c r="BB98" s="131"/>
      <c r="BC98" s="131"/>
      <c r="BD98" s="131"/>
      <c r="BE98" s="131"/>
      <c r="BF98" s="131"/>
      <c r="BG98" s="131"/>
      <c r="BH98" s="131"/>
      <c r="BI98" s="2"/>
      <c r="BJ98" s="2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</row>
    <row r="99" spans="1:151" ht="15.75" customHeight="1">
      <c r="A99" s="15" t="s">
        <v>112</v>
      </c>
      <c r="B99" s="153">
        <f>SUM(C84:C97)</f>
        <v>324005</v>
      </c>
      <c r="C99" s="153"/>
      <c r="D99" s="153"/>
      <c r="E99" s="153">
        <f>SUM(G84:G95)</f>
        <v>378450</v>
      </c>
      <c r="F99" s="153"/>
      <c r="G99" s="153"/>
      <c r="H99" s="153"/>
      <c r="I99" s="154">
        <f>SUM(K84:K92)</f>
        <v>624000</v>
      </c>
      <c r="J99" s="154"/>
      <c r="K99" s="154"/>
      <c r="L99" s="154"/>
      <c r="M99" s="153">
        <f>SUM(O84:O89)</f>
        <v>85000</v>
      </c>
      <c r="N99" s="153"/>
      <c r="O99" s="153"/>
      <c r="P99" s="153"/>
      <c r="Q99" s="155">
        <f>SUM(S84:S97)</f>
        <v>1411455</v>
      </c>
      <c r="R99" s="155"/>
      <c r="S99" s="155"/>
      <c r="T99" s="155"/>
      <c r="U99" s="113"/>
      <c r="V99" s="55" t="s">
        <v>112</v>
      </c>
      <c r="W99" s="153">
        <f>SUM(X84:X97)</f>
        <v>3827625</v>
      </c>
      <c r="X99" s="153"/>
      <c r="Y99" s="153"/>
      <c r="Z99" s="153">
        <f>SUM(AB84:AB95)</f>
        <v>4137000</v>
      </c>
      <c r="AA99" s="153"/>
      <c r="AB99" s="153"/>
      <c r="AC99" s="153"/>
      <c r="AD99" s="153">
        <f>SUM(AF84:AF92)</f>
        <v>3984000</v>
      </c>
      <c r="AE99" s="153"/>
      <c r="AF99" s="153"/>
      <c r="AG99" s="153"/>
      <c r="AH99" s="153">
        <f>SUM(AJ84:AJ89)</f>
        <v>2615000</v>
      </c>
      <c r="AI99" s="153"/>
      <c r="AJ99" s="153"/>
      <c r="AK99" s="153"/>
      <c r="AL99" s="155">
        <f>SUM(AN84:AN97)</f>
        <v>14563625</v>
      </c>
      <c r="AM99" s="155"/>
      <c r="AN99" s="155"/>
      <c r="AO99" s="155"/>
      <c r="AP99" s="2"/>
      <c r="AQ99" s="33">
        <v>16</v>
      </c>
      <c r="AR99" s="33">
        <v>32</v>
      </c>
      <c r="AS99" s="29">
        <f>SUM($AR$84:AR99)</f>
        <v>272</v>
      </c>
      <c r="AT99" s="33">
        <v>16</v>
      </c>
      <c r="AU99" s="32">
        <v>320</v>
      </c>
      <c r="AV99" s="32">
        <f>SUM($AU$84:AU99)</f>
        <v>2720</v>
      </c>
      <c r="AW99" s="2"/>
      <c r="AX99" s="131" t="s">
        <v>226</v>
      </c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2"/>
      <c r="BJ99" s="2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</row>
    <row r="100" spans="1:151" ht="15.75" customHeight="1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14"/>
      <c r="V100" s="115" t="s">
        <v>4</v>
      </c>
      <c r="W100" s="153">
        <f>W99+Z99+AD99+AH99</f>
        <v>14563625</v>
      </c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2"/>
      <c r="AQ100" s="33">
        <v>17</v>
      </c>
      <c r="AR100" s="33">
        <v>34</v>
      </c>
      <c r="AS100" s="29">
        <f>SUM($AR$84:AR100)</f>
        <v>306</v>
      </c>
      <c r="AT100" s="33">
        <v>17</v>
      </c>
      <c r="AU100" s="32">
        <v>340</v>
      </c>
      <c r="AV100" s="32">
        <f>SUM($AU$84:AU100)</f>
        <v>3060</v>
      </c>
      <c r="AW100" s="2"/>
      <c r="AX100" s="7" t="s">
        <v>227</v>
      </c>
      <c r="AY100" s="7" t="s">
        <v>78</v>
      </c>
      <c r="AZ100" s="7" t="s">
        <v>40</v>
      </c>
      <c r="BA100" s="7" t="s">
        <v>228</v>
      </c>
      <c r="BB100" s="7" t="s">
        <v>229</v>
      </c>
      <c r="BC100" s="7" t="s">
        <v>230</v>
      </c>
      <c r="BD100" s="7" t="s">
        <v>49</v>
      </c>
      <c r="BE100" s="7" t="s">
        <v>231</v>
      </c>
      <c r="BF100" s="7" t="s">
        <v>232</v>
      </c>
      <c r="BG100" s="7" t="s">
        <v>233</v>
      </c>
      <c r="BH100" s="7" t="s">
        <v>234</v>
      </c>
      <c r="BI100" s="2"/>
      <c r="BJ100" s="2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</row>
    <row r="101" spans="1:151" ht="15.75" customHeight="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2"/>
      <c r="AQ101" s="33">
        <v>18</v>
      </c>
      <c r="AR101" s="33">
        <v>36</v>
      </c>
      <c r="AS101" s="29">
        <f>SUM($AR$84:AR101)</f>
        <v>342</v>
      </c>
      <c r="AT101" s="33">
        <v>18</v>
      </c>
      <c r="AU101" s="32">
        <v>360</v>
      </c>
      <c r="AV101" s="32">
        <f>SUM($AU$84:AU101)</f>
        <v>3420</v>
      </c>
      <c r="AW101" s="2"/>
      <c r="AX101" s="27">
        <v>1</v>
      </c>
      <c r="AY101" s="25">
        <v>1890</v>
      </c>
      <c r="AZ101" s="25">
        <f>SUM(BA101:BC101)</f>
        <v>270</v>
      </c>
      <c r="BA101" s="25">
        <v>210</v>
      </c>
      <c r="BB101" s="25">
        <v>54</v>
      </c>
      <c r="BC101" s="25">
        <v>6</v>
      </c>
      <c r="BD101" s="28">
        <v>0.1</v>
      </c>
      <c r="BE101" s="25">
        <f>AY101+(BA101*$O$3)+(BB101*$P$3)+(BC101*$Q$3)</f>
        <v>8640</v>
      </c>
      <c r="BF101" s="27">
        <v>100</v>
      </c>
      <c r="BG101" s="27">
        <v>200</v>
      </c>
      <c r="BH101" s="25">
        <f>BE101+$BG$105</f>
        <v>12140</v>
      </c>
      <c r="BI101" s="2"/>
      <c r="BJ101" s="2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</row>
    <row r="102" spans="1:151" ht="15.75" customHeight="1">
      <c r="A102" s="131" t="s">
        <v>235</v>
      </c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14"/>
      <c r="V102" s="131" t="s">
        <v>236</v>
      </c>
      <c r="W102" s="131"/>
      <c r="X102" s="131"/>
      <c r="Y102" s="131"/>
      <c r="Z102" s="131"/>
      <c r="AA102" s="131"/>
      <c r="AB102" s="131"/>
      <c r="AC102" s="131"/>
      <c r="AD102" s="131"/>
      <c r="AE102" s="131"/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2"/>
      <c r="AQ102" s="33">
        <v>19</v>
      </c>
      <c r="AR102" s="33">
        <v>38</v>
      </c>
      <c r="AS102" s="29">
        <f>SUM($AR$84:AR102)</f>
        <v>380</v>
      </c>
      <c r="AT102" s="33">
        <v>19</v>
      </c>
      <c r="AU102" s="32">
        <v>380</v>
      </c>
      <c r="AV102" s="32">
        <f>SUM($AU$84:AU102)</f>
        <v>3800</v>
      </c>
      <c r="AW102" s="2"/>
      <c r="AX102" s="33">
        <v>2</v>
      </c>
      <c r="AY102" s="32">
        <v>1470</v>
      </c>
      <c r="AZ102" s="32">
        <f>SUM(BA102:BC102)</f>
        <v>210</v>
      </c>
      <c r="BA102" s="32">
        <v>163</v>
      </c>
      <c r="BB102" s="32">
        <v>42</v>
      </c>
      <c r="BC102" s="32">
        <v>5</v>
      </c>
      <c r="BD102" s="34">
        <v>0</v>
      </c>
      <c r="BE102" s="32">
        <f>AY102+(BA102*$O$3)+(BB102*$P$3)+(BC102*$Q$3)</f>
        <v>6885</v>
      </c>
      <c r="BF102" s="33" t="s">
        <v>237</v>
      </c>
      <c r="BG102" s="33" t="s">
        <v>238</v>
      </c>
      <c r="BH102" s="32">
        <f>BE102+$BG$105</f>
        <v>10385</v>
      </c>
      <c r="BI102" s="2"/>
      <c r="BJ102" s="2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</row>
    <row r="103" spans="1:151" ht="15.75" customHeight="1">
      <c r="A103" s="131" t="s">
        <v>48</v>
      </c>
      <c r="B103" s="131"/>
      <c r="C103" s="131"/>
      <c r="D103" s="131"/>
      <c r="E103" s="131" t="s">
        <v>209</v>
      </c>
      <c r="F103" s="131"/>
      <c r="G103" s="131"/>
      <c r="H103" s="131"/>
      <c r="I103" s="131" t="s">
        <v>210</v>
      </c>
      <c r="J103" s="131"/>
      <c r="K103" s="131"/>
      <c r="L103" s="131"/>
      <c r="M103" s="131" t="s">
        <v>3</v>
      </c>
      <c r="N103" s="131"/>
      <c r="O103" s="131"/>
      <c r="P103" s="131"/>
      <c r="Q103" s="131" t="s">
        <v>65</v>
      </c>
      <c r="R103" s="131"/>
      <c r="S103" s="131"/>
      <c r="T103" s="131"/>
      <c r="U103" s="114"/>
      <c r="V103" s="131" t="s">
        <v>48</v>
      </c>
      <c r="W103" s="131"/>
      <c r="X103" s="131"/>
      <c r="Y103" s="131"/>
      <c r="Z103" s="131" t="s">
        <v>209</v>
      </c>
      <c r="AA103" s="131"/>
      <c r="AB103" s="131"/>
      <c r="AC103" s="131"/>
      <c r="AD103" s="131" t="s">
        <v>210</v>
      </c>
      <c r="AE103" s="131"/>
      <c r="AF103" s="131"/>
      <c r="AG103" s="131"/>
      <c r="AH103" s="131" t="s">
        <v>3</v>
      </c>
      <c r="AI103" s="131"/>
      <c r="AJ103" s="131"/>
      <c r="AK103" s="131"/>
      <c r="AL103" s="131" t="s">
        <v>65</v>
      </c>
      <c r="AM103" s="131"/>
      <c r="AN103" s="131"/>
      <c r="AO103" s="131"/>
      <c r="AP103" s="2"/>
      <c r="AQ103" s="33">
        <v>20</v>
      </c>
      <c r="AR103" s="33">
        <v>40</v>
      </c>
      <c r="AS103" s="29">
        <f>SUM($AR$84:AR103)</f>
        <v>420</v>
      </c>
      <c r="AT103" s="33">
        <v>20</v>
      </c>
      <c r="AU103" s="32">
        <v>400</v>
      </c>
      <c r="AV103" s="32">
        <f>SUM($AU$84:AU103)</f>
        <v>4200</v>
      </c>
      <c r="AW103" s="2"/>
      <c r="AX103" s="33">
        <v>3</v>
      </c>
      <c r="AY103" s="32">
        <v>1050</v>
      </c>
      <c r="AZ103" s="32">
        <f>SUM(BA103:BC103)</f>
        <v>150</v>
      </c>
      <c r="BA103" s="32">
        <v>117</v>
      </c>
      <c r="BB103" s="32">
        <v>30</v>
      </c>
      <c r="BC103" s="32">
        <v>3</v>
      </c>
      <c r="BD103" s="34">
        <v>0</v>
      </c>
      <c r="BE103" s="32">
        <f>AY103+(BA103*$O$3)+(BB103*$P$3)+(BC103*$Q$3)</f>
        <v>4635</v>
      </c>
      <c r="BF103" s="33">
        <v>21</v>
      </c>
      <c r="BG103" s="33">
        <v>7</v>
      </c>
      <c r="BH103" s="32">
        <f>BE103+$BG$105</f>
        <v>8135</v>
      </c>
      <c r="BI103" s="2"/>
      <c r="BJ103" s="2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</row>
    <row r="104" spans="1:151" ht="15.75" customHeight="1">
      <c r="A104" s="4" t="s">
        <v>215</v>
      </c>
      <c r="B104" s="36" t="s">
        <v>188</v>
      </c>
      <c r="C104" s="4" t="s">
        <v>78</v>
      </c>
      <c r="D104" s="11" t="s">
        <v>69</v>
      </c>
      <c r="E104" s="9" t="s">
        <v>215</v>
      </c>
      <c r="F104" s="9" t="s">
        <v>188</v>
      </c>
      <c r="G104" s="9" t="s">
        <v>78</v>
      </c>
      <c r="H104" s="77" t="s">
        <v>69</v>
      </c>
      <c r="I104" s="4" t="s">
        <v>215</v>
      </c>
      <c r="J104" s="4" t="s">
        <v>188</v>
      </c>
      <c r="K104" s="4" t="s">
        <v>78</v>
      </c>
      <c r="L104" s="4" t="s">
        <v>69</v>
      </c>
      <c r="M104" s="116" t="s">
        <v>215</v>
      </c>
      <c r="N104" s="77" t="s">
        <v>188</v>
      </c>
      <c r="O104" s="9" t="s">
        <v>78</v>
      </c>
      <c r="P104" s="116" t="s">
        <v>69</v>
      </c>
      <c r="Q104" s="4" t="s">
        <v>215</v>
      </c>
      <c r="R104" s="36" t="s">
        <v>188</v>
      </c>
      <c r="S104" s="4" t="s">
        <v>78</v>
      </c>
      <c r="T104" s="11" t="s">
        <v>69</v>
      </c>
      <c r="U104" s="114"/>
      <c r="V104" s="4" t="s">
        <v>215</v>
      </c>
      <c r="W104" s="4" t="s">
        <v>188</v>
      </c>
      <c r="X104" s="4" t="s">
        <v>78</v>
      </c>
      <c r="Y104" s="11" t="s">
        <v>69</v>
      </c>
      <c r="Z104" s="9" t="s">
        <v>215</v>
      </c>
      <c r="AA104" s="9" t="s">
        <v>188</v>
      </c>
      <c r="AB104" s="9" t="s">
        <v>78</v>
      </c>
      <c r="AC104" s="99" t="s">
        <v>69</v>
      </c>
      <c r="AD104" s="4" t="s">
        <v>215</v>
      </c>
      <c r="AE104" s="4" t="s">
        <v>188</v>
      </c>
      <c r="AF104" s="4" t="s">
        <v>78</v>
      </c>
      <c r="AG104" s="11" t="s">
        <v>69</v>
      </c>
      <c r="AH104" s="11" t="s">
        <v>215</v>
      </c>
      <c r="AI104" s="4" t="s">
        <v>188</v>
      </c>
      <c r="AJ104" s="4" t="s">
        <v>78</v>
      </c>
      <c r="AK104" s="11" t="s">
        <v>69</v>
      </c>
      <c r="AL104" s="4" t="s">
        <v>215</v>
      </c>
      <c r="AM104" s="36" t="s">
        <v>188</v>
      </c>
      <c r="AN104" s="4" t="s">
        <v>78</v>
      </c>
      <c r="AO104" s="4" t="s">
        <v>69</v>
      </c>
      <c r="AP104" s="2"/>
      <c r="AQ104" s="33">
        <v>21</v>
      </c>
      <c r="AR104" s="33">
        <v>42</v>
      </c>
      <c r="AS104" s="29">
        <f>SUM($AR$84:AR104)</f>
        <v>462</v>
      </c>
      <c r="AT104" s="33">
        <v>21</v>
      </c>
      <c r="AU104" s="32">
        <v>420</v>
      </c>
      <c r="AV104" s="32">
        <f>SUM($AU$84:AU104)</f>
        <v>4620</v>
      </c>
      <c r="AW104" s="2"/>
      <c r="AX104" s="33">
        <v>4</v>
      </c>
      <c r="AY104" s="32">
        <v>630</v>
      </c>
      <c r="AZ104" s="32">
        <f>SUM(BA104:BC104)</f>
        <v>90</v>
      </c>
      <c r="BA104" s="32">
        <v>70</v>
      </c>
      <c r="BB104" s="32">
        <v>18</v>
      </c>
      <c r="BC104" s="32">
        <v>2</v>
      </c>
      <c r="BD104" s="34">
        <v>0</v>
      </c>
      <c r="BE104" s="32">
        <f>AY104+(BA104*$O$3)+(BB104*$P$3)+(BC104*$Q$3)</f>
        <v>2880</v>
      </c>
      <c r="BF104" s="32">
        <f>BF103*BF101</f>
        <v>2100</v>
      </c>
      <c r="BG104" s="32">
        <f>BG103*BG101</f>
        <v>1400</v>
      </c>
      <c r="BH104" s="32">
        <f>BE104+$BG$105</f>
        <v>6380</v>
      </c>
      <c r="BI104" s="2"/>
      <c r="BJ104" s="2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</row>
    <row r="105" spans="1:151" ht="15.75" customHeight="1">
      <c r="A105" s="77">
        <v>0</v>
      </c>
      <c r="B105" s="18">
        <f t="shared" ref="B105:B113" si="83">B84</f>
        <v>0</v>
      </c>
      <c r="C105" s="98">
        <f>B105*0</f>
        <v>0</v>
      </c>
      <c r="D105" s="28">
        <f>C105/B116</f>
        <v>0</v>
      </c>
      <c r="E105" s="116">
        <v>0</v>
      </c>
      <c r="F105" s="27">
        <f>F84</f>
        <v>0</v>
      </c>
      <c r="G105" s="117">
        <f>F105*0</f>
        <v>0</v>
      </c>
      <c r="H105" s="118">
        <f>G105/E116</f>
        <v>0</v>
      </c>
      <c r="I105" s="102">
        <v>0</v>
      </c>
      <c r="J105" s="33">
        <f>J84</f>
        <v>0</v>
      </c>
      <c r="K105" s="32">
        <f>J105*0</f>
        <v>0</v>
      </c>
      <c r="L105" s="34" t="e">
        <f>K105/I116</f>
        <v>#DIV/0!</v>
      </c>
      <c r="M105" s="77">
        <v>0</v>
      </c>
      <c r="N105" s="12">
        <f>N84</f>
        <v>4</v>
      </c>
      <c r="O105" s="25">
        <f>N105*0.00000001</f>
        <v>4.0000000000000001E-8</v>
      </c>
      <c r="P105" s="118">
        <f>O105/M116</f>
        <v>1</v>
      </c>
      <c r="Q105" s="77">
        <v>0</v>
      </c>
      <c r="R105" s="18">
        <f t="shared" ref="R105:S107" si="84">B105+F105+J105+N105</f>
        <v>4</v>
      </c>
      <c r="S105" s="29">
        <f t="shared" si="84"/>
        <v>4.0000000000000001E-8</v>
      </c>
      <c r="T105" s="28">
        <f>S105/Q116</f>
        <v>3.211561621828305E-12</v>
      </c>
      <c r="U105" s="114"/>
      <c r="V105" s="9">
        <v>0</v>
      </c>
      <c r="W105" s="27">
        <v>0</v>
      </c>
      <c r="X105" s="25">
        <f>W105*SUM(B8:B16)</f>
        <v>0</v>
      </c>
      <c r="Y105" s="28">
        <f>X105/W116</f>
        <v>0</v>
      </c>
      <c r="Z105" s="77">
        <v>0</v>
      </c>
      <c r="AA105" s="12">
        <v>0</v>
      </c>
      <c r="AB105" s="25">
        <f>AA105*SUM(E8,E14)</f>
        <v>0</v>
      </c>
      <c r="AC105" s="118">
        <f>AB105/Z116</f>
        <v>0</v>
      </c>
      <c r="AD105" s="9">
        <v>0</v>
      </c>
      <c r="AE105" s="27">
        <v>0</v>
      </c>
      <c r="AF105" s="25">
        <f>AE105*SUM(H8:H11)</f>
        <v>0</v>
      </c>
      <c r="AG105" s="27" t="e">
        <f>AF105/AD116</f>
        <v>#DIV/0!</v>
      </c>
      <c r="AH105" s="99">
        <v>0</v>
      </c>
      <c r="AI105" s="33">
        <f>N105</f>
        <v>4</v>
      </c>
      <c r="AJ105" s="32">
        <f>AI105*0.000001</f>
        <v>3.9999999999999998E-6</v>
      </c>
      <c r="AK105" s="119">
        <f>AJ105/AH116</f>
        <v>1</v>
      </c>
      <c r="AL105" s="77">
        <v>0</v>
      </c>
      <c r="AM105" s="12">
        <f>W105+AA105+AE105+AI105</f>
        <v>4</v>
      </c>
      <c r="AN105" s="91">
        <f>X105+AB105+AF105+AJ105</f>
        <v>3.9999999999999998E-6</v>
      </c>
      <c r="AO105" s="28">
        <f>AN105/AL116</f>
        <v>7.9012345672769383E-11</v>
      </c>
      <c r="AP105" s="2"/>
      <c r="AQ105" s="33">
        <v>22</v>
      </c>
      <c r="AR105" s="33">
        <v>44</v>
      </c>
      <c r="AS105" s="29">
        <f>SUM($AR$84:AR105)</f>
        <v>506</v>
      </c>
      <c r="AT105" s="33">
        <v>22</v>
      </c>
      <c r="AU105" s="32">
        <v>440</v>
      </c>
      <c r="AV105" s="32">
        <f>SUM($AU$84:AU105)</f>
        <v>5060</v>
      </c>
      <c r="AW105" s="2"/>
      <c r="AX105" s="55">
        <v>5</v>
      </c>
      <c r="AY105" s="53">
        <v>630</v>
      </c>
      <c r="AZ105" s="53">
        <f>SUM(BA105:BC105)</f>
        <v>90</v>
      </c>
      <c r="BA105" s="53">
        <v>70</v>
      </c>
      <c r="BB105" s="53">
        <v>18</v>
      </c>
      <c r="BC105" s="53">
        <v>2</v>
      </c>
      <c r="BD105" s="56">
        <v>0</v>
      </c>
      <c r="BE105" s="53">
        <f>AY105+(BA105*$O$3)+(BB105*$P$3)+(BC105*$Q$3)</f>
        <v>2880</v>
      </c>
      <c r="BF105" s="55" t="s">
        <v>239</v>
      </c>
      <c r="BG105" s="53">
        <f>BF104+BG104</f>
        <v>3500</v>
      </c>
      <c r="BH105" s="53">
        <f>BE105+$BG$105</f>
        <v>6380</v>
      </c>
      <c r="BI105" s="2"/>
      <c r="BJ105" s="2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</row>
    <row r="106" spans="1:151" ht="15.75" customHeight="1">
      <c r="A106" s="78">
        <v>1</v>
      </c>
      <c r="B106" s="18">
        <f t="shared" si="83"/>
        <v>1</v>
      </c>
      <c r="C106" s="32">
        <f t="shared" ref="C106:C113" si="85">B106*B9</f>
        <v>5</v>
      </c>
      <c r="D106" s="34">
        <f>C106/B116</f>
        <v>6.2460961898813238E-4</v>
      </c>
      <c r="E106" s="1">
        <v>1</v>
      </c>
      <c r="F106" s="33">
        <f t="shared" ref="F105:F111" si="86">F85</f>
        <v>1</v>
      </c>
      <c r="G106" s="32">
        <f t="shared" ref="G106:G111" si="87">F106*E9</f>
        <v>50</v>
      </c>
      <c r="H106" s="100">
        <f>G106/E116</f>
        <v>1.1235955056179775E-2</v>
      </c>
      <c r="I106" s="102">
        <v>1</v>
      </c>
      <c r="J106" s="33">
        <f>J85</f>
        <v>0</v>
      </c>
      <c r="K106" s="32">
        <f>J106*H9</f>
        <v>0</v>
      </c>
      <c r="L106" s="34" t="e">
        <f>K106/I116</f>
        <v>#DIV/0!</v>
      </c>
      <c r="M106" s="109" t="s">
        <v>240</v>
      </c>
      <c r="N106" s="15">
        <f>N85</f>
        <v>9</v>
      </c>
      <c r="O106" s="53">
        <f>N106*K8</f>
        <v>0</v>
      </c>
      <c r="P106" s="105">
        <f>O106/M116</f>
        <v>0</v>
      </c>
      <c r="Q106" s="78">
        <v>1</v>
      </c>
      <c r="R106" s="18">
        <f t="shared" si="84"/>
        <v>11</v>
      </c>
      <c r="S106" s="29">
        <f t="shared" si="84"/>
        <v>55</v>
      </c>
      <c r="T106" s="34">
        <f>S106/Q116</f>
        <v>4.4158972300139196E-3</v>
      </c>
      <c r="U106" s="114"/>
      <c r="V106" s="8">
        <v>1</v>
      </c>
      <c r="W106" s="33">
        <f t="shared" ref="W106:W114" si="88">B106</f>
        <v>1</v>
      </c>
      <c r="X106" s="32">
        <f>W106*SUM(B9:B16)</f>
        <v>7625</v>
      </c>
      <c r="Y106" s="34">
        <f>X106/W116</f>
        <v>0.24110671936758893</v>
      </c>
      <c r="Z106" s="78">
        <v>1</v>
      </c>
      <c r="AA106" s="18">
        <f t="shared" ref="AA106:AA112" si="89">F106</f>
        <v>1</v>
      </c>
      <c r="AB106" s="32">
        <f>AA106*SUM(E9:E14)</f>
        <v>7600</v>
      </c>
      <c r="AC106" s="100">
        <f>AB106/Z116</f>
        <v>0.4</v>
      </c>
      <c r="AD106" s="8">
        <v>1</v>
      </c>
      <c r="AE106" s="33">
        <f>J106</f>
        <v>0</v>
      </c>
      <c r="AF106" s="32">
        <f>AE106*SUM(H9:H11)</f>
        <v>0</v>
      </c>
      <c r="AG106" s="34" t="e">
        <f>AF106/AD116</f>
        <v>#DIV/0!</v>
      </c>
      <c r="AH106" s="106" t="s">
        <v>240</v>
      </c>
      <c r="AI106" s="55">
        <f>N106</f>
        <v>9</v>
      </c>
      <c r="AJ106" s="53">
        <f>AI106*0</f>
        <v>0</v>
      </c>
      <c r="AK106" s="120">
        <f>AJ106/AH116</f>
        <v>0</v>
      </c>
      <c r="AL106" s="78">
        <v>1</v>
      </c>
      <c r="AM106" s="18">
        <f>W106+AA106+AE106+AI106</f>
        <v>11</v>
      </c>
      <c r="AN106" s="29">
        <f>X106+AB106+AF106+AJ106</f>
        <v>15225</v>
      </c>
      <c r="AO106" s="34">
        <f>AN106/AL116</f>
        <v>0.30074074071697848</v>
      </c>
      <c r="AP106" s="2"/>
      <c r="AQ106" s="33">
        <v>23</v>
      </c>
      <c r="AR106" s="33">
        <v>46</v>
      </c>
      <c r="AS106" s="29">
        <f>SUM($AR$84:AR106)</f>
        <v>552</v>
      </c>
      <c r="AT106" s="33">
        <v>23</v>
      </c>
      <c r="AU106" s="32">
        <v>460</v>
      </c>
      <c r="AV106" s="32">
        <f>SUM($AU$84:AU106)</f>
        <v>5520</v>
      </c>
      <c r="AW106" s="2"/>
      <c r="AX106" s="131" t="s">
        <v>14</v>
      </c>
      <c r="AY106" s="131"/>
      <c r="AZ106" s="131"/>
      <c r="BA106" s="131"/>
      <c r="BB106" s="131"/>
      <c r="BC106" s="131"/>
      <c r="BD106" s="131"/>
      <c r="BE106" s="131"/>
      <c r="BF106" s="131"/>
      <c r="BG106" s="131"/>
      <c r="BH106" s="131"/>
      <c r="BI106" s="2"/>
      <c r="BJ106" s="2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</row>
    <row r="107" spans="1:151" ht="15.75" customHeight="1">
      <c r="A107" s="78">
        <v>2</v>
      </c>
      <c r="B107" s="18">
        <f t="shared" si="83"/>
        <v>0</v>
      </c>
      <c r="C107" s="32">
        <f t="shared" si="85"/>
        <v>0</v>
      </c>
      <c r="D107" s="34">
        <f>C107/B116</f>
        <v>0</v>
      </c>
      <c r="E107" s="1">
        <v>2</v>
      </c>
      <c r="F107" s="33">
        <f t="shared" si="86"/>
        <v>0</v>
      </c>
      <c r="G107" s="32">
        <f t="shared" si="87"/>
        <v>0</v>
      </c>
      <c r="H107" s="100">
        <f>G107/E116</f>
        <v>0</v>
      </c>
      <c r="I107" s="102">
        <v>2</v>
      </c>
      <c r="J107" s="33">
        <f>J86</f>
        <v>0</v>
      </c>
      <c r="K107" s="32">
        <f>J107*H10</f>
        <v>0</v>
      </c>
      <c r="L107" s="34" t="e">
        <f>K107/I116</f>
        <v>#DIV/0!</v>
      </c>
      <c r="M107" s="134" t="s">
        <v>241</v>
      </c>
      <c r="N107" s="134"/>
      <c r="O107" s="134"/>
      <c r="P107" s="134"/>
      <c r="Q107" s="78">
        <v>2</v>
      </c>
      <c r="R107" s="18">
        <f t="shared" si="84"/>
        <v>0</v>
      </c>
      <c r="S107" s="29">
        <f t="shared" si="84"/>
        <v>0</v>
      </c>
      <c r="T107" s="34">
        <f>S107/Q116</f>
        <v>0</v>
      </c>
      <c r="U107" s="114"/>
      <c r="V107" s="8">
        <v>2</v>
      </c>
      <c r="W107" s="33">
        <f t="shared" si="88"/>
        <v>0</v>
      </c>
      <c r="X107" s="32">
        <f>W107*SUM(B10:B16)</f>
        <v>0</v>
      </c>
      <c r="Y107" s="34">
        <f>X107/W116</f>
        <v>0</v>
      </c>
      <c r="Z107" s="78">
        <v>2</v>
      </c>
      <c r="AA107" s="18">
        <f t="shared" si="89"/>
        <v>0</v>
      </c>
      <c r="AB107" s="32">
        <f>AA107*SUM(E10:E14)</f>
        <v>0</v>
      </c>
      <c r="AC107" s="100">
        <f>AB107/Z116</f>
        <v>0</v>
      </c>
      <c r="AD107" s="8">
        <v>2</v>
      </c>
      <c r="AE107" s="33">
        <f>J107</f>
        <v>0</v>
      </c>
      <c r="AF107" s="32">
        <f>AE107*SUM(H10:H11)</f>
        <v>0</v>
      </c>
      <c r="AG107" s="34" t="e">
        <f>AF107/AD116</f>
        <v>#DIV/0!</v>
      </c>
      <c r="AH107" s="134" t="s">
        <v>241</v>
      </c>
      <c r="AI107" s="134"/>
      <c r="AJ107" s="134"/>
      <c r="AK107" s="134"/>
      <c r="AL107" s="78">
        <v>2</v>
      </c>
      <c r="AM107" s="18">
        <f>W107+AA107+AE107</f>
        <v>0</v>
      </c>
      <c r="AN107" s="29">
        <f>X107+AB107+AF107</f>
        <v>0</v>
      </c>
      <c r="AO107" s="34">
        <f>AN107/AL116</f>
        <v>0</v>
      </c>
      <c r="AP107" s="2"/>
      <c r="AQ107" s="33">
        <v>24</v>
      </c>
      <c r="AR107" s="33">
        <v>48</v>
      </c>
      <c r="AS107" s="29">
        <f>SUM($AR$84:AR107)</f>
        <v>600</v>
      </c>
      <c r="AT107" s="33">
        <v>24</v>
      </c>
      <c r="AU107" s="32">
        <v>480</v>
      </c>
      <c r="AV107" s="32">
        <f>SUM($AU$84:AU107)</f>
        <v>6000</v>
      </c>
      <c r="AW107" s="2"/>
      <c r="AX107" s="7" t="s">
        <v>227</v>
      </c>
      <c r="AY107" s="7" t="s">
        <v>78</v>
      </c>
      <c r="AZ107" s="7" t="s">
        <v>40</v>
      </c>
      <c r="BA107" s="7" t="s">
        <v>228</v>
      </c>
      <c r="BB107" s="7" t="s">
        <v>229</v>
      </c>
      <c r="BC107" s="7" t="s">
        <v>230</v>
      </c>
      <c r="BD107" s="7" t="s">
        <v>49</v>
      </c>
      <c r="BE107" s="7" t="s">
        <v>231</v>
      </c>
      <c r="BF107" s="7" t="s">
        <v>232</v>
      </c>
      <c r="BG107" s="7" t="s">
        <v>233</v>
      </c>
      <c r="BH107" s="7" t="s">
        <v>234</v>
      </c>
      <c r="BI107" s="2"/>
      <c r="BJ107" s="2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</row>
    <row r="108" spans="1:151" ht="15.75" customHeight="1">
      <c r="A108" s="78">
        <v>3</v>
      </c>
      <c r="B108" s="18">
        <f t="shared" si="83"/>
        <v>0</v>
      </c>
      <c r="C108" s="32">
        <f t="shared" si="85"/>
        <v>0</v>
      </c>
      <c r="D108" s="34">
        <f>C108/B116</f>
        <v>0</v>
      </c>
      <c r="E108" s="1">
        <v>3</v>
      </c>
      <c r="F108" s="33">
        <f t="shared" si="86"/>
        <v>1</v>
      </c>
      <c r="G108" s="32">
        <f t="shared" si="87"/>
        <v>400</v>
      </c>
      <c r="H108" s="100">
        <f>G108/E116</f>
        <v>8.98876404494382E-2</v>
      </c>
      <c r="I108" s="102">
        <v>3</v>
      </c>
      <c r="J108" s="33">
        <f>J87</f>
        <v>0</v>
      </c>
      <c r="K108" s="32">
        <f>J108*H11</f>
        <v>0</v>
      </c>
      <c r="L108" s="34" t="e">
        <f>K108/I116</f>
        <v>#DIV/0!</v>
      </c>
      <c r="M108" s="116" t="s">
        <v>215</v>
      </c>
      <c r="N108" s="77" t="s">
        <v>188</v>
      </c>
      <c r="O108" s="9" t="s">
        <v>78</v>
      </c>
      <c r="P108" s="116" t="s">
        <v>69</v>
      </c>
      <c r="Q108" s="78">
        <v>3</v>
      </c>
      <c r="R108" s="18">
        <f t="shared" ref="R108:S111" si="90">B108+F108+J108</f>
        <v>1</v>
      </c>
      <c r="S108" s="29">
        <f t="shared" si="90"/>
        <v>400</v>
      </c>
      <c r="T108" s="34">
        <f>S108/Q116</f>
        <v>3.2115616218283051E-2</v>
      </c>
      <c r="U108" s="114"/>
      <c r="V108" s="8">
        <v>3</v>
      </c>
      <c r="W108" s="33">
        <f t="shared" si="88"/>
        <v>0</v>
      </c>
      <c r="X108" s="32">
        <f>W108*SUM(B11:B16)</f>
        <v>0</v>
      </c>
      <c r="Y108" s="34">
        <f>X108/W116</f>
        <v>0</v>
      </c>
      <c r="Z108" s="78">
        <v>3</v>
      </c>
      <c r="AA108" s="18">
        <f t="shared" si="89"/>
        <v>1</v>
      </c>
      <c r="AB108" s="32">
        <f>AA108*SUM(E11:E14)</f>
        <v>7400</v>
      </c>
      <c r="AC108" s="100">
        <f>AB108/Z116</f>
        <v>0.38947368421052631</v>
      </c>
      <c r="AD108" s="8">
        <v>3</v>
      </c>
      <c r="AE108" s="33">
        <f>J108</f>
        <v>0</v>
      </c>
      <c r="AF108" s="32">
        <f>AE108*SUM(H11)</f>
        <v>0</v>
      </c>
      <c r="AG108" s="34" t="e">
        <f>AF108/AD116</f>
        <v>#DIV/0!</v>
      </c>
      <c r="AH108" s="116" t="s">
        <v>215</v>
      </c>
      <c r="AI108" s="77" t="s">
        <v>188</v>
      </c>
      <c r="AJ108" s="9" t="s">
        <v>78</v>
      </c>
      <c r="AK108" s="116" t="s">
        <v>69</v>
      </c>
      <c r="AL108" s="78">
        <v>3</v>
      </c>
      <c r="AM108" s="18">
        <f>W108+AA108+AE108</f>
        <v>1</v>
      </c>
      <c r="AN108" s="29">
        <f>X108+AB108+AF108</f>
        <v>7400</v>
      </c>
      <c r="AO108" s="34">
        <f>AN108/AL116</f>
        <v>0.14617283949462337</v>
      </c>
      <c r="AP108" s="2"/>
      <c r="AQ108" s="33">
        <v>25</v>
      </c>
      <c r="AR108" s="33">
        <v>50</v>
      </c>
      <c r="AS108" s="29">
        <f>SUM($AR$84:AR108)</f>
        <v>650</v>
      </c>
      <c r="AT108" s="33">
        <v>25</v>
      </c>
      <c r="AU108" s="32">
        <v>500</v>
      </c>
      <c r="AV108" s="32">
        <f>SUM($AU$84:AU108)</f>
        <v>6500</v>
      </c>
      <c r="AW108" s="2"/>
      <c r="AX108" s="27">
        <v>1</v>
      </c>
      <c r="AY108" s="25">
        <v>2730</v>
      </c>
      <c r="AZ108" s="25">
        <f>SUM(BA108:BC108)</f>
        <v>390</v>
      </c>
      <c r="BA108" s="25">
        <v>303</v>
      </c>
      <c r="BB108" s="25">
        <v>78</v>
      </c>
      <c r="BC108" s="25">
        <v>9</v>
      </c>
      <c r="BD108" s="28">
        <v>0.2</v>
      </c>
      <c r="BE108" s="25">
        <f>AY108+(BA108*$O$3)+(BB108*$P$3)+(BC108*$Q$3)</f>
        <v>12645</v>
      </c>
      <c r="BF108" s="27">
        <v>300</v>
      </c>
      <c r="BG108" s="27">
        <v>600</v>
      </c>
      <c r="BH108" s="25">
        <f>BE108+$BG$112</f>
        <v>23145</v>
      </c>
      <c r="BI108" s="2"/>
      <c r="BJ108" s="2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</row>
    <row r="109" spans="1:151" ht="15.75" customHeight="1">
      <c r="A109" s="78">
        <v>4</v>
      </c>
      <c r="B109" s="18">
        <f t="shared" si="83"/>
        <v>0</v>
      </c>
      <c r="C109" s="32">
        <f t="shared" si="85"/>
        <v>0</v>
      </c>
      <c r="D109" s="34">
        <f>C109/B116</f>
        <v>0</v>
      </c>
      <c r="E109" s="1">
        <v>4</v>
      </c>
      <c r="F109" s="33">
        <f t="shared" si="86"/>
        <v>0</v>
      </c>
      <c r="G109" s="32">
        <f t="shared" si="87"/>
        <v>0</v>
      </c>
      <c r="H109" s="100">
        <f>G109/E116</f>
        <v>0</v>
      </c>
      <c r="I109" s="106" t="s">
        <v>242</v>
      </c>
      <c r="J109" s="55">
        <f>SUM(J88:J92)</f>
        <v>24</v>
      </c>
      <c r="K109" s="53">
        <f>J109*0</f>
        <v>0</v>
      </c>
      <c r="L109" s="56" t="e">
        <f>K109/I116</f>
        <v>#DIV/0!</v>
      </c>
      <c r="M109" s="77">
        <v>0</v>
      </c>
      <c r="N109" s="12">
        <f>N84</f>
        <v>4</v>
      </c>
      <c r="O109" s="25">
        <f>N109*40000</f>
        <v>160000</v>
      </c>
      <c r="P109" s="118">
        <f>O109/N111</f>
        <v>1</v>
      </c>
      <c r="Q109" s="78">
        <v>4</v>
      </c>
      <c r="R109" s="18">
        <f t="shared" si="90"/>
        <v>24</v>
      </c>
      <c r="S109" s="29">
        <f t="shared" si="90"/>
        <v>0</v>
      </c>
      <c r="T109" s="34">
        <f>S109/Q116</f>
        <v>0</v>
      </c>
      <c r="U109" s="114"/>
      <c r="V109" s="8">
        <v>4</v>
      </c>
      <c r="W109" s="33">
        <f t="shared" si="88"/>
        <v>0</v>
      </c>
      <c r="X109" s="32">
        <f>W109*SUM(B12:B16)</f>
        <v>0</v>
      </c>
      <c r="Y109" s="34">
        <f>X109/W116</f>
        <v>0</v>
      </c>
      <c r="Z109" s="78">
        <v>4</v>
      </c>
      <c r="AA109" s="18">
        <f t="shared" si="89"/>
        <v>0</v>
      </c>
      <c r="AB109" s="32">
        <f>AA109*SUM(E12:E14)</f>
        <v>0</v>
      </c>
      <c r="AC109" s="100">
        <f>AB109/Z116</f>
        <v>0</v>
      </c>
      <c r="AD109" s="5" t="s">
        <v>242</v>
      </c>
      <c r="AE109" s="55">
        <f>J109</f>
        <v>24</v>
      </c>
      <c r="AF109" s="53">
        <f>AE109*SUM(H8)</f>
        <v>0</v>
      </c>
      <c r="AG109" s="56" t="e">
        <f>AF109/AD116</f>
        <v>#DIV/0!</v>
      </c>
      <c r="AH109" s="77">
        <v>0</v>
      </c>
      <c r="AI109" s="12">
        <f>N84</f>
        <v>4</v>
      </c>
      <c r="AJ109" s="25">
        <f>AI109*40000</f>
        <v>160000</v>
      </c>
      <c r="AK109" s="118">
        <f>AJ109/AI111</f>
        <v>1</v>
      </c>
      <c r="AL109" s="78">
        <v>4</v>
      </c>
      <c r="AM109" s="18">
        <f>W109+AA109</f>
        <v>0</v>
      </c>
      <c r="AN109" s="29">
        <f>X109+AB109+AF109</f>
        <v>0</v>
      </c>
      <c r="AO109" s="34">
        <f>AN109/AL116</f>
        <v>0</v>
      </c>
      <c r="AP109" s="2"/>
      <c r="AQ109" s="33">
        <v>26</v>
      </c>
      <c r="AR109" s="33">
        <v>52</v>
      </c>
      <c r="AS109" s="29">
        <f>SUM($AR$84:AR109)</f>
        <v>702</v>
      </c>
      <c r="AT109" s="33">
        <v>26</v>
      </c>
      <c r="AU109" s="32">
        <v>520</v>
      </c>
      <c r="AV109" s="32">
        <f>SUM($AU$84:AU109)</f>
        <v>7020</v>
      </c>
      <c r="AW109" s="2"/>
      <c r="AX109" s="33">
        <v>2</v>
      </c>
      <c r="AY109" s="32">
        <v>2310</v>
      </c>
      <c r="AZ109" s="32">
        <f>SUM(BA109:BC109)</f>
        <v>330</v>
      </c>
      <c r="BA109" s="32">
        <v>256</v>
      </c>
      <c r="BB109" s="32">
        <v>66</v>
      </c>
      <c r="BC109" s="32">
        <v>8</v>
      </c>
      <c r="BD109" s="35">
        <v>0.125</v>
      </c>
      <c r="BE109" s="32">
        <f>AY109+(BA109*$O$3)+(BB109*$P$3)+(BC109*$Q$3)</f>
        <v>10890</v>
      </c>
      <c r="BF109" s="33" t="s">
        <v>237</v>
      </c>
      <c r="BG109" s="33" t="s">
        <v>238</v>
      </c>
      <c r="BH109" s="32">
        <f>BE109+$BG$112</f>
        <v>21390</v>
      </c>
      <c r="BI109" s="2"/>
      <c r="BJ109" s="2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</row>
    <row r="110" spans="1:151" ht="15.75" customHeight="1">
      <c r="A110" s="78">
        <v>5</v>
      </c>
      <c r="B110" s="18">
        <f t="shared" si="83"/>
        <v>0</v>
      </c>
      <c r="C110" s="32">
        <f t="shared" si="85"/>
        <v>0</v>
      </c>
      <c r="D110" s="34">
        <f>C110/B116</f>
        <v>0</v>
      </c>
      <c r="E110" s="1">
        <v>5</v>
      </c>
      <c r="F110" s="33">
        <f t="shared" si="86"/>
        <v>0</v>
      </c>
      <c r="G110" s="32">
        <f t="shared" si="87"/>
        <v>0</v>
      </c>
      <c r="H110" s="100">
        <f>G110/E116</f>
        <v>0</v>
      </c>
      <c r="I110" s="1"/>
      <c r="J110" s="3"/>
      <c r="K110" s="80"/>
      <c r="L110" s="6"/>
      <c r="M110" s="109" t="s">
        <v>240</v>
      </c>
      <c r="N110" s="15">
        <f>N85</f>
        <v>9</v>
      </c>
      <c r="O110" s="53">
        <f>N110*0</f>
        <v>0</v>
      </c>
      <c r="P110" s="105">
        <f>O110/N111</f>
        <v>0</v>
      </c>
      <c r="Q110" s="78">
        <v>5</v>
      </c>
      <c r="R110" s="18">
        <f t="shared" si="90"/>
        <v>0</v>
      </c>
      <c r="S110" s="29">
        <f t="shared" si="90"/>
        <v>0</v>
      </c>
      <c r="T110" s="34">
        <f>S110/Q116</f>
        <v>0</v>
      </c>
      <c r="U110" s="114"/>
      <c r="V110" s="8">
        <v>5</v>
      </c>
      <c r="W110" s="33">
        <f t="shared" si="88"/>
        <v>0</v>
      </c>
      <c r="X110" s="32">
        <f>W110*SUM(B13:B16)</f>
        <v>0</v>
      </c>
      <c r="Y110" s="34">
        <f>X110/W116</f>
        <v>0</v>
      </c>
      <c r="Z110" s="78">
        <v>5</v>
      </c>
      <c r="AA110" s="18">
        <f t="shared" si="89"/>
        <v>0</v>
      </c>
      <c r="AB110" s="32">
        <f>AA110*SUM(E13:E14)</f>
        <v>0</v>
      </c>
      <c r="AC110" s="100">
        <f>AB110/Z116</f>
        <v>0</v>
      </c>
      <c r="AD110" s="1"/>
      <c r="AE110" s="3"/>
      <c r="AF110" s="80"/>
      <c r="AG110" s="6"/>
      <c r="AH110" s="109" t="s">
        <v>240</v>
      </c>
      <c r="AI110" s="15">
        <f>N85</f>
        <v>9</v>
      </c>
      <c r="AJ110" s="53">
        <f>AI110*0</f>
        <v>0</v>
      </c>
      <c r="AK110" s="105">
        <f>AJ110/AI111</f>
        <v>0</v>
      </c>
      <c r="AL110" s="78">
        <v>5</v>
      </c>
      <c r="AM110" s="18">
        <f>W110+AA110</f>
        <v>0</v>
      </c>
      <c r="AN110" s="29">
        <f>X110+AB110</f>
        <v>0</v>
      </c>
      <c r="AO110" s="34">
        <f>AN110/AL116</f>
        <v>0</v>
      </c>
      <c r="AP110" s="2"/>
      <c r="AQ110" s="33">
        <v>27</v>
      </c>
      <c r="AR110" s="33">
        <v>54</v>
      </c>
      <c r="AS110" s="29">
        <f>SUM($AR$84:AR110)</f>
        <v>756</v>
      </c>
      <c r="AT110" s="33">
        <v>27</v>
      </c>
      <c r="AU110" s="32">
        <v>540</v>
      </c>
      <c r="AV110" s="32">
        <f>SUM($AU$84:AU110)</f>
        <v>7560</v>
      </c>
      <c r="AW110" s="2"/>
      <c r="AX110" s="33">
        <v>3</v>
      </c>
      <c r="AY110" s="32">
        <v>1890</v>
      </c>
      <c r="AZ110" s="32">
        <f>SUM(BA110:BC110)</f>
        <v>270</v>
      </c>
      <c r="BA110" s="32">
        <v>210</v>
      </c>
      <c r="BB110" s="32">
        <v>54</v>
      </c>
      <c r="BC110" s="32">
        <v>6</v>
      </c>
      <c r="BD110" s="34">
        <v>0.1</v>
      </c>
      <c r="BE110" s="32">
        <f>AY110+(BA110*$O$3)+(BB110*$P$3)+(BC110*$Q$3)</f>
        <v>8640</v>
      </c>
      <c r="BF110" s="33">
        <v>21</v>
      </c>
      <c r="BG110" s="33">
        <v>7</v>
      </c>
      <c r="BH110" s="32">
        <f>BE110+$BG$112</f>
        <v>19140</v>
      </c>
      <c r="BI110" s="2"/>
      <c r="BJ110" s="2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</row>
    <row r="111" spans="1:151" ht="15.75" customHeight="1">
      <c r="A111" s="78">
        <v>6</v>
      </c>
      <c r="B111" s="18">
        <f t="shared" si="83"/>
        <v>2</v>
      </c>
      <c r="C111" s="32">
        <f t="shared" si="85"/>
        <v>2000</v>
      </c>
      <c r="D111" s="34">
        <f>C111/B116</f>
        <v>0.24984384759525297</v>
      </c>
      <c r="E111" s="1">
        <v>6</v>
      </c>
      <c r="F111" s="33">
        <f t="shared" si="86"/>
        <v>1</v>
      </c>
      <c r="G111" s="32">
        <f t="shared" si="87"/>
        <v>4000</v>
      </c>
      <c r="H111" s="100">
        <f>G111/E116</f>
        <v>0.898876404494382</v>
      </c>
      <c r="I111" s="1"/>
      <c r="J111" s="3"/>
      <c r="K111" s="80"/>
      <c r="L111" s="6"/>
      <c r="M111" s="4" t="s">
        <v>112</v>
      </c>
      <c r="N111" s="148">
        <f>O109</f>
        <v>160000</v>
      </c>
      <c r="O111" s="148"/>
      <c r="P111" s="148"/>
      <c r="Q111" s="78">
        <v>6</v>
      </c>
      <c r="R111" s="18">
        <f t="shared" si="90"/>
        <v>3</v>
      </c>
      <c r="S111" s="29">
        <f t="shared" si="90"/>
        <v>6000</v>
      </c>
      <c r="T111" s="34">
        <f>S111/Q116</f>
        <v>0.48173424327424574</v>
      </c>
      <c r="U111" s="114"/>
      <c r="V111" s="8">
        <v>6</v>
      </c>
      <c r="W111" s="33">
        <f t="shared" si="88"/>
        <v>2</v>
      </c>
      <c r="X111" s="32">
        <f>W111*SUM(B14:B16)</f>
        <v>14000</v>
      </c>
      <c r="Y111" s="34">
        <f>X111/W116</f>
        <v>0.44268774703557312</v>
      </c>
      <c r="Z111" s="78">
        <v>6</v>
      </c>
      <c r="AA111" s="18">
        <f t="shared" si="89"/>
        <v>1</v>
      </c>
      <c r="AB111" s="32">
        <f>AA111*SUM(E14)</f>
        <v>4000</v>
      </c>
      <c r="AC111" s="100">
        <f>AB111/Z116</f>
        <v>0.21052631578947367</v>
      </c>
      <c r="AD111" s="1"/>
      <c r="AE111" s="3"/>
      <c r="AF111" s="80"/>
      <c r="AG111" s="6"/>
      <c r="AH111" s="4" t="s">
        <v>112</v>
      </c>
      <c r="AI111" s="148">
        <f>AJ109</f>
        <v>160000</v>
      </c>
      <c r="AJ111" s="148"/>
      <c r="AK111" s="148"/>
      <c r="AL111" s="78">
        <v>6</v>
      </c>
      <c r="AM111" s="18">
        <f>W111+AA111</f>
        <v>3</v>
      </c>
      <c r="AN111" s="29">
        <f>X111+AB111+AF111</f>
        <v>18000</v>
      </c>
      <c r="AO111" s="34">
        <f>AN111/AL116</f>
        <v>0.35555555552746226</v>
      </c>
      <c r="AP111" s="2"/>
      <c r="AQ111" s="33">
        <v>28</v>
      </c>
      <c r="AR111" s="33">
        <v>56</v>
      </c>
      <c r="AS111" s="29">
        <f>SUM($AR$84:AR111)</f>
        <v>812</v>
      </c>
      <c r="AT111" s="33">
        <v>28</v>
      </c>
      <c r="AU111" s="32">
        <v>560</v>
      </c>
      <c r="AV111" s="32">
        <f>SUM($AU$84:AU111)</f>
        <v>8120</v>
      </c>
      <c r="AW111" s="2"/>
      <c r="AX111" s="33">
        <v>4</v>
      </c>
      <c r="AY111" s="32">
        <v>1470</v>
      </c>
      <c r="AZ111" s="32">
        <f>SUM(BA111:BC111)</f>
        <v>210</v>
      </c>
      <c r="BA111" s="32">
        <v>163</v>
      </c>
      <c r="BB111" s="32">
        <v>42</v>
      </c>
      <c r="BC111" s="32">
        <v>5</v>
      </c>
      <c r="BD111" s="34">
        <v>0</v>
      </c>
      <c r="BE111" s="32">
        <f>AY111+(BA111*$O$3)+(BB111*$P$3)+(BC111*$Q$3)</f>
        <v>6885</v>
      </c>
      <c r="BF111" s="32">
        <f>BF110*BF108</f>
        <v>6300</v>
      </c>
      <c r="BG111" s="32">
        <f>BG110*BG108</f>
        <v>4200</v>
      </c>
      <c r="BH111" s="32">
        <f>BE111+$BG$112</f>
        <v>17385</v>
      </c>
      <c r="BI111" s="2"/>
      <c r="BJ111" s="2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</row>
    <row r="112" spans="1:151" ht="15.75" customHeight="1">
      <c r="A112" s="78">
        <v>7</v>
      </c>
      <c r="B112" s="18">
        <f t="shared" si="83"/>
        <v>1</v>
      </c>
      <c r="C112" s="32">
        <f t="shared" si="85"/>
        <v>2000</v>
      </c>
      <c r="D112" s="34">
        <f>C112/B116</f>
        <v>0.24984384759525297</v>
      </c>
      <c r="E112" s="121" t="s">
        <v>243</v>
      </c>
      <c r="F112" s="55">
        <f>SUM(F91:F95)</f>
        <v>21</v>
      </c>
      <c r="G112" s="53">
        <f>F112*0</f>
        <v>0</v>
      </c>
      <c r="H112" s="105">
        <f>G112/E116</f>
        <v>0</v>
      </c>
      <c r="I112" s="1"/>
      <c r="J112" s="3"/>
      <c r="K112" s="80"/>
      <c r="L112" s="6"/>
      <c r="M112" s="3"/>
      <c r="N112" s="3"/>
      <c r="O112" s="3"/>
      <c r="P112" s="3"/>
      <c r="Q112" s="78">
        <v>7</v>
      </c>
      <c r="R112" s="18">
        <f t="shared" ref="R112:S114" si="91">B112+F112+J112+N112</f>
        <v>22</v>
      </c>
      <c r="S112" s="29">
        <f t="shared" si="91"/>
        <v>2000</v>
      </c>
      <c r="T112" s="34">
        <f>S112/Q116</f>
        <v>0.16057808109141525</v>
      </c>
      <c r="U112" s="114"/>
      <c r="V112" s="8">
        <v>7</v>
      </c>
      <c r="W112" s="33">
        <f t="shared" si="88"/>
        <v>1</v>
      </c>
      <c r="X112" s="32">
        <f>W112*SUM(B15:B16)</f>
        <v>6000</v>
      </c>
      <c r="Y112" s="34">
        <f>X112/W116</f>
        <v>0.18972332015810275</v>
      </c>
      <c r="Z112" s="109" t="s">
        <v>243</v>
      </c>
      <c r="AA112" s="15">
        <f t="shared" si="89"/>
        <v>21</v>
      </c>
      <c r="AB112" s="53">
        <f>AA112*SUM(E8)</f>
        <v>0</v>
      </c>
      <c r="AC112" s="105">
        <f>AB112/Z116</f>
        <v>0</v>
      </c>
      <c r="AD112" s="1"/>
      <c r="AE112" s="3"/>
      <c r="AF112" s="80"/>
      <c r="AG112" s="6"/>
      <c r="AH112" s="3"/>
      <c r="AI112" s="3"/>
      <c r="AJ112" s="3"/>
      <c r="AK112" s="3"/>
      <c r="AL112" s="78">
        <v>7</v>
      </c>
      <c r="AM112" s="18">
        <f>W112+AA112+AE112+AI112</f>
        <v>22</v>
      </c>
      <c r="AN112" s="29">
        <f>X112+AB112+AF112</f>
        <v>6000</v>
      </c>
      <c r="AO112" s="34">
        <f>AN112/AL116</f>
        <v>0.11851851850915408</v>
      </c>
      <c r="AP112" s="2"/>
      <c r="AQ112" s="33">
        <v>29</v>
      </c>
      <c r="AR112" s="33">
        <v>58</v>
      </c>
      <c r="AS112" s="29">
        <f>SUM($AR$84:AR112)</f>
        <v>870</v>
      </c>
      <c r="AT112" s="33">
        <v>29</v>
      </c>
      <c r="AU112" s="32">
        <v>580</v>
      </c>
      <c r="AV112" s="32">
        <f>SUM($AU$84:AU112)</f>
        <v>8700</v>
      </c>
      <c r="AW112" s="2"/>
      <c r="AX112" s="55">
        <v>5</v>
      </c>
      <c r="AY112" s="53">
        <v>147</v>
      </c>
      <c r="AZ112" s="53">
        <f>SUM(BA112:BC112)</f>
        <v>210</v>
      </c>
      <c r="BA112" s="53">
        <v>163</v>
      </c>
      <c r="BB112" s="53">
        <v>42</v>
      </c>
      <c r="BC112" s="53">
        <v>5</v>
      </c>
      <c r="BD112" s="56">
        <v>0</v>
      </c>
      <c r="BE112" s="53">
        <f>AY112+(BA112*$O$3)+(BB112*$P$3)+(BC112*$Q$3)</f>
        <v>5562</v>
      </c>
      <c r="BF112" s="55" t="s">
        <v>239</v>
      </c>
      <c r="BG112" s="53">
        <f>BF111+BG111</f>
        <v>10500</v>
      </c>
      <c r="BH112" s="53">
        <f>BE112+$BG$112</f>
        <v>16062</v>
      </c>
      <c r="BI112" s="2"/>
      <c r="BJ112" s="2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</row>
    <row r="113" spans="1:151" ht="15.75" customHeight="1">
      <c r="A113" s="78">
        <v>8</v>
      </c>
      <c r="B113" s="18">
        <f t="shared" si="83"/>
        <v>1</v>
      </c>
      <c r="C113" s="32">
        <f t="shared" si="85"/>
        <v>4000</v>
      </c>
      <c r="D113" s="34">
        <f>C113/B116</f>
        <v>0.49968769519050593</v>
      </c>
      <c r="E113" s="1"/>
      <c r="F113" s="3"/>
      <c r="G113" s="80"/>
      <c r="H113" s="6"/>
      <c r="I113" s="1"/>
      <c r="J113" s="3"/>
      <c r="K113" s="80"/>
      <c r="L113" s="6"/>
      <c r="M113" s="3"/>
      <c r="N113" s="3"/>
      <c r="O113" s="3"/>
      <c r="P113" s="3"/>
      <c r="Q113" s="78">
        <v>8</v>
      </c>
      <c r="R113" s="18">
        <f t="shared" si="91"/>
        <v>1</v>
      </c>
      <c r="S113" s="29">
        <f t="shared" si="91"/>
        <v>4000</v>
      </c>
      <c r="T113" s="34">
        <f>S113/Q116</f>
        <v>0.3211561621828305</v>
      </c>
      <c r="U113" s="114"/>
      <c r="V113" s="8">
        <v>8</v>
      </c>
      <c r="W113" s="33">
        <f t="shared" si="88"/>
        <v>1</v>
      </c>
      <c r="X113" s="32">
        <f>W113*SUM(B16)</f>
        <v>4000</v>
      </c>
      <c r="Y113" s="34">
        <f>X113/W116</f>
        <v>0.12648221343873517</v>
      </c>
      <c r="Z113" s="1"/>
      <c r="AA113" s="3"/>
      <c r="AB113" s="80"/>
      <c r="AC113" s="6"/>
      <c r="AD113" s="1"/>
      <c r="AE113" s="3"/>
      <c r="AF113" s="80"/>
      <c r="AG113" s="3"/>
      <c r="AH113" s="3"/>
      <c r="AI113" s="3"/>
      <c r="AJ113" s="3"/>
      <c r="AK113" s="3"/>
      <c r="AL113" s="78">
        <v>8</v>
      </c>
      <c r="AM113" s="18">
        <f>W113+AA113+AE113+AI113</f>
        <v>1</v>
      </c>
      <c r="AN113" s="29">
        <f>X113</f>
        <v>4000</v>
      </c>
      <c r="AO113" s="34">
        <f>AN113/AL116</f>
        <v>7.9012345672769393E-2</v>
      </c>
      <c r="AP113" s="2"/>
      <c r="AQ113" s="33">
        <v>30</v>
      </c>
      <c r="AR113" s="33">
        <v>60</v>
      </c>
      <c r="AS113" s="29">
        <f>SUM($AR$84:AR113)</f>
        <v>930</v>
      </c>
      <c r="AT113" s="33">
        <v>30</v>
      </c>
      <c r="AU113" s="32">
        <v>600</v>
      </c>
      <c r="AV113" s="32">
        <f>SUM($AU$84:AU113)</f>
        <v>9300</v>
      </c>
      <c r="AW113" s="2"/>
      <c r="AX113" s="131" t="s">
        <v>17</v>
      </c>
      <c r="AY113" s="131"/>
      <c r="AZ113" s="131"/>
      <c r="BA113" s="131"/>
      <c r="BB113" s="131"/>
      <c r="BC113" s="131"/>
      <c r="BD113" s="131"/>
      <c r="BE113" s="131"/>
      <c r="BF113" s="131"/>
      <c r="BG113" s="131"/>
      <c r="BH113" s="131"/>
      <c r="BI113" s="2"/>
      <c r="BJ113" s="2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</row>
    <row r="114" spans="1:151" ht="15.75" customHeight="1">
      <c r="A114" s="78" t="s">
        <v>244</v>
      </c>
      <c r="B114" s="18">
        <f>SUM(B93:B97)</f>
        <v>22</v>
      </c>
      <c r="C114" s="32">
        <f>B114*B8</f>
        <v>0</v>
      </c>
      <c r="D114" s="56">
        <f>C114/B116</f>
        <v>0</v>
      </c>
      <c r="E114" s="1"/>
      <c r="F114" s="3"/>
      <c r="G114" s="80"/>
      <c r="H114" s="6"/>
      <c r="I114" s="80"/>
      <c r="J114" s="6"/>
      <c r="K114" s="80"/>
      <c r="L114" s="6"/>
      <c r="M114" s="3"/>
      <c r="N114" s="3"/>
      <c r="O114" s="3"/>
      <c r="P114" s="3"/>
      <c r="Q114" s="109">
        <v>9</v>
      </c>
      <c r="R114" s="120">
        <f t="shared" si="91"/>
        <v>22</v>
      </c>
      <c r="S114" s="57">
        <f t="shared" si="91"/>
        <v>0</v>
      </c>
      <c r="T114" s="56">
        <f>S114/Q116</f>
        <v>0</v>
      </c>
      <c r="U114" s="114"/>
      <c r="V114" s="8" t="s">
        <v>244</v>
      </c>
      <c r="W114" s="55">
        <f t="shared" si="88"/>
        <v>22</v>
      </c>
      <c r="X114" s="53">
        <f>W114*SUM(B8)</f>
        <v>0</v>
      </c>
      <c r="Y114" s="56">
        <f>X114/W116</f>
        <v>0</v>
      </c>
      <c r="Z114" s="1"/>
      <c r="AA114" s="3"/>
      <c r="AB114" s="80"/>
      <c r="AC114" s="6"/>
      <c r="AD114" s="3"/>
      <c r="AE114" s="3"/>
      <c r="AF114" s="3"/>
      <c r="AG114" s="3"/>
      <c r="AH114" s="3"/>
      <c r="AI114" s="3"/>
      <c r="AJ114" s="3"/>
      <c r="AK114" s="3"/>
      <c r="AL114" s="109">
        <v>9</v>
      </c>
      <c r="AM114" s="15">
        <f>W114+AA114+AE114+AI114</f>
        <v>22</v>
      </c>
      <c r="AN114" s="57">
        <f>X114</f>
        <v>0</v>
      </c>
      <c r="AO114" s="56">
        <f>AN114/AL116</f>
        <v>0</v>
      </c>
      <c r="AP114" s="2"/>
      <c r="AQ114" s="33">
        <v>31</v>
      </c>
      <c r="AR114" s="33">
        <v>62</v>
      </c>
      <c r="AS114" s="29">
        <f>SUM($AR$84:AR114)</f>
        <v>992</v>
      </c>
      <c r="AT114" s="33">
        <v>31</v>
      </c>
      <c r="AU114" s="32">
        <v>620</v>
      </c>
      <c r="AV114" s="32">
        <f>SUM($AU$84:AU114)</f>
        <v>9920</v>
      </c>
      <c r="AW114" s="2"/>
      <c r="AX114" s="7" t="s">
        <v>227</v>
      </c>
      <c r="AY114" s="7" t="s">
        <v>78</v>
      </c>
      <c r="AZ114" s="7" t="s">
        <v>40</v>
      </c>
      <c r="BA114" s="7" t="s">
        <v>228</v>
      </c>
      <c r="BB114" s="7" t="s">
        <v>229</v>
      </c>
      <c r="BC114" s="7" t="s">
        <v>230</v>
      </c>
      <c r="BD114" s="7" t="s">
        <v>49</v>
      </c>
      <c r="BE114" s="7" t="s">
        <v>231</v>
      </c>
      <c r="BF114" s="7" t="s">
        <v>232</v>
      </c>
      <c r="BG114" s="7" t="s">
        <v>233</v>
      </c>
      <c r="BH114" s="7" t="s">
        <v>234</v>
      </c>
      <c r="BI114" s="2"/>
      <c r="BJ114" s="2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</row>
    <row r="115" spans="1:151" ht="15.75" customHeight="1">
      <c r="A115" s="12" t="s">
        <v>245</v>
      </c>
      <c r="B115" s="131">
        <f>SUM(B105:B113)</f>
        <v>5</v>
      </c>
      <c r="C115" s="131"/>
      <c r="D115" s="131"/>
      <c r="E115" s="131">
        <f>SUM(F105:F111)</f>
        <v>3</v>
      </c>
      <c r="F115" s="131"/>
      <c r="G115" s="131"/>
      <c r="H115" s="131"/>
      <c r="I115" s="131">
        <f>SUM(J105:J108)</f>
        <v>0</v>
      </c>
      <c r="J115" s="131"/>
      <c r="K115" s="131"/>
      <c r="L115" s="131"/>
      <c r="M115" s="131">
        <f>SUM(N105)</f>
        <v>4</v>
      </c>
      <c r="N115" s="131"/>
      <c r="O115" s="131"/>
      <c r="P115" s="131"/>
      <c r="Q115" s="131">
        <f>M115+I115+E115+B115</f>
        <v>12</v>
      </c>
      <c r="R115" s="131"/>
      <c r="S115" s="131"/>
      <c r="T115" s="131"/>
      <c r="U115" s="114"/>
      <c r="V115" s="27" t="s">
        <v>224</v>
      </c>
      <c r="W115" s="152">
        <f>SUM(W105:W114)</f>
        <v>27</v>
      </c>
      <c r="X115" s="152"/>
      <c r="Y115" s="152"/>
      <c r="Z115" s="131">
        <f>SUM(AA105:AA112)</f>
        <v>24</v>
      </c>
      <c r="AA115" s="131"/>
      <c r="AB115" s="131"/>
      <c r="AC115" s="131"/>
      <c r="AD115" s="131">
        <f>SUM(AE105:AE109)</f>
        <v>24</v>
      </c>
      <c r="AE115" s="131"/>
      <c r="AF115" s="131"/>
      <c r="AG115" s="131"/>
      <c r="AH115" s="131">
        <f>SUM(AI105:AI106)</f>
        <v>13</v>
      </c>
      <c r="AI115" s="131"/>
      <c r="AJ115" s="131"/>
      <c r="AK115" s="131"/>
      <c r="AL115" s="131">
        <f>SUM(AM105:AM114)</f>
        <v>64</v>
      </c>
      <c r="AM115" s="131"/>
      <c r="AN115" s="131"/>
      <c r="AO115" s="131"/>
      <c r="AP115" s="2"/>
      <c r="AQ115" s="33">
        <v>32</v>
      </c>
      <c r="AR115" s="33">
        <v>64</v>
      </c>
      <c r="AS115" s="29">
        <f>SUM($AR$84:AR115)</f>
        <v>1056</v>
      </c>
      <c r="AT115" s="33">
        <v>32</v>
      </c>
      <c r="AU115" s="32">
        <v>640</v>
      </c>
      <c r="AV115" s="32">
        <f>SUM($AU$84:AU115)</f>
        <v>10560</v>
      </c>
      <c r="AW115" s="2"/>
      <c r="AX115" s="27">
        <v>1</v>
      </c>
      <c r="AY115" s="25">
        <v>3570</v>
      </c>
      <c r="AZ115" s="25">
        <f>SUM(BA115:BC115)</f>
        <v>510</v>
      </c>
      <c r="BA115" s="25">
        <v>396</v>
      </c>
      <c r="BB115" s="25">
        <v>102</v>
      </c>
      <c r="BC115" s="25">
        <v>12</v>
      </c>
      <c r="BD115" s="28">
        <v>0.33300000000000002</v>
      </c>
      <c r="BE115" s="25">
        <f>AY115+(BA115*$O$3)+(BB115*$P$3)+(BC115*$Q$3)</f>
        <v>16650</v>
      </c>
      <c r="BF115" s="27">
        <v>200</v>
      </c>
      <c r="BG115" s="27">
        <v>400</v>
      </c>
      <c r="BH115" s="25">
        <f>BE115+$BG$119</f>
        <v>23650</v>
      </c>
      <c r="BI115" s="2"/>
      <c r="BJ115" s="2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</row>
    <row r="116" spans="1:151" ht="15.75" customHeight="1">
      <c r="A116" s="15" t="s">
        <v>112</v>
      </c>
      <c r="B116" s="153">
        <f>SUM(C105:C114)</f>
        <v>8005</v>
      </c>
      <c r="C116" s="153"/>
      <c r="D116" s="153"/>
      <c r="E116" s="153">
        <f>SUM(G105:G112)</f>
        <v>4450</v>
      </c>
      <c r="F116" s="153"/>
      <c r="G116" s="153"/>
      <c r="H116" s="153"/>
      <c r="I116" s="153">
        <f>SUM(K105:K109)</f>
        <v>0</v>
      </c>
      <c r="J116" s="153"/>
      <c r="K116" s="153"/>
      <c r="L116" s="153"/>
      <c r="M116" s="153">
        <f>SUM(O105:O106)</f>
        <v>4.0000000000000001E-8</v>
      </c>
      <c r="N116" s="153"/>
      <c r="O116" s="153"/>
      <c r="P116" s="153"/>
      <c r="Q116" s="153">
        <f>SUM(S105:S114)</f>
        <v>12455.00000004</v>
      </c>
      <c r="R116" s="153"/>
      <c r="S116" s="153"/>
      <c r="T116" s="153"/>
      <c r="U116" s="114"/>
      <c r="V116" s="55" t="s">
        <v>112</v>
      </c>
      <c r="W116" s="153">
        <f>SUM(X105:X118)</f>
        <v>31625</v>
      </c>
      <c r="X116" s="153"/>
      <c r="Y116" s="153"/>
      <c r="Z116" s="153">
        <f>SUM(AB105:AB114)</f>
        <v>19000</v>
      </c>
      <c r="AA116" s="153"/>
      <c r="AB116" s="153"/>
      <c r="AC116" s="153"/>
      <c r="AD116" s="153">
        <f>SUM(AF105:AF113)</f>
        <v>0</v>
      </c>
      <c r="AE116" s="153"/>
      <c r="AF116" s="153"/>
      <c r="AG116" s="153"/>
      <c r="AH116" s="153">
        <f>SUM(AJ105:AJ106)</f>
        <v>3.9999999999999998E-6</v>
      </c>
      <c r="AI116" s="153"/>
      <c r="AJ116" s="153"/>
      <c r="AK116" s="153"/>
      <c r="AL116" s="155">
        <f>SUM(AN105:AN114)</f>
        <v>50625.000004000001</v>
      </c>
      <c r="AM116" s="155"/>
      <c r="AN116" s="155"/>
      <c r="AO116" s="155"/>
      <c r="AP116" s="2"/>
      <c r="AQ116" s="33">
        <v>33</v>
      </c>
      <c r="AR116" s="33">
        <v>66</v>
      </c>
      <c r="AS116" s="29">
        <f>SUM($AR$84:AR116)</f>
        <v>1122</v>
      </c>
      <c r="AT116" s="33">
        <v>33</v>
      </c>
      <c r="AU116" s="32">
        <v>660</v>
      </c>
      <c r="AV116" s="32">
        <f>SUM($AU$84:AU116)</f>
        <v>11220</v>
      </c>
      <c r="AW116" s="2"/>
      <c r="AX116" s="33">
        <v>2</v>
      </c>
      <c r="AY116" s="32">
        <v>3150</v>
      </c>
      <c r="AZ116" s="32">
        <f>SUM(BA116:BC116)</f>
        <v>450</v>
      </c>
      <c r="BA116" s="32">
        <v>349</v>
      </c>
      <c r="BB116" s="32">
        <v>90</v>
      </c>
      <c r="BC116" s="32">
        <v>11</v>
      </c>
      <c r="BD116" s="34">
        <v>0.25</v>
      </c>
      <c r="BE116" s="32">
        <f>AY116+(BA116*$O$3)+(BB116*$P$3)+(BC116*$Q$3)</f>
        <v>14895</v>
      </c>
      <c r="BF116" s="33" t="s">
        <v>237</v>
      </c>
      <c r="BG116" s="33" t="s">
        <v>238</v>
      </c>
      <c r="BH116" s="32">
        <f>BE116+$BG$119</f>
        <v>21895</v>
      </c>
      <c r="BI116" s="2"/>
      <c r="BJ116" s="2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</row>
    <row r="117" spans="1:151" ht="15.75" customHeight="1">
      <c r="A117" s="115" t="s">
        <v>4</v>
      </c>
      <c r="B117" s="153">
        <f>B116+E116+I116+M116</f>
        <v>12455.00000004</v>
      </c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14"/>
      <c r="V117" s="115" t="s">
        <v>4</v>
      </c>
      <c r="W117" s="153">
        <f>W116+Z116+AD116+AH116</f>
        <v>50625.000004000001</v>
      </c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2"/>
      <c r="AQ117" s="33">
        <v>34</v>
      </c>
      <c r="AR117" s="33">
        <v>68</v>
      </c>
      <c r="AS117" s="29">
        <f>SUM($AR$84:AR117)</f>
        <v>1190</v>
      </c>
      <c r="AT117" s="33">
        <v>34</v>
      </c>
      <c r="AU117" s="32">
        <v>680</v>
      </c>
      <c r="AV117" s="32">
        <f>SUM($AU$84:AU117)</f>
        <v>11900</v>
      </c>
      <c r="AW117" s="2"/>
      <c r="AX117" s="33">
        <v>3</v>
      </c>
      <c r="AY117" s="32">
        <v>2730</v>
      </c>
      <c r="AZ117" s="32">
        <f>SUM(BA117:BC117)</f>
        <v>390</v>
      </c>
      <c r="BA117" s="32">
        <v>303</v>
      </c>
      <c r="BB117" s="32">
        <v>78</v>
      </c>
      <c r="BC117" s="32">
        <v>9</v>
      </c>
      <c r="BD117" s="34">
        <v>0.2</v>
      </c>
      <c r="BE117" s="32">
        <f>AY117+(BA117*$O$3)+(BB117*$P$3)+(BC117*$Q$3)</f>
        <v>12645</v>
      </c>
      <c r="BF117" s="33">
        <v>21</v>
      </c>
      <c r="BG117" s="33">
        <v>7</v>
      </c>
      <c r="BH117" s="32">
        <f>BE117+$BG$119</f>
        <v>19645</v>
      </c>
      <c r="BI117" s="2"/>
      <c r="BJ117" s="2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</row>
    <row r="118" spans="1:15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33">
        <v>35</v>
      </c>
      <c r="AR118" s="33">
        <v>70</v>
      </c>
      <c r="AS118" s="29">
        <f>SUM($AR$84:AR118)</f>
        <v>1260</v>
      </c>
      <c r="AT118" s="33">
        <v>35</v>
      </c>
      <c r="AU118" s="32">
        <v>700</v>
      </c>
      <c r="AV118" s="32">
        <f>SUM($AU$84:AU118)</f>
        <v>12600</v>
      </c>
      <c r="AW118" s="2"/>
      <c r="AX118" s="33">
        <v>4</v>
      </c>
      <c r="AY118" s="32">
        <v>2310</v>
      </c>
      <c r="AZ118" s="32">
        <f>SUM(BA118:BC118)</f>
        <v>330</v>
      </c>
      <c r="BA118" s="32">
        <v>256</v>
      </c>
      <c r="BB118" s="32">
        <v>66</v>
      </c>
      <c r="BC118" s="32">
        <v>8</v>
      </c>
      <c r="BD118" s="35">
        <v>0.125</v>
      </c>
      <c r="BE118" s="32">
        <f>AY118+(BA118*$O$3)+(BB118*$P$3)+(BC118*$Q$3)</f>
        <v>10890</v>
      </c>
      <c r="BF118" s="32">
        <f>BF117*BF115</f>
        <v>4200</v>
      </c>
      <c r="BG118" s="32">
        <f>BG117*BG115</f>
        <v>2800</v>
      </c>
      <c r="BH118" s="32">
        <f>BE118+$BG$119</f>
        <v>17890</v>
      </c>
      <c r="BI118" s="2"/>
      <c r="BJ118" s="2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</row>
    <row r="119" spans="1:151" ht="15.75" customHeight="1">
      <c r="A119" s="131" t="s">
        <v>246</v>
      </c>
      <c r="B119" s="131"/>
      <c r="C119" s="131"/>
      <c r="D119" s="131"/>
      <c r="E119" s="131"/>
      <c r="F119" s="131"/>
      <c r="G119" s="131"/>
      <c r="H119" s="131"/>
      <c r="I119" s="131"/>
      <c r="J119" s="131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3">
        <v>36</v>
      </c>
      <c r="AR119" s="33">
        <v>72</v>
      </c>
      <c r="AS119" s="29">
        <f>SUM($AR$84:AR119)</f>
        <v>1332</v>
      </c>
      <c r="AT119" s="33">
        <v>36</v>
      </c>
      <c r="AU119" s="32">
        <v>720</v>
      </c>
      <c r="AV119" s="32">
        <f>SUM($AU$84:AU119)</f>
        <v>13320</v>
      </c>
      <c r="AW119" s="2"/>
      <c r="AX119" s="55">
        <v>5</v>
      </c>
      <c r="AY119" s="53">
        <v>2310</v>
      </c>
      <c r="AZ119" s="53">
        <f>SUM(BA119:BC119)</f>
        <v>330</v>
      </c>
      <c r="BA119" s="53">
        <v>256</v>
      </c>
      <c r="BB119" s="53">
        <v>66</v>
      </c>
      <c r="BC119" s="53">
        <v>8</v>
      </c>
      <c r="BD119" s="58">
        <v>0.125</v>
      </c>
      <c r="BE119" s="53">
        <f>AY119+(BA119*$O$3)+(BB119*$P$3)+(BC119*$Q$3)</f>
        <v>10890</v>
      </c>
      <c r="BF119" s="55" t="s">
        <v>239</v>
      </c>
      <c r="BG119" s="53">
        <f>BF118+BG118</f>
        <v>7000</v>
      </c>
      <c r="BH119" s="53">
        <f>BE119+$BG$119</f>
        <v>17890</v>
      </c>
      <c r="BI119" s="2"/>
      <c r="BJ119" s="2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</row>
    <row r="120" spans="1:151" ht="15.75" customHeight="1">
      <c r="A120" s="131" t="s">
        <v>48</v>
      </c>
      <c r="B120" s="131"/>
      <c r="C120" s="131"/>
      <c r="D120" s="131"/>
      <c r="E120" s="131" t="s">
        <v>209</v>
      </c>
      <c r="F120" s="131"/>
      <c r="G120" s="131"/>
      <c r="H120" s="131"/>
      <c r="I120" s="131" t="s">
        <v>210</v>
      </c>
      <c r="J120" s="131"/>
      <c r="K120" s="131"/>
      <c r="L120" s="131"/>
      <c r="M120" s="131" t="s">
        <v>3</v>
      </c>
      <c r="N120" s="131"/>
      <c r="O120" s="131"/>
      <c r="P120" s="131"/>
      <c r="Q120" s="131" t="s">
        <v>65</v>
      </c>
      <c r="R120" s="131"/>
      <c r="S120" s="131"/>
      <c r="T120" s="131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3">
        <v>37</v>
      </c>
      <c r="AR120" s="33">
        <v>74</v>
      </c>
      <c r="AS120" s="29">
        <f>SUM($AR$84:AR120)</f>
        <v>1406</v>
      </c>
      <c r="AT120" s="33">
        <v>37</v>
      </c>
      <c r="AU120" s="32">
        <v>740</v>
      </c>
      <c r="AV120" s="32">
        <f>SUM($AU$84:AU120)</f>
        <v>14060</v>
      </c>
      <c r="AW120" s="2"/>
      <c r="AX120" s="131" t="s">
        <v>17</v>
      </c>
      <c r="AY120" s="131"/>
      <c r="AZ120" s="131"/>
      <c r="BA120" s="131"/>
      <c r="BB120" s="131"/>
      <c r="BC120" s="131"/>
      <c r="BD120" s="131"/>
      <c r="BE120" s="131"/>
      <c r="BF120" s="131"/>
      <c r="BG120" s="131"/>
      <c r="BH120" s="131"/>
      <c r="BI120" s="2"/>
      <c r="BJ120" s="2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</row>
    <row r="121" spans="1:151" ht="15.75" customHeight="1">
      <c r="A121" s="4" t="s">
        <v>215</v>
      </c>
      <c r="B121" s="4" t="s">
        <v>188</v>
      </c>
      <c r="C121" s="4" t="s">
        <v>78</v>
      </c>
      <c r="D121" s="11" t="s">
        <v>69</v>
      </c>
      <c r="E121" s="11" t="s">
        <v>215</v>
      </c>
      <c r="F121" s="4" t="s">
        <v>188</v>
      </c>
      <c r="G121" s="4" t="s">
        <v>78</v>
      </c>
      <c r="H121" s="11" t="s">
        <v>69</v>
      </c>
      <c r="I121" s="4" t="s">
        <v>215</v>
      </c>
      <c r="J121" s="4" t="s">
        <v>188</v>
      </c>
      <c r="K121" s="4" t="s">
        <v>78</v>
      </c>
      <c r="L121" s="11" t="s">
        <v>69</v>
      </c>
      <c r="M121" s="4" t="s">
        <v>215</v>
      </c>
      <c r="N121" s="4" t="s">
        <v>188</v>
      </c>
      <c r="O121" s="4" t="s">
        <v>78</v>
      </c>
      <c r="P121" s="11" t="s">
        <v>69</v>
      </c>
      <c r="Q121" s="4" t="s">
        <v>215</v>
      </c>
      <c r="R121" s="36" t="s">
        <v>188</v>
      </c>
      <c r="S121" s="4" t="s">
        <v>78</v>
      </c>
      <c r="T121" s="4" t="s">
        <v>69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3">
        <v>38</v>
      </c>
      <c r="AR121" s="33">
        <v>76</v>
      </c>
      <c r="AS121" s="29">
        <f>SUM($AR$84:AR121)</f>
        <v>1482</v>
      </c>
      <c r="AT121" s="33">
        <v>38</v>
      </c>
      <c r="AU121" s="32">
        <v>760</v>
      </c>
      <c r="AV121" s="32">
        <f>SUM($AU$84:AU121)</f>
        <v>14820</v>
      </c>
      <c r="AW121" s="2"/>
      <c r="AX121" s="7" t="s">
        <v>227</v>
      </c>
      <c r="AY121" s="7" t="s">
        <v>78</v>
      </c>
      <c r="AZ121" s="7" t="s">
        <v>40</v>
      </c>
      <c r="BA121" s="7" t="s">
        <v>228</v>
      </c>
      <c r="BB121" s="7" t="s">
        <v>229</v>
      </c>
      <c r="BC121" s="7" t="s">
        <v>230</v>
      </c>
      <c r="BD121" s="7" t="s">
        <v>49</v>
      </c>
      <c r="BE121" s="7" t="s">
        <v>231</v>
      </c>
      <c r="BF121" s="7" t="s">
        <v>232</v>
      </c>
      <c r="BG121" s="7" t="s">
        <v>233</v>
      </c>
      <c r="BH121" s="27" t="s">
        <v>234</v>
      </c>
      <c r="BI121" s="2"/>
      <c r="BJ121" s="2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</row>
    <row r="122" spans="1:151" ht="15.75" customHeight="1">
      <c r="A122" s="9">
        <v>0</v>
      </c>
      <c r="B122" s="33">
        <v>0</v>
      </c>
      <c r="C122" s="32">
        <v>0</v>
      </c>
      <c r="D122" s="28">
        <f>C122/B137</f>
        <v>0</v>
      </c>
      <c r="E122" s="99">
        <v>0</v>
      </c>
      <c r="F122" s="27">
        <v>0</v>
      </c>
      <c r="G122" s="25">
        <v>0</v>
      </c>
      <c r="H122" s="28">
        <f>E122/E137</f>
        <v>0</v>
      </c>
      <c r="I122" s="9">
        <v>0</v>
      </c>
      <c r="J122" s="27">
        <v>0</v>
      </c>
      <c r="K122" s="25">
        <v>1E-22</v>
      </c>
      <c r="L122" s="28">
        <f>I122/I137</f>
        <v>0</v>
      </c>
      <c r="M122" s="9">
        <v>0</v>
      </c>
      <c r="N122" s="27">
        <v>0</v>
      </c>
      <c r="O122" s="25">
        <v>1.0000000000000001E-17</v>
      </c>
      <c r="P122" s="28">
        <f>M122/M137</f>
        <v>0</v>
      </c>
      <c r="Q122" s="77">
        <v>0</v>
      </c>
      <c r="R122" s="18">
        <f t="shared" ref="R122:R135" si="92">B122+F122+J122+N122</f>
        <v>0</v>
      </c>
      <c r="S122" s="29">
        <f t="shared" ref="S122:S135" si="93">C122+G122+K122+O122</f>
        <v>1.0000100000000001E-17</v>
      </c>
      <c r="T122" s="28">
        <f>S122/Q137</f>
        <v>8.6957391304347839E-24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3">
        <v>39</v>
      </c>
      <c r="AR122" s="33">
        <v>78</v>
      </c>
      <c r="AS122" s="29">
        <f>SUM($AR$84:AR122)</f>
        <v>1560</v>
      </c>
      <c r="AT122" s="33">
        <v>39</v>
      </c>
      <c r="AU122" s="32">
        <v>780</v>
      </c>
      <c r="AV122" s="32">
        <f>SUM($AU$84:AU122)</f>
        <v>15600</v>
      </c>
      <c r="AW122" s="2"/>
      <c r="AX122" s="27">
        <v>1</v>
      </c>
      <c r="AY122" s="25">
        <v>4410</v>
      </c>
      <c r="AZ122" s="25">
        <f>SUM(BA122:BC122)</f>
        <v>630</v>
      </c>
      <c r="BA122" s="25">
        <v>489</v>
      </c>
      <c r="BB122" s="25">
        <v>126</v>
      </c>
      <c r="BC122" s="25">
        <v>15</v>
      </c>
      <c r="BD122" s="28">
        <v>1</v>
      </c>
      <c r="BE122" s="25">
        <f>AY122+(BA122*$O$3)+(BB122*$P$3)+(BC122*$Q$3)+(R3)</f>
        <v>40655</v>
      </c>
      <c r="BF122" s="27">
        <v>250</v>
      </c>
      <c r="BG122" s="12">
        <v>500</v>
      </c>
      <c r="BH122" s="25">
        <f>BE122+$BG$126</f>
        <v>49405</v>
      </c>
      <c r="BI122" s="2"/>
      <c r="BJ122" s="2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</row>
    <row r="123" spans="1:151" ht="15.75" customHeight="1">
      <c r="A123" s="8">
        <v>1</v>
      </c>
      <c r="B123" s="33">
        <v>0</v>
      </c>
      <c r="C123" s="32">
        <f>B123*SUM(B9:B20)</f>
        <v>0</v>
      </c>
      <c r="D123" s="34">
        <f>C123/B137</f>
        <v>0</v>
      </c>
      <c r="E123" s="102">
        <v>1</v>
      </c>
      <c r="F123" s="33">
        <v>0</v>
      </c>
      <c r="G123" s="32">
        <f>F123*SUM(E9:E18)</f>
        <v>0</v>
      </c>
      <c r="H123" s="34">
        <f>G123/E137</f>
        <v>0</v>
      </c>
      <c r="I123" s="8">
        <v>1</v>
      </c>
      <c r="J123" s="33">
        <v>0</v>
      </c>
      <c r="K123" s="32">
        <f>J123*SUM(H9:H15)</f>
        <v>0</v>
      </c>
      <c r="L123" s="34">
        <f>K123/I137</f>
        <v>0</v>
      </c>
      <c r="M123" s="8">
        <v>1</v>
      </c>
      <c r="N123" s="33">
        <v>0</v>
      </c>
      <c r="O123" s="32">
        <f>N123*SUM(K9:K12)</f>
        <v>0</v>
      </c>
      <c r="P123" s="34">
        <f>O123/M137</f>
        <v>0</v>
      </c>
      <c r="Q123" s="78">
        <v>1</v>
      </c>
      <c r="R123" s="18">
        <f t="shared" si="92"/>
        <v>0</v>
      </c>
      <c r="S123" s="29">
        <f t="shared" si="93"/>
        <v>0</v>
      </c>
      <c r="T123" s="34">
        <f>S123/Q137</f>
        <v>0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3">
        <v>40</v>
      </c>
      <c r="AR123" s="33">
        <v>80</v>
      </c>
      <c r="AS123" s="29">
        <f>SUM($AR$84:AR123)</f>
        <v>1640</v>
      </c>
      <c r="AT123" s="33">
        <v>40</v>
      </c>
      <c r="AU123" s="32">
        <v>800</v>
      </c>
      <c r="AV123" s="32">
        <f>SUM($AU$84:AU123)</f>
        <v>16400</v>
      </c>
      <c r="AW123" s="2"/>
      <c r="AX123" s="33">
        <v>2</v>
      </c>
      <c r="AY123" s="32">
        <v>3990</v>
      </c>
      <c r="AZ123" s="32">
        <f>SUM(BA123:BC123)</f>
        <v>570</v>
      </c>
      <c r="BA123" s="32">
        <v>442</v>
      </c>
      <c r="BB123" s="32">
        <v>114</v>
      </c>
      <c r="BC123" s="32">
        <v>14</v>
      </c>
      <c r="BD123" s="34">
        <v>0.5</v>
      </c>
      <c r="BE123" s="32">
        <f>AY123+(BA123*$O$3)+(BB123*$P$3)+(BC123*$Q$3)</f>
        <v>18900</v>
      </c>
      <c r="BF123" s="33" t="s">
        <v>237</v>
      </c>
      <c r="BG123" s="18" t="s">
        <v>238</v>
      </c>
      <c r="BH123" s="32">
        <f>BE123+$BG$126</f>
        <v>27650</v>
      </c>
      <c r="BI123" s="2"/>
      <c r="BJ123" s="2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</row>
    <row r="124" spans="1:151" ht="15.75" customHeight="1">
      <c r="A124" s="8">
        <v>2</v>
      </c>
      <c r="B124" s="33">
        <v>0</v>
      </c>
      <c r="C124" s="32">
        <f>B124*SUM(B10:B20)</f>
        <v>0</v>
      </c>
      <c r="D124" s="34">
        <f>C124/B137</f>
        <v>0</v>
      </c>
      <c r="E124" s="102">
        <v>2</v>
      </c>
      <c r="F124" s="33">
        <v>0</v>
      </c>
      <c r="G124" s="32">
        <f>F124*SUM(E10:E18)</f>
        <v>0</v>
      </c>
      <c r="H124" s="34">
        <f>G124/E137</f>
        <v>0</v>
      </c>
      <c r="I124" s="8">
        <v>2</v>
      </c>
      <c r="J124" s="33">
        <v>0</v>
      </c>
      <c r="K124" s="32">
        <f>J124*SUM(H10:H15)</f>
        <v>0</v>
      </c>
      <c r="L124" s="34">
        <f>K124/I137</f>
        <v>0</v>
      </c>
      <c r="M124" s="8">
        <v>2</v>
      </c>
      <c r="N124" s="33">
        <v>0</v>
      </c>
      <c r="O124" s="32">
        <f>N124*SUM(K10:K12)</f>
        <v>0</v>
      </c>
      <c r="P124" s="34">
        <f>O124/M137</f>
        <v>0</v>
      </c>
      <c r="Q124" s="78">
        <v>2</v>
      </c>
      <c r="R124" s="18">
        <f t="shared" si="92"/>
        <v>0</v>
      </c>
      <c r="S124" s="29">
        <f t="shared" si="93"/>
        <v>0</v>
      </c>
      <c r="T124" s="34">
        <f>S124/Q137</f>
        <v>0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3">
        <v>41</v>
      </c>
      <c r="AR124" s="33">
        <v>82</v>
      </c>
      <c r="AS124" s="29">
        <f>SUM($AR$84:AR124)</f>
        <v>1722</v>
      </c>
      <c r="AT124" s="33">
        <v>41</v>
      </c>
      <c r="AU124" s="32">
        <v>820</v>
      </c>
      <c r="AV124" s="32">
        <f>SUM($AU$84:AU124)</f>
        <v>17220</v>
      </c>
      <c r="AW124" s="2"/>
      <c r="AX124" s="33">
        <v>3</v>
      </c>
      <c r="AY124" s="32">
        <v>3570</v>
      </c>
      <c r="AZ124" s="32">
        <f>SUM(BA124:BC124)</f>
        <v>510</v>
      </c>
      <c r="BA124" s="32">
        <v>396</v>
      </c>
      <c r="BB124" s="32">
        <v>102</v>
      </c>
      <c r="BC124" s="32">
        <v>12</v>
      </c>
      <c r="BD124" s="34">
        <v>0.33300000000000002</v>
      </c>
      <c r="BE124" s="32">
        <f>AY124+(BA124*$O$3)+(BB124*$P$3)+(BC124*$Q$3)</f>
        <v>16650</v>
      </c>
      <c r="BF124" s="33">
        <v>21</v>
      </c>
      <c r="BG124" s="18">
        <v>7</v>
      </c>
      <c r="BH124" s="32">
        <f>BE124+$BG$126</f>
        <v>25400</v>
      </c>
      <c r="BI124" s="2"/>
      <c r="BJ124" s="2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</row>
    <row r="125" spans="1:151" ht="15.75" customHeight="1">
      <c r="A125" s="8">
        <v>3</v>
      </c>
      <c r="B125" s="33">
        <v>0</v>
      </c>
      <c r="C125" s="32">
        <f>B125*SUM(B11:B20)</f>
        <v>0</v>
      </c>
      <c r="D125" s="34">
        <f>C125/B137</f>
        <v>0</v>
      </c>
      <c r="E125" s="102">
        <v>3</v>
      </c>
      <c r="F125" s="33">
        <v>0</v>
      </c>
      <c r="G125" s="32">
        <f>F125*SUM(E11:E18)</f>
        <v>0</v>
      </c>
      <c r="H125" s="34">
        <f>G125/E137</f>
        <v>0</v>
      </c>
      <c r="I125" s="8">
        <v>3</v>
      </c>
      <c r="J125" s="33">
        <v>0</v>
      </c>
      <c r="K125" s="32">
        <f>J125*SUM(H11:H15)</f>
        <v>0</v>
      </c>
      <c r="L125" s="34">
        <f>K125/I137</f>
        <v>0</v>
      </c>
      <c r="M125" s="8">
        <v>3</v>
      </c>
      <c r="N125" s="33">
        <v>0</v>
      </c>
      <c r="O125" s="32">
        <f>N125*SUM(K11:K12)</f>
        <v>0</v>
      </c>
      <c r="P125" s="34">
        <f>O125/M137</f>
        <v>0</v>
      </c>
      <c r="Q125" s="78">
        <v>3</v>
      </c>
      <c r="R125" s="18">
        <f t="shared" si="92"/>
        <v>0</v>
      </c>
      <c r="S125" s="29">
        <f t="shared" si="93"/>
        <v>0</v>
      </c>
      <c r="T125" s="34">
        <f>S125/Q137</f>
        <v>0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3">
        <v>42</v>
      </c>
      <c r="AR125" s="33">
        <v>84</v>
      </c>
      <c r="AS125" s="29">
        <f>SUM($AR$84:AR125)</f>
        <v>1806</v>
      </c>
      <c r="AT125" s="33">
        <v>42</v>
      </c>
      <c r="AU125" s="32">
        <v>840</v>
      </c>
      <c r="AV125" s="32">
        <f>SUM($AU$84:AU125)</f>
        <v>18060</v>
      </c>
      <c r="AW125" s="2"/>
      <c r="AX125" s="33">
        <v>4</v>
      </c>
      <c r="AY125" s="32">
        <v>3150</v>
      </c>
      <c r="AZ125" s="32">
        <f>SUM(BA125:BC125)</f>
        <v>450</v>
      </c>
      <c r="BA125" s="32">
        <v>349</v>
      </c>
      <c r="BB125" s="32">
        <v>90</v>
      </c>
      <c r="BC125" s="32">
        <v>11</v>
      </c>
      <c r="BD125" s="35">
        <v>0.25</v>
      </c>
      <c r="BE125" s="32">
        <f>AY125+(BA125*$O$3)+(BB125*$P$3)+(BC125*$Q$3)</f>
        <v>14895</v>
      </c>
      <c r="BF125" s="32">
        <f>BF124*BF122</f>
        <v>5250</v>
      </c>
      <c r="BG125" s="29">
        <f>BG124*BG122</f>
        <v>3500</v>
      </c>
      <c r="BH125" s="32">
        <f>BE125+$BG$126</f>
        <v>23645</v>
      </c>
      <c r="BI125" s="2"/>
      <c r="BJ125" s="2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</row>
    <row r="126" spans="1:151" ht="15.75" customHeight="1">
      <c r="A126" s="8">
        <v>4</v>
      </c>
      <c r="B126" s="33">
        <v>0</v>
      </c>
      <c r="C126" s="32">
        <f>B126*SUM(B12:B20)</f>
        <v>0</v>
      </c>
      <c r="D126" s="34">
        <f>C126/B137</f>
        <v>0</v>
      </c>
      <c r="E126" s="102">
        <v>4</v>
      </c>
      <c r="F126" s="33">
        <v>0</v>
      </c>
      <c r="G126" s="32">
        <f>F126*SUM(E12:E18)</f>
        <v>0</v>
      </c>
      <c r="H126" s="34">
        <f>G126/E137</f>
        <v>0</v>
      </c>
      <c r="I126" s="8">
        <v>4</v>
      </c>
      <c r="J126" s="33">
        <v>0</v>
      </c>
      <c r="K126" s="32">
        <f>J126*SUM(H12:H15)</f>
        <v>0</v>
      </c>
      <c r="L126" s="34">
        <f>K126/I137</f>
        <v>0</v>
      </c>
      <c r="M126" s="8">
        <v>4</v>
      </c>
      <c r="N126" s="33">
        <v>0</v>
      </c>
      <c r="O126" s="32">
        <f>N126*SUM(K12)</f>
        <v>0</v>
      </c>
      <c r="P126" s="34">
        <f>O126/M137</f>
        <v>0</v>
      </c>
      <c r="Q126" s="78">
        <v>4</v>
      </c>
      <c r="R126" s="18">
        <f t="shared" si="92"/>
        <v>0</v>
      </c>
      <c r="S126" s="29">
        <f t="shared" si="93"/>
        <v>0</v>
      </c>
      <c r="T126" s="34">
        <f>S126/Q137</f>
        <v>0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3">
        <v>43</v>
      </c>
      <c r="AR126" s="33">
        <v>86</v>
      </c>
      <c r="AS126" s="29">
        <f>SUM($AR$84:AR126)</f>
        <v>1892</v>
      </c>
      <c r="AT126" s="33">
        <v>43</v>
      </c>
      <c r="AU126" s="32">
        <v>860</v>
      </c>
      <c r="AV126" s="32">
        <f>SUM($AU$84:AU126)</f>
        <v>18920</v>
      </c>
      <c r="AW126" s="2"/>
      <c r="AX126" s="55">
        <v>5</v>
      </c>
      <c r="AY126" s="53">
        <v>3150</v>
      </c>
      <c r="AZ126" s="53">
        <f>SUM(BA126:BC126)</f>
        <v>450</v>
      </c>
      <c r="BA126" s="53">
        <v>349</v>
      </c>
      <c r="BB126" s="53">
        <v>90</v>
      </c>
      <c r="BC126" s="53">
        <v>11</v>
      </c>
      <c r="BD126" s="58">
        <v>0.25</v>
      </c>
      <c r="BE126" s="53">
        <f>AY126+(BA126*$O$3)+(BB126*$P$3)+(BC126*$Q$3)</f>
        <v>14895</v>
      </c>
      <c r="BF126" s="55" t="s">
        <v>239</v>
      </c>
      <c r="BG126" s="57">
        <f>BF125+BG125</f>
        <v>8750</v>
      </c>
      <c r="BH126" s="53">
        <f>BE126+$BG$126</f>
        <v>23645</v>
      </c>
      <c r="BI126" s="2"/>
      <c r="BJ126" s="2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</row>
    <row r="127" spans="1:151" ht="15.75" customHeight="1">
      <c r="A127" s="8">
        <v>5</v>
      </c>
      <c r="B127" s="33">
        <v>0</v>
      </c>
      <c r="C127" s="32">
        <f>B127*SUM(B13:B20)</f>
        <v>0</v>
      </c>
      <c r="D127" s="34">
        <f>C127/B137</f>
        <v>0</v>
      </c>
      <c r="E127" s="102">
        <v>5</v>
      </c>
      <c r="F127" s="33">
        <v>0</v>
      </c>
      <c r="G127" s="32">
        <f>F127*SUM(E13:E18)</f>
        <v>0</v>
      </c>
      <c r="H127" s="34">
        <f>G127/E137</f>
        <v>0</v>
      </c>
      <c r="I127" s="8">
        <v>5</v>
      </c>
      <c r="J127" s="33">
        <v>0</v>
      </c>
      <c r="K127" s="32">
        <f>J127*SUM(H13:H15)</f>
        <v>0</v>
      </c>
      <c r="L127" s="34">
        <f>K127/I137</f>
        <v>0</v>
      </c>
      <c r="M127" s="5">
        <v>5</v>
      </c>
      <c r="N127" s="55">
        <v>0</v>
      </c>
      <c r="O127" s="53">
        <f>N127*0</f>
        <v>0</v>
      </c>
      <c r="P127" s="56">
        <f>O127/M137</f>
        <v>0</v>
      </c>
      <c r="Q127" s="78">
        <v>5</v>
      </c>
      <c r="R127" s="18">
        <f t="shared" si="92"/>
        <v>0</v>
      </c>
      <c r="S127" s="29">
        <f t="shared" si="93"/>
        <v>0</v>
      </c>
      <c r="T127" s="34">
        <f>S127/Q137</f>
        <v>0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3">
        <v>44</v>
      </c>
      <c r="AR127" s="33">
        <v>88</v>
      </c>
      <c r="AS127" s="29">
        <f>SUM($AR$84:AR127)</f>
        <v>1980</v>
      </c>
      <c r="AT127" s="33">
        <v>44</v>
      </c>
      <c r="AU127" s="32">
        <v>880</v>
      </c>
      <c r="AV127" s="32">
        <f>SUM($AU$84:AU127)</f>
        <v>19800</v>
      </c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</row>
    <row r="128" spans="1:151" ht="15.75" customHeight="1">
      <c r="A128" s="8">
        <v>6</v>
      </c>
      <c r="B128" s="33">
        <v>0</v>
      </c>
      <c r="C128" s="32">
        <f>B128*SUM(B14:B20)</f>
        <v>0</v>
      </c>
      <c r="D128" s="34">
        <f>C128/B137</f>
        <v>0</v>
      </c>
      <c r="E128" s="102">
        <v>6</v>
      </c>
      <c r="F128" s="33">
        <v>0</v>
      </c>
      <c r="G128" s="32">
        <f>F128*SUM(E14:E18)</f>
        <v>0</v>
      </c>
      <c r="H128" s="34">
        <f>G128/E137</f>
        <v>0</v>
      </c>
      <c r="I128" s="8">
        <v>6</v>
      </c>
      <c r="J128" s="33">
        <v>0</v>
      </c>
      <c r="K128" s="32">
        <f>J128*SUM(H14:H15)</f>
        <v>0</v>
      </c>
      <c r="L128" s="34">
        <f>K128/I137</f>
        <v>0</v>
      </c>
      <c r="M128" s="3"/>
      <c r="N128" s="3"/>
      <c r="O128" s="3"/>
      <c r="P128" s="3"/>
      <c r="Q128" s="78">
        <v>6</v>
      </c>
      <c r="R128" s="18">
        <f t="shared" si="92"/>
        <v>0</v>
      </c>
      <c r="S128" s="29">
        <f t="shared" si="93"/>
        <v>0</v>
      </c>
      <c r="T128" s="34">
        <f>S128/Q137</f>
        <v>0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3">
        <v>45</v>
      </c>
      <c r="AR128" s="33">
        <v>90</v>
      </c>
      <c r="AS128" s="29">
        <f>SUM($AR$84:AR128)</f>
        <v>2070</v>
      </c>
      <c r="AT128" s="33">
        <v>45</v>
      </c>
      <c r="AU128" s="32">
        <v>900</v>
      </c>
      <c r="AV128" s="32">
        <f>SUM($AU$84:AU128)</f>
        <v>20700</v>
      </c>
      <c r="AW128" s="2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</row>
    <row r="129" spans="1:151" ht="15.75" customHeight="1">
      <c r="A129" s="8">
        <v>7</v>
      </c>
      <c r="B129" s="33">
        <v>0</v>
      </c>
      <c r="C129" s="32">
        <f>B129*SUM(B15:B20)</f>
        <v>0</v>
      </c>
      <c r="D129" s="34">
        <f>C129/B137</f>
        <v>0</v>
      </c>
      <c r="E129" s="102">
        <v>7</v>
      </c>
      <c r="F129" s="33">
        <v>0</v>
      </c>
      <c r="G129" s="32">
        <f>F129*SUM(E15:E18)</f>
        <v>0</v>
      </c>
      <c r="H129" s="34">
        <f>G129/E137</f>
        <v>0</v>
      </c>
      <c r="I129" s="8">
        <v>7</v>
      </c>
      <c r="J129" s="33">
        <v>0</v>
      </c>
      <c r="K129" s="32">
        <f>J129*SUM(H15)</f>
        <v>0</v>
      </c>
      <c r="L129" s="34">
        <f>K129/I137</f>
        <v>0</v>
      </c>
      <c r="M129" s="3"/>
      <c r="N129" s="3"/>
      <c r="O129" s="3"/>
      <c r="P129" s="3"/>
      <c r="Q129" s="78">
        <v>7</v>
      </c>
      <c r="R129" s="18">
        <f t="shared" si="92"/>
        <v>0</v>
      </c>
      <c r="S129" s="29">
        <f t="shared" si="93"/>
        <v>0</v>
      </c>
      <c r="T129" s="34">
        <f>S129/Q137</f>
        <v>0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3">
        <v>46</v>
      </c>
      <c r="AR129" s="33">
        <v>92</v>
      </c>
      <c r="AS129" s="29">
        <f>SUM($AR$84:AR129)</f>
        <v>2162</v>
      </c>
      <c r="AT129" s="33">
        <v>46</v>
      </c>
      <c r="AU129" s="32">
        <v>920</v>
      </c>
      <c r="AV129" s="32">
        <f>SUM($AU$84:AU129)</f>
        <v>21620</v>
      </c>
      <c r="AW129" s="2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</row>
    <row r="130" spans="1:151" ht="15.75" customHeight="1">
      <c r="A130" s="8">
        <v>8</v>
      </c>
      <c r="B130" s="33">
        <v>0</v>
      </c>
      <c r="C130" s="32">
        <f>B130*SUM(B16:B20)</f>
        <v>0</v>
      </c>
      <c r="D130" s="34">
        <f>C130/B137</f>
        <v>0</v>
      </c>
      <c r="E130" s="102">
        <v>8</v>
      </c>
      <c r="F130" s="33">
        <v>0</v>
      </c>
      <c r="G130" s="32">
        <f>F130*SUM(E16:E18)</f>
        <v>0</v>
      </c>
      <c r="H130" s="34">
        <f>G130/E137</f>
        <v>0</v>
      </c>
      <c r="I130" s="5">
        <v>8</v>
      </c>
      <c r="J130" s="55">
        <v>0</v>
      </c>
      <c r="K130" s="53">
        <f>J130*SUM(H16:H22)</f>
        <v>0</v>
      </c>
      <c r="L130" s="56">
        <f>K130/I137</f>
        <v>0</v>
      </c>
      <c r="M130" s="3"/>
      <c r="N130" s="3"/>
      <c r="O130" s="3"/>
      <c r="P130" s="3"/>
      <c r="Q130" s="78">
        <v>8</v>
      </c>
      <c r="R130" s="18">
        <f t="shared" si="92"/>
        <v>0</v>
      </c>
      <c r="S130" s="29">
        <f t="shared" si="93"/>
        <v>0</v>
      </c>
      <c r="T130" s="34">
        <f>S130/Q137</f>
        <v>0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3">
        <v>47</v>
      </c>
      <c r="AR130" s="33">
        <v>94</v>
      </c>
      <c r="AS130" s="29">
        <f>SUM($AR$84:AR130)</f>
        <v>2256</v>
      </c>
      <c r="AT130" s="33">
        <v>47</v>
      </c>
      <c r="AU130" s="32">
        <v>940</v>
      </c>
      <c r="AV130" s="32">
        <f>SUM($AU$84:AU130)</f>
        <v>22560</v>
      </c>
      <c r="AW130" s="2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</row>
    <row r="131" spans="1:151" ht="15.75" customHeight="1">
      <c r="A131" s="8">
        <v>9</v>
      </c>
      <c r="B131" s="33">
        <v>0</v>
      </c>
      <c r="C131" s="32">
        <f>B131*SUM(B17:B20)</f>
        <v>0</v>
      </c>
      <c r="D131" s="34">
        <f>C131/B137</f>
        <v>0</v>
      </c>
      <c r="E131" s="102">
        <v>9</v>
      </c>
      <c r="F131" s="33">
        <v>2</v>
      </c>
      <c r="G131" s="32">
        <f>F131*SUM(E17:E18)</f>
        <v>300000</v>
      </c>
      <c r="H131" s="34">
        <f>G131/E137</f>
        <v>1</v>
      </c>
      <c r="I131" s="3"/>
      <c r="J131" s="3"/>
      <c r="K131" s="3"/>
      <c r="L131" s="3"/>
      <c r="M131" s="3"/>
      <c r="N131" s="3"/>
      <c r="O131" s="3"/>
      <c r="P131" s="3"/>
      <c r="Q131" s="78">
        <v>9</v>
      </c>
      <c r="R131" s="18">
        <f t="shared" si="92"/>
        <v>2</v>
      </c>
      <c r="S131" s="29">
        <f t="shared" si="93"/>
        <v>300000</v>
      </c>
      <c r="T131" s="34">
        <f>S131/Q137</f>
        <v>0.2608695652173913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3">
        <v>48</v>
      </c>
      <c r="AR131" s="33">
        <v>96</v>
      </c>
      <c r="AS131" s="29">
        <f>SUM($AR$84:AR131)</f>
        <v>2352</v>
      </c>
      <c r="AT131" s="33">
        <v>48</v>
      </c>
      <c r="AU131" s="32">
        <v>960</v>
      </c>
      <c r="AV131" s="32">
        <f>SUM($AU$84:AU131)</f>
        <v>23520</v>
      </c>
      <c r="AW131" s="2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</row>
    <row r="132" spans="1:151" ht="15.75" customHeight="1">
      <c r="A132" s="8">
        <v>10</v>
      </c>
      <c r="B132" s="33">
        <v>0</v>
      </c>
      <c r="C132" s="32">
        <f>B132*SUM(B18:B20)</f>
        <v>0</v>
      </c>
      <c r="D132" s="34">
        <f>C132/B137</f>
        <v>0</v>
      </c>
      <c r="E132" s="102">
        <v>10</v>
      </c>
      <c r="F132" s="33">
        <v>0</v>
      </c>
      <c r="G132" s="32">
        <f>F132*SUM(E18)</f>
        <v>0</v>
      </c>
      <c r="H132" s="34">
        <f>G132/E137</f>
        <v>0</v>
      </c>
      <c r="I132" s="3"/>
      <c r="J132" s="3"/>
      <c r="K132" s="3"/>
      <c r="L132" s="3"/>
      <c r="M132" s="3"/>
      <c r="N132" s="3"/>
      <c r="O132" s="3"/>
      <c r="P132" s="3"/>
      <c r="Q132" s="78">
        <v>10</v>
      </c>
      <c r="R132" s="18">
        <f t="shared" si="92"/>
        <v>0</v>
      </c>
      <c r="S132" s="29">
        <f t="shared" si="93"/>
        <v>0</v>
      </c>
      <c r="T132" s="34">
        <f>S132/Q137</f>
        <v>0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3">
        <v>49</v>
      </c>
      <c r="AR132" s="33">
        <v>98</v>
      </c>
      <c r="AS132" s="29">
        <f>SUM($AR$84:AR132)</f>
        <v>2450</v>
      </c>
      <c r="AT132" s="33">
        <v>49</v>
      </c>
      <c r="AU132" s="32">
        <v>980</v>
      </c>
      <c r="AV132" s="32">
        <f>SUM($AU$84:AU132)</f>
        <v>24500</v>
      </c>
      <c r="AW132" s="2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</row>
    <row r="133" spans="1:151" ht="15.75" customHeight="1">
      <c r="A133" s="8">
        <v>11</v>
      </c>
      <c r="B133" s="33">
        <v>5</v>
      </c>
      <c r="C133" s="32">
        <f>B133*SUM(B19:B20)</f>
        <v>750000</v>
      </c>
      <c r="D133" s="34">
        <f>C133/B137</f>
        <v>0.88235294117647056</v>
      </c>
      <c r="E133" s="106">
        <v>11</v>
      </c>
      <c r="F133" s="55">
        <v>0</v>
      </c>
      <c r="G133" s="53">
        <f>F133*0</f>
        <v>0</v>
      </c>
      <c r="H133" s="56">
        <f>G133/E137</f>
        <v>0</v>
      </c>
      <c r="I133" s="3"/>
      <c r="J133" s="3"/>
      <c r="K133" s="3"/>
      <c r="L133" s="3"/>
      <c r="M133" s="3"/>
      <c r="N133" s="3"/>
      <c r="O133" s="3"/>
      <c r="P133" s="3"/>
      <c r="Q133" s="78">
        <v>11</v>
      </c>
      <c r="R133" s="18">
        <f t="shared" si="92"/>
        <v>5</v>
      </c>
      <c r="S133" s="29">
        <f t="shared" si="93"/>
        <v>750000</v>
      </c>
      <c r="T133" s="34">
        <f>S133/Q137</f>
        <v>0.65217391304347827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3">
        <v>50</v>
      </c>
      <c r="AR133" s="33">
        <v>100</v>
      </c>
      <c r="AS133" s="29">
        <f>SUM($AR$84:AR133)</f>
        <v>2550</v>
      </c>
      <c r="AT133" s="55">
        <v>50</v>
      </c>
      <c r="AU133" s="53">
        <v>1000</v>
      </c>
      <c r="AV133" s="53">
        <f>SUM($AU$84:AU133)</f>
        <v>25500</v>
      </c>
      <c r="AW133" s="2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</row>
    <row r="134" spans="1:151" ht="15.75" customHeight="1">
      <c r="A134" s="8">
        <v>12</v>
      </c>
      <c r="B134" s="33">
        <v>1</v>
      </c>
      <c r="C134" s="32">
        <f>B134*SUM(B20)</f>
        <v>100000</v>
      </c>
      <c r="D134" s="34">
        <f>C134/B137</f>
        <v>0.11764705882352941</v>
      </c>
      <c r="E134" s="1"/>
      <c r="F134" s="3"/>
      <c r="G134" s="80"/>
      <c r="H134" s="6"/>
      <c r="I134" s="3"/>
      <c r="J134" s="3"/>
      <c r="K134" s="3"/>
      <c r="L134" s="3"/>
      <c r="M134" s="3"/>
      <c r="N134" s="3"/>
      <c r="O134" s="3"/>
      <c r="P134" s="3"/>
      <c r="Q134" s="78">
        <v>12</v>
      </c>
      <c r="R134" s="18">
        <f t="shared" si="92"/>
        <v>1</v>
      </c>
      <c r="S134" s="29">
        <f t="shared" si="93"/>
        <v>100000</v>
      </c>
      <c r="T134" s="34">
        <f>S134/Q137</f>
        <v>8.6956521739130432E-2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3">
        <v>51</v>
      </c>
      <c r="AR134" s="33">
        <v>102</v>
      </c>
      <c r="AS134" s="32">
        <f>SUM($AR$84:AR134)</f>
        <v>2652</v>
      </c>
      <c r="AT134" s="131" t="s">
        <v>219</v>
      </c>
      <c r="AU134" s="131"/>
      <c r="AV134" s="131"/>
      <c r="AW134" s="2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</row>
    <row r="135" spans="1:151" ht="15.75" customHeight="1">
      <c r="A135" s="5">
        <v>13</v>
      </c>
      <c r="B135" s="55">
        <v>0</v>
      </c>
      <c r="C135" s="32">
        <f>B135*0</f>
        <v>0</v>
      </c>
      <c r="D135" s="56">
        <f>C135/B137</f>
        <v>0</v>
      </c>
      <c r="E135" s="1"/>
      <c r="F135" s="3"/>
      <c r="G135" s="80"/>
      <c r="H135" s="6"/>
      <c r="I135" s="3"/>
      <c r="J135" s="3"/>
      <c r="K135" s="3"/>
      <c r="L135" s="3"/>
      <c r="M135" s="3"/>
      <c r="N135" s="3"/>
      <c r="O135" s="3"/>
      <c r="P135" s="3"/>
      <c r="Q135" s="109">
        <v>13</v>
      </c>
      <c r="R135" s="18">
        <f t="shared" si="92"/>
        <v>0</v>
      </c>
      <c r="S135" s="29">
        <f t="shared" si="93"/>
        <v>0</v>
      </c>
      <c r="T135" s="56">
        <f>S135/Q137</f>
        <v>0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3">
        <v>52</v>
      </c>
      <c r="AR135" s="33">
        <v>104</v>
      </c>
      <c r="AS135" s="32">
        <f>SUM($AR$84:AR135)</f>
        <v>2756</v>
      </c>
      <c r="AT135" s="104"/>
      <c r="AU135" s="84" t="s">
        <v>247</v>
      </c>
      <c r="AV135" s="79" t="s">
        <v>248</v>
      </c>
      <c r="AW135" s="2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</row>
    <row r="136" spans="1:151" ht="15.75" customHeight="1">
      <c r="A136" s="27" t="s">
        <v>224</v>
      </c>
      <c r="B136" s="152">
        <f>SUM(B122:B135)</f>
        <v>6</v>
      </c>
      <c r="C136" s="152"/>
      <c r="D136" s="152"/>
      <c r="E136" s="131">
        <f>SUM(F122:F133)</f>
        <v>2</v>
      </c>
      <c r="F136" s="131"/>
      <c r="G136" s="131"/>
      <c r="H136" s="131"/>
      <c r="I136" s="131">
        <f>SUM(J122:J130)</f>
        <v>0</v>
      </c>
      <c r="J136" s="131"/>
      <c r="K136" s="131"/>
      <c r="L136" s="131"/>
      <c r="M136" s="131">
        <f>SUM(N122:N130)</f>
        <v>0</v>
      </c>
      <c r="N136" s="131"/>
      <c r="O136" s="131"/>
      <c r="P136" s="131"/>
      <c r="Q136" s="131">
        <f>SUM(R122:R135)</f>
        <v>8</v>
      </c>
      <c r="R136" s="131"/>
      <c r="S136" s="131"/>
      <c r="T136" s="131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3">
        <v>53</v>
      </c>
      <c r="AR136" s="33">
        <v>106</v>
      </c>
      <c r="AS136" s="32">
        <f>SUM($AR$84:AR136)</f>
        <v>2862</v>
      </c>
      <c r="AT136" s="15">
        <v>50</v>
      </c>
      <c r="AU136" s="16">
        <f>20*AT136</f>
        <v>1000</v>
      </c>
      <c r="AV136" s="54">
        <f>10*AT136*(AT136+1)</f>
        <v>25500</v>
      </c>
      <c r="AW136" s="2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</row>
    <row r="137" spans="1:151" ht="15.75" customHeight="1">
      <c r="A137" s="55" t="s">
        <v>112</v>
      </c>
      <c r="B137" s="153">
        <f>SUM(C122:C135)</f>
        <v>850000</v>
      </c>
      <c r="C137" s="153"/>
      <c r="D137" s="153"/>
      <c r="E137" s="153">
        <f>SUM(G122:G133)</f>
        <v>300000</v>
      </c>
      <c r="F137" s="153"/>
      <c r="G137" s="153"/>
      <c r="H137" s="153"/>
      <c r="I137" s="153">
        <f>SUM(K122:K130)</f>
        <v>1E-22</v>
      </c>
      <c r="J137" s="153"/>
      <c r="K137" s="153"/>
      <c r="L137" s="153"/>
      <c r="M137" s="153">
        <f>SUM(O122:O127)</f>
        <v>1.0000000000000001E-17</v>
      </c>
      <c r="N137" s="153"/>
      <c r="O137" s="153"/>
      <c r="P137" s="153"/>
      <c r="Q137" s="155">
        <f>SUM(S122:S135)</f>
        <v>1150000</v>
      </c>
      <c r="R137" s="155"/>
      <c r="S137" s="155"/>
      <c r="T137" s="155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3">
        <v>54</v>
      </c>
      <c r="AR137" s="33">
        <v>108</v>
      </c>
      <c r="AS137" s="32">
        <f>SUM($AR$84:AR137)</f>
        <v>2970</v>
      </c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</row>
    <row r="138" spans="1:151" ht="15.75" customHeight="1">
      <c r="A138" s="115" t="s">
        <v>4</v>
      </c>
      <c r="B138" s="153">
        <f>B137+E137+I137+M137</f>
        <v>1150000</v>
      </c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3">
        <v>55</v>
      </c>
      <c r="AR138" s="33">
        <v>110</v>
      </c>
      <c r="AS138" s="32">
        <f>SUM($AR$84:AR138)</f>
        <v>3080</v>
      </c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</row>
    <row r="139" spans="1:1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3">
        <v>56</v>
      </c>
      <c r="AR139" s="33">
        <v>112</v>
      </c>
      <c r="AS139" s="32">
        <f>SUM($AR$84:AR139)</f>
        <v>3192</v>
      </c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</row>
    <row r="140" spans="1:1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3">
        <v>57</v>
      </c>
      <c r="AR140" s="33">
        <v>114</v>
      </c>
      <c r="AS140" s="32">
        <f>SUM($AR$84:AR140)</f>
        <v>3306</v>
      </c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</row>
    <row r="141" spans="1:1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3">
        <v>58</v>
      </c>
      <c r="AR141" s="33">
        <v>116</v>
      </c>
      <c r="AS141" s="32">
        <f>SUM($AR$84:AR141)</f>
        <v>3422</v>
      </c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</row>
    <row r="142" spans="1:1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3">
        <v>59</v>
      </c>
      <c r="AR142" s="33">
        <v>118</v>
      </c>
      <c r="AS142" s="32">
        <f>SUM($AR$84:AR142)</f>
        <v>3540</v>
      </c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</row>
    <row r="143" spans="1:1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3">
        <v>60</v>
      </c>
      <c r="AR143" s="33">
        <v>120</v>
      </c>
      <c r="AS143" s="32">
        <f>SUM($AR$84:AR143)</f>
        <v>3660</v>
      </c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</row>
    <row r="144" spans="1:1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3">
        <v>61</v>
      </c>
      <c r="AR144" s="33">
        <v>122</v>
      </c>
      <c r="AS144" s="32">
        <f>SUM($AR$84:AR144)</f>
        <v>3782</v>
      </c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</row>
    <row r="145" spans="1:1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3">
        <v>62</v>
      </c>
      <c r="AR145" s="33">
        <v>124</v>
      </c>
      <c r="AS145" s="32">
        <f>SUM($AR$84:AR145)</f>
        <v>3906</v>
      </c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</row>
    <row r="146" spans="1:1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3">
        <v>63</v>
      </c>
      <c r="AR146" s="33">
        <v>126</v>
      </c>
      <c r="AS146" s="32">
        <f>SUM($AR$84:AR146)</f>
        <v>4032</v>
      </c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</row>
    <row r="147" spans="1:1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3">
        <v>64</v>
      </c>
      <c r="AR147" s="33">
        <v>128</v>
      </c>
      <c r="AS147" s="32">
        <f>SUM($AR$84:AR147)</f>
        <v>4160</v>
      </c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</row>
    <row r="148" spans="1:1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3">
        <v>65</v>
      </c>
      <c r="AR148" s="33">
        <v>130</v>
      </c>
      <c r="AS148" s="32">
        <f>SUM($AR$84:AR148)</f>
        <v>4290</v>
      </c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</row>
    <row r="149" spans="1:1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3">
        <v>66</v>
      </c>
      <c r="AR149" s="33">
        <v>132</v>
      </c>
      <c r="AS149" s="32">
        <f>SUM($AR$84:AR149)</f>
        <v>4422</v>
      </c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</row>
    <row r="150" spans="1:1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3">
        <v>67</v>
      </c>
      <c r="AR150" s="33">
        <v>134</v>
      </c>
      <c r="AS150" s="32">
        <f>SUM($AR$84:AR150)</f>
        <v>4556</v>
      </c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</row>
    <row r="151" spans="1: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3">
        <v>68</v>
      </c>
      <c r="AR151" s="33">
        <v>136</v>
      </c>
      <c r="AS151" s="32">
        <f>SUM($AR$84:AR151)</f>
        <v>4692</v>
      </c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</row>
    <row r="152" spans="1:1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3">
        <v>69</v>
      </c>
      <c r="AR152" s="33">
        <v>138</v>
      </c>
      <c r="AS152" s="32">
        <f>SUM($AR$84:AR152)</f>
        <v>4830</v>
      </c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</row>
    <row r="153" spans="1:1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3">
        <v>70</v>
      </c>
      <c r="AR153" s="33">
        <v>140</v>
      </c>
      <c r="AS153" s="32">
        <f>SUM($AR$84:AR153)</f>
        <v>4970</v>
      </c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</row>
    <row r="154" spans="1:1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3">
        <v>71</v>
      </c>
      <c r="AR154" s="33">
        <v>142</v>
      </c>
      <c r="AS154" s="32">
        <f>SUM($AR$84:AR154)</f>
        <v>5112</v>
      </c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</row>
    <row r="155" spans="1:1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3">
        <v>72</v>
      </c>
      <c r="AR155" s="33">
        <v>144</v>
      </c>
      <c r="AS155" s="32">
        <f>SUM($AR$84:AR155)</f>
        <v>5256</v>
      </c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</row>
    <row r="156" spans="1:1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3">
        <v>73</v>
      </c>
      <c r="AR156" s="33">
        <v>146</v>
      </c>
      <c r="AS156" s="32">
        <f>SUM($AR$84:AR156)</f>
        <v>5402</v>
      </c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</row>
    <row r="157" spans="1:1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3">
        <v>74</v>
      </c>
      <c r="AR157" s="33">
        <v>148</v>
      </c>
      <c r="AS157" s="32">
        <f>SUM($AR$84:AR157)</f>
        <v>5550</v>
      </c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</row>
    <row r="158" spans="1:1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3">
        <v>75</v>
      </c>
      <c r="AR158" s="33">
        <v>150</v>
      </c>
      <c r="AS158" s="32">
        <f>SUM($AR$84:AR158)</f>
        <v>5700</v>
      </c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</row>
    <row r="159" spans="1:1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3">
        <v>76</v>
      </c>
      <c r="AR159" s="33">
        <v>152</v>
      </c>
      <c r="AS159" s="32">
        <f>SUM($AR$84:AR159)</f>
        <v>5852</v>
      </c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</row>
    <row r="160" spans="1:1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3">
        <v>77</v>
      </c>
      <c r="AR160" s="33">
        <v>154</v>
      </c>
      <c r="AS160" s="32">
        <f>SUM($AR$84:AR160)</f>
        <v>6006</v>
      </c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</row>
    <row r="161" spans="1:1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3">
        <v>78</v>
      </c>
      <c r="AR161" s="33">
        <v>156</v>
      </c>
      <c r="AS161" s="32">
        <f>SUM($AR$84:AR161)</f>
        <v>6162</v>
      </c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</row>
    <row r="162" spans="1:1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3">
        <v>79</v>
      </c>
      <c r="AR162" s="33">
        <v>158</v>
      </c>
      <c r="AS162" s="32">
        <f>SUM($AR$84:AR162)</f>
        <v>6320</v>
      </c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</row>
    <row r="163" spans="1:1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3">
        <v>80</v>
      </c>
      <c r="AR163" s="33">
        <v>160</v>
      </c>
      <c r="AS163" s="32">
        <f>SUM($AR$84:AR163)</f>
        <v>6480</v>
      </c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</row>
    <row r="164" spans="1:1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3">
        <v>81</v>
      </c>
      <c r="AR164" s="33">
        <v>162</v>
      </c>
      <c r="AS164" s="32">
        <f>SUM($AR$84:AR164)</f>
        <v>6642</v>
      </c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</row>
    <row r="165" spans="1:1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3">
        <v>82</v>
      </c>
      <c r="AR165" s="33">
        <v>164</v>
      </c>
      <c r="AS165" s="32">
        <f>SUM($AR$84:AR165)</f>
        <v>6806</v>
      </c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</row>
    <row r="166" spans="1:1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3">
        <v>83</v>
      </c>
      <c r="AR166" s="33">
        <v>166</v>
      </c>
      <c r="AS166" s="32">
        <f>SUM($AR$84:AR166)</f>
        <v>6972</v>
      </c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</row>
    <row r="167" spans="1:1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3">
        <v>84</v>
      </c>
      <c r="AR167" s="33">
        <v>168</v>
      </c>
      <c r="AS167" s="32">
        <f>SUM($AR$84:AR167)</f>
        <v>7140</v>
      </c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</row>
    <row r="168" spans="1:1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3">
        <v>85</v>
      </c>
      <c r="AR168" s="33">
        <v>170</v>
      </c>
      <c r="AS168" s="32">
        <f>SUM($AR$84:AR168)</f>
        <v>7310</v>
      </c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</row>
    <row r="169" spans="1:1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3">
        <v>86</v>
      </c>
      <c r="AR169" s="33">
        <v>172</v>
      </c>
      <c r="AS169" s="32">
        <f>SUM($AR$84:AR169)</f>
        <v>7482</v>
      </c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</row>
    <row r="170" spans="1:1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3">
        <v>87</v>
      </c>
      <c r="AR170" s="33">
        <v>174</v>
      </c>
      <c r="AS170" s="32">
        <f>SUM($AR$84:AR170)</f>
        <v>7656</v>
      </c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</row>
    <row r="171" spans="1:1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3">
        <v>88</v>
      </c>
      <c r="AR171" s="33">
        <v>176</v>
      </c>
      <c r="AS171" s="32">
        <f>SUM($AR$84:AR171)</f>
        <v>7832</v>
      </c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</row>
    <row r="172" spans="1:1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3">
        <v>89</v>
      </c>
      <c r="AR172" s="33">
        <v>178</v>
      </c>
      <c r="AS172" s="32">
        <f>SUM($AR$84:AR172)</f>
        <v>8010</v>
      </c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</row>
    <row r="173" spans="1:1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3">
        <v>90</v>
      </c>
      <c r="AR173" s="33">
        <v>180</v>
      </c>
      <c r="AS173" s="32">
        <f>SUM($AR$84:AR173)</f>
        <v>8190</v>
      </c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</row>
    <row r="174" spans="1:1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3">
        <v>91</v>
      </c>
      <c r="AR174" s="33">
        <v>182</v>
      </c>
      <c r="AS174" s="32">
        <f>SUM($AR$84:AR174)</f>
        <v>8372</v>
      </c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</row>
    <row r="175" spans="1:1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3">
        <v>92</v>
      </c>
      <c r="AR175" s="33">
        <v>184</v>
      </c>
      <c r="AS175" s="32">
        <f>SUM($AR$84:AR175)</f>
        <v>8556</v>
      </c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</row>
    <row r="176" spans="1:1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3">
        <v>93</v>
      </c>
      <c r="AR176" s="33">
        <v>186</v>
      </c>
      <c r="AS176" s="32">
        <f>SUM($AR$84:AR176)</f>
        <v>8742</v>
      </c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</row>
    <row r="177" spans="1:1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3">
        <v>94</v>
      </c>
      <c r="AR177" s="33">
        <v>188</v>
      </c>
      <c r="AS177" s="32">
        <f>SUM($AR$84:AR177)</f>
        <v>8930</v>
      </c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</row>
    <row r="178" spans="1:1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3">
        <v>95</v>
      </c>
      <c r="AR178" s="33">
        <v>190</v>
      </c>
      <c r="AS178" s="32">
        <f>SUM($AR$84:AR178)</f>
        <v>9120</v>
      </c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</row>
    <row r="179" spans="1:1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3">
        <v>96</v>
      </c>
      <c r="AR179" s="33">
        <v>192</v>
      </c>
      <c r="AS179" s="32">
        <f>SUM($AR$84:AR179)</f>
        <v>9312</v>
      </c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</row>
    <row r="180" spans="1:1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3">
        <v>97</v>
      </c>
      <c r="AR180" s="33">
        <v>194</v>
      </c>
      <c r="AS180" s="32">
        <f>SUM($AR$84:AR180)</f>
        <v>9506</v>
      </c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</row>
    <row r="181" spans="1:1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3">
        <v>98</v>
      </c>
      <c r="AR181" s="33">
        <v>196</v>
      </c>
      <c r="AS181" s="32">
        <f>SUM($AR$84:AR181)</f>
        <v>9702</v>
      </c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</row>
    <row r="182" spans="1:1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3">
        <v>99</v>
      </c>
      <c r="AR182" s="33">
        <v>198</v>
      </c>
      <c r="AS182" s="32">
        <f>SUM($AR$84:AR182)</f>
        <v>9900</v>
      </c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</row>
    <row r="183" spans="1:1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55">
        <v>100</v>
      </c>
      <c r="AR183" s="55">
        <v>200</v>
      </c>
      <c r="AS183" s="53">
        <f>SUM($AR$84:AR183)</f>
        <v>10100</v>
      </c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</row>
    <row r="184" spans="1:1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31" t="s">
        <v>219</v>
      </c>
      <c r="AR184" s="131"/>
      <c r="AS184" s="131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</row>
    <row r="185" spans="1:1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04"/>
      <c r="AR185" s="84" t="s">
        <v>249</v>
      </c>
      <c r="AS185" s="79" t="s">
        <v>250</v>
      </c>
      <c r="AT185" s="3"/>
      <c r="AU185" s="80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</row>
    <row r="186" spans="1:1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5">
        <v>100</v>
      </c>
      <c r="AR186" s="16">
        <f>2*AQ186</f>
        <v>200</v>
      </c>
      <c r="AS186" s="54">
        <f>AQ186*(AQ186+1)</f>
        <v>10100</v>
      </c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</row>
    <row r="187" spans="1:1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84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>
        <v>1</v>
      </c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</row>
    <row r="188" spans="1:151" ht="15.75" customHeight="1">
      <c r="A188" s="130" t="s">
        <v>251</v>
      </c>
      <c r="B188" s="130"/>
      <c r="C188" s="130"/>
      <c r="D188" s="130"/>
      <c r="E188" s="130"/>
      <c r="F188" s="130"/>
      <c r="G188" s="130"/>
      <c r="H188" s="130"/>
      <c r="I188" s="130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>
        <v>1</v>
      </c>
      <c r="BI188" s="3">
        <v>2</v>
      </c>
      <c r="BJ188" s="3">
        <v>3</v>
      </c>
      <c r="BK188" s="3">
        <v>4</v>
      </c>
      <c r="BL188" s="3">
        <v>5</v>
      </c>
      <c r="BM188" s="3">
        <v>6</v>
      </c>
      <c r="BN188" s="3">
        <v>7</v>
      </c>
      <c r="BO188" s="3">
        <v>8</v>
      </c>
      <c r="BP188" s="3">
        <v>9</v>
      </c>
      <c r="BQ188" s="3">
        <v>10</v>
      </c>
      <c r="BR188" s="3">
        <v>11</v>
      </c>
      <c r="BS188" s="3">
        <v>12</v>
      </c>
      <c r="BT188" s="3">
        <v>13</v>
      </c>
      <c r="BU188" s="3">
        <v>14</v>
      </c>
      <c r="BV188" s="3">
        <v>15</v>
      </c>
      <c r="BW188" s="3">
        <v>16</v>
      </c>
      <c r="BX188" s="3">
        <v>17</v>
      </c>
      <c r="BY188" s="3">
        <v>18</v>
      </c>
      <c r="BZ188" s="3">
        <v>19</v>
      </c>
      <c r="CA188" s="3">
        <v>20</v>
      </c>
      <c r="CB188" s="3">
        <v>21</v>
      </c>
      <c r="CC188" s="3">
        <v>22</v>
      </c>
      <c r="CD188" s="3">
        <v>23</v>
      </c>
      <c r="CE188" s="3">
        <v>24</v>
      </c>
      <c r="CF188" s="3">
        <v>25</v>
      </c>
      <c r="CG188" s="3">
        <v>26</v>
      </c>
      <c r="CH188" s="3">
        <v>27</v>
      </c>
      <c r="CI188" s="3">
        <v>28</v>
      </c>
      <c r="CJ188" s="3">
        <v>29</v>
      </c>
      <c r="CK188" s="3">
        <v>30</v>
      </c>
      <c r="CL188" s="3">
        <v>31</v>
      </c>
      <c r="CM188" s="3">
        <v>32</v>
      </c>
      <c r="CN188" s="3">
        <v>33</v>
      </c>
      <c r="CO188" s="3">
        <v>34</v>
      </c>
      <c r="CP188" s="3">
        <v>35</v>
      </c>
      <c r="CQ188" s="3">
        <v>36</v>
      </c>
      <c r="CR188" s="3">
        <v>37</v>
      </c>
      <c r="CS188" s="3">
        <v>38</v>
      </c>
      <c r="CT188" s="3">
        <v>39</v>
      </c>
      <c r="CU188" s="3">
        <v>40</v>
      </c>
      <c r="CV188" s="3">
        <v>41</v>
      </c>
      <c r="CW188" s="3">
        <v>42</v>
      </c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</row>
    <row r="189" spans="1:151" ht="15.75" customHeight="1">
      <c r="A189" s="3">
        <v>1</v>
      </c>
      <c r="B189" s="3">
        <v>2</v>
      </c>
      <c r="C189" s="3">
        <v>3</v>
      </c>
      <c r="D189" s="3">
        <v>4</v>
      </c>
      <c r="E189" s="3">
        <v>5</v>
      </c>
      <c r="F189" s="3">
        <v>6</v>
      </c>
      <c r="G189" s="3">
        <v>7</v>
      </c>
      <c r="H189" s="3">
        <v>8</v>
      </c>
      <c r="I189" s="3">
        <v>9</v>
      </c>
      <c r="J189" s="3">
        <v>10</v>
      </c>
      <c r="K189" s="3">
        <v>11</v>
      </c>
      <c r="L189" s="3">
        <v>12</v>
      </c>
      <c r="M189" s="3">
        <v>13</v>
      </c>
      <c r="N189" s="3">
        <v>14</v>
      </c>
      <c r="O189" s="3">
        <v>15</v>
      </c>
      <c r="P189" s="3">
        <v>16</v>
      </c>
      <c r="Q189" s="3">
        <v>17</v>
      </c>
      <c r="R189" s="3">
        <v>18</v>
      </c>
      <c r="S189" s="3">
        <v>19</v>
      </c>
      <c r="T189" s="3">
        <v>20</v>
      </c>
      <c r="U189" s="3">
        <v>21</v>
      </c>
      <c r="V189" s="3">
        <v>22</v>
      </c>
      <c r="W189" s="3">
        <v>23</v>
      </c>
      <c r="X189" s="3">
        <v>24</v>
      </c>
      <c r="Y189" s="3">
        <v>25</v>
      </c>
      <c r="Z189" s="3">
        <v>26</v>
      </c>
      <c r="AA189" s="3">
        <v>27</v>
      </c>
      <c r="AB189" s="3">
        <v>28</v>
      </c>
      <c r="AC189" s="3">
        <v>29</v>
      </c>
      <c r="AD189" s="3">
        <v>30</v>
      </c>
      <c r="AE189" s="3">
        <v>31</v>
      </c>
      <c r="AF189" s="3">
        <v>32</v>
      </c>
      <c r="AG189" s="3">
        <v>33</v>
      </c>
      <c r="AH189" s="3">
        <v>34</v>
      </c>
      <c r="AI189" s="3">
        <v>35</v>
      </c>
      <c r="AJ189" s="3">
        <v>36</v>
      </c>
      <c r="AK189" s="3">
        <v>37</v>
      </c>
      <c r="AL189" s="3">
        <v>38</v>
      </c>
      <c r="AM189" s="3">
        <v>39</v>
      </c>
      <c r="AN189" s="3">
        <v>40</v>
      </c>
      <c r="AO189" s="3">
        <v>41</v>
      </c>
      <c r="AP189" s="3">
        <v>42</v>
      </c>
      <c r="AQ189" s="3">
        <v>43</v>
      </c>
      <c r="AR189" s="3">
        <v>44</v>
      </c>
      <c r="AS189" s="3">
        <v>45</v>
      </c>
      <c r="AT189" s="3">
        <v>46</v>
      </c>
      <c r="AU189" s="3">
        <v>47</v>
      </c>
      <c r="AV189" s="3">
        <v>48</v>
      </c>
      <c r="AW189" s="3">
        <v>49</v>
      </c>
      <c r="AX189" s="3">
        <v>50</v>
      </c>
      <c r="AY189" s="3">
        <v>51</v>
      </c>
      <c r="AZ189" s="3">
        <v>52</v>
      </c>
      <c r="BA189" s="3">
        <v>53</v>
      </c>
      <c r="BB189" s="3">
        <v>54</v>
      </c>
      <c r="BC189" s="3">
        <v>55</v>
      </c>
      <c r="BD189" s="3">
        <v>56</v>
      </c>
      <c r="BE189" s="3">
        <v>57</v>
      </c>
      <c r="BF189" s="3">
        <v>58</v>
      </c>
      <c r="BG189" s="3">
        <v>59</v>
      </c>
      <c r="BH189" s="3">
        <v>60</v>
      </c>
      <c r="BI189" s="3">
        <v>61</v>
      </c>
      <c r="BJ189" s="3">
        <v>62</v>
      </c>
      <c r="BK189" s="3">
        <v>63</v>
      </c>
      <c r="BL189" s="3">
        <v>64</v>
      </c>
      <c r="BM189" s="3">
        <v>65</v>
      </c>
      <c r="BN189" s="3">
        <v>66</v>
      </c>
      <c r="BO189" s="3">
        <v>67</v>
      </c>
      <c r="BP189" s="3">
        <v>68</v>
      </c>
      <c r="BQ189" s="3">
        <v>69</v>
      </c>
      <c r="BR189" s="3">
        <v>70</v>
      </c>
      <c r="BS189" s="3">
        <v>71</v>
      </c>
      <c r="BT189" s="3">
        <v>72</v>
      </c>
      <c r="BU189" s="3">
        <v>73</v>
      </c>
      <c r="BV189" s="3">
        <v>74</v>
      </c>
      <c r="BW189" s="3">
        <v>75</v>
      </c>
      <c r="BX189" s="3">
        <v>76</v>
      </c>
      <c r="BY189" s="3">
        <v>77</v>
      </c>
      <c r="BZ189" s="3">
        <v>78</v>
      </c>
      <c r="CA189" s="3">
        <v>79</v>
      </c>
      <c r="CB189" s="3">
        <v>80</v>
      </c>
      <c r="CC189" s="3">
        <v>81</v>
      </c>
      <c r="CD189" s="3">
        <v>82</v>
      </c>
      <c r="CE189" s="3">
        <v>83</v>
      </c>
      <c r="CF189" s="3">
        <v>84</v>
      </c>
      <c r="CG189" s="3">
        <v>85</v>
      </c>
      <c r="CH189" s="3">
        <v>86</v>
      </c>
      <c r="CI189" s="3">
        <v>87</v>
      </c>
      <c r="CJ189" s="3">
        <v>88</v>
      </c>
      <c r="CK189" s="3">
        <v>89</v>
      </c>
      <c r="CL189" s="3">
        <v>90</v>
      </c>
      <c r="CM189" s="3">
        <v>91</v>
      </c>
      <c r="CN189" s="3">
        <v>92</v>
      </c>
      <c r="CO189" s="3">
        <v>93</v>
      </c>
      <c r="CP189" s="3">
        <v>94</v>
      </c>
      <c r="CQ189" s="3">
        <v>95</v>
      </c>
      <c r="CR189" s="3">
        <v>96</v>
      </c>
      <c r="CS189" s="3">
        <v>97</v>
      </c>
      <c r="CT189" s="3">
        <v>98</v>
      </c>
      <c r="CU189" s="3">
        <v>99</v>
      </c>
      <c r="CV189" s="3">
        <v>100</v>
      </c>
      <c r="CW189" s="3">
        <v>101</v>
      </c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</row>
    <row r="190" spans="1:151" ht="15.75" customHeight="1">
      <c r="A190" s="3" t="s">
        <v>17</v>
      </c>
      <c r="B190" s="3" t="s">
        <v>15</v>
      </c>
      <c r="C190" s="3" t="s">
        <v>13</v>
      </c>
      <c r="D190" s="3" t="s">
        <v>17</v>
      </c>
      <c r="E190" s="3" t="s">
        <v>230</v>
      </c>
      <c r="F190" s="3" t="s">
        <v>78</v>
      </c>
      <c r="G190" s="3" t="s">
        <v>252</v>
      </c>
      <c r="H190" s="3" t="s">
        <v>78</v>
      </c>
      <c r="I190" s="3" t="s">
        <v>253</v>
      </c>
      <c r="J190" s="3" t="s">
        <v>254</v>
      </c>
      <c r="K190" s="3" t="s">
        <v>78</v>
      </c>
      <c r="L190" s="3" t="s">
        <v>253</v>
      </c>
      <c r="M190" s="3" t="s">
        <v>78</v>
      </c>
      <c r="N190" s="3" t="s">
        <v>13</v>
      </c>
      <c r="O190" s="3" t="s">
        <v>78</v>
      </c>
      <c r="P190" s="3" t="s">
        <v>252</v>
      </c>
      <c r="Q190" s="3" t="s">
        <v>78</v>
      </c>
      <c r="R190" s="3" t="s">
        <v>254</v>
      </c>
      <c r="S190" s="3" t="s">
        <v>78</v>
      </c>
      <c r="T190" s="3" t="s">
        <v>230</v>
      </c>
      <c r="U190" s="3" t="s">
        <v>253</v>
      </c>
      <c r="V190" s="3" t="s">
        <v>78</v>
      </c>
      <c r="W190" s="3" t="s">
        <v>253</v>
      </c>
      <c r="X190" s="3" t="s">
        <v>78</v>
      </c>
      <c r="Y190" s="3" t="s">
        <v>13</v>
      </c>
      <c r="Z190" s="3" t="s">
        <v>254</v>
      </c>
      <c r="AA190" s="3" t="s">
        <v>78</v>
      </c>
      <c r="AB190" s="3" t="s">
        <v>252</v>
      </c>
      <c r="AC190" s="3" t="s">
        <v>78</v>
      </c>
      <c r="AD190" s="3" t="s">
        <v>254</v>
      </c>
      <c r="AE190" s="3" t="s">
        <v>78</v>
      </c>
      <c r="AF190" s="3" t="s">
        <v>230</v>
      </c>
      <c r="AG190" s="3" t="s">
        <v>253</v>
      </c>
      <c r="AH190" s="3" t="s">
        <v>78</v>
      </c>
      <c r="AI190" s="3" t="s">
        <v>253</v>
      </c>
      <c r="AJ190" s="3" t="s">
        <v>78</v>
      </c>
      <c r="AK190" s="3" t="s">
        <v>254</v>
      </c>
      <c r="AL190" s="3" t="s">
        <v>13</v>
      </c>
      <c r="AM190" s="3" t="s">
        <v>78</v>
      </c>
      <c r="AN190" s="3" t="s">
        <v>254</v>
      </c>
      <c r="AO190" s="3" t="s">
        <v>78</v>
      </c>
      <c r="AP190" s="3" t="s">
        <v>252</v>
      </c>
      <c r="AQ190" s="3" t="s">
        <v>253</v>
      </c>
      <c r="AR190" s="3" t="s">
        <v>78</v>
      </c>
      <c r="AS190" s="3" t="s">
        <v>230</v>
      </c>
      <c r="AT190" s="3" t="s">
        <v>78</v>
      </c>
      <c r="AU190" s="3" t="s">
        <v>254</v>
      </c>
      <c r="AV190" s="3" t="s">
        <v>13</v>
      </c>
      <c r="AW190" s="3" t="s">
        <v>78</v>
      </c>
      <c r="AX190" s="3" t="s">
        <v>253</v>
      </c>
      <c r="AY190" s="3" t="s">
        <v>78</v>
      </c>
      <c r="AZ190" s="3" t="s">
        <v>252</v>
      </c>
      <c r="BA190" s="3" t="s">
        <v>78</v>
      </c>
      <c r="BB190" s="3" t="s">
        <v>230</v>
      </c>
      <c r="BC190" s="3" t="s">
        <v>253</v>
      </c>
      <c r="BD190" s="3" t="s">
        <v>78</v>
      </c>
      <c r="BE190" s="3" t="s">
        <v>254</v>
      </c>
      <c r="BF190" s="3" t="s">
        <v>78</v>
      </c>
      <c r="BG190" s="3" t="s">
        <v>253</v>
      </c>
      <c r="BH190" s="3" t="s">
        <v>78</v>
      </c>
      <c r="BI190" s="3" t="s">
        <v>254</v>
      </c>
      <c r="BJ190" s="3" t="s">
        <v>13</v>
      </c>
      <c r="BK190" s="3" t="s">
        <v>78</v>
      </c>
      <c r="BL190" s="3" t="s">
        <v>230</v>
      </c>
      <c r="BM190" s="3" t="s">
        <v>78</v>
      </c>
      <c r="BN190" s="3" t="s">
        <v>252</v>
      </c>
      <c r="BO190" s="3" t="s">
        <v>78</v>
      </c>
      <c r="BP190" s="3" t="s">
        <v>253</v>
      </c>
      <c r="BQ190" s="3" t="s">
        <v>254</v>
      </c>
      <c r="BR190" s="3" t="s">
        <v>78</v>
      </c>
      <c r="BS190" s="3" t="s">
        <v>253</v>
      </c>
      <c r="BT190" s="3" t="s">
        <v>78</v>
      </c>
      <c r="BU190" s="3" t="s">
        <v>254</v>
      </c>
      <c r="BV190" s="3" t="s">
        <v>13</v>
      </c>
      <c r="BW190" s="3" t="s">
        <v>78</v>
      </c>
      <c r="BX190" s="3" t="s">
        <v>230</v>
      </c>
      <c r="BY190" s="3" t="s">
        <v>78</v>
      </c>
      <c r="BZ190" s="3" t="s">
        <v>252</v>
      </c>
      <c r="CA190" s="3" t="s">
        <v>78</v>
      </c>
      <c r="CB190" s="3" t="s">
        <v>253</v>
      </c>
      <c r="CC190" s="3" t="s">
        <v>254</v>
      </c>
      <c r="CD190" s="3" t="s">
        <v>78</v>
      </c>
      <c r="CE190" s="3" t="s">
        <v>254</v>
      </c>
      <c r="CF190" s="3" t="s">
        <v>78</v>
      </c>
      <c r="CG190" s="3" t="s">
        <v>253</v>
      </c>
      <c r="CH190" s="3" t="s">
        <v>13</v>
      </c>
      <c r="CI190" s="3" t="s">
        <v>78</v>
      </c>
      <c r="CJ190" s="3" t="s">
        <v>253</v>
      </c>
      <c r="CK190" s="3" t="s">
        <v>78</v>
      </c>
      <c r="CL190" s="3" t="s">
        <v>252</v>
      </c>
      <c r="CM190" s="3" t="s">
        <v>78</v>
      </c>
      <c r="CN190" s="3" t="s">
        <v>230</v>
      </c>
      <c r="CO190" s="3" t="s">
        <v>254</v>
      </c>
      <c r="CP190" s="3" t="s">
        <v>78</v>
      </c>
      <c r="CQ190" s="3" t="s">
        <v>254</v>
      </c>
      <c r="CR190" s="3" t="s">
        <v>13</v>
      </c>
      <c r="CS190" s="3" t="s">
        <v>78</v>
      </c>
      <c r="CT190" s="3" t="s">
        <v>253</v>
      </c>
      <c r="CU190" s="3" t="s">
        <v>78</v>
      </c>
      <c r="CV190" s="3" t="s">
        <v>252</v>
      </c>
      <c r="CW190" s="3" t="s">
        <v>78</v>
      </c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</row>
    <row r="191" spans="1:1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122">
        <v>0.17152777777777778</v>
      </c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</row>
    <row r="192" spans="1:1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</row>
    <row r="193" spans="1:1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</row>
    <row r="194" spans="1:151" ht="15.75" customHeight="1">
      <c r="B194" s="123">
        <v>1</v>
      </c>
      <c r="C194" s="123" t="s">
        <v>14</v>
      </c>
      <c r="D194" s="123">
        <v>3</v>
      </c>
      <c r="E194" t="s">
        <v>255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</row>
    <row r="195" spans="1:151" ht="15.75" customHeight="1">
      <c r="B195" s="124">
        <v>2</v>
      </c>
      <c r="C195" s="124" t="s">
        <v>14</v>
      </c>
      <c r="D195" s="124">
        <v>3</v>
      </c>
      <c r="E195" t="s">
        <v>255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</row>
    <row r="196" spans="1:151" ht="15.75" customHeight="1">
      <c r="B196" s="125">
        <v>3</v>
      </c>
      <c r="C196" s="125" t="s">
        <v>17</v>
      </c>
      <c r="D196" s="125">
        <v>8</v>
      </c>
      <c r="E196" t="s">
        <v>255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</row>
    <row r="197" spans="1:151" ht="15.75" customHeight="1">
      <c r="B197" s="124">
        <v>4</v>
      </c>
      <c r="C197" s="124" t="s">
        <v>14</v>
      </c>
      <c r="D197" s="124">
        <v>3</v>
      </c>
      <c r="E197" t="s">
        <v>255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</row>
    <row r="198" spans="1:151" ht="15.75" customHeight="1">
      <c r="B198" s="123">
        <v>5</v>
      </c>
      <c r="C198" s="123" t="s">
        <v>14</v>
      </c>
      <c r="D198" s="123">
        <v>3</v>
      </c>
      <c r="E198" t="s">
        <v>255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</row>
    <row r="199" spans="1:151" ht="15.75" customHeight="1">
      <c r="B199" s="126">
        <v>6</v>
      </c>
      <c r="C199" s="126" t="s">
        <v>17</v>
      </c>
      <c r="D199" s="126">
        <v>8</v>
      </c>
      <c r="E199" t="s">
        <v>255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</row>
    <row r="200" spans="1:151" ht="15.75" customHeight="1">
      <c r="B200" s="123">
        <v>7</v>
      </c>
      <c r="C200" s="123" t="s">
        <v>14</v>
      </c>
      <c r="D200" s="123">
        <v>3</v>
      </c>
      <c r="E200" t="s">
        <v>255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</row>
    <row r="201" spans="1:151" ht="15.75" customHeight="1">
      <c r="B201" s="124">
        <v>8</v>
      </c>
      <c r="C201" s="124" t="s">
        <v>14</v>
      </c>
      <c r="D201" s="124">
        <v>3</v>
      </c>
      <c r="E201" t="s">
        <v>255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</row>
    <row r="202" spans="1:151" ht="15.75" customHeight="1">
      <c r="B202" s="123">
        <v>9</v>
      </c>
      <c r="C202" s="123" t="s">
        <v>14</v>
      </c>
      <c r="D202" s="123">
        <v>3</v>
      </c>
      <c r="E202" t="s">
        <v>255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</row>
    <row r="203" spans="1:151" ht="15.75" customHeight="1">
      <c r="B203" s="124">
        <v>10</v>
      </c>
      <c r="C203" s="124" t="s">
        <v>14</v>
      </c>
      <c r="D203" s="124">
        <v>3</v>
      </c>
      <c r="E203" t="s">
        <v>255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</row>
    <row r="204" spans="1:151" ht="15.75" customHeight="1">
      <c r="A204">
        <v>21</v>
      </c>
      <c r="B204" s="127">
        <v>11</v>
      </c>
      <c r="C204" s="127" t="s">
        <v>256</v>
      </c>
      <c r="D204" s="127">
        <v>12</v>
      </c>
      <c r="E204" t="s">
        <v>255</v>
      </c>
      <c r="F204">
        <v>21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</row>
    <row r="205" spans="1:151" ht="15.75" customHeight="1">
      <c r="A205">
        <v>40</v>
      </c>
      <c r="B205" s="124">
        <v>12</v>
      </c>
      <c r="C205" s="124" t="s">
        <v>14</v>
      </c>
      <c r="D205" s="124">
        <v>3</v>
      </c>
      <c r="E205" t="s">
        <v>255</v>
      </c>
      <c r="F205">
        <f>B244-B204</f>
        <v>40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</row>
    <row r="206" spans="1:151" ht="15.75" customHeight="1">
      <c r="B206" s="123">
        <v>13</v>
      </c>
      <c r="C206" s="123" t="s">
        <v>14</v>
      </c>
      <c r="D206" s="123">
        <v>3</v>
      </c>
      <c r="E206" t="s">
        <v>255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</row>
    <row r="207" spans="1:151" ht="15.75" customHeight="1">
      <c r="B207" s="126">
        <v>14</v>
      </c>
      <c r="C207" s="126" t="s">
        <v>17</v>
      </c>
      <c r="D207" s="126">
        <v>8</v>
      </c>
      <c r="E207" t="s">
        <v>255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</row>
    <row r="208" spans="1:151" ht="15.75" customHeight="1">
      <c r="B208" s="123">
        <v>15</v>
      </c>
      <c r="C208" s="123" t="s">
        <v>14</v>
      </c>
      <c r="D208" s="123">
        <v>3</v>
      </c>
      <c r="E208" t="s">
        <v>255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</row>
    <row r="209" spans="2:151" ht="15.75" customHeight="1">
      <c r="B209" s="124">
        <v>16</v>
      </c>
      <c r="C209" s="124" t="s">
        <v>14</v>
      </c>
      <c r="D209" s="124">
        <v>3</v>
      </c>
      <c r="E209" t="s">
        <v>255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</row>
    <row r="210" spans="2:151" ht="15.75" customHeight="1">
      <c r="B210" s="123">
        <v>17</v>
      </c>
      <c r="C210" s="123" t="s">
        <v>14</v>
      </c>
      <c r="D210" s="123">
        <v>3</v>
      </c>
      <c r="E210" t="s">
        <v>255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</row>
    <row r="211" spans="2:151" ht="15.75" customHeight="1">
      <c r="B211" s="126">
        <v>18</v>
      </c>
      <c r="C211" s="126" t="s">
        <v>17</v>
      </c>
      <c r="D211" s="126">
        <v>8</v>
      </c>
      <c r="E211" t="s">
        <v>255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</row>
    <row r="212" spans="2:151" ht="15.75" customHeight="1">
      <c r="B212" s="123">
        <v>19</v>
      </c>
      <c r="C212" s="123" t="s">
        <v>14</v>
      </c>
      <c r="D212" s="123">
        <v>3</v>
      </c>
      <c r="E212" t="s">
        <v>255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</row>
    <row r="213" spans="2:151" ht="15.75" customHeight="1">
      <c r="B213" s="124">
        <v>20</v>
      </c>
      <c r="C213" s="124" t="s">
        <v>14</v>
      </c>
      <c r="D213" s="124">
        <v>3</v>
      </c>
      <c r="E213" t="s">
        <v>255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</row>
    <row r="214" spans="2:151" ht="15.75" customHeight="1">
      <c r="B214" s="123">
        <v>21</v>
      </c>
      <c r="C214" s="123" t="s">
        <v>14</v>
      </c>
      <c r="D214" s="123">
        <v>3</v>
      </c>
      <c r="E214" t="s">
        <v>255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</row>
    <row r="215" spans="2:151" ht="15.75" customHeight="1">
      <c r="B215" s="124">
        <v>22</v>
      </c>
      <c r="C215" s="124" t="s">
        <v>14</v>
      </c>
      <c r="D215" s="124">
        <v>3</v>
      </c>
      <c r="E215" t="s">
        <v>255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</row>
    <row r="216" spans="2:151" ht="15.75" customHeight="1">
      <c r="B216" s="125">
        <v>23</v>
      </c>
      <c r="C216" s="125" t="s">
        <v>17</v>
      </c>
      <c r="D216" s="125">
        <v>8</v>
      </c>
      <c r="E216" t="s">
        <v>255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</row>
    <row r="217" spans="2:151" ht="15.75" customHeight="1">
      <c r="B217" s="124">
        <v>24</v>
      </c>
      <c r="C217" s="124" t="s">
        <v>14</v>
      </c>
      <c r="D217" s="124">
        <v>3</v>
      </c>
      <c r="E217" t="s">
        <v>255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</row>
    <row r="218" spans="2:151" ht="15.75" customHeight="1">
      <c r="B218" s="125">
        <v>25</v>
      </c>
      <c r="C218" s="125" t="s">
        <v>17</v>
      </c>
      <c r="D218" s="125">
        <v>8</v>
      </c>
      <c r="E218" t="s">
        <v>255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</row>
    <row r="219" spans="2:151" ht="15.75" customHeight="1">
      <c r="B219" s="124">
        <v>26</v>
      </c>
      <c r="C219" s="124" t="s">
        <v>14</v>
      </c>
      <c r="D219" s="124">
        <v>3</v>
      </c>
      <c r="E219" t="s">
        <v>255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</row>
    <row r="220" spans="2:151" ht="15.75" customHeight="1">
      <c r="B220" s="123">
        <v>27</v>
      </c>
      <c r="C220" s="123" t="s">
        <v>14</v>
      </c>
      <c r="D220" s="123">
        <v>3</v>
      </c>
      <c r="E220" t="s">
        <v>255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</row>
    <row r="221" spans="2:151" ht="15.75" customHeight="1">
      <c r="B221" s="124">
        <v>28</v>
      </c>
      <c r="C221" s="124" t="s">
        <v>14</v>
      </c>
      <c r="D221" s="124">
        <v>3</v>
      </c>
      <c r="E221" t="s">
        <v>255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</row>
    <row r="222" spans="2:151" ht="15.75" customHeight="1">
      <c r="B222" s="123">
        <v>29</v>
      </c>
      <c r="C222" s="123" t="s">
        <v>14</v>
      </c>
      <c r="D222" s="123">
        <v>3</v>
      </c>
      <c r="E222" t="s">
        <v>255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</row>
    <row r="223" spans="2:151" ht="15.75" customHeight="1">
      <c r="B223" s="126">
        <v>30</v>
      </c>
      <c r="C223" s="126" t="s">
        <v>17</v>
      </c>
      <c r="D223" s="126">
        <v>8</v>
      </c>
      <c r="E223" t="s">
        <v>255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</row>
    <row r="224" spans="2:151" ht="15.75" customHeight="1">
      <c r="B224" s="123">
        <v>31</v>
      </c>
      <c r="C224" s="123" t="s">
        <v>14</v>
      </c>
      <c r="D224" s="123">
        <v>3</v>
      </c>
      <c r="E224" t="s">
        <v>255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</row>
    <row r="225" spans="2:151" ht="15.75" customHeight="1">
      <c r="B225" s="124">
        <v>32</v>
      </c>
      <c r="C225" s="124" t="s">
        <v>14</v>
      </c>
      <c r="D225" s="124">
        <v>3</v>
      </c>
      <c r="E225" t="s">
        <v>255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</row>
    <row r="226" spans="2:151" ht="15.75" customHeight="1">
      <c r="B226" s="123">
        <v>33</v>
      </c>
      <c r="C226" s="123" t="s">
        <v>14</v>
      </c>
      <c r="D226" s="123">
        <v>3</v>
      </c>
      <c r="E226" t="s">
        <v>255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</row>
    <row r="227" spans="2:151" ht="15.75" customHeight="1">
      <c r="B227" s="124">
        <v>34</v>
      </c>
      <c r="C227" s="124" t="s">
        <v>14</v>
      </c>
      <c r="D227" s="124">
        <v>3</v>
      </c>
      <c r="E227" t="s">
        <v>255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</row>
    <row r="228" spans="2:151" ht="15.75" customHeight="1">
      <c r="B228" s="125">
        <v>35</v>
      </c>
      <c r="C228" s="125" t="s">
        <v>17</v>
      </c>
      <c r="D228" s="125">
        <v>8</v>
      </c>
      <c r="E228" t="s">
        <v>255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</row>
    <row r="229" spans="2:151" ht="15.75" customHeight="1">
      <c r="B229" s="124">
        <v>36</v>
      </c>
      <c r="C229" s="124" t="s">
        <v>14</v>
      </c>
      <c r="D229" s="124">
        <v>3</v>
      </c>
      <c r="E229" t="s">
        <v>255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</row>
    <row r="230" spans="2:151" ht="15.75" customHeight="1">
      <c r="B230" s="123">
        <v>37</v>
      </c>
      <c r="C230" s="123" t="s">
        <v>14</v>
      </c>
      <c r="D230" s="123">
        <v>3</v>
      </c>
      <c r="E230" t="s">
        <v>255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</row>
    <row r="231" spans="2:151" ht="15.75" customHeight="1">
      <c r="B231" s="126">
        <v>38</v>
      </c>
      <c r="C231" s="126" t="s">
        <v>17</v>
      </c>
      <c r="D231" s="126">
        <v>8</v>
      </c>
      <c r="E231" t="s">
        <v>255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</row>
    <row r="232" spans="2:151" ht="15.75" customHeight="1">
      <c r="B232" s="123">
        <v>39</v>
      </c>
      <c r="C232" s="123" t="s">
        <v>14</v>
      </c>
      <c r="D232" s="123">
        <v>3</v>
      </c>
      <c r="E232" t="s">
        <v>255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</row>
    <row r="233" spans="2:151" ht="15.75" customHeight="1">
      <c r="B233" s="124">
        <v>40</v>
      </c>
      <c r="C233" s="124" t="s">
        <v>14</v>
      </c>
      <c r="D233" s="124">
        <v>3</v>
      </c>
      <c r="E233" t="s">
        <v>255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</row>
    <row r="234" spans="2:151" ht="15.75" customHeight="1">
      <c r="B234" s="123">
        <v>41</v>
      </c>
      <c r="C234" s="123" t="s">
        <v>14</v>
      </c>
      <c r="D234" s="123">
        <v>3</v>
      </c>
      <c r="E234" t="s">
        <v>255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</row>
    <row r="235" spans="2:151" ht="15.75" customHeight="1">
      <c r="B235" s="124">
        <v>42</v>
      </c>
      <c r="C235" s="124" t="s">
        <v>14</v>
      </c>
      <c r="D235" s="124">
        <v>3</v>
      </c>
      <c r="E235" t="s">
        <v>255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</row>
    <row r="236" spans="2:151" ht="15.75" customHeight="1">
      <c r="B236" s="125">
        <v>43</v>
      </c>
      <c r="C236" s="125" t="s">
        <v>17</v>
      </c>
      <c r="D236" s="125">
        <v>8</v>
      </c>
      <c r="E236" t="s">
        <v>255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</row>
    <row r="237" spans="2:151" ht="15.75" customHeight="1">
      <c r="B237" s="124">
        <v>44</v>
      </c>
      <c r="C237" s="124" t="s">
        <v>14</v>
      </c>
      <c r="D237" s="124">
        <v>3</v>
      </c>
      <c r="E237" t="s">
        <v>255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</row>
    <row r="238" spans="2:151" ht="15.75" customHeight="1">
      <c r="B238" s="123">
        <v>45</v>
      </c>
      <c r="C238" s="123" t="s">
        <v>14</v>
      </c>
      <c r="D238" s="123">
        <v>3</v>
      </c>
      <c r="E238" t="s">
        <v>255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</row>
    <row r="239" spans="2:151" ht="15.75" customHeight="1">
      <c r="B239" s="126">
        <v>46</v>
      </c>
      <c r="C239" s="126" t="s">
        <v>17</v>
      </c>
      <c r="D239" s="126">
        <v>8</v>
      </c>
      <c r="E239" t="s">
        <v>255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</row>
    <row r="240" spans="2:151" ht="15.75" customHeight="1">
      <c r="B240" s="123">
        <v>47</v>
      </c>
      <c r="C240" s="123" t="s">
        <v>14</v>
      </c>
      <c r="D240" s="123">
        <v>3</v>
      </c>
      <c r="E240" t="s">
        <v>255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</row>
    <row r="241" spans="1:151" ht="15.75" customHeight="1">
      <c r="B241" s="124">
        <v>48</v>
      </c>
      <c r="C241" s="124" t="s">
        <v>14</v>
      </c>
      <c r="D241" s="124">
        <v>3</v>
      </c>
      <c r="E241" t="s">
        <v>255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</row>
    <row r="242" spans="1:151" ht="15.75" customHeight="1">
      <c r="B242" s="123">
        <v>49</v>
      </c>
      <c r="C242" s="123" t="s">
        <v>14</v>
      </c>
      <c r="D242" s="123">
        <v>3</v>
      </c>
      <c r="E242" t="s">
        <v>255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</row>
    <row r="243" spans="1:151" ht="15.75" customHeight="1">
      <c r="B243" s="124">
        <v>50</v>
      </c>
      <c r="C243" s="124" t="s">
        <v>14</v>
      </c>
      <c r="D243" s="124">
        <v>3</v>
      </c>
      <c r="E243" t="s">
        <v>255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</row>
    <row r="244" spans="1:151" ht="15.75" customHeight="1">
      <c r="B244" s="128">
        <v>51</v>
      </c>
      <c r="C244" s="128" t="s">
        <v>15</v>
      </c>
      <c r="D244" s="128">
        <v>12</v>
      </c>
      <c r="E244" t="s">
        <v>255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</row>
    <row r="245" spans="1:151" ht="15.75" customHeight="1">
      <c r="A245">
        <v>32</v>
      </c>
      <c r="B245" s="124">
        <v>52</v>
      </c>
      <c r="C245" s="124" t="s">
        <v>14</v>
      </c>
      <c r="D245" s="124">
        <v>3</v>
      </c>
      <c r="E245" t="s">
        <v>255</v>
      </c>
      <c r="F245">
        <f>B276-B244</f>
        <v>32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</row>
    <row r="246" spans="1:151" ht="15.75" customHeight="1">
      <c r="B246" s="123">
        <v>53</v>
      </c>
      <c r="C246" s="123" t="s">
        <v>14</v>
      </c>
      <c r="D246" s="123">
        <v>3</v>
      </c>
      <c r="E246" t="s">
        <v>255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</row>
    <row r="247" spans="1:151" ht="15.75" customHeight="1">
      <c r="B247" s="126">
        <v>54</v>
      </c>
      <c r="C247" s="126" t="s">
        <v>17</v>
      </c>
      <c r="D247" s="126">
        <v>8</v>
      </c>
      <c r="E247" t="s">
        <v>255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</row>
    <row r="248" spans="1:151" ht="15.75" customHeight="1">
      <c r="B248" s="123">
        <v>55</v>
      </c>
      <c r="C248" s="123" t="s">
        <v>14</v>
      </c>
      <c r="D248" s="123">
        <v>3</v>
      </c>
      <c r="E248" t="s">
        <v>255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</row>
    <row r="249" spans="1:151" ht="15.75" customHeight="1">
      <c r="B249" s="124">
        <v>56</v>
      </c>
      <c r="C249" s="124" t="s">
        <v>14</v>
      </c>
      <c r="D249" s="124">
        <v>3</v>
      </c>
      <c r="E249" t="s">
        <v>255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</row>
    <row r="250" spans="1:151" ht="15.75" customHeight="1">
      <c r="B250" s="123">
        <v>57</v>
      </c>
      <c r="C250" s="123" t="s">
        <v>14</v>
      </c>
      <c r="D250" s="123">
        <v>3</v>
      </c>
      <c r="E250" t="s">
        <v>255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</row>
    <row r="251" spans="1:151" ht="15.75" customHeight="1">
      <c r="B251" s="126">
        <v>58</v>
      </c>
      <c r="C251" s="126" t="s">
        <v>17</v>
      </c>
      <c r="D251" s="126">
        <v>8</v>
      </c>
      <c r="E251" t="s">
        <v>255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</row>
    <row r="252" spans="1:151" ht="15.75" customHeight="1">
      <c r="B252" s="123">
        <v>59</v>
      </c>
      <c r="C252" s="123" t="s">
        <v>14</v>
      </c>
      <c r="D252" s="123">
        <v>3</v>
      </c>
      <c r="E252" t="s">
        <v>255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</row>
    <row r="253" spans="1:151" ht="15.75" customHeight="1">
      <c r="B253" s="124">
        <v>60</v>
      </c>
      <c r="C253" s="124" t="s">
        <v>14</v>
      </c>
      <c r="D253" s="124">
        <v>3</v>
      </c>
      <c r="E253" t="s">
        <v>255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</row>
    <row r="254" spans="1:151" ht="15.75" customHeight="1">
      <c r="B254" s="123">
        <v>61</v>
      </c>
      <c r="C254" s="123" t="s">
        <v>14</v>
      </c>
      <c r="D254" s="123">
        <v>3</v>
      </c>
      <c r="E254" t="s">
        <v>255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</row>
    <row r="255" spans="1:151" ht="15.75" customHeight="1">
      <c r="B255" s="124">
        <v>62</v>
      </c>
      <c r="C255" s="124" t="s">
        <v>14</v>
      </c>
      <c r="D255" s="124">
        <v>3</v>
      </c>
      <c r="E255" t="s">
        <v>255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</row>
    <row r="256" spans="1:151" ht="15.75" customHeight="1">
      <c r="B256" s="125">
        <v>63</v>
      </c>
      <c r="C256" s="125" t="s">
        <v>17</v>
      </c>
      <c r="D256" s="125">
        <v>8</v>
      </c>
      <c r="E256" t="s">
        <v>255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</row>
    <row r="257" spans="2:151" ht="15.75" customHeight="1">
      <c r="B257" s="124">
        <v>64</v>
      </c>
      <c r="C257" s="124" t="s">
        <v>14</v>
      </c>
      <c r="D257" s="124">
        <v>3</v>
      </c>
      <c r="E257" t="s">
        <v>255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</row>
    <row r="258" spans="2:151" ht="15.75" customHeight="1">
      <c r="B258" s="125">
        <v>65</v>
      </c>
      <c r="C258" s="125" t="s">
        <v>17</v>
      </c>
      <c r="D258" s="125">
        <v>8</v>
      </c>
      <c r="E258" t="s">
        <v>255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</row>
    <row r="259" spans="2:151" ht="15.75" customHeight="1">
      <c r="B259" s="124">
        <v>66</v>
      </c>
      <c r="C259" s="124" t="s">
        <v>14</v>
      </c>
      <c r="D259" s="124">
        <v>3</v>
      </c>
      <c r="E259" t="s">
        <v>255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</row>
    <row r="260" spans="2:151" ht="15.75" customHeight="1">
      <c r="B260" s="123">
        <v>67</v>
      </c>
      <c r="C260" s="123" t="s">
        <v>14</v>
      </c>
      <c r="D260" s="123">
        <v>3</v>
      </c>
      <c r="E260" t="s">
        <v>255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</row>
    <row r="261" spans="2:151" ht="15.75" customHeight="1">
      <c r="B261" s="124">
        <v>68</v>
      </c>
      <c r="C261" s="124" t="s">
        <v>14</v>
      </c>
      <c r="D261" s="124">
        <v>3</v>
      </c>
      <c r="E261" t="s">
        <v>255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</row>
    <row r="262" spans="2:151" ht="15.75" customHeight="1">
      <c r="B262" s="123">
        <v>69</v>
      </c>
      <c r="C262" s="123" t="s">
        <v>14</v>
      </c>
      <c r="D262" s="123">
        <v>3</v>
      </c>
      <c r="E262" t="s">
        <v>255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</row>
    <row r="263" spans="2:151" ht="15.75" customHeight="1">
      <c r="B263" s="126">
        <v>70</v>
      </c>
      <c r="C263" s="126" t="s">
        <v>17</v>
      </c>
      <c r="D263" s="126">
        <v>8</v>
      </c>
      <c r="E263" t="s">
        <v>255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</row>
    <row r="264" spans="2:151" ht="15.75" customHeight="1">
      <c r="B264" s="123">
        <v>71</v>
      </c>
      <c r="C264" s="123" t="s">
        <v>14</v>
      </c>
      <c r="D264" s="123">
        <v>3</v>
      </c>
      <c r="E264" t="s">
        <v>255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</row>
    <row r="265" spans="2:151" ht="15.75" customHeight="1">
      <c r="B265" s="124">
        <v>72</v>
      </c>
      <c r="C265" s="124" t="s">
        <v>14</v>
      </c>
      <c r="D265" s="124">
        <v>3</v>
      </c>
      <c r="E265" t="s">
        <v>255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</row>
    <row r="266" spans="2:151" ht="15.75" customHeight="1">
      <c r="B266" s="123">
        <v>73</v>
      </c>
      <c r="C266" s="123" t="s">
        <v>14</v>
      </c>
      <c r="D266" s="123">
        <v>3</v>
      </c>
      <c r="E266" t="s">
        <v>255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</row>
    <row r="267" spans="2:151" ht="15.75" customHeight="1">
      <c r="B267" s="124">
        <v>74</v>
      </c>
      <c r="C267" s="124" t="s">
        <v>14</v>
      </c>
      <c r="D267" s="124">
        <v>3</v>
      </c>
      <c r="E267" t="s">
        <v>255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</row>
    <row r="268" spans="2:151" ht="15.75" customHeight="1">
      <c r="B268" s="125">
        <v>75</v>
      </c>
      <c r="C268" s="125" t="s">
        <v>17</v>
      </c>
      <c r="D268" s="125">
        <v>8</v>
      </c>
      <c r="E268" t="s">
        <v>255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</row>
    <row r="269" spans="2:151" ht="15.75" customHeight="1">
      <c r="B269" s="124">
        <v>76</v>
      </c>
      <c r="C269" s="124" t="s">
        <v>14</v>
      </c>
      <c r="D269" s="124">
        <v>3</v>
      </c>
      <c r="E269" t="s">
        <v>255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</row>
    <row r="270" spans="2:151" ht="15.75" customHeight="1">
      <c r="B270" s="123">
        <v>77</v>
      </c>
      <c r="C270" s="123" t="s">
        <v>14</v>
      </c>
      <c r="D270" s="123">
        <v>3</v>
      </c>
      <c r="E270" t="s">
        <v>255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</row>
    <row r="271" spans="2:151" ht="15.75" customHeight="1">
      <c r="B271" s="126">
        <v>78</v>
      </c>
      <c r="C271" s="126" t="s">
        <v>17</v>
      </c>
      <c r="D271" s="126">
        <v>8</v>
      </c>
      <c r="E271" t="s">
        <v>255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</row>
    <row r="272" spans="2:151" ht="15.75" customHeight="1">
      <c r="B272" s="123">
        <v>79</v>
      </c>
      <c r="C272" s="123" t="s">
        <v>14</v>
      </c>
      <c r="D272" s="123">
        <v>3</v>
      </c>
      <c r="E272" t="s">
        <v>255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</row>
    <row r="273" spans="1:151" ht="15.75" customHeight="1">
      <c r="B273" s="124">
        <v>80</v>
      </c>
      <c r="C273" s="124" t="s">
        <v>14</v>
      </c>
      <c r="D273" s="124">
        <v>3</v>
      </c>
      <c r="E273" t="s">
        <v>255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</row>
    <row r="274" spans="1:151" ht="15.75" customHeight="1">
      <c r="B274" s="123">
        <v>81</v>
      </c>
      <c r="C274" s="123" t="s">
        <v>14</v>
      </c>
      <c r="D274" s="123">
        <v>3</v>
      </c>
      <c r="E274" t="s">
        <v>255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</row>
    <row r="275" spans="1:151" ht="15.75" customHeight="1">
      <c r="B275" s="124">
        <v>82</v>
      </c>
      <c r="C275" s="124" t="s">
        <v>14</v>
      </c>
      <c r="D275" s="124">
        <v>3</v>
      </c>
      <c r="E275" t="s">
        <v>255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</row>
    <row r="276" spans="1:151" ht="15.75" customHeight="1">
      <c r="B276" s="127">
        <v>83</v>
      </c>
      <c r="C276" s="127" t="s">
        <v>256</v>
      </c>
      <c r="D276" s="127">
        <v>12</v>
      </c>
      <c r="E276" t="s">
        <v>255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</row>
    <row r="277" spans="1:151" ht="15.75" customHeight="1">
      <c r="A277">
        <v>75</v>
      </c>
      <c r="B277" s="124">
        <v>84</v>
      </c>
      <c r="C277" s="124" t="s">
        <v>14</v>
      </c>
      <c r="D277" s="124">
        <v>3</v>
      </c>
      <c r="E277" t="s">
        <v>255</v>
      </c>
      <c r="F277">
        <f>B351-B276</f>
        <v>75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</row>
    <row r="278" spans="1:151" ht="15.75" customHeight="1">
      <c r="B278" s="123">
        <v>85</v>
      </c>
      <c r="C278" s="123" t="s">
        <v>14</v>
      </c>
      <c r="D278" s="123">
        <v>3</v>
      </c>
      <c r="E278" t="s">
        <v>255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</row>
    <row r="279" spans="1:151" ht="15.75" customHeight="1">
      <c r="B279" s="126">
        <v>86</v>
      </c>
      <c r="C279" s="126" t="s">
        <v>17</v>
      </c>
      <c r="D279" s="126">
        <v>8</v>
      </c>
      <c r="E279" t="s">
        <v>255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</row>
    <row r="280" spans="1:151" ht="15.75" customHeight="1">
      <c r="B280" s="123">
        <v>87</v>
      </c>
      <c r="C280" s="123" t="s">
        <v>14</v>
      </c>
      <c r="D280" s="123">
        <v>3</v>
      </c>
      <c r="E280" t="s">
        <v>255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</row>
    <row r="281" spans="1:151" ht="15.75" customHeight="1">
      <c r="B281" s="124">
        <v>88</v>
      </c>
      <c r="C281" s="124" t="s">
        <v>14</v>
      </c>
      <c r="D281" s="124">
        <v>3</v>
      </c>
      <c r="E281" t="s">
        <v>255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</row>
    <row r="282" spans="1:151" ht="15.75" customHeight="1">
      <c r="B282" s="123">
        <v>89</v>
      </c>
      <c r="C282" s="123" t="s">
        <v>14</v>
      </c>
      <c r="D282" s="123">
        <v>3</v>
      </c>
      <c r="E282" t="s">
        <v>255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</row>
    <row r="283" spans="1:151" ht="15.75" customHeight="1">
      <c r="B283" s="124">
        <v>90</v>
      </c>
      <c r="C283" s="124" t="s">
        <v>14</v>
      </c>
      <c r="D283" s="124">
        <v>3</v>
      </c>
      <c r="E283" t="s">
        <v>255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</row>
    <row r="284" spans="1:151" ht="15.75" customHeight="1">
      <c r="B284" s="125">
        <v>91</v>
      </c>
      <c r="C284" s="125" t="s">
        <v>17</v>
      </c>
      <c r="D284" s="125">
        <v>8</v>
      </c>
      <c r="E284" t="s">
        <v>255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</row>
    <row r="285" spans="1:151" ht="15.75" customHeight="1">
      <c r="B285" s="124">
        <v>92</v>
      </c>
      <c r="C285" s="124" t="s">
        <v>14</v>
      </c>
      <c r="D285" s="124">
        <v>3</v>
      </c>
      <c r="E285" t="s">
        <v>255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</row>
    <row r="286" spans="1:151" ht="15.75" customHeight="1">
      <c r="B286" s="123">
        <v>93</v>
      </c>
      <c r="C286" s="123" t="s">
        <v>14</v>
      </c>
      <c r="D286" s="123">
        <v>3</v>
      </c>
      <c r="E286" t="s">
        <v>255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</row>
    <row r="287" spans="1:151" ht="15.75" customHeight="1">
      <c r="B287" s="126">
        <v>94</v>
      </c>
      <c r="C287" s="126" t="s">
        <v>17</v>
      </c>
      <c r="D287" s="126">
        <v>8</v>
      </c>
      <c r="E287" t="s">
        <v>255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</row>
    <row r="288" spans="1:151" ht="15.75" customHeight="1">
      <c r="B288" s="123">
        <v>95</v>
      </c>
      <c r="C288" s="123" t="s">
        <v>14</v>
      </c>
      <c r="D288" s="123">
        <v>3</v>
      </c>
      <c r="E288" t="s">
        <v>255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</row>
    <row r="289" spans="2:151" ht="15.75" customHeight="1">
      <c r="B289" s="124">
        <v>96</v>
      </c>
      <c r="C289" s="124" t="s">
        <v>14</v>
      </c>
      <c r="D289" s="124">
        <v>3</v>
      </c>
      <c r="E289" t="s">
        <v>255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</row>
    <row r="290" spans="2:151" ht="15.75" customHeight="1">
      <c r="B290" s="123">
        <v>97</v>
      </c>
      <c r="C290" s="123" t="s">
        <v>14</v>
      </c>
      <c r="D290" s="123">
        <v>3</v>
      </c>
      <c r="E290" t="s">
        <v>255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</row>
    <row r="291" spans="2:151" ht="15.75" customHeight="1">
      <c r="B291" s="126">
        <v>98</v>
      </c>
      <c r="C291" s="126" t="s">
        <v>17</v>
      </c>
      <c r="D291" s="126">
        <v>8</v>
      </c>
      <c r="E291" t="s">
        <v>255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</row>
    <row r="292" spans="2:151" ht="15.75" customHeight="1">
      <c r="B292" s="123">
        <v>99</v>
      </c>
      <c r="C292" s="123" t="s">
        <v>14</v>
      </c>
      <c r="D292" s="123">
        <v>3</v>
      </c>
      <c r="E292" t="s">
        <v>255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</row>
    <row r="293" spans="2:151" ht="15.75" customHeight="1">
      <c r="B293" s="124">
        <v>100</v>
      </c>
      <c r="C293" s="124" t="s">
        <v>14</v>
      </c>
      <c r="D293" s="124">
        <v>3</v>
      </c>
      <c r="E293" t="s">
        <v>255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</row>
    <row r="294" spans="2:151" ht="15.75" customHeight="1">
      <c r="B294" s="123">
        <v>101</v>
      </c>
      <c r="C294" s="123" t="s">
        <v>14</v>
      </c>
      <c r="D294" s="123">
        <v>3</v>
      </c>
      <c r="E294" t="s">
        <v>255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</row>
    <row r="295" spans="2:151" ht="15.75" customHeight="1">
      <c r="B295" s="124">
        <v>102</v>
      </c>
      <c r="C295" s="124" t="s">
        <v>14</v>
      </c>
      <c r="D295" s="124">
        <v>3</v>
      </c>
      <c r="E295" t="s">
        <v>255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</row>
    <row r="296" spans="2:151" ht="15.75" customHeight="1">
      <c r="B296" s="125">
        <v>103</v>
      </c>
      <c r="C296" s="125" t="s">
        <v>17</v>
      </c>
      <c r="D296" s="125">
        <v>8</v>
      </c>
      <c r="E296" t="s">
        <v>255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</row>
    <row r="297" spans="2:151" ht="15.75" customHeight="1">
      <c r="B297" s="124">
        <v>104</v>
      </c>
      <c r="C297" s="124" t="s">
        <v>14</v>
      </c>
      <c r="D297" s="124">
        <v>3</v>
      </c>
      <c r="E297" t="s">
        <v>255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</row>
    <row r="298" spans="2:151" ht="15.75" customHeight="1">
      <c r="B298" s="125">
        <v>105</v>
      </c>
      <c r="C298" s="125" t="s">
        <v>17</v>
      </c>
      <c r="D298" s="125">
        <v>8</v>
      </c>
      <c r="E298" t="s">
        <v>255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</row>
    <row r="299" spans="2:151" ht="15.75" customHeight="1">
      <c r="B299" s="124">
        <v>106</v>
      </c>
      <c r="C299" s="124" t="s">
        <v>14</v>
      </c>
      <c r="D299" s="124">
        <v>3</v>
      </c>
      <c r="E299" t="s">
        <v>255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</row>
    <row r="300" spans="2:151" ht="15.75" customHeight="1">
      <c r="B300" s="123">
        <v>107</v>
      </c>
      <c r="C300" s="123" t="s">
        <v>14</v>
      </c>
      <c r="D300" s="123">
        <v>3</v>
      </c>
      <c r="E300" t="s">
        <v>255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</row>
    <row r="301" spans="2:151" ht="15.75" customHeight="1">
      <c r="B301" s="124">
        <v>108</v>
      </c>
      <c r="C301" s="124" t="s">
        <v>14</v>
      </c>
      <c r="D301" s="124">
        <v>3</v>
      </c>
      <c r="E301" t="s">
        <v>255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</row>
    <row r="302" spans="2:151" ht="15.75" customHeight="1">
      <c r="B302" s="123">
        <v>109</v>
      </c>
      <c r="C302" s="123" t="s">
        <v>14</v>
      </c>
      <c r="D302" s="123">
        <v>3</v>
      </c>
      <c r="E302" t="s">
        <v>255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</row>
    <row r="303" spans="2:151" ht="15.75" customHeight="1">
      <c r="B303" s="126">
        <v>110</v>
      </c>
      <c r="C303" s="126" t="s">
        <v>17</v>
      </c>
      <c r="D303" s="126">
        <v>8</v>
      </c>
      <c r="E303" t="s">
        <v>255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</row>
    <row r="304" spans="2:151" ht="15.75" customHeight="1">
      <c r="B304" s="123">
        <v>111</v>
      </c>
      <c r="C304" s="123" t="s">
        <v>14</v>
      </c>
      <c r="D304" s="123">
        <v>3</v>
      </c>
      <c r="E304" t="s">
        <v>255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</row>
    <row r="305" spans="2:151" ht="15.75" customHeight="1">
      <c r="B305" s="124">
        <v>112</v>
      </c>
      <c r="C305" s="124" t="s">
        <v>14</v>
      </c>
      <c r="D305" s="124">
        <v>3</v>
      </c>
      <c r="E305" t="s">
        <v>255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</row>
    <row r="306" spans="2:151" ht="15.75" customHeight="1">
      <c r="B306" s="123">
        <v>113</v>
      </c>
      <c r="C306" s="123" t="s">
        <v>14</v>
      </c>
      <c r="D306" s="123">
        <v>3</v>
      </c>
      <c r="E306" t="s">
        <v>255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</row>
    <row r="307" spans="2:151" ht="15.75" customHeight="1">
      <c r="B307" s="124">
        <v>114</v>
      </c>
      <c r="C307" s="124" t="s">
        <v>14</v>
      </c>
      <c r="D307" s="124">
        <v>3</v>
      </c>
      <c r="E307" t="s">
        <v>255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</row>
    <row r="308" spans="2:151" ht="15.75" customHeight="1">
      <c r="B308" s="125">
        <v>115</v>
      </c>
      <c r="C308" s="125" t="s">
        <v>17</v>
      </c>
      <c r="D308" s="125">
        <v>8</v>
      </c>
      <c r="E308" t="s">
        <v>255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</row>
    <row r="309" spans="2:151" ht="15.75" customHeight="1">
      <c r="B309" s="124">
        <v>116</v>
      </c>
      <c r="C309" s="124" t="s">
        <v>14</v>
      </c>
      <c r="D309" s="124">
        <v>3</v>
      </c>
      <c r="E309" t="s">
        <v>255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</row>
    <row r="310" spans="2:151" ht="15.75" customHeight="1">
      <c r="B310" s="123">
        <v>117</v>
      </c>
      <c r="C310" s="123" t="s">
        <v>14</v>
      </c>
      <c r="D310" s="123">
        <v>3</v>
      </c>
      <c r="E310" t="s">
        <v>255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</row>
    <row r="311" spans="2:151" ht="15.75" customHeight="1">
      <c r="B311" s="126">
        <v>118</v>
      </c>
      <c r="C311" s="126" t="s">
        <v>17</v>
      </c>
      <c r="D311" s="126">
        <v>8</v>
      </c>
      <c r="E311" t="s">
        <v>255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</row>
    <row r="312" spans="2:151" ht="15.75" customHeight="1">
      <c r="B312" s="123">
        <v>119</v>
      </c>
      <c r="C312" s="123" t="s">
        <v>14</v>
      </c>
      <c r="D312" s="123">
        <v>3</v>
      </c>
      <c r="E312" t="s">
        <v>255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</row>
    <row r="313" spans="2:151" ht="15.75" customHeight="1">
      <c r="B313" s="124">
        <v>120</v>
      </c>
      <c r="C313" s="124" t="s">
        <v>14</v>
      </c>
      <c r="D313" s="124">
        <v>3</v>
      </c>
      <c r="E313" t="s">
        <v>255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</row>
    <row r="314" spans="2:151" ht="15.75" customHeight="1">
      <c r="B314" s="123">
        <v>121</v>
      </c>
      <c r="C314" s="123" t="s">
        <v>14</v>
      </c>
      <c r="D314" s="123">
        <v>3</v>
      </c>
      <c r="E314" t="s">
        <v>255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</row>
    <row r="315" spans="2:151" ht="15.75" customHeight="1">
      <c r="B315" s="124">
        <v>122</v>
      </c>
      <c r="C315" s="124" t="s">
        <v>14</v>
      </c>
      <c r="D315" s="124">
        <v>3</v>
      </c>
      <c r="E315" t="s">
        <v>255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</row>
    <row r="316" spans="2:151" ht="15.75" customHeight="1">
      <c r="B316" s="125">
        <v>123</v>
      </c>
      <c r="C316" s="125" t="s">
        <v>17</v>
      </c>
      <c r="D316" s="125">
        <v>8</v>
      </c>
      <c r="E316" t="s">
        <v>255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</row>
    <row r="317" spans="2:151" ht="15.75" customHeight="1">
      <c r="B317" s="124">
        <v>124</v>
      </c>
      <c r="C317" s="124" t="s">
        <v>14</v>
      </c>
      <c r="D317" s="124">
        <v>3</v>
      </c>
      <c r="E317" t="s">
        <v>255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</row>
    <row r="318" spans="2:151" ht="15.75" customHeight="1">
      <c r="B318" s="123">
        <v>125</v>
      </c>
      <c r="C318" s="123" t="s">
        <v>14</v>
      </c>
      <c r="D318" s="123">
        <v>3</v>
      </c>
      <c r="E318" t="s">
        <v>255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</row>
    <row r="319" spans="2:151" ht="15.75" customHeight="1">
      <c r="B319" s="126">
        <v>126</v>
      </c>
      <c r="C319" s="126" t="s">
        <v>17</v>
      </c>
      <c r="D319" s="126">
        <v>8</v>
      </c>
      <c r="E319" t="s">
        <v>255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</row>
    <row r="320" spans="2:151" ht="15.75" customHeight="1">
      <c r="B320" s="123">
        <v>127</v>
      </c>
      <c r="C320" s="123" t="s">
        <v>14</v>
      </c>
      <c r="D320" s="123">
        <v>3</v>
      </c>
      <c r="E320" t="s">
        <v>255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</row>
    <row r="321" spans="1:151" ht="15.75" customHeight="1">
      <c r="B321" s="124">
        <v>128</v>
      </c>
      <c r="C321" s="124" t="s">
        <v>14</v>
      </c>
      <c r="D321" s="124">
        <v>3</v>
      </c>
      <c r="E321" t="s">
        <v>255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</row>
    <row r="322" spans="1:151" ht="15.75" customHeight="1">
      <c r="B322" s="123">
        <v>129</v>
      </c>
      <c r="C322" s="123" t="s">
        <v>14</v>
      </c>
      <c r="D322" s="123">
        <v>3</v>
      </c>
      <c r="E322" t="s">
        <v>255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</row>
    <row r="323" spans="1:151" ht="15.75" customHeight="1">
      <c r="B323" s="124">
        <v>130</v>
      </c>
      <c r="C323" s="124" t="s">
        <v>14</v>
      </c>
      <c r="D323" s="124">
        <v>3</v>
      </c>
      <c r="E323" t="s">
        <v>255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</row>
    <row r="324" spans="1:151" ht="15.75" customHeight="1">
      <c r="A324">
        <v>27</v>
      </c>
      <c r="B324" s="127">
        <v>131</v>
      </c>
      <c r="C324" s="127" t="s">
        <v>256</v>
      </c>
      <c r="D324" s="127">
        <v>12</v>
      </c>
      <c r="E324" t="s">
        <v>255</v>
      </c>
      <c r="F324">
        <f>B351-B324</f>
        <v>27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</row>
    <row r="325" spans="1:151" ht="15.75" customHeight="1">
      <c r="B325" s="124">
        <v>132</v>
      </c>
      <c r="C325" s="124" t="s">
        <v>14</v>
      </c>
      <c r="D325" s="124">
        <v>3</v>
      </c>
      <c r="E325" t="s">
        <v>255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</row>
    <row r="326" spans="1:151" ht="15.75" customHeight="1">
      <c r="B326" s="123">
        <v>133</v>
      </c>
      <c r="C326" s="123" t="s">
        <v>14</v>
      </c>
      <c r="D326" s="123">
        <v>3</v>
      </c>
      <c r="E326" t="s">
        <v>255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</row>
    <row r="327" spans="1:151" ht="15.75" customHeight="1">
      <c r="B327" s="126">
        <v>134</v>
      </c>
      <c r="C327" s="126" t="s">
        <v>17</v>
      </c>
      <c r="D327" s="126">
        <v>8</v>
      </c>
      <c r="E327" t="s">
        <v>255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</row>
    <row r="328" spans="1:151" ht="15.75" customHeight="1">
      <c r="B328" s="123">
        <v>135</v>
      </c>
      <c r="C328" s="123" t="s">
        <v>14</v>
      </c>
      <c r="D328" s="123">
        <v>3</v>
      </c>
      <c r="E328" t="s">
        <v>255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</row>
    <row r="329" spans="1:151" ht="15.75" customHeight="1">
      <c r="B329" s="124">
        <v>136</v>
      </c>
      <c r="C329" s="124" t="s">
        <v>14</v>
      </c>
      <c r="D329" s="124">
        <v>3</v>
      </c>
      <c r="E329" t="s">
        <v>255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</row>
    <row r="330" spans="1:151" ht="15.75" customHeight="1">
      <c r="B330" s="123">
        <v>137</v>
      </c>
      <c r="C330" s="123" t="s">
        <v>14</v>
      </c>
      <c r="D330" s="123">
        <v>3</v>
      </c>
      <c r="E330" t="s">
        <v>255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</row>
    <row r="331" spans="1:151" ht="15.75" customHeight="1">
      <c r="B331" s="126">
        <v>138</v>
      </c>
      <c r="C331" s="126" t="s">
        <v>17</v>
      </c>
      <c r="D331" s="126">
        <v>8</v>
      </c>
      <c r="E331" t="s">
        <v>255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</row>
    <row r="332" spans="1:151" ht="15.75" customHeight="1">
      <c r="B332" s="123">
        <v>139</v>
      </c>
      <c r="C332" s="123" t="s">
        <v>14</v>
      </c>
      <c r="D332" s="123">
        <v>3</v>
      </c>
      <c r="E332" t="s">
        <v>255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</row>
    <row r="333" spans="1:151" ht="15.75" customHeight="1">
      <c r="B333" s="124">
        <v>140</v>
      </c>
      <c r="C333" s="124" t="s">
        <v>14</v>
      </c>
      <c r="D333" s="124">
        <v>3</v>
      </c>
      <c r="E333" t="s">
        <v>255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</row>
    <row r="334" spans="1:151" ht="15.75" customHeight="1">
      <c r="B334" s="123">
        <v>141</v>
      </c>
      <c r="C334" s="123" t="s">
        <v>14</v>
      </c>
      <c r="D334" s="123">
        <v>3</v>
      </c>
      <c r="E334" t="s">
        <v>255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</row>
    <row r="335" spans="1:151" ht="15.75" customHeight="1">
      <c r="B335" s="124">
        <v>142</v>
      </c>
      <c r="C335" s="124" t="s">
        <v>14</v>
      </c>
      <c r="D335" s="124">
        <v>3</v>
      </c>
      <c r="E335" t="s">
        <v>255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</row>
    <row r="336" spans="1:151" ht="15.75" customHeight="1">
      <c r="B336" s="125">
        <v>143</v>
      </c>
      <c r="C336" s="125" t="s">
        <v>17</v>
      </c>
      <c r="D336" s="125">
        <v>8</v>
      </c>
      <c r="E336" t="s">
        <v>255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</row>
    <row r="337" spans="1:151" ht="15.75" customHeight="1">
      <c r="B337" s="124">
        <v>144</v>
      </c>
      <c r="C337" s="124" t="s">
        <v>14</v>
      </c>
      <c r="D337" s="124">
        <v>3</v>
      </c>
      <c r="E337" t="s">
        <v>255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</row>
    <row r="338" spans="1:151" ht="15.75" customHeight="1">
      <c r="B338" s="125">
        <v>145</v>
      </c>
      <c r="C338" s="125" t="s">
        <v>17</v>
      </c>
      <c r="D338" s="125">
        <v>8</v>
      </c>
      <c r="E338" t="s">
        <v>255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</row>
    <row r="339" spans="1:151" ht="15.75" customHeight="1">
      <c r="B339" s="124">
        <v>146</v>
      </c>
      <c r="C339" s="124" t="s">
        <v>14</v>
      </c>
      <c r="D339" s="124">
        <v>3</v>
      </c>
      <c r="E339" t="s">
        <v>255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</row>
    <row r="340" spans="1:151" ht="15.75" customHeight="1">
      <c r="B340" s="123">
        <v>147</v>
      </c>
      <c r="C340" s="123" t="s">
        <v>14</v>
      </c>
      <c r="D340" s="123">
        <v>3</v>
      </c>
      <c r="E340" t="s">
        <v>255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</row>
    <row r="341" spans="1:151" ht="15.75" customHeight="1">
      <c r="B341" s="124">
        <v>148</v>
      </c>
      <c r="C341" s="124" t="s">
        <v>14</v>
      </c>
      <c r="D341" s="124">
        <v>3</v>
      </c>
      <c r="E341" t="s">
        <v>255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</row>
    <row r="342" spans="1:151" ht="15.75" customHeight="1">
      <c r="B342" s="123">
        <v>149</v>
      </c>
      <c r="C342" s="123" t="s">
        <v>14</v>
      </c>
      <c r="D342" s="123">
        <v>3</v>
      </c>
      <c r="E342" t="s">
        <v>255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</row>
    <row r="343" spans="1:151" ht="15.75" customHeight="1">
      <c r="B343" s="126">
        <v>150</v>
      </c>
      <c r="C343" s="126" t="s">
        <v>17</v>
      </c>
      <c r="D343" s="126">
        <v>8</v>
      </c>
      <c r="E343" t="s">
        <v>255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</row>
    <row r="344" spans="1:151" ht="15.75" customHeight="1">
      <c r="B344" s="123">
        <v>151</v>
      </c>
      <c r="C344" s="123" t="s">
        <v>14</v>
      </c>
      <c r="D344" s="123">
        <v>3</v>
      </c>
      <c r="E344" t="s">
        <v>255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</row>
    <row r="345" spans="1:151" ht="15.75" customHeight="1">
      <c r="B345" s="124">
        <v>152</v>
      </c>
      <c r="C345" s="124" t="s">
        <v>14</v>
      </c>
      <c r="D345" s="124">
        <v>3</v>
      </c>
      <c r="E345" t="s">
        <v>255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</row>
    <row r="346" spans="1:151" ht="15.75" customHeight="1">
      <c r="B346" s="123">
        <v>153</v>
      </c>
      <c r="C346" s="123" t="s">
        <v>14</v>
      </c>
      <c r="D346" s="123">
        <v>3</v>
      </c>
      <c r="E346" t="s">
        <v>255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</row>
    <row r="347" spans="1:151" ht="15.75" customHeight="1">
      <c r="B347" s="124">
        <v>154</v>
      </c>
      <c r="C347" s="124" t="s">
        <v>14</v>
      </c>
      <c r="D347" s="124">
        <v>3</v>
      </c>
      <c r="E347" t="s">
        <v>255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</row>
    <row r="348" spans="1:151" ht="15.75" customHeight="1">
      <c r="B348" s="125">
        <v>155</v>
      </c>
      <c r="C348" s="125" t="s">
        <v>17</v>
      </c>
      <c r="D348" s="125">
        <v>8</v>
      </c>
      <c r="E348" t="s">
        <v>255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</row>
    <row r="349" spans="1:151" ht="15.75" customHeight="1">
      <c r="B349" s="124">
        <v>156</v>
      </c>
      <c r="C349" s="124" t="s">
        <v>14</v>
      </c>
      <c r="D349" s="124">
        <v>3</v>
      </c>
      <c r="E349" t="s">
        <v>255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</row>
    <row r="350" spans="1:151" ht="15.75" customHeight="1">
      <c r="B350" s="123">
        <v>157</v>
      </c>
      <c r="C350" s="123" t="s">
        <v>14</v>
      </c>
      <c r="D350" s="123">
        <v>3</v>
      </c>
      <c r="E350" t="s">
        <v>255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</row>
    <row r="351" spans="1:151" ht="15.75" customHeight="1">
      <c r="A351">
        <v>45</v>
      </c>
      <c r="B351" s="129">
        <v>158</v>
      </c>
      <c r="C351" s="129" t="s">
        <v>15</v>
      </c>
      <c r="D351" s="129">
        <v>12</v>
      </c>
      <c r="E351" t="s">
        <v>255</v>
      </c>
      <c r="F351">
        <f>B396-B351</f>
        <v>45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</row>
    <row r="352" spans="1:151" ht="15.75" customHeight="1">
      <c r="B352" s="123">
        <v>159</v>
      </c>
      <c r="C352" s="123" t="s">
        <v>14</v>
      </c>
      <c r="D352" s="123">
        <v>3</v>
      </c>
      <c r="E352" t="s">
        <v>255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</row>
    <row r="353" spans="2:151" ht="15.75" customHeight="1">
      <c r="B353" s="124">
        <v>160</v>
      </c>
      <c r="C353" s="124" t="s">
        <v>14</v>
      </c>
      <c r="D353" s="124">
        <v>3</v>
      </c>
      <c r="E353" t="s">
        <v>255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</row>
    <row r="354" spans="2:151" ht="15.75" customHeight="1">
      <c r="B354" s="123">
        <v>161</v>
      </c>
      <c r="C354" s="123" t="s">
        <v>14</v>
      </c>
      <c r="D354" s="123">
        <v>3</v>
      </c>
      <c r="E354" t="s">
        <v>255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</row>
    <row r="355" spans="2:151" ht="15.75" customHeight="1">
      <c r="B355" s="124">
        <v>162</v>
      </c>
      <c r="C355" s="124" t="s">
        <v>14</v>
      </c>
      <c r="D355" s="124">
        <v>3</v>
      </c>
      <c r="E355" t="s">
        <v>255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</row>
    <row r="356" spans="2:151" ht="15.75" customHeight="1">
      <c r="B356" s="125">
        <v>163</v>
      </c>
      <c r="C356" s="125" t="s">
        <v>17</v>
      </c>
      <c r="D356" s="125">
        <v>8</v>
      </c>
      <c r="E356" t="s">
        <v>255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</row>
    <row r="357" spans="2:151" ht="15.75" customHeight="1">
      <c r="B357" s="124">
        <v>164</v>
      </c>
      <c r="C357" s="124" t="s">
        <v>14</v>
      </c>
      <c r="D357" s="124">
        <v>3</v>
      </c>
      <c r="E357" t="s">
        <v>255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</row>
    <row r="358" spans="2:151" ht="15.75" customHeight="1">
      <c r="B358" s="123">
        <v>165</v>
      </c>
      <c r="C358" s="123" t="s">
        <v>14</v>
      </c>
      <c r="D358" s="123">
        <v>3</v>
      </c>
      <c r="E358" t="s">
        <v>255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</row>
    <row r="359" spans="2:151" ht="15.75" customHeight="1">
      <c r="B359" s="126">
        <v>166</v>
      </c>
      <c r="C359" s="126" t="s">
        <v>17</v>
      </c>
      <c r="D359" s="126">
        <v>8</v>
      </c>
      <c r="E359" t="s">
        <v>255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</row>
    <row r="360" spans="2:151" ht="15.75" customHeight="1">
      <c r="B360" s="123">
        <v>167</v>
      </c>
      <c r="C360" s="123" t="s">
        <v>14</v>
      </c>
      <c r="D360" s="123">
        <v>3</v>
      </c>
      <c r="E360" t="s">
        <v>255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</row>
    <row r="361" spans="2:151" ht="15.75" customHeight="1">
      <c r="B361" s="124">
        <v>168</v>
      </c>
      <c r="C361" s="124" t="s">
        <v>14</v>
      </c>
      <c r="D361" s="124">
        <v>3</v>
      </c>
      <c r="E361" t="s">
        <v>255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</row>
    <row r="362" spans="2:151" ht="15.75" customHeight="1">
      <c r="B362" s="123">
        <v>169</v>
      </c>
      <c r="C362" s="123" t="s">
        <v>14</v>
      </c>
      <c r="D362" s="123">
        <v>3</v>
      </c>
      <c r="E362" t="s">
        <v>255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</row>
    <row r="363" spans="2:151" ht="15.75" customHeight="1">
      <c r="B363" s="124">
        <v>170</v>
      </c>
      <c r="C363" s="124" t="s">
        <v>14</v>
      </c>
      <c r="D363" s="124">
        <v>3</v>
      </c>
      <c r="E363" t="s">
        <v>255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</row>
    <row r="364" spans="2:151" ht="15.75" customHeight="1">
      <c r="B364" s="125">
        <v>171</v>
      </c>
      <c r="C364" s="125" t="s">
        <v>17</v>
      </c>
      <c r="D364" s="125">
        <v>8</v>
      </c>
      <c r="E364" t="s">
        <v>255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</row>
    <row r="365" spans="2:151" ht="15.75" customHeight="1">
      <c r="B365" s="124">
        <v>172</v>
      </c>
      <c r="C365" s="124" t="s">
        <v>14</v>
      </c>
      <c r="D365" s="124">
        <v>3</v>
      </c>
      <c r="E365" t="s">
        <v>255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</row>
    <row r="366" spans="2:151" ht="15.75" customHeight="1">
      <c r="B366" s="123">
        <v>173</v>
      </c>
      <c r="C366" s="123" t="s">
        <v>14</v>
      </c>
      <c r="D366" s="123">
        <v>3</v>
      </c>
      <c r="E366" t="s">
        <v>255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</row>
    <row r="367" spans="2:151" ht="15.75" customHeight="1">
      <c r="B367" s="126">
        <v>174</v>
      </c>
      <c r="C367" s="126" t="s">
        <v>17</v>
      </c>
      <c r="D367" s="126">
        <v>8</v>
      </c>
      <c r="E367" t="s">
        <v>255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</row>
    <row r="368" spans="2:151" ht="15.75" customHeight="1">
      <c r="B368" s="123">
        <v>175</v>
      </c>
      <c r="C368" s="123" t="s">
        <v>14</v>
      </c>
      <c r="D368" s="123">
        <v>3</v>
      </c>
      <c r="E368" t="s">
        <v>255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</row>
    <row r="369" spans="1:151" ht="15.75" customHeight="1">
      <c r="B369" s="124">
        <v>176</v>
      </c>
      <c r="C369" s="124" t="s">
        <v>14</v>
      </c>
      <c r="D369" s="124">
        <v>3</v>
      </c>
      <c r="E369" t="s">
        <v>255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</row>
    <row r="370" spans="1:151" ht="15.75" customHeight="1">
      <c r="B370" s="123">
        <v>177</v>
      </c>
      <c r="C370" s="123" t="s">
        <v>14</v>
      </c>
      <c r="D370" s="123">
        <v>3</v>
      </c>
      <c r="E370" t="s">
        <v>255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</row>
    <row r="371" spans="1:151" ht="15.75" customHeight="1">
      <c r="B371" s="126">
        <v>178</v>
      </c>
      <c r="C371" s="126" t="s">
        <v>17</v>
      </c>
      <c r="D371" s="126">
        <v>8</v>
      </c>
      <c r="E371" t="s">
        <v>255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</row>
    <row r="372" spans="1:151" ht="15.75" customHeight="1">
      <c r="B372" s="123">
        <v>179</v>
      </c>
      <c r="C372" s="123" t="s">
        <v>14</v>
      </c>
      <c r="D372" s="123">
        <v>3</v>
      </c>
      <c r="E372" t="s">
        <v>255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</row>
    <row r="373" spans="1:151" ht="15.75" customHeight="1">
      <c r="B373" s="124">
        <v>180</v>
      </c>
      <c r="C373" s="124" t="s">
        <v>14</v>
      </c>
      <c r="D373" s="124">
        <v>3</v>
      </c>
      <c r="E373" t="s">
        <v>255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</row>
    <row r="374" spans="1:151" ht="15.75" customHeight="1">
      <c r="B374" s="123">
        <v>181</v>
      </c>
      <c r="C374" s="123" t="s">
        <v>14</v>
      </c>
      <c r="D374" s="123">
        <v>3</v>
      </c>
      <c r="E374" t="s">
        <v>255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</row>
    <row r="375" spans="1:151" ht="15.75" customHeight="1">
      <c r="B375" s="124">
        <v>182</v>
      </c>
      <c r="C375" s="124" t="s">
        <v>14</v>
      </c>
      <c r="D375" s="124">
        <v>3</v>
      </c>
      <c r="E375" t="s">
        <v>255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</row>
    <row r="376" spans="1:151" ht="15.75" customHeight="1">
      <c r="B376" s="125">
        <v>183</v>
      </c>
      <c r="C376" s="125" t="s">
        <v>17</v>
      </c>
      <c r="D376" s="125">
        <v>8</v>
      </c>
      <c r="E376" t="s">
        <v>255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</row>
    <row r="377" spans="1:151" ht="15.75" customHeight="1">
      <c r="B377" s="124">
        <v>184</v>
      </c>
      <c r="C377" s="124" t="s">
        <v>14</v>
      </c>
      <c r="D377" s="124">
        <v>3</v>
      </c>
      <c r="E377" t="s">
        <v>255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</row>
    <row r="378" spans="1:151" ht="15.75" customHeight="1">
      <c r="B378" s="125">
        <v>185</v>
      </c>
      <c r="C378" s="125" t="s">
        <v>17</v>
      </c>
      <c r="D378" s="125">
        <v>8</v>
      </c>
      <c r="E378" t="s">
        <v>255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</row>
    <row r="379" spans="1:151" ht="15.75" customHeight="1">
      <c r="B379" s="124">
        <v>186</v>
      </c>
      <c r="C379" s="124" t="s">
        <v>14</v>
      </c>
      <c r="D379" s="124">
        <v>3</v>
      </c>
      <c r="E379" t="s">
        <v>255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</row>
    <row r="380" spans="1:151" ht="15.75" customHeight="1">
      <c r="B380" s="123">
        <v>187</v>
      </c>
      <c r="C380" s="123" t="s">
        <v>14</v>
      </c>
      <c r="D380" s="123">
        <v>3</v>
      </c>
      <c r="E380" t="s">
        <v>255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</row>
    <row r="381" spans="1:151" ht="15.75" customHeight="1">
      <c r="B381" s="124">
        <v>188</v>
      </c>
      <c r="C381" s="124" t="s">
        <v>14</v>
      </c>
      <c r="D381" s="124">
        <v>3</v>
      </c>
      <c r="E381" t="s">
        <v>255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</row>
    <row r="382" spans="1:151" ht="15.75" customHeight="1">
      <c r="B382" s="123">
        <v>189</v>
      </c>
      <c r="C382" s="123" t="s">
        <v>14</v>
      </c>
      <c r="D382" s="123">
        <v>3</v>
      </c>
      <c r="E382" t="s">
        <v>255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</row>
    <row r="383" spans="1:151" ht="15.75" customHeight="1">
      <c r="A383">
        <v>13</v>
      </c>
      <c r="B383" s="129">
        <v>190</v>
      </c>
      <c r="C383" s="129" t="s">
        <v>15</v>
      </c>
      <c r="D383" s="129">
        <v>12</v>
      </c>
      <c r="E383" t="s">
        <v>255</v>
      </c>
      <c r="F383">
        <f>B396-B383</f>
        <v>13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</row>
    <row r="384" spans="1:151" ht="15.75" customHeight="1">
      <c r="B384" s="123">
        <v>191</v>
      </c>
      <c r="C384" s="123" t="s">
        <v>14</v>
      </c>
      <c r="D384" s="123">
        <v>3</v>
      </c>
      <c r="E384" t="s">
        <v>255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</row>
    <row r="385" spans="2:151" ht="15.75" customHeight="1">
      <c r="B385" s="124">
        <v>192</v>
      </c>
      <c r="C385" s="124" t="s">
        <v>14</v>
      </c>
      <c r="D385" s="124">
        <v>3</v>
      </c>
      <c r="E385" t="s">
        <v>255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</row>
    <row r="386" spans="2:151" ht="15.75" customHeight="1">
      <c r="B386" s="123">
        <v>193</v>
      </c>
      <c r="C386" s="123" t="s">
        <v>14</v>
      </c>
      <c r="D386" s="123">
        <v>3</v>
      </c>
      <c r="E386" t="s">
        <v>255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</row>
    <row r="387" spans="2:151" ht="15.75" customHeight="1">
      <c r="B387" s="124">
        <v>194</v>
      </c>
      <c r="C387" s="124" t="s">
        <v>14</v>
      </c>
      <c r="D387" s="124">
        <v>3</v>
      </c>
      <c r="E387" t="s">
        <v>255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</row>
    <row r="388" spans="2:151" ht="15.75" customHeight="1">
      <c r="B388" s="125">
        <v>195</v>
      </c>
      <c r="C388" s="125" t="s">
        <v>17</v>
      </c>
      <c r="D388" s="125">
        <v>8</v>
      </c>
      <c r="E388" t="s">
        <v>255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</row>
    <row r="389" spans="2:151" ht="15.75" customHeight="1">
      <c r="B389" s="124">
        <v>196</v>
      </c>
      <c r="C389" s="124" t="s">
        <v>14</v>
      </c>
      <c r="D389" s="124">
        <v>3</v>
      </c>
      <c r="E389" t="s">
        <v>255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</row>
    <row r="390" spans="2:151" ht="15.75" customHeight="1">
      <c r="B390" s="123">
        <v>197</v>
      </c>
      <c r="C390" s="123" t="s">
        <v>14</v>
      </c>
      <c r="D390" s="123">
        <v>3</v>
      </c>
      <c r="E390" t="s">
        <v>255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</row>
    <row r="391" spans="2:151" ht="15.75" customHeight="1">
      <c r="B391" s="126">
        <v>198</v>
      </c>
      <c r="C391" s="126" t="s">
        <v>17</v>
      </c>
      <c r="D391" s="126">
        <v>8</v>
      </c>
      <c r="E391" t="s">
        <v>255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</row>
    <row r="392" spans="2:151" ht="15.75" customHeight="1">
      <c r="B392" s="123">
        <v>199</v>
      </c>
      <c r="C392" s="123" t="s">
        <v>14</v>
      </c>
      <c r="D392" s="123">
        <v>3</v>
      </c>
      <c r="E392" t="s">
        <v>255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</row>
    <row r="393" spans="2:151" ht="15.75" customHeight="1">
      <c r="B393" s="124">
        <v>200</v>
      </c>
      <c r="C393" s="124" t="s">
        <v>14</v>
      </c>
      <c r="D393" s="124">
        <v>3</v>
      </c>
      <c r="E393" t="s">
        <v>255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</row>
    <row r="394" spans="2:151" ht="15.75" customHeight="1">
      <c r="B394" s="123">
        <v>201</v>
      </c>
      <c r="C394" s="123" t="s">
        <v>14</v>
      </c>
      <c r="D394" s="123">
        <v>3</v>
      </c>
      <c r="E394" t="s">
        <v>255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</row>
    <row r="395" spans="2:151" ht="15.75" customHeight="1">
      <c r="B395" s="124">
        <v>202</v>
      </c>
      <c r="C395" s="124" t="s">
        <v>14</v>
      </c>
      <c r="D395" s="124">
        <v>3</v>
      </c>
      <c r="E395" t="s">
        <v>255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</row>
    <row r="396" spans="2:151" ht="15.75" customHeight="1">
      <c r="B396" s="127">
        <v>203</v>
      </c>
      <c r="C396" s="127" t="s">
        <v>256</v>
      </c>
      <c r="D396" s="127">
        <v>12</v>
      </c>
      <c r="E396" t="s">
        <v>255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</row>
    <row r="397" spans="2:151" ht="15.75" customHeight="1">
      <c r="B397" s="124">
        <v>204</v>
      </c>
      <c r="C397" s="124" t="s">
        <v>14</v>
      </c>
      <c r="D397" s="124">
        <v>3</v>
      </c>
      <c r="E397" t="s">
        <v>255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</row>
    <row r="398" spans="2:151" ht="15.75" customHeight="1">
      <c r="B398" s="123">
        <v>205</v>
      </c>
      <c r="C398" s="123" t="s">
        <v>14</v>
      </c>
      <c r="D398" s="123">
        <v>3</v>
      </c>
      <c r="E398" t="s">
        <v>255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</row>
    <row r="399" spans="2:151" ht="15.75" customHeight="1">
      <c r="B399" s="126">
        <v>206</v>
      </c>
      <c r="C399" s="126" t="s">
        <v>17</v>
      </c>
      <c r="D399" s="126">
        <v>8</v>
      </c>
      <c r="E399" t="s">
        <v>255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</row>
    <row r="400" spans="2:151" ht="15.75" customHeight="1">
      <c r="B400" s="123">
        <v>207</v>
      </c>
      <c r="C400" s="123" t="s">
        <v>14</v>
      </c>
      <c r="D400" s="123">
        <v>3</v>
      </c>
      <c r="E400" t="s">
        <v>255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</row>
    <row r="401" spans="2:151" ht="15.75" customHeight="1">
      <c r="B401" s="124">
        <v>208</v>
      </c>
      <c r="C401" s="124" t="s">
        <v>14</v>
      </c>
      <c r="D401" s="124">
        <v>3</v>
      </c>
      <c r="E401" t="s">
        <v>255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</row>
    <row r="402" spans="2:151" ht="15.75" customHeight="1">
      <c r="B402" s="123">
        <v>209</v>
      </c>
      <c r="C402" s="123" t="s">
        <v>14</v>
      </c>
      <c r="D402" s="123">
        <v>3</v>
      </c>
      <c r="E402" t="s">
        <v>255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</row>
    <row r="403" spans="2:151" ht="15.75" customHeight="1">
      <c r="B403" s="124">
        <v>210</v>
      </c>
      <c r="C403" s="124" t="s">
        <v>14</v>
      </c>
      <c r="D403" s="124">
        <v>3</v>
      </c>
      <c r="E403" t="s">
        <v>255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</row>
    <row r="404" spans="2:151" ht="15.75" customHeight="1">
      <c r="B404" s="125">
        <v>211</v>
      </c>
      <c r="C404" s="125" t="s">
        <v>17</v>
      </c>
      <c r="D404" s="125">
        <v>8</v>
      </c>
      <c r="E404" t="s">
        <v>255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</row>
    <row r="405" spans="2:151" ht="15.75" customHeight="1">
      <c r="B405" s="124">
        <v>212</v>
      </c>
      <c r="C405" s="124" t="s">
        <v>14</v>
      </c>
      <c r="D405" s="124">
        <v>3</v>
      </c>
      <c r="E405" t="s">
        <v>255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</row>
    <row r="406" spans="2:151" ht="15.75" customHeight="1">
      <c r="B406" s="123">
        <v>213</v>
      </c>
      <c r="C406" s="123" t="s">
        <v>14</v>
      </c>
      <c r="D406" s="123">
        <v>3</v>
      </c>
      <c r="E406" t="s">
        <v>255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</row>
    <row r="407" spans="2:151" ht="15.75" customHeight="1">
      <c r="B407" s="126">
        <v>214</v>
      </c>
      <c r="C407" s="126" t="s">
        <v>17</v>
      </c>
      <c r="D407" s="126">
        <v>8</v>
      </c>
      <c r="E407" t="s">
        <v>255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</row>
    <row r="408" spans="2:151" ht="15.75" customHeight="1">
      <c r="B408" s="123">
        <v>215</v>
      </c>
      <c r="C408" s="123" t="s">
        <v>14</v>
      </c>
      <c r="D408" s="123">
        <v>3</v>
      </c>
      <c r="E408" t="s">
        <v>255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</row>
    <row r="409" spans="2:151" ht="15.75" customHeight="1">
      <c r="B409" s="124">
        <v>216</v>
      </c>
      <c r="C409" s="124" t="s">
        <v>14</v>
      </c>
      <c r="D409" s="124">
        <v>3</v>
      </c>
      <c r="E409" t="s">
        <v>255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</row>
    <row r="410" spans="2:151" ht="15.75" customHeight="1">
      <c r="B410" s="123">
        <v>217</v>
      </c>
      <c r="C410" s="123" t="s">
        <v>14</v>
      </c>
      <c r="D410" s="123">
        <v>3</v>
      </c>
      <c r="E410" t="s">
        <v>255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</row>
    <row r="411" spans="2:151" ht="15.75" customHeight="1">
      <c r="B411" s="126">
        <v>218</v>
      </c>
      <c r="C411" s="126" t="s">
        <v>17</v>
      </c>
      <c r="D411" s="126">
        <v>8</v>
      </c>
      <c r="E411" t="s">
        <v>255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</row>
    <row r="412" spans="2:151" ht="15.75" customHeight="1">
      <c r="B412" s="123">
        <v>219</v>
      </c>
      <c r="C412" s="123" t="s">
        <v>14</v>
      </c>
      <c r="D412" s="123">
        <v>3</v>
      </c>
      <c r="E412" t="s">
        <v>255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</row>
    <row r="413" spans="2:151" ht="15.75" customHeight="1">
      <c r="B413" s="124">
        <v>220</v>
      </c>
      <c r="C413" s="124" t="s">
        <v>14</v>
      </c>
      <c r="D413" s="124">
        <v>3</v>
      </c>
      <c r="E413" t="s">
        <v>255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</row>
    <row r="414" spans="2:151" ht="15.75" customHeight="1">
      <c r="B414" s="123">
        <v>221</v>
      </c>
      <c r="C414" s="123" t="s">
        <v>14</v>
      </c>
      <c r="D414" s="123">
        <v>3</v>
      </c>
      <c r="E414" t="s">
        <v>255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</row>
    <row r="415" spans="2:151" ht="15.75" customHeight="1">
      <c r="B415" s="124">
        <v>222</v>
      </c>
      <c r="C415" s="124" t="s">
        <v>14</v>
      </c>
      <c r="D415" s="124">
        <v>3</v>
      </c>
      <c r="E415" t="s">
        <v>255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</row>
    <row r="416" spans="2:151" ht="15.75" customHeight="1">
      <c r="B416" s="125">
        <v>223</v>
      </c>
      <c r="C416" s="125" t="s">
        <v>17</v>
      </c>
      <c r="D416" s="125">
        <v>8</v>
      </c>
      <c r="E416" t="s">
        <v>255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</row>
    <row r="417" spans="1:151" ht="15.75" customHeight="1">
      <c r="B417" s="124">
        <v>224</v>
      </c>
      <c r="C417" s="124" t="s">
        <v>14</v>
      </c>
      <c r="D417" s="124">
        <v>3</v>
      </c>
      <c r="E417" t="s">
        <v>255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</row>
    <row r="418" spans="1:151" ht="15.75" customHeight="1">
      <c r="B418" s="125">
        <v>225</v>
      </c>
      <c r="C418" s="125" t="s">
        <v>17</v>
      </c>
      <c r="D418" s="125">
        <v>8</v>
      </c>
      <c r="E418" t="s">
        <v>255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</row>
    <row r="419" spans="1:151" ht="15.75" customHeight="1">
      <c r="B419" s="124">
        <v>226</v>
      </c>
      <c r="C419" s="124" t="s">
        <v>14</v>
      </c>
      <c r="D419" s="124">
        <v>3</v>
      </c>
      <c r="E419" t="s">
        <v>255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</row>
    <row r="420" spans="1:151" ht="15.75" customHeight="1">
      <c r="B420" s="123">
        <v>227</v>
      </c>
      <c r="C420" s="123" t="s">
        <v>14</v>
      </c>
      <c r="D420" s="123">
        <v>3</v>
      </c>
      <c r="E420" t="s">
        <v>255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</row>
    <row r="421" spans="1:151" ht="15.75" customHeight="1">
      <c r="B421" s="124">
        <v>228</v>
      </c>
      <c r="C421" s="124" t="s">
        <v>14</v>
      </c>
      <c r="D421" s="124">
        <v>3</v>
      </c>
      <c r="E421" t="s">
        <v>255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</row>
    <row r="422" spans="1:151" ht="15.75" customHeight="1">
      <c r="B422" s="123">
        <v>229</v>
      </c>
      <c r="C422" s="123" t="s">
        <v>14</v>
      </c>
      <c r="D422" s="123">
        <v>3</v>
      </c>
      <c r="E422" t="s">
        <v>255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</row>
    <row r="423" spans="1:151" ht="15.75" customHeight="1">
      <c r="A423">
        <v>27</v>
      </c>
      <c r="B423" s="129">
        <v>230</v>
      </c>
      <c r="C423" s="129" t="s">
        <v>15</v>
      </c>
      <c r="D423" s="129">
        <v>12</v>
      </c>
      <c r="E423" t="s">
        <v>255</v>
      </c>
      <c r="F423">
        <f>B423-B396</f>
        <v>27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</row>
    <row r="424" spans="1:151" ht="15.75" customHeight="1">
      <c r="B424" s="123">
        <v>231</v>
      </c>
      <c r="C424" s="123" t="s">
        <v>14</v>
      </c>
      <c r="D424" s="123">
        <v>3</v>
      </c>
      <c r="E424" t="s">
        <v>255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</row>
    <row r="425" spans="1:151" ht="15.75" customHeight="1">
      <c r="B425" s="124">
        <v>232</v>
      </c>
      <c r="C425" s="124" t="s">
        <v>14</v>
      </c>
      <c r="D425" s="124">
        <v>3</v>
      </c>
      <c r="E425" t="s">
        <v>255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</row>
    <row r="426" spans="1:151" ht="15.75" customHeight="1">
      <c r="B426" s="123">
        <v>233</v>
      </c>
      <c r="C426" s="123" t="s">
        <v>14</v>
      </c>
      <c r="D426" s="123">
        <v>3</v>
      </c>
      <c r="E426" t="s">
        <v>255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</row>
    <row r="427" spans="1:151" ht="15.75" customHeight="1">
      <c r="B427" s="124">
        <v>234</v>
      </c>
      <c r="C427" s="124" t="s">
        <v>14</v>
      </c>
      <c r="D427" s="124">
        <v>3</v>
      </c>
      <c r="E427" t="s">
        <v>255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</row>
    <row r="428" spans="1:151" ht="15.75" customHeight="1">
      <c r="B428" s="125">
        <v>235</v>
      </c>
      <c r="C428" s="125" t="s">
        <v>17</v>
      </c>
      <c r="D428" s="125">
        <v>8</v>
      </c>
      <c r="E428" t="s">
        <v>255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</row>
    <row r="429" spans="1:151" ht="15.75" customHeight="1">
      <c r="B429" s="124">
        <v>236</v>
      </c>
      <c r="C429" s="124" t="s">
        <v>14</v>
      </c>
      <c r="D429" s="124">
        <v>3</v>
      </c>
      <c r="E429" t="s">
        <v>255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</row>
    <row r="430" spans="1:151" ht="15.75" customHeight="1">
      <c r="B430" s="123">
        <v>237</v>
      </c>
      <c r="C430" s="123" t="s">
        <v>14</v>
      </c>
      <c r="D430" s="123">
        <v>3</v>
      </c>
      <c r="E430" t="s">
        <v>255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</row>
    <row r="431" spans="1:151" ht="15.75" customHeight="1">
      <c r="B431" s="126">
        <v>238</v>
      </c>
      <c r="C431" s="126" t="s">
        <v>17</v>
      </c>
      <c r="D431" s="126">
        <v>8</v>
      </c>
      <c r="E431" t="s">
        <v>255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</row>
    <row r="432" spans="1:151" ht="15.75" customHeight="1">
      <c r="B432" s="123">
        <v>239</v>
      </c>
      <c r="C432" s="123" t="s">
        <v>14</v>
      </c>
      <c r="D432" s="123">
        <v>3</v>
      </c>
      <c r="E432" t="s">
        <v>255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</row>
  </sheetData>
  <mergeCells count="588">
    <mergeCell ref="AQ184:AS184"/>
    <mergeCell ref="A188:I188"/>
    <mergeCell ref="B137:D137"/>
    <mergeCell ref="E137:H137"/>
    <mergeCell ref="I137:L137"/>
    <mergeCell ref="M137:P137"/>
    <mergeCell ref="Q137:T137"/>
    <mergeCell ref="B138:T138"/>
    <mergeCell ref="AT134:AV134"/>
    <mergeCell ref="B136:D136"/>
    <mergeCell ref="E136:H136"/>
    <mergeCell ref="I136:L136"/>
    <mergeCell ref="M136:P136"/>
    <mergeCell ref="Q136:T136"/>
    <mergeCell ref="A120:D120"/>
    <mergeCell ref="E120:H120"/>
    <mergeCell ref="I120:L120"/>
    <mergeCell ref="M120:P120"/>
    <mergeCell ref="Q120:T120"/>
    <mergeCell ref="AX120:BH120"/>
    <mergeCell ref="AD116:AG116"/>
    <mergeCell ref="AH116:AK116"/>
    <mergeCell ref="AL116:AO116"/>
    <mergeCell ref="B117:T117"/>
    <mergeCell ref="W117:AO117"/>
    <mergeCell ref="A119:T119"/>
    <mergeCell ref="AD115:AG115"/>
    <mergeCell ref="AH115:AK115"/>
    <mergeCell ref="AL115:AO115"/>
    <mergeCell ref="B116:D116"/>
    <mergeCell ref="E116:H116"/>
    <mergeCell ref="I116:L116"/>
    <mergeCell ref="M116:P116"/>
    <mergeCell ref="Q116:T116"/>
    <mergeCell ref="W116:Y116"/>
    <mergeCell ref="Z116:AC116"/>
    <mergeCell ref="N111:P111"/>
    <mergeCell ref="AI111:AK111"/>
    <mergeCell ref="AX113:BH113"/>
    <mergeCell ref="B115:D115"/>
    <mergeCell ref="E115:H115"/>
    <mergeCell ref="I115:L115"/>
    <mergeCell ref="M115:P115"/>
    <mergeCell ref="Q115:T115"/>
    <mergeCell ref="W115:Y115"/>
    <mergeCell ref="Z115:AC115"/>
    <mergeCell ref="Z103:AC103"/>
    <mergeCell ref="AD103:AG103"/>
    <mergeCell ref="AH103:AK103"/>
    <mergeCell ref="AL103:AO103"/>
    <mergeCell ref="AX106:BH106"/>
    <mergeCell ref="M107:P107"/>
    <mergeCell ref="AH107:AK107"/>
    <mergeCell ref="A100:T100"/>
    <mergeCell ref="W100:AO100"/>
    <mergeCell ref="A102:T102"/>
    <mergeCell ref="V102:AO102"/>
    <mergeCell ref="A103:D103"/>
    <mergeCell ref="E103:H103"/>
    <mergeCell ref="I103:L103"/>
    <mergeCell ref="M103:P103"/>
    <mergeCell ref="Q103:T103"/>
    <mergeCell ref="V103:Y103"/>
    <mergeCell ref="W99:Y99"/>
    <mergeCell ref="Z99:AC99"/>
    <mergeCell ref="AD99:AG99"/>
    <mergeCell ref="AH99:AK99"/>
    <mergeCell ref="AL99:AO99"/>
    <mergeCell ref="AX99:BH99"/>
    <mergeCell ref="Z98:AC98"/>
    <mergeCell ref="AD98:AG98"/>
    <mergeCell ref="AH98:AK98"/>
    <mergeCell ref="AL98:AO98"/>
    <mergeCell ref="AX98:BH98"/>
    <mergeCell ref="B99:D99"/>
    <mergeCell ref="E99:H99"/>
    <mergeCell ref="I99:L99"/>
    <mergeCell ref="M99:P99"/>
    <mergeCell ref="Q99:T99"/>
    <mergeCell ref="AW82:AY82"/>
    <mergeCell ref="AZ82:BB82"/>
    <mergeCell ref="AZ87:BB87"/>
    <mergeCell ref="AW94:AY94"/>
    <mergeCell ref="B98:D98"/>
    <mergeCell ref="E98:H98"/>
    <mergeCell ref="I98:L98"/>
    <mergeCell ref="M98:P98"/>
    <mergeCell ref="Q98:T98"/>
    <mergeCell ref="W98:Y98"/>
    <mergeCell ref="Z82:AC82"/>
    <mergeCell ref="AD82:AG82"/>
    <mergeCell ref="AH82:AK82"/>
    <mergeCell ref="AL82:AO82"/>
    <mergeCell ref="AQ82:AS82"/>
    <mergeCell ref="AT82:AV82"/>
    <mergeCell ref="A82:D82"/>
    <mergeCell ref="E82:H82"/>
    <mergeCell ref="I82:L82"/>
    <mergeCell ref="M82:P82"/>
    <mergeCell ref="Q82:T82"/>
    <mergeCell ref="V82:Y82"/>
    <mergeCell ref="AC79:AE79"/>
    <mergeCell ref="A81:T81"/>
    <mergeCell ref="V81:AO81"/>
    <mergeCell ref="AQ81:BB81"/>
    <mergeCell ref="BC81:BJ81"/>
    <mergeCell ref="BK81:BR81"/>
    <mergeCell ref="AC78:AE78"/>
    <mergeCell ref="B79:C79"/>
    <mergeCell ref="D79:F79"/>
    <mergeCell ref="G79:I79"/>
    <mergeCell ref="J79:L79"/>
    <mergeCell ref="M79:O79"/>
    <mergeCell ref="R79:S79"/>
    <mergeCell ref="T79:V79"/>
    <mergeCell ref="W79:Y79"/>
    <mergeCell ref="Z79:AB79"/>
    <mergeCell ref="EA77:EM77"/>
    <mergeCell ref="B78:C78"/>
    <mergeCell ref="D78:F78"/>
    <mergeCell ref="G78:I78"/>
    <mergeCell ref="J78:L78"/>
    <mergeCell ref="M78:O78"/>
    <mergeCell ref="R78:S78"/>
    <mergeCell ref="T78:V78"/>
    <mergeCell ref="W78:Y78"/>
    <mergeCell ref="Z78:AB78"/>
    <mergeCell ref="AY73:BB73"/>
    <mergeCell ref="BG73:BH73"/>
    <mergeCell ref="AW74:AX74"/>
    <mergeCell ref="AY74:BB74"/>
    <mergeCell ref="AN75:AO75"/>
    <mergeCell ref="AZ75:BA75"/>
    <mergeCell ref="AJ70:AU70"/>
    <mergeCell ref="EC70:EC72"/>
    <mergeCell ref="AH71:AI71"/>
    <mergeCell ref="AJ71:AM71"/>
    <mergeCell ref="AN71:AQ71"/>
    <mergeCell ref="AR71:AU71"/>
    <mergeCell ref="AH72:AU72"/>
    <mergeCell ref="AZ72:BB72"/>
    <mergeCell ref="AY63:BB63"/>
    <mergeCell ref="EC64:EC66"/>
    <mergeCell ref="EC67:EC69"/>
    <mergeCell ref="AK69:AM69"/>
    <mergeCell ref="AO69:AQ69"/>
    <mergeCell ref="AS69:AU69"/>
    <mergeCell ref="Z63:AB63"/>
    <mergeCell ref="AC63:AD63"/>
    <mergeCell ref="AG63:AI63"/>
    <mergeCell ref="AJ63:AM63"/>
    <mergeCell ref="AN63:AQ63"/>
    <mergeCell ref="AR63:AU63"/>
    <mergeCell ref="DZ62:EM62"/>
    <mergeCell ref="EN62:EP62"/>
    <mergeCell ref="A63:C63"/>
    <mergeCell ref="D63:F63"/>
    <mergeCell ref="G63:I63"/>
    <mergeCell ref="J63:L63"/>
    <mergeCell ref="M63:O63"/>
    <mergeCell ref="Q63:S63"/>
    <mergeCell ref="T63:V63"/>
    <mergeCell ref="W63:Y63"/>
    <mergeCell ref="W60:Y60"/>
    <mergeCell ref="Z60:AB60"/>
    <mergeCell ref="AC60:AE60"/>
    <mergeCell ref="AG61:BB61"/>
    <mergeCell ref="BF61:BH61"/>
    <mergeCell ref="A62:O62"/>
    <mergeCell ref="Q62:AE62"/>
    <mergeCell ref="AG62:AU62"/>
    <mergeCell ref="AV62:BB62"/>
    <mergeCell ref="BC59:BE59"/>
    <mergeCell ref="BF59:BH59"/>
    <mergeCell ref="BI59:BK59"/>
    <mergeCell ref="B60:C60"/>
    <mergeCell ref="D60:F60"/>
    <mergeCell ref="G60:I60"/>
    <mergeCell ref="J60:L60"/>
    <mergeCell ref="M60:O60"/>
    <mergeCell ref="R60:S60"/>
    <mergeCell ref="T60:V60"/>
    <mergeCell ref="T59:V59"/>
    <mergeCell ref="W59:Y59"/>
    <mergeCell ref="Z59:AB59"/>
    <mergeCell ref="AC59:AE59"/>
    <mergeCell ref="AX59:AY59"/>
    <mergeCell ref="AZ59:BB59"/>
    <mergeCell ref="B59:C59"/>
    <mergeCell ref="D59:F59"/>
    <mergeCell ref="G59:H59"/>
    <mergeCell ref="J59:K59"/>
    <mergeCell ref="M59:O59"/>
    <mergeCell ref="R59:S59"/>
    <mergeCell ref="Z44:AB44"/>
    <mergeCell ref="AC44:AE44"/>
    <mergeCell ref="DL52:DX52"/>
    <mergeCell ref="EA52:EM52"/>
    <mergeCell ref="AX58:AY58"/>
    <mergeCell ref="AZ58:BB58"/>
    <mergeCell ref="BC58:BE58"/>
    <mergeCell ref="BF58:BH58"/>
    <mergeCell ref="BI58:BK58"/>
    <mergeCell ref="BF43:BH43"/>
    <mergeCell ref="BI43:BJ43"/>
    <mergeCell ref="A44:C44"/>
    <mergeCell ref="D44:F44"/>
    <mergeCell ref="G44:I44"/>
    <mergeCell ref="J44:L44"/>
    <mergeCell ref="M44:O44"/>
    <mergeCell ref="Q44:S44"/>
    <mergeCell ref="T44:V44"/>
    <mergeCell ref="W44:Y44"/>
    <mergeCell ref="AP41:AR41"/>
    <mergeCell ref="AS41:AU41"/>
    <mergeCell ref="CE42:CF42"/>
    <mergeCell ref="DL42:DX42"/>
    <mergeCell ref="EA42:EM42"/>
    <mergeCell ref="A43:O43"/>
    <mergeCell ref="Q43:AE43"/>
    <mergeCell ref="AW43:AY43"/>
    <mergeCell ref="AZ43:BB43"/>
    <mergeCell ref="BC43:BE43"/>
    <mergeCell ref="W41:Y41"/>
    <mergeCell ref="Z41:AB41"/>
    <mergeCell ref="AC41:AE41"/>
    <mergeCell ref="AH41:AI41"/>
    <mergeCell ref="AJ41:AL41"/>
    <mergeCell ref="AM41:AO41"/>
    <mergeCell ref="AM40:AO40"/>
    <mergeCell ref="AP40:AR40"/>
    <mergeCell ref="AS40:AU40"/>
    <mergeCell ref="B41:C41"/>
    <mergeCell ref="D41:F41"/>
    <mergeCell ref="G41:I41"/>
    <mergeCell ref="J41:L41"/>
    <mergeCell ref="M41:O41"/>
    <mergeCell ref="R41:S41"/>
    <mergeCell ref="T41:V41"/>
    <mergeCell ref="T40:V40"/>
    <mergeCell ref="W40:Y40"/>
    <mergeCell ref="Z40:AB40"/>
    <mergeCell ref="AC40:AE40"/>
    <mergeCell ref="AH40:AI40"/>
    <mergeCell ref="AJ40:AL40"/>
    <mergeCell ref="B40:C40"/>
    <mergeCell ref="D40:F40"/>
    <mergeCell ref="G40:I40"/>
    <mergeCell ref="J40:L40"/>
    <mergeCell ref="M40:O40"/>
    <mergeCell ref="R40:S40"/>
    <mergeCell ref="CQ39:CR39"/>
    <mergeCell ref="CS39:CT39"/>
    <mergeCell ref="CU39:CV39"/>
    <mergeCell ref="CW39:CY39"/>
    <mergeCell ref="CZ39:DB39"/>
    <mergeCell ref="DC39:DE39"/>
    <mergeCell ref="CE39:CF39"/>
    <mergeCell ref="CG39:CH39"/>
    <mergeCell ref="CI39:CJ39"/>
    <mergeCell ref="CK39:CL39"/>
    <mergeCell ref="CM39:CN39"/>
    <mergeCell ref="CO39:CP39"/>
    <mergeCell ref="BO39:BP39"/>
    <mergeCell ref="BQ39:BR39"/>
    <mergeCell ref="BS39:BT39"/>
    <mergeCell ref="BU39:BW39"/>
    <mergeCell ref="BX39:BZ39"/>
    <mergeCell ref="CA39:CC39"/>
    <mergeCell ref="BC39:BD39"/>
    <mergeCell ref="BE39:BF39"/>
    <mergeCell ref="BG39:BH39"/>
    <mergeCell ref="BI39:BJ39"/>
    <mergeCell ref="BK39:BL39"/>
    <mergeCell ref="BM39:BN39"/>
    <mergeCell ref="CS35:CT35"/>
    <mergeCell ref="CU35:CV35"/>
    <mergeCell ref="CW35:CY35"/>
    <mergeCell ref="CZ35:DB35"/>
    <mergeCell ref="DC35:DE35"/>
    <mergeCell ref="BC38:CC38"/>
    <mergeCell ref="CE38:DE38"/>
    <mergeCell ref="CG35:CH35"/>
    <mergeCell ref="CI35:CJ35"/>
    <mergeCell ref="CK35:CL35"/>
    <mergeCell ref="CM35:CN35"/>
    <mergeCell ref="CO35:CP35"/>
    <mergeCell ref="CQ35:CR35"/>
    <mergeCell ref="BQ35:BR35"/>
    <mergeCell ref="BS35:BT35"/>
    <mergeCell ref="BU35:BW35"/>
    <mergeCell ref="BX35:BZ35"/>
    <mergeCell ref="CA35:CC35"/>
    <mergeCell ref="CE35:CF35"/>
    <mergeCell ref="EA32:EM32"/>
    <mergeCell ref="BC34:CC34"/>
    <mergeCell ref="CE34:DE34"/>
    <mergeCell ref="BC35:BD35"/>
    <mergeCell ref="BE35:BF35"/>
    <mergeCell ref="BG35:BH35"/>
    <mergeCell ref="BI35:BJ35"/>
    <mergeCell ref="BK35:BL35"/>
    <mergeCell ref="BM35:BN35"/>
    <mergeCell ref="BO35:BP35"/>
    <mergeCell ref="CS31:CT31"/>
    <mergeCell ref="CU31:CV31"/>
    <mergeCell ref="CW31:CY31"/>
    <mergeCell ref="CZ31:DB31"/>
    <mergeCell ref="DC31:DE31"/>
    <mergeCell ref="DL32:DX32"/>
    <mergeCell ref="CG31:CH31"/>
    <mergeCell ref="CI31:CJ31"/>
    <mergeCell ref="CK31:CL31"/>
    <mergeCell ref="CM31:CN31"/>
    <mergeCell ref="CO31:CP31"/>
    <mergeCell ref="CQ31:CR31"/>
    <mergeCell ref="BQ31:BR31"/>
    <mergeCell ref="BS31:BT31"/>
    <mergeCell ref="BU31:BW31"/>
    <mergeCell ref="BX31:BZ31"/>
    <mergeCell ref="CA31:CC31"/>
    <mergeCell ref="CE31:CF31"/>
    <mergeCell ref="DC27:DE27"/>
    <mergeCell ref="BC30:CC30"/>
    <mergeCell ref="CE30:DE30"/>
    <mergeCell ref="BC31:BD31"/>
    <mergeCell ref="BE31:BF31"/>
    <mergeCell ref="BG31:BH31"/>
    <mergeCell ref="BI31:BJ31"/>
    <mergeCell ref="BK31:BL31"/>
    <mergeCell ref="BM31:BN31"/>
    <mergeCell ref="BO31:BP31"/>
    <mergeCell ref="CO27:CP27"/>
    <mergeCell ref="CQ27:CR27"/>
    <mergeCell ref="CS27:CT27"/>
    <mergeCell ref="CU27:CV27"/>
    <mergeCell ref="CW27:CY27"/>
    <mergeCell ref="CZ27:DB27"/>
    <mergeCell ref="CA27:CC27"/>
    <mergeCell ref="CE27:CF27"/>
    <mergeCell ref="CG27:CH27"/>
    <mergeCell ref="CI27:CJ27"/>
    <mergeCell ref="CK27:CL27"/>
    <mergeCell ref="CM27:CN27"/>
    <mergeCell ref="BM27:BN27"/>
    <mergeCell ref="BO27:BP27"/>
    <mergeCell ref="BQ27:BR27"/>
    <mergeCell ref="BS27:BT27"/>
    <mergeCell ref="BU27:BW27"/>
    <mergeCell ref="BX27:BZ27"/>
    <mergeCell ref="AM25:AO25"/>
    <mergeCell ref="AP25:AR25"/>
    <mergeCell ref="AS25:AT25"/>
    <mergeCell ref="BC26:CC26"/>
    <mergeCell ref="CE26:DE26"/>
    <mergeCell ref="BC27:BD27"/>
    <mergeCell ref="BE27:BF27"/>
    <mergeCell ref="BG27:BH27"/>
    <mergeCell ref="BI27:BJ27"/>
    <mergeCell ref="BK27:BL27"/>
    <mergeCell ref="T25:V25"/>
    <mergeCell ref="W25:Y25"/>
    <mergeCell ref="Z25:AB25"/>
    <mergeCell ref="AC25:AD25"/>
    <mergeCell ref="AG25:AI25"/>
    <mergeCell ref="AJ25:AL25"/>
    <mergeCell ref="A25:C25"/>
    <mergeCell ref="D25:F25"/>
    <mergeCell ref="G25:I25"/>
    <mergeCell ref="J25:L25"/>
    <mergeCell ref="M25:O25"/>
    <mergeCell ref="Q25:S25"/>
    <mergeCell ref="CW23:CY23"/>
    <mergeCell ref="CZ23:DB23"/>
    <mergeCell ref="DC23:DE23"/>
    <mergeCell ref="A24:O24"/>
    <mergeCell ref="Q24:AE24"/>
    <mergeCell ref="AG24:AU24"/>
    <mergeCell ref="CK23:CL23"/>
    <mergeCell ref="CM23:CN23"/>
    <mergeCell ref="CO23:CP23"/>
    <mergeCell ref="CQ23:CR23"/>
    <mergeCell ref="CS23:CT23"/>
    <mergeCell ref="CU23:CV23"/>
    <mergeCell ref="BU23:BW23"/>
    <mergeCell ref="BX23:BZ23"/>
    <mergeCell ref="CA23:CC23"/>
    <mergeCell ref="CE23:CF23"/>
    <mergeCell ref="CG23:CH23"/>
    <mergeCell ref="CI23:CJ23"/>
    <mergeCell ref="EA22:EM22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AM22:AO22"/>
    <mergeCell ref="AP22:AR22"/>
    <mergeCell ref="AS22:AU22"/>
    <mergeCell ref="BC22:CC22"/>
    <mergeCell ref="CE22:DE22"/>
    <mergeCell ref="DL22:DX22"/>
    <mergeCell ref="T22:V22"/>
    <mergeCell ref="W22:Y22"/>
    <mergeCell ref="Z22:AB22"/>
    <mergeCell ref="AC22:AE22"/>
    <mergeCell ref="AH22:AI22"/>
    <mergeCell ref="AJ22:AL22"/>
    <mergeCell ref="AJ21:AL21"/>
    <mergeCell ref="AM21:AO21"/>
    <mergeCell ref="AP21:AR21"/>
    <mergeCell ref="AS21:AU21"/>
    <mergeCell ref="B22:C22"/>
    <mergeCell ref="D22:F22"/>
    <mergeCell ref="G22:I22"/>
    <mergeCell ref="J22:L22"/>
    <mergeCell ref="M22:O22"/>
    <mergeCell ref="R22:S22"/>
    <mergeCell ref="R21:S21"/>
    <mergeCell ref="T21:V21"/>
    <mergeCell ref="W21:Y21"/>
    <mergeCell ref="Z21:AB21"/>
    <mergeCell ref="AC21:AE21"/>
    <mergeCell ref="AH21:AI21"/>
    <mergeCell ref="CS18:CT18"/>
    <mergeCell ref="CU18:CV18"/>
    <mergeCell ref="CW18:CY18"/>
    <mergeCell ref="CZ18:DB18"/>
    <mergeCell ref="DC18:DE18"/>
    <mergeCell ref="B21:C21"/>
    <mergeCell ref="D21:F21"/>
    <mergeCell ref="G21:I21"/>
    <mergeCell ref="J21:L21"/>
    <mergeCell ref="M21:O21"/>
    <mergeCell ref="CG18:CH18"/>
    <mergeCell ref="CI18:CJ18"/>
    <mergeCell ref="CK18:CL18"/>
    <mergeCell ref="CM18:CN18"/>
    <mergeCell ref="CO18:CP18"/>
    <mergeCell ref="CQ18:CR18"/>
    <mergeCell ref="BQ18:BR18"/>
    <mergeCell ref="BS18:BT18"/>
    <mergeCell ref="BU18:BW18"/>
    <mergeCell ref="BX18:BZ18"/>
    <mergeCell ref="CA18:CC18"/>
    <mergeCell ref="CE18:CF18"/>
    <mergeCell ref="DC14:DE14"/>
    <mergeCell ref="BC17:CC17"/>
    <mergeCell ref="CE17:DE17"/>
    <mergeCell ref="BC18:BD18"/>
    <mergeCell ref="BE18:BF18"/>
    <mergeCell ref="BG18:BH18"/>
    <mergeCell ref="BI18:BJ18"/>
    <mergeCell ref="BK18:BL18"/>
    <mergeCell ref="BM18:BN18"/>
    <mergeCell ref="BO18:BP18"/>
    <mergeCell ref="CO14:CP14"/>
    <mergeCell ref="CQ14:CR14"/>
    <mergeCell ref="CS14:CT14"/>
    <mergeCell ref="CU14:CV14"/>
    <mergeCell ref="CW14:CY14"/>
    <mergeCell ref="CZ14:DB14"/>
    <mergeCell ref="CA14:CC14"/>
    <mergeCell ref="CE14:CF14"/>
    <mergeCell ref="CG14:CH14"/>
    <mergeCell ref="CI14:CJ14"/>
    <mergeCell ref="CK14:CL14"/>
    <mergeCell ref="CM14:CN14"/>
    <mergeCell ref="BM14:BN14"/>
    <mergeCell ref="BO14:BP14"/>
    <mergeCell ref="BQ14:BR14"/>
    <mergeCell ref="BS14:BT14"/>
    <mergeCell ref="BU14:BW14"/>
    <mergeCell ref="BX14:BZ14"/>
    <mergeCell ref="DC10:DE10"/>
    <mergeCell ref="DL12:DX12"/>
    <mergeCell ref="EA12:EM12"/>
    <mergeCell ref="BC13:CC13"/>
    <mergeCell ref="CE13:DE13"/>
    <mergeCell ref="BC14:BD14"/>
    <mergeCell ref="BE14:BF14"/>
    <mergeCell ref="BG14:BH14"/>
    <mergeCell ref="BI14:BJ14"/>
    <mergeCell ref="BK14:BL14"/>
    <mergeCell ref="CO10:CP10"/>
    <mergeCell ref="CQ10:CR10"/>
    <mergeCell ref="CS10:CT10"/>
    <mergeCell ref="CU10:CV10"/>
    <mergeCell ref="CW10:CY10"/>
    <mergeCell ref="CZ10:DB10"/>
    <mergeCell ref="CA10:CC10"/>
    <mergeCell ref="CE10:CF10"/>
    <mergeCell ref="CG10:CH10"/>
    <mergeCell ref="CI10:CJ10"/>
    <mergeCell ref="CK10:CL10"/>
    <mergeCell ref="CM10:CN10"/>
    <mergeCell ref="BM10:BN10"/>
    <mergeCell ref="BO10:BP10"/>
    <mergeCell ref="BQ10:BR10"/>
    <mergeCell ref="BS10:BT10"/>
    <mergeCell ref="BU10:BW10"/>
    <mergeCell ref="BX10:BZ10"/>
    <mergeCell ref="CW6:CY6"/>
    <mergeCell ref="CZ6:DB6"/>
    <mergeCell ref="DC6:DE6"/>
    <mergeCell ref="BC9:CC9"/>
    <mergeCell ref="CE9:DE9"/>
    <mergeCell ref="BC10:BD10"/>
    <mergeCell ref="BE10:BF10"/>
    <mergeCell ref="BG10:BH10"/>
    <mergeCell ref="BI10:BJ10"/>
    <mergeCell ref="BK10:BL10"/>
    <mergeCell ref="CK6:CL6"/>
    <mergeCell ref="CM6:CN6"/>
    <mergeCell ref="CO6:CP6"/>
    <mergeCell ref="CQ6:CR6"/>
    <mergeCell ref="CS6:CT6"/>
    <mergeCell ref="CU6:CV6"/>
    <mergeCell ref="BU6:BW6"/>
    <mergeCell ref="BX6:BZ6"/>
    <mergeCell ref="CA6:CC6"/>
    <mergeCell ref="CE6:CF6"/>
    <mergeCell ref="CG6:CH6"/>
    <mergeCell ref="CI6:CJ6"/>
    <mergeCell ref="BI6:BJ6"/>
    <mergeCell ref="BK6:BL6"/>
    <mergeCell ref="BM6:BN6"/>
    <mergeCell ref="BO6:BP6"/>
    <mergeCell ref="BQ6:BR6"/>
    <mergeCell ref="BS6:BT6"/>
    <mergeCell ref="AM6:AO6"/>
    <mergeCell ref="AP6:AR6"/>
    <mergeCell ref="AS6:AT6"/>
    <mergeCell ref="BC6:BD6"/>
    <mergeCell ref="BE6:BF6"/>
    <mergeCell ref="BG6:BH6"/>
    <mergeCell ref="T6:V6"/>
    <mergeCell ref="W6:Y6"/>
    <mergeCell ref="Z6:AB6"/>
    <mergeCell ref="AC6:AD6"/>
    <mergeCell ref="AG6:AI6"/>
    <mergeCell ref="AJ6:AL6"/>
    <mergeCell ref="A6:C6"/>
    <mergeCell ref="D6:F6"/>
    <mergeCell ref="G6:I6"/>
    <mergeCell ref="J6:L6"/>
    <mergeCell ref="M6:O6"/>
    <mergeCell ref="Q6:S6"/>
    <mergeCell ref="DL2:DX2"/>
    <mergeCell ref="EA2:EM2"/>
    <mergeCell ref="DH3:DI3"/>
    <mergeCell ref="A5:O5"/>
    <mergeCell ref="Q5:AE5"/>
    <mergeCell ref="AG5:AU5"/>
    <mergeCell ref="BC5:CC5"/>
    <mergeCell ref="CE5:DE5"/>
    <mergeCell ref="CQ2:CR2"/>
    <mergeCell ref="CS2:CT2"/>
    <mergeCell ref="CU2:CV2"/>
    <mergeCell ref="CW2:CY2"/>
    <mergeCell ref="CZ2:DB2"/>
    <mergeCell ref="DC2:DE2"/>
    <mergeCell ref="CE2:CF2"/>
    <mergeCell ref="CG2:CH2"/>
    <mergeCell ref="CI2:CJ2"/>
    <mergeCell ref="CK2:CL2"/>
    <mergeCell ref="CM2:CN2"/>
    <mergeCell ref="CO2:CP2"/>
    <mergeCell ref="BO2:BP2"/>
    <mergeCell ref="BQ2:BR2"/>
    <mergeCell ref="BS2:BT2"/>
    <mergeCell ref="BU2:BW2"/>
    <mergeCell ref="BX2:BZ2"/>
    <mergeCell ref="CA2:CC2"/>
    <mergeCell ref="O1:R1"/>
    <mergeCell ref="U1:AF1"/>
    <mergeCell ref="BC1:CC1"/>
    <mergeCell ref="CE1:DE1"/>
    <mergeCell ref="BC2:BD2"/>
    <mergeCell ref="BE2:BF2"/>
    <mergeCell ref="BG2:BH2"/>
    <mergeCell ref="BI2:BJ2"/>
    <mergeCell ref="BK2:BL2"/>
    <mergeCell ref="BM2:BN2"/>
  </mergeCells>
  <conditionalFormatting sqref="A190:CW192">
    <cfRule type="cellIs" dxfId="24" priority="79" stopIfTrue="1" operator="equal">
      <formula>"epic"</formula>
    </cfRule>
  </conditionalFormatting>
  <conditionalFormatting sqref="AS83 AY83 BB83">
    <cfRule type="cellIs" dxfId="23" priority="80" stopIfTrue="1" operator="equal">
      <formula>0</formula>
    </cfRule>
  </conditionalFormatting>
  <conditionalFormatting sqref="AV83">
    <cfRule type="cellIs" dxfId="22" priority="81" stopIfTrue="1" operator="between">
      <formula>0.1</formula>
      <formula>1000000</formula>
    </cfRule>
  </conditionalFormatting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D4C1-F431-4F5E-8DFB-C6AE25F0D3A5}">
  <dimension ref="A1:BK1000"/>
  <sheetViews>
    <sheetView workbookViewId="0">
      <selection activeCell="S43" sqref="S43"/>
    </sheetView>
  </sheetViews>
  <sheetFormatPr defaultRowHeight="15" customHeight="1"/>
  <cols>
    <col min="1" max="1" width="12.140625" customWidth="1"/>
    <col min="2" max="2" width="10.7109375" customWidth="1"/>
    <col min="3" max="3" width="11.5703125" customWidth="1"/>
    <col min="4" max="4" width="7.5703125" customWidth="1"/>
    <col min="5" max="5" width="13" customWidth="1"/>
    <col min="6" max="6" width="14.140625" customWidth="1"/>
    <col min="7" max="7" width="6.42578125" customWidth="1"/>
    <col min="8" max="8" width="10.85546875" customWidth="1"/>
    <col min="9" max="9" width="11.5703125" customWidth="1"/>
    <col min="10" max="10" width="10.7109375" customWidth="1"/>
    <col min="11" max="11" width="10.28515625" customWidth="1"/>
    <col min="12" max="12" width="12.28515625" customWidth="1"/>
    <col min="13" max="13" width="10.28515625" customWidth="1"/>
    <col min="14" max="14" width="9.7109375" customWidth="1"/>
    <col min="15" max="15" width="13.140625" customWidth="1"/>
    <col min="16" max="16" width="9.140625" customWidth="1"/>
    <col min="17" max="17" width="16.140625" customWidth="1"/>
    <col min="18" max="18" width="9.140625" customWidth="1"/>
    <col min="19" max="19" width="11.5703125" customWidth="1"/>
    <col min="20" max="20" width="18.28515625" customWidth="1"/>
    <col min="21" max="21" width="9.140625" customWidth="1"/>
    <col min="22" max="22" width="11.5703125" customWidth="1"/>
    <col min="23" max="23" width="15" customWidth="1"/>
    <col min="24" max="24" width="9.140625" customWidth="1"/>
    <col min="25" max="25" width="11.5703125" customWidth="1"/>
    <col min="26" max="26" width="15.28515625" customWidth="1"/>
    <col min="27" max="27" width="9.140625" customWidth="1"/>
    <col min="28" max="28" width="11.5703125" customWidth="1"/>
    <col min="29" max="30" width="9.140625" customWidth="1"/>
    <col min="31" max="31" width="11.5703125" customWidth="1"/>
    <col min="32" max="33" width="9.140625" customWidth="1"/>
    <col min="34" max="34" width="10.7109375" customWidth="1"/>
    <col min="35" max="35" width="9.140625" customWidth="1"/>
    <col min="36" max="36" width="18.28515625" customWidth="1"/>
    <col min="37" max="39" width="9.140625" customWidth="1"/>
    <col min="40" max="40" width="10.85546875" customWidth="1"/>
    <col min="41" max="44" width="9.140625" customWidth="1"/>
    <col min="45" max="47" width="17.42578125" customWidth="1"/>
    <col min="48" max="62" width="9.140625" customWidth="1"/>
    <col min="63" max="63" width="13.7109375" customWidth="1"/>
    <col min="64" max="1024" width="15.28515625" customWidth="1"/>
  </cols>
  <sheetData>
    <row r="1" spans="1:63">
      <c r="A1" s="134" t="s">
        <v>406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Q1" s="134" t="s">
        <v>61</v>
      </c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W1" s="134" t="s">
        <v>62</v>
      </c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</row>
    <row r="2" spans="1:63">
      <c r="A2" s="131" t="s">
        <v>48</v>
      </c>
      <c r="B2" s="131"/>
      <c r="C2" s="131"/>
      <c r="D2" s="131" t="s">
        <v>1</v>
      </c>
      <c r="E2" s="131"/>
      <c r="F2" s="131"/>
      <c r="G2" s="131" t="s">
        <v>2</v>
      </c>
      <c r="H2" s="131"/>
      <c r="I2" s="131"/>
      <c r="J2" s="131" t="s">
        <v>3</v>
      </c>
      <c r="K2" s="131"/>
      <c r="L2" s="131"/>
      <c r="M2" s="134" t="s">
        <v>65</v>
      </c>
      <c r="N2" s="134"/>
      <c r="O2" s="134"/>
      <c r="Q2" s="131" t="s">
        <v>48</v>
      </c>
      <c r="R2" s="131"/>
      <c r="S2" s="131"/>
      <c r="T2" s="131" t="s">
        <v>1</v>
      </c>
      <c r="U2" s="131"/>
      <c r="V2" s="131"/>
      <c r="W2" s="131" t="s">
        <v>2</v>
      </c>
      <c r="X2" s="131"/>
      <c r="Y2" s="131"/>
      <c r="Z2" s="131" t="s">
        <v>3</v>
      </c>
      <c r="AA2" s="131"/>
      <c r="AB2" s="131"/>
      <c r="AC2" s="131" t="s">
        <v>65</v>
      </c>
      <c r="AD2" s="131"/>
      <c r="AE2" s="7"/>
      <c r="AW2" s="131" t="s">
        <v>48</v>
      </c>
      <c r="AX2" s="131"/>
      <c r="AY2" s="131"/>
      <c r="AZ2" s="131" t="s">
        <v>1</v>
      </c>
      <c r="BA2" s="131"/>
      <c r="BB2" s="131"/>
      <c r="BC2" s="131" t="s">
        <v>2</v>
      </c>
      <c r="BD2" s="131"/>
      <c r="BE2" s="131"/>
      <c r="BF2" s="131" t="s">
        <v>3</v>
      </c>
      <c r="BG2" s="131"/>
      <c r="BH2" s="131"/>
      <c r="BI2" s="10" t="s">
        <v>65</v>
      </c>
      <c r="BJ2" s="20"/>
      <c r="BK2" s="7"/>
    </row>
    <row r="3" spans="1:63">
      <c r="A3" s="27" t="s">
        <v>67</v>
      </c>
      <c r="B3" s="27" t="s">
        <v>68</v>
      </c>
      <c r="C3" s="27" t="s">
        <v>69</v>
      </c>
      <c r="D3" s="27" t="s">
        <v>67</v>
      </c>
      <c r="E3" s="27" t="s">
        <v>68</v>
      </c>
      <c r="F3" s="27" t="s">
        <v>69</v>
      </c>
      <c r="G3" s="27" t="s">
        <v>67</v>
      </c>
      <c r="H3" s="27" t="s">
        <v>68</v>
      </c>
      <c r="I3" s="27" t="s">
        <v>69</v>
      </c>
      <c r="J3" s="27" t="s">
        <v>67</v>
      </c>
      <c r="K3" s="27" t="s">
        <v>68</v>
      </c>
      <c r="L3" s="27" t="s">
        <v>69</v>
      </c>
      <c r="M3" s="27" t="s">
        <v>67</v>
      </c>
      <c r="N3" s="27" t="s">
        <v>68</v>
      </c>
      <c r="O3" s="27" t="s">
        <v>69</v>
      </c>
      <c r="Q3" s="27" t="s">
        <v>67</v>
      </c>
      <c r="R3" s="27" t="s">
        <v>68</v>
      </c>
      <c r="S3" s="27" t="s">
        <v>69</v>
      </c>
      <c r="T3" s="27" t="s">
        <v>67</v>
      </c>
      <c r="U3" s="27" t="s">
        <v>68</v>
      </c>
      <c r="V3" s="27" t="s">
        <v>69</v>
      </c>
      <c r="W3" s="27" t="s">
        <v>67</v>
      </c>
      <c r="X3" s="27" t="s">
        <v>68</v>
      </c>
      <c r="Y3" s="27" t="s">
        <v>69</v>
      </c>
      <c r="Z3" s="27">
        <v>-1</v>
      </c>
      <c r="AA3" s="27">
        <v>0</v>
      </c>
      <c r="AB3" s="27">
        <v>0</v>
      </c>
      <c r="AC3" s="27" t="s">
        <v>67</v>
      </c>
      <c r="AD3" s="7" t="s">
        <v>68</v>
      </c>
      <c r="AE3" s="7" t="s">
        <v>69</v>
      </c>
      <c r="AW3" s="27" t="s">
        <v>67</v>
      </c>
      <c r="AX3" s="27" t="s">
        <v>68</v>
      </c>
      <c r="AY3" s="27" t="s">
        <v>69</v>
      </c>
      <c r="AZ3" s="27" t="s">
        <v>67</v>
      </c>
      <c r="BA3" s="27" t="s">
        <v>68</v>
      </c>
      <c r="BB3" s="27" t="s">
        <v>69</v>
      </c>
      <c r="BC3" s="27" t="s">
        <v>67</v>
      </c>
      <c r="BD3" s="27" t="s">
        <v>68</v>
      </c>
      <c r="BE3" s="27" t="s">
        <v>69</v>
      </c>
      <c r="BF3" s="27" t="s">
        <v>67</v>
      </c>
      <c r="BG3" s="27" t="s">
        <v>68</v>
      </c>
      <c r="BH3" s="27" t="s">
        <v>69</v>
      </c>
      <c r="BI3" s="27" t="s">
        <v>67</v>
      </c>
      <c r="BJ3" s="27" t="s">
        <v>68</v>
      </c>
      <c r="BK3" s="27" t="s">
        <v>69</v>
      </c>
    </row>
    <row r="4" spans="1:63">
      <c r="A4" s="8">
        <v>0</v>
      </c>
      <c r="B4" s="33">
        <v>0</v>
      </c>
      <c r="C4" s="34">
        <f t="shared" ref="C4:C17" si="0">B4/$B$18</f>
        <v>0</v>
      </c>
      <c r="D4" s="8">
        <v>0</v>
      </c>
      <c r="E4" s="33">
        <v>0</v>
      </c>
      <c r="F4" s="100">
        <f>E4/D18</f>
        <v>0</v>
      </c>
      <c r="G4" s="33">
        <v>0</v>
      </c>
      <c r="H4" s="33">
        <v>0</v>
      </c>
      <c r="I4" s="33"/>
      <c r="J4" s="33">
        <v>0</v>
      </c>
      <c r="K4" s="33">
        <v>0</v>
      </c>
      <c r="L4" s="33"/>
      <c r="M4" s="33">
        <v>0</v>
      </c>
      <c r="N4" s="45">
        <f t="shared" ref="N4:N17" si="1">B4+E4+H4+K4</f>
        <v>0</v>
      </c>
      <c r="O4" s="35">
        <f>N4/M17</f>
        <v>0</v>
      </c>
      <c r="Q4" s="9">
        <v>0</v>
      </c>
      <c r="R4" s="27">
        <v>0</v>
      </c>
      <c r="S4" s="28">
        <v>0</v>
      </c>
      <c r="T4" s="9">
        <v>0</v>
      </c>
      <c r="U4" s="27">
        <v>0</v>
      </c>
      <c r="V4" s="28">
        <v>0</v>
      </c>
      <c r="W4" s="27">
        <v>0</v>
      </c>
      <c r="X4" s="27">
        <v>0</v>
      </c>
      <c r="Y4" s="28">
        <v>0</v>
      </c>
      <c r="Z4" s="27">
        <v>0</v>
      </c>
      <c r="AA4" s="27">
        <v>0</v>
      </c>
      <c r="AB4" s="34">
        <f>AA4/Z18</f>
        <v>0</v>
      </c>
      <c r="AC4" s="27"/>
      <c r="AD4" s="45">
        <f t="shared" ref="AD4:AD9" si="2">R4+U4+X4+AA4</f>
        <v>0</v>
      </c>
      <c r="AE4" s="34">
        <f>AD4/AC18</f>
        <v>0</v>
      </c>
      <c r="AG4">
        <v>0</v>
      </c>
      <c r="AH4">
        <v>0</v>
      </c>
      <c r="AW4" s="38">
        <v>0</v>
      </c>
      <c r="AX4" s="43">
        <f>'Generic Info'!AH$8</f>
        <v>0</v>
      </c>
      <c r="AY4" s="28">
        <f>AX4/AX17</f>
        <v>0</v>
      </c>
      <c r="AZ4" s="38">
        <v>0</v>
      </c>
      <c r="BA4" s="43">
        <f>'Generic Info'!$AK$8</f>
        <v>0</v>
      </c>
      <c r="BB4" s="28"/>
      <c r="BC4" s="43">
        <v>0</v>
      </c>
      <c r="BD4" s="43">
        <f>'Generic Info'!$AN$8</f>
        <v>0</v>
      </c>
      <c r="BE4" s="28"/>
      <c r="BF4" s="43">
        <v>0</v>
      </c>
      <c r="BG4" s="43">
        <f>'Generic Info'!$AQ$8</f>
        <v>0</v>
      </c>
      <c r="BH4" s="28"/>
      <c r="BI4" s="43">
        <v>0</v>
      </c>
      <c r="BJ4" s="43">
        <f t="shared" ref="BJ4:BJ9" si="3">AX4+BA4+BD4+BG4</f>
        <v>0</v>
      </c>
      <c r="BK4" s="28">
        <f>BJ4/BI17</f>
        <v>0</v>
      </c>
    </row>
    <row r="5" spans="1:63">
      <c r="A5" s="48">
        <v>1</v>
      </c>
      <c r="B5" s="47">
        <v>5</v>
      </c>
      <c r="C5" s="34">
        <f t="shared" si="0"/>
        <v>2.6936026936026937E-5</v>
      </c>
      <c r="D5" s="85">
        <v>1</v>
      </c>
      <c r="E5" s="45">
        <v>50</v>
      </c>
      <c r="F5" s="100">
        <f>E5/D18</f>
        <v>2.6939655172413793E-4</v>
      </c>
      <c r="G5" s="47">
        <v>1</v>
      </c>
      <c r="H5" s="45">
        <v>400</v>
      </c>
      <c r="I5" s="100">
        <f>H5/G18</f>
        <v>2.1691973969631237E-3</v>
      </c>
      <c r="J5" s="50">
        <v>1</v>
      </c>
      <c r="K5" s="45">
        <v>5000</v>
      </c>
      <c r="L5" s="100">
        <f>K5/J18</f>
        <v>2.8571428571428571E-2</v>
      </c>
      <c r="M5" s="45">
        <v>1</v>
      </c>
      <c r="N5" s="45">
        <f t="shared" si="1"/>
        <v>5455</v>
      </c>
      <c r="O5" s="35">
        <f>N5/M18</f>
        <v>7.4662104362703168E-3</v>
      </c>
      <c r="Q5" s="52">
        <v>1</v>
      </c>
      <c r="R5" s="50">
        <f>$B5</f>
        <v>5</v>
      </c>
      <c r="S5" s="34">
        <f>R5/R18</f>
        <v>2.6936026936026937E-5</v>
      </c>
      <c r="T5" s="49">
        <v>1</v>
      </c>
      <c r="U5" s="45">
        <f>E5</f>
        <v>50</v>
      </c>
      <c r="V5" s="34">
        <f>U5/T18</f>
        <v>2.6939655172413793E-4</v>
      </c>
      <c r="W5" s="51">
        <v>1</v>
      </c>
      <c r="X5" s="45">
        <f>H5</f>
        <v>400</v>
      </c>
      <c r="Y5" s="34">
        <f>X5/W18</f>
        <v>2.1691973969631237E-3</v>
      </c>
      <c r="Z5" s="45">
        <v>1</v>
      </c>
      <c r="AA5" s="45">
        <f>K5</f>
        <v>5000</v>
      </c>
      <c r="AB5" s="34">
        <f>AA5/Z18</f>
        <v>2.8571428571428571E-2</v>
      </c>
      <c r="AC5" s="45">
        <v>1</v>
      </c>
      <c r="AD5" s="45">
        <f t="shared" si="2"/>
        <v>5455</v>
      </c>
      <c r="AE5" s="34">
        <f>AD5/AC18</f>
        <v>7.4662104362703168E-3</v>
      </c>
      <c r="AG5">
        <v>1</v>
      </c>
      <c r="AH5" s="47">
        <f>$K$31</f>
        <v>40000</v>
      </c>
      <c r="AW5" s="48">
        <v>1</v>
      </c>
      <c r="AX5" s="45">
        <f>'Generic Info'!AH$8</f>
        <v>0</v>
      </c>
      <c r="AY5" s="34">
        <f>AX5/AX18</f>
        <v>0</v>
      </c>
      <c r="AZ5" s="48">
        <v>1</v>
      </c>
      <c r="BA5" s="45">
        <f>'Generic Info'!$AK$8</f>
        <v>0</v>
      </c>
      <c r="BB5" s="34">
        <f>BA5/AZ18</f>
        <v>0</v>
      </c>
      <c r="BC5" s="47">
        <v>1</v>
      </c>
      <c r="BD5" s="45">
        <f>'Generic Info'!$AN$8</f>
        <v>0</v>
      </c>
      <c r="BE5" s="100">
        <f>BD5/BC18</f>
        <v>0</v>
      </c>
      <c r="BF5" s="50">
        <v>1</v>
      </c>
      <c r="BG5" s="45">
        <f>'Generic Info'!$AQ$8</f>
        <v>0</v>
      </c>
      <c r="BH5" s="100">
        <f>BG5/BF18</f>
        <v>0</v>
      </c>
      <c r="BI5" s="45">
        <v>1</v>
      </c>
      <c r="BJ5" s="45">
        <f t="shared" si="3"/>
        <v>0</v>
      </c>
      <c r="BK5" s="34">
        <f>BJ5/BI18</f>
        <v>0</v>
      </c>
    </row>
    <row r="6" spans="1:63">
      <c r="A6" s="48">
        <v>2</v>
      </c>
      <c r="B6" s="47">
        <v>20</v>
      </c>
      <c r="C6" s="34">
        <f t="shared" si="0"/>
        <v>1.0774410774410775E-4</v>
      </c>
      <c r="D6" s="85">
        <v>2</v>
      </c>
      <c r="E6" s="45">
        <v>150</v>
      </c>
      <c r="F6" s="100">
        <f>E6/D18</f>
        <v>8.0818965517241378E-4</v>
      </c>
      <c r="G6" s="47">
        <v>2</v>
      </c>
      <c r="H6" s="45">
        <v>2000</v>
      </c>
      <c r="I6" s="100">
        <f>H6/G18</f>
        <v>1.0845986984815618E-2</v>
      </c>
      <c r="J6" s="50">
        <v>2</v>
      </c>
      <c r="K6" s="45">
        <v>20000</v>
      </c>
      <c r="L6" s="100">
        <f>K6/J18</f>
        <v>0.11428571428571428</v>
      </c>
      <c r="M6" s="45">
        <v>2</v>
      </c>
      <c r="N6" s="45">
        <f t="shared" si="1"/>
        <v>22170</v>
      </c>
      <c r="O6" s="35">
        <f>N6/M18</f>
        <v>3.0343883661248929E-2</v>
      </c>
      <c r="Q6" s="52">
        <v>2</v>
      </c>
      <c r="R6" s="50">
        <f>SUM(B5:B6)</f>
        <v>25</v>
      </c>
      <c r="S6" s="34">
        <f>R6/R18</f>
        <v>1.3468013468013467E-4</v>
      </c>
      <c r="T6" s="49">
        <v>2</v>
      </c>
      <c r="U6" s="45">
        <f>SUM(E5:E6)</f>
        <v>200</v>
      </c>
      <c r="V6" s="34">
        <f>U6/T18</f>
        <v>1.0775862068965517E-3</v>
      </c>
      <c r="W6" s="51">
        <v>2</v>
      </c>
      <c r="X6" s="45">
        <f>SUM(H5:H6)</f>
        <v>2400</v>
      </c>
      <c r="Y6" s="34">
        <f>X6/W18</f>
        <v>1.3015184381778741E-2</v>
      </c>
      <c r="Z6" s="45">
        <v>2</v>
      </c>
      <c r="AA6" s="45">
        <f>SUM(K5:K6)</f>
        <v>25000</v>
      </c>
      <c r="AB6" s="34">
        <f>AA6/Z18</f>
        <v>0.14285714285714285</v>
      </c>
      <c r="AC6" s="45">
        <v>2</v>
      </c>
      <c r="AD6" s="45">
        <f t="shared" si="2"/>
        <v>27625</v>
      </c>
      <c r="AE6" s="34">
        <f>AD6/AC18</f>
        <v>3.7810094097519245E-2</v>
      </c>
      <c r="AG6">
        <v>2</v>
      </c>
      <c r="AH6" s="47">
        <f>AH5+$K$32</f>
        <v>120000</v>
      </c>
      <c r="AW6" s="48">
        <v>2</v>
      </c>
      <c r="AX6" s="45">
        <f>'Generic Info'!$AH$9</f>
        <v>4</v>
      </c>
      <c r="AY6" s="34">
        <f>AX6/AX18</f>
        <v>1.0526315789473684E-3</v>
      </c>
      <c r="AZ6" s="48">
        <v>2</v>
      </c>
      <c r="BA6" s="45">
        <f>'Generic Info'!$AK$9</f>
        <v>6</v>
      </c>
      <c r="BB6" s="34">
        <f>BA6/AZ18</f>
        <v>1.5826958586125032E-3</v>
      </c>
      <c r="BC6" s="47">
        <v>2</v>
      </c>
      <c r="BD6" s="45">
        <f>'Generic Info'!$AN$9</f>
        <v>25</v>
      </c>
      <c r="BE6" s="100">
        <f>BD6/BC18</f>
        <v>6.7114093959731542E-3</v>
      </c>
      <c r="BF6" s="50">
        <v>2</v>
      </c>
      <c r="BG6" s="45">
        <f>'Generic Info'!$AQ$9</f>
        <v>250</v>
      </c>
      <c r="BH6" s="100">
        <f>BG6/BF18</f>
        <v>7.6923076923076927E-2</v>
      </c>
      <c r="BI6" s="45">
        <v>2</v>
      </c>
      <c r="BJ6" s="45">
        <f t="shared" si="3"/>
        <v>285</v>
      </c>
      <c r="BK6" s="34">
        <f>BJ6/BI18</f>
        <v>1.956611286557737E-2</v>
      </c>
    </row>
    <row r="7" spans="1:63">
      <c r="A7" s="48">
        <v>3</v>
      </c>
      <c r="B7" s="47">
        <v>50</v>
      </c>
      <c r="C7" s="34">
        <f t="shared" si="0"/>
        <v>2.6936026936026934E-4</v>
      </c>
      <c r="D7" s="85">
        <v>3</v>
      </c>
      <c r="E7" s="45">
        <v>400</v>
      </c>
      <c r="F7" s="100">
        <f>E7/D18</f>
        <v>2.1551724137931034E-3</v>
      </c>
      <c r="G7" s="47">
        <v>3</v>
      </c>
      <c r="H7" s="45">
        <v>4000</v>
      </c>
      <c r="I7" s="100">
        <f>H7/G18</f>
        <v>2.1691973969631236E-2</v>
      </c>
      <c r="J7" s="50">
        <v>3</v>
      </c>
      <c r="K7" s="45">
        <v>50000</v>
      </c>
      <c r="L7" s="100">
        <f>K7/J18</f>
        <v>0.2857142857142857</v>
      </c>
      <c r="M7" s="45">
        <v>3</v>
      </c>
      <c r="N7" s="45">
        <f t="shared" si="1"/>
        <v>54450</v>
      </c>
      <c r="O7" s="35">
        <f>N7/M18</f>
        <v>7.4525235243798116E-2</v>
      </c>
      <c r="Q7" s="52">
        <v>3</v>
      </c>
      <c r="R7" s="50">
        <f>SUM(B5:B7)</f>
        <v>75</v>
      </c>
      <c r="S7" s="34">
        <f>R7/R18</f>
        <v>4.0404040404040404E-4</v>
      </c>
      <c r="T7" s="49">
        <v>3</v>
      </c>
      <c r="U7" s="45">
        <f>SUM(E5:E7)</f>
        <v>600</v>
      </c>
      <c r="V7" s="34">
        <f>U7/T18</f>
        <v>3.2327586206896551E-3</v>
      </c>
      <c r="W7" s="51">
        <v>3</v>
      </c>
      <c r="X7" s="45">
        <f>SUM(H5:H7)</f>
        <v>6400</v>
      </c>
      <c r="Y7" s="34">
        <f>X7/W18</f>
        <v>3.4707158351409979E-2</v>
      </c>
      <c r="Z7" s="45">
        <v>3</v>
      </c>
      <c r="AA7" s="45">
        <f>SUM(K5:K7)</f>
        <v>75000</v>
      </c>
      <c r="AB7" s="34">
        <f>AA7/Z18</f>
        <v>0.42857142857142855</v>
      </c>
      <c r="AC7" s="45">
        <v>3</v>
      </c>
      <c r="AD7" s="45">
        <f t="shared" si="2"/>
        <v>82075</v>
      </c>
      <c r="AE7" s="34">
        <f>AD7/AC18</f>
        <v>0.11233532934131736</v>
      </c>
      <c r="AG7">
        <v>3</v>
      </c>
      <c r="AH7" s="47">
        <f>$K$33+AH6</f>
        <v>240000</v>
      </c>
      <c r="AW7" s="48">
        <v>3</v>
      </c>
      <c r="AX7" s="45">
        <f>'Generic Info'!$AH$10</f>
        <v>5</v>
      </c>
      <c r="AY7" s="34">
        <f>AX7/AX18</f>
        <v>1.3157894736842105E-3</v>
      </c>
      <c r="AZ7" s="48">
        <v>3</v>
      </c>
      <c r="BA7" s="45">
        <f>'Generic Info'!$AK$10</f>
        <v>10</v>
      </c>
      <c r="BB7" s="34">
        <f>BA7/AZ18</f>
        <v>2.637826431020839E-3</v>
      </c>
      <c r="BC7" s="47">
        <v>3</v>
      </c>
      <c r="BD7" s="45">
        <f>'Generic Info'!$AN$10</f>
        <v>100</v>
      </c>
      <c r="BE7" s="100">
        <f>BD7/BC18</f>
        <v>2.6845637583892617E-2</v>
      </c>
      <c r="BF7" s="50">
        <v>3</v>
      </c>
      <c r="BG7" s="45">
        <f>'Generic Info'!$AQ$10</f>
        <v>600</v>
      </c>
      <c r="BH7" s="100">
        <f>BG7/BF18</f>
        <v>0.18461538461538463</v>
      </c>
      <c r="BI7" s="45">
        <v>3</v>
      </c>
      <c r="BJ7" s="45">
        <f t="shared" si="3"/>
        <v>715</v>
      </c>
      <c r="BK7" s="34">
        <f>BJ7/BI18</f>
        <v>4.9086914732939725E-2</v>
      </c>
    </row>
    <row r="8" spans="1:63">
      <c r="A8" s="48">
        <v>4</v>
      </c>
      <c r="B8" s="47">
        <v>150</v>
      </c>
      <c r="C8" s="34">
        <f t="shared" si="0"/>
        <v>8.0808080808080808E-4</v>
      </c>
      <c r="D8" s="85">
        <v>4</v>
      </c>
      <c r="E8" s="45">
        <v>1000</v>
      </c>
      <c r="F8" s="100">
        <f>E8/D18</f>
        <v>5.387931034482759E-3</v>
      </c>
      <c r="G8" s="47">
        <v>4</v>
      </c>
      <c r="H8" s="45">
        <v>8000</v>
      </c>
      <c r="I8" s="100">
        <f>H8/G18</f>
        <v>4.3383947939262472E-2</v>
      </c>
      <c r="J8" s="50">
        <v>4</v>
      </c>
      <c r="K8" s="45">
        <v>100000</v>
      </c>
      <c r="L8" s="100">
        <f>K8/J18</f>
        <v>0.5714285714285714</v>
      </c>
      <c r="M8" s="45">
        <v>4</v>
      </c>
      <c r="N8" s="45">
        <f t="shared" si="1"/>
        <v>109150</v>
      </c>
      <c r="O8" s="35">
        <f>N8/M18</f>
        <v>0.14939264328485885</v>
      </c>
      <c r="Q8" s="52">
        <v>4</v>
      </c>
      <c r="R8" s="50">
        <f>SUM(B5:B8)</f>
        <v>225</v>
      </c>
      <c r="S8" s="34">
        <f>R8/R18</f>
        <v>1.2121212121212121E-3</v>
      </c>
      <c r="T8" s="49">
        <v>4</v>
      </c>
      <c r="U8" s="45">
        <f>SUM(E5:E8)</f>
        <v>1600</v>
      </c>
      <c r="V8" s="34">
        <f>U8/T18</f>
        <v>8.6206896551724137E-3</v>
      </c>
      <c r="W8" s="51">
        <v>4</v>
      </c>
      <c r="X8" s="45">
        <f>SUM(H5:H8)</f>
        <v>14400</v>
      </c>
      <c r="Y8" s="34">
        <f>X8/W18</f>
        <v>7.8091106290672452E-2</v>
      </c>
      <c r="Z8" s="45">
        <v>4</v>
      </c>
      <c r="AA8" s="45">
        <f>SUM(K5:K8)</f>
        <v>175000</v>
      </c>
      <c r="AB8" s="34">
        <f>AA8/Z18</f>
        <v>1</v>
      </c>
      <c r="AC8" s="45">
        <v>4</v>
      </c>
      <c r="AD8" s="45">
        <f t="shared" si="2"/>
        <v>191225</v>
      </c>
      <c r="AE8" s="34">
        <f>AD8/AC18</f>
        <v>0.2617279726261762</v>
      </c>
      <c r="AG8">
        <v>4</v>
      </c>
      <c r="AH8" s="47">
        <f>AH7+$K$31</f>
        <v>280000</v>
      </c>
      <c r="AK8">
        <f>AL8*(AL8+1)</f>
        <v>10100</v>
      </c>
      <c r="AL8">
        <v>100</v>
      </c>
      <c r="AW8" s="48">
        <v>4</v>
      </c>
      <c r="AX8" s="45">
        <f>'Generic Info'!$AH$11</f>
        <v>6</v>
      </c>
      <c r="AY8" s="34">
        <f>AX8/AX18</f>
        <v>1.5789473684210526E-3</v>
      </c>
      <c r="AZ8" s="48">
        <v>4</v>
      </c>
      <c r="BA8" s="45">
        <f>'Generic Info'!$AK$11</f>
        <v>25</v>
      </c>
      <c r="BB8" s="34">
        <f>BA8/AZ18</f>
        <v>6.5945660775520972E-3</v>
      </c>
      <c r="BC8" s="47">
        <v>4</v>
      </c>
      <c r="BD8" s="45">
        <f>'Generic Info'!$AN$11</f>
        <v>200</v>
      </c>
      <c r="BE8" s="100">
        <f>BD8/BC18</f>
        <v>5.3691275167785234E-2</v>
      </c>
      <c r="BF8" s="50">
        <v>4</v>
      </c>
      <c r="BG8" s="45">
        <f>'Generic Info'!$AQ$11</f>
        <v>800</v>
      </c>
      <c r="BH8" s="100">
        <f>BG8/BF18</f>
        <v>0.24615384615384617</v>
      </c>
      <c r="BI8" s="45">
        <v>4</v>
      </c>
      <c r="BJ8" s="45">
        <f t="shared" si="3"/>
        <v>1031</v>
      </c>
      <c r="BK8" s="34">
        <f>BJ8/BI18</f>
        <v>7.0781271454071121E-2</v>
      </c>
    </row>
    <row r="9" spans="1:63">
      <c r="A9" s="48">
        <v>5</v>
      </c>
      <c r="B9" s="47">
        <v>400</v>
      </c>
      <c r="C9" s="34">
        <f t="shared" si="0"/>
        <v>2.1548821548821547E-3</v>
      </c>
      <c r="D9" s="85">
        <v>5</v>
      </c>
      <c r="E9" s="45">
        <v>2000</v>
      </c>
      <c r="F9" s="100">
        <f>E9/D18</f>
        <v>1.0775862068965518E-2</v>
      </c>
      <c r="G9" s="47">
        <v>5</v>
      </c>
      <c r="H9" s="45">
        <v>20000</v>
      </c>
      <c r="I9" s="100">
        <f>H9/G18</f>
        <v>0.10845986984815618</v>
      </c>
      <c r="J9" s="257">
        <v>5</v>
      </c>
      <c r="K9" s="59">
        <v>0</v>
      </c>
      <c r="L9" s="105">
        <f>K9/J18</f>
        <v>0</v>
      </c>
      <c r="M9" s="45">
        <v>5</v>
      </c>
      <c r="N9" s="45">
        <f t="shared" si="1"/>
        <v>22400</v>
      </c>
      <c r="O9" s="35">
        <f>N9/M18</f>
        <v>3.0658682634730539E-2</v>
      </c>
      <c r="Q9" s="52">
        <v>5</v>
      </c>
      <c r="R9" s="50">
        <f>SUM(B5:B9)</f>
        <v>625</v>
      </c>
      <c r="S9" s="34">
        <f>R9/R18</f>
        <v>3.3670033670033669E-3</v>
      </c>
      <c r="T9" s="49">
        <v>5</v>
      </c>
      <c r="U9" s="45">
        <f>SUM(E5:E9)</f>
        <v>3600</v>
      </c>
      <c r="V9" s="34">
        <f>U9/T18</f>
        <v>1.9396551724137932E-2</v>
      </c>
      <c r="W9" s="51">
        <v>5</v>
      </c>
      <c r="X9" s="45">
        <f>SUM(H5:H9)</f>
        <v>34400</v>
      </c>
      <c r="Y9" s="34">
        <f>X9/W18</f>
        <v>0.18655097613882862</v>
      </c>
      <c r="Z9" s="59">
        <v>5</v>
      </c>
      <c r="AA9" s="59">
        <f>SUM(K5:K9)</f>
        <v>175000</v>
      </c>
      <c r="AB9" s="56">
        <f>AA9/Z18</f>
        <v>1</v>
      </c>
      <c r="AC9" s="45">
        <v>5</v>
      </c>
      <c r="AD9" s="45">
        <f t="shared" si="2"/>
        <v>213625</v>
      </c>
      <c r="AE9" s="34">
        <f>AD9/AC18</f>
        <v>0.29238665526090674</v>
      </c>
      <c r="AG9">
        <v>5</v>
      </c>
      <c r="AH9" s="47">
        <f>AH8+$K$32</f>
        <v>360000</v>
      </c>
      <c r="AK9">
        <f>AL9*(AL9+1)</f>
        <v>9900</v>
      </c>
      <c r="AL9">
        <v>99</v>
      </c>
      <c r="AW9" s="48">
        <v>5</v>
      </c>
      <c r="AX9" s="45">
        <f>'Generic Info'!$AH$12</f>
        <v>10</v>
      </c>
      <c r="AY9" s="34">
        <f>AX9/AX18</f>
        <v>2.631578947368421E-3</v>
      </c>
      <c r="AZ9" s="48">
        <v>5</v>
      </c>
      <c r="BA9" s="45">
        <f>'Generic Info'!$AK$12</f>
        <v>50</v>
      </c>
      <c r="BB9" s="34">
        <f>BA9/AZ18</f>
        <v>1.3189132155104194E-2</v>
      </c>
      <c r="BC9" s="47">
        <v>5</v>
      </c>
      <c r="BD9" s="45">
        <f>'Generic Info'!$AN$12</f>
        <v>400</v>
      </c>
      <c r="BE9" s="100">
        <f>BD9/BC18</f>
        <v>0.10738255033557047</v>
      </c>
      <c r="BF9" s="257">
        <v>5</v>
      </c>
      <c r="BG9" s="59">
        <f>'Generic Info'!$AQ$12</f>
        <v>1600</v>
      </c>
      <c r="BH9" s="105">
        <f>BG9/BF18</f>
        <v>0.49230769230769234</v>
      </c>
      <c r="BI9" s="45">
        <v>5</v>
      </c>
      <c r="BJ9" s="45">
        <f t="shared" si="3"/>
        <v>2060</v>
      </c>
      <c r="BK9" s="34">
        <f>BJ9/BI18</f>
        <v>0.14142523685294522</v>
      </c>
    </row>
    <row r="10" spans="1:63">
      <c r="A10" s="48">
        <v>6</v>
      </c>
      <c r="B10" s="47">
        <v>1000</v>
      </c>
      <c r="C10" s="34">
        <f t="shared" si="0"/>
        <v>5.3872053872053875E-3</v>
      </c>
      <c r="D10" s="85">
        <v>6</v>
      </c>
      <c r="E10" s="45">
        <v>4000</v>
      </c>
      <c r="F10" s="100">
        <f>E10/D18</f>
        <v>2.1551724137931036E-2</v>
      </c>
      <c r="G10" s="47">
        <v>6</v>
      </c>
      <c r="H10" s="45">
        <v>50000</v>
      </c>
      <c r="I10" s="100">
        <f>H10/G18</f>
        <v>0.27114967462039047</v>
      </c>
      <c r="J10" s="47"/>
      <c r="K10" s="47"/>
      <c r="L10" s="47"/>
      <c r="M10" s="45">
        <v>6</v>
      </c>
      <c r="N10" s="45">
        <f t="shared" si="1"/>
        <v>55000</v>
      </c>
      <c r="O10" s="35">
        <f>N10/M18</f>
        <v>7.5278015397775871E-2</v>
      </c>
      <c r="Q10" s="52">
        <v>6</v>
      </c>
      <c r="R10" s="50">
        <f>SUM(B5:B10)</f>
        <v>1625</v>
      </c>
      <c r="S10" s="34">
        <f>R10/R18</f>
        <v>8.7542087542087539E-3</v>
      </c>
      <c r="T10" s="49">
        <v>6</v>
      </c>
      <c r="U10" s="45">
        <f>SUM(E5:E10)</f>
        <v>7600</v>
      </c>
      <c r="V10" s="34">
        <f>U10/T18</f>
        <v>4.0948275862068964E-2</v>
      </c>
      <c r="W10" s="51">
        <v>6</v>
      </c>
      <c r="X10" s="45">
        <f>SUM(H5:H10)</f>
        <v>84400</v>
      </c>
      <c r="Y10" s="34">
        <f>X10/W18</f>
        <v>0.45770065075921906</v>
      </c>
      <c r="Z10" s="47"/>
      <c r="AA10" s="47"/>
      <c r="AB10" s="47"/>
      <c r="AC10" s="45">
        <v>6</v>
      </c>
      <c r="AD10" s="45">
        <f>R10+U10+X10+AA9</f>
        <v>268625</v>
      </c>
      <c r="AE10" s="34">
        <f>AD10/AC18</f>
        <v>0.36766467065868264</v>
      </c>
      <c r="AG10">
        <v>6</v>
      </c>
      <c r="AH10" s="47">
        <f>$K$33+AH9</f>
        <v>480000</v>
      </c>
      <c r="AK10">
        <f>AK8-AK9</f>
        <v>200</v>
      </c>
      <c r="AS10" s="258">
        <v>42961.666597222225</v>
      </c>
      <c r="AW10" s="48">
        <v>6</v>
      </c>
      <c r="AX10" s="45">
        <f>'Generic Info'!$AH$13</f>
        <v>25</v>
      </c>
      <c r="AY10" s="34">
        <f>AX10/AX18</f>
        <v>6.5789473684210523E-3</v>
      </c>
      <c r="AZ10" s="48">
        <v>6</v>
      </c>
      <c r="BA10" s="45">
        <f>'Generic Info'!$AK$13</f>
        <v>100</v>
      </c>
      <c r="BB10" s="34">
        <f>BA10/AZ18</f>
        <v>2.6378264310208389E-2</v>
      </c>
      <c r="BC10" s="47">
        <v>6</v>
      </c>
      <c r="BD10" s="45">
        <f>'Generic Info'!$AN$13</f>
        <v>600</v>
      </c>
      <c r="BE10" s="100">
        <f>BD10/BC18</f>
        <v>0.16107382550335569</v>
      </c>
      <c r="BF10" s="47"/>
      <c r="BG10" s="47"/>
      <c r="BH10" s="47"/>
      <c r="BI10" s="45">
        <v>6</v>
      </c>
      <c r="BJ10" s="45">
        <f>AX10+BA10+BD10+BG9</f>
        <v>2325</v>
      </c>
      <c r="BK10" s="34">
        <f>BJ10/BI18</f>
        <v>0.15961828916655224</v>
      </c>
    </row>
    <row r="11" spans="1:63">
      <c r="A11" s="48">
        <v>7</v>
      </c>
      <c r="B11" s="47">
        <v>2000</v>
      </c>
      <c r="C11" s="34">
        <f t="shared" si="0"/>
        <v>1.0774410774410775E-2</v>
      </c>
      <c r="D11" s="85">
        <v>7</v>
      </c>
      <c r="E11" s="45">
        <v>8000</v>
      </c>
      <c r="F11" s="100">
        <f>E11/D18</f>
        <v>4.3103448275862072E-2</v>
      </c>
      <c r="G11" s="47">
        <v>7</v>
      </c>
      <c r="H11" s="45">
        <v>100000</v>
      </c>
      <c r="I11" s="100">
        <f>H11/G18</f>
        <v>0.54229934924078094</v>
      </c>
      <c r="J11" s="47"/>
      <c r="K11" s="47"/>
      <c r="L11" s="47"/>
      <c r="M11" s="45">
        <v>7</v>
      </c>
      <c r="N11" s="45">
        <f t="shared" si="1"/>
        <v>110000</v>
      </c>
      <c r="O11" s="35">
        <f>N11/M18</f>
        <v>0.15055603079555174</v>
      </c>
      <c r="Q11" s="52">
        <v>7</v>
      </c>
      <c r="R11" s="50">
        <f>SUM(B5:B11)</f>
        <v>3625</v>
      </c>
      <c r="S11" s="34">
        <f>R11/R18</f>
        <v>1.9528619528619527E-2</v>
      </c>
      <c r="T11" s="49">
        <v>7</v>
      </c>
      <c r="U11" s="45">
        <f>SUM(E5:E11)</f>
        <v>15600</v>
      </c>
      <c r="V11" s="34">
        <f>U11/T18</f>
        <v>8.4051724137931036E-2</v>
      </c>
      <c r="W11" s="51">
        <v>7</v>
      </c>
      <c r="X11" s="45">
        <f>SUM(H5:H11)</f>
        <v>184400</v>
      </c>
      <c r="Y11" s="34">
        <f>X11/W18</f>
        <v>1</v>
      </c>
      <c r="Z11" s="47"/>
      <c r="AA11" s="47"/>
      <c r="AB11" s="47"/>
      <c r="AC11" s="45">
        <v>7</v>
      </c>
      <c r="AD11" s="45">
        <f>R11+U11+X11+AA9</f>
        <v>378625</v>
      </c>
      <c r="AE11" s="34">
        <f>AD11/AC18</f>
        <v>0.51822070145423438</v>
      </c>
      <c r="AG11">
        <v>7</v>
      </c>
      <c r="AH11" s="47">
        <f>AH10+$K$31</f>
        <v>520000</v>
      </c>
      <c r="AN11" s="258"/>
      <c r="AW11" s="48">
        <v>7</v>
      </c>
      <c r="AX11" s="45">
        <f>'Generic Info'!$AH$14</f>
        <v>50</v>
      </c>
      <c r="AY11" s="34">
        <f>AX11/AX18</f>
        <v>1.3157894736842105E-2</v>
      </c>
      <c r="AZ11" s="48">
        <v>7</v>
      </c>
      <c r="BA11" s="45">
        <f>'Generic Info'!$AK$14</f>
        <v>200</v>
      </c>
      <c r="BB11" s="34">
        <f>BA11/AZ18</f>
        <v>5.2756528620416777E-2</v>
      </c>
      <c r="BC11" s="47">
        <v>7</v>
      </c>
      <c r="BD11" s="45">
        <f>'Generic Info'!$AN$14</f>
        <v>800</v>
      </c>
      <c r="BE11" s="100">
        <f>BD11/BC18</f>
        <v>0.21476510067114093</v>
      </c>
      <c r="BF11" s="47"/>
      <c r="BG11" s="47"/>
      <c r="BH11" s="47"/>
      <c r="BI11" s="45">
        <v>7</v>
      </c>
      <c r="BJ11" s="45">
        <f>AX11+BA11+BD11+BG9</f>
        <v>2650</v>
      </c>
      <c r="BK11" s="34">
        <f>BJ11/BI18</f>
        <v>0.1819305231360703</v>
      </c>
    </row>
    <row r="12" spans="1:63">
      <c r="A12" s="48">
        <v>8</v>
      </c>
      <c r="B12" s="47">
        <v>4000</v>
      </c>
      <c r="C12" s="34">
        <f t="shared" si="0"/>
        <v>2.154882154882155E-2</v>
      </c>
      <c r="D12" s="85">
        <v>8</v>
      </c>
      <c r="E12" s="45">
        <v>20000</v>
      </c>
      <c r="F12" s="100">
        <f>E12/D18</f>
        <v>0.10775862068965517</v>
      </c>
      <c r="G12" s="259">
        <v>8</v>
      </c>
      <c r="H12" s="59">
        <v>0</v>
      </c>
      <c r="I12" s="105">
        <f>H12/G18</f>
        <v>0</v>
      </c>
      <c r="J12" s="47"/>
      <c r="K12" s="47"/>
      <c r="L12" s="47"/>
      <c r="M12" s="45">
        <v>8</v>
      </c>
      <c r="N12" s="45">
        <f t="shared" si="1"/>
        <v>24000</v>
      </c>
      <c r="O12" s="35">
        <f>N12/M18</f>
        <v>3.2848588537211294E-2</v>
      </c>
      <c r="Q12" s="52">
        <v>8</v>
      </c>
      <c r="R12" s="50">
        <f>SUM(B5:B12)</f>
        <v>7625</v>
      </c>
      <c r="S12" s="34">
        <f>R12/R18</f>
        <v>4.1077441077441081E-2</v>
      </c>
      <c r="T12" s="49">
        <v>8</v>
      </c>
      <c r="U12" s="45">
        <f>SUM(E5:E12)</f>
        <v>35600</v>
      </c>
      <c r="V12" s="34">
        <f>U12/T18</f>
        <v>0.19181034482758622</v>
      </c>
      <c r="W12" s="60">
        <v>8</v>
      </c>
      <c r="X12" s="59">
        <f>SUM(H5:H12)</f>
        <v>184400</v>
      </c>
      <c r="Y12" s="56">
        <f>X12/W18</f>
        <v>1</v>
      </c>
      <c r="Z12" s="47"/>
      <c r="AA12" s="47"/>
      <c r="AB12" s="47"/>
      <c r="AC12" s="45">
        <v>8</v>
      </c>
      <c r="AD12" s="45">
        <f>R12+U12+X12+AA9</f>
        <v>402625</v>
      </c>
      <c r="AE12" s="34">
        <f>AD12/AC18</f>
        <v>0.55106928999144567</v>
      </c>
      <c r="AG12">
        <v>8</v>
      </c>
      <c r="AH12" s="47">
        <f>AH11+$K$32</f>
        <v>600000</v>
      </c>
      <c r="AO12" s="258"/>
      <c r="AS12" t="s">
        <v>285</v>
      </c>
      <c r="AW12" s="48">
        <v>8</v>
      </c>
      <c r="AX12" s="45">
        <f>'Generic Info'!$AH$15</f>
        <v>100</v>
      </c>
      <c r="AY12" s="34">
        <f>AX12/AX18</f>
        <v>2.6315789473684209E-2</v>
      </c>
      <c r="AZ12" s="48">
        <v>8</v>
      </c>
      <c r="BA12" s="45">
        <f>'Generic Info'!$AK$15</f>
        <v>400</v>
      </c>
      <c r="BB12" s="34">
        <f>BA12/AZ18</f>
        <v>0.10551305724083355</v>
      </c>
      <c r="BC12" s="259">
        <v>8</v>
      </c>
      <c r="BD12" s="59">
        <f>'Generic Info'!$AN$15</f>
        <v>1600</v>
      </c>
      <c r="BE12" s="105">
        <f>BD12/BC18</f>
        <v>0.42953020134228187</v>
      </c>
      <c r="BF12" s="47"/>
      <c r="BG12" s="47"/>
      <c r="BH12" s="47"/>
      <c r="BI12" s="45">
        <v>8</v>
      </c>
      <c r="BJ12" s="45">
        <f>AX12+BA12+BD12+BG9</f>
        <v>3700</v>
      </c>
      <c r="BK12" s="34">
        <f>BJ12/BI18</f>
        <v>0.25401620211451326</v>
      </c>
    </row>
    <row r="13" spans="1:63">
      <c r="A13" s="48">
        <v>9</v>
      </c>
      <c r="B13" s="47">
        <v>8000</v>
      </c>
      <c r="C13" s="34">
        <f t="shared" si="0"/>
        <v>4.30976430976431E-2</v>
      </c>
      <c r="D13" s="85">
        <v>9</v>
      </c>
      <c r="E13" s="45">
        <v>50000</v>
      </c>
      <c r="F13" s="100">
        <f>E13/D18</f>
        <v>0.26939655172413796</v>
      </c>
      <c r="G13" s="47"/>
      <c r="H13" s="47"/>
      <c r="I13" s="47"/>
      <c r="J13" s="47"/>
      <c r="K13" s="47"/>
      <c r="L13" s="47"/>
      <c r="M13" s="45">
        <v>9</v>
      </c>
      <c r="N13" s="45">
        <f t="shared" si="1"/>
        <v>58000</v>
      </c>
      <c r="O13" s="35">
        <f>N13/M18</f>
        <v>7.9384088964927282E-2</v>
      </c>
      <c r="Q13" s="52">
        <v>9</v>
      </c>
      <c r="R13" s="50">
        <f>SUM(B5:B13)</f>
        <v>15625</v>
      </c>
      <c r="S13" s="34">
        <f>R13/R18</f>
        <v>8.4175084175084181E-2</v>
      </c>
      <c r="T13" s="49">
        <v>9</v>
      </c>
      <c r="U13" s="45">
        <f>SUM(E5:E13)</f>
        <v>85600</v>
      </c>
      <c r="V13" s="34">
        <f>U13/T18</f>
        <v>0.46120689655172414</v>
      </c>
      <c r="W13" s="47"/>
      <c r="X13" s="47"/>
      <c r="Y13" s="47"/>
      <c r="Z13" s="47"/>
      <c r="AA13" s="47"/>
      <c r="AB13" s="47"/>
      <c r="AC13" s="45">
        <v>9</v>
      </c>
      <c r="AD13" s="45">
        <f>R13+U13+X12+AA9</f>
        <v>460625</v>
      </c>
      <c r="AE13" s="34">
        <f>AD13/AC18</f>
        <v>0.63045337895637299</v>
      </c>
      <c r="AG13">
        <v>9</v>
      </c>
      <c r="AH13" s="47">
        <f>$K$33+AH12</f>
        <v>720000</v>
      </c>
      <c r="AO13" s="258"/>
      <c r="AS13" s="258">
        <f ca="1">NOW()</f>
        <v>45736.526136342596</v>
      </c>
      <c r="AT13" s="258">
        <v>43044.33326388889</v>
      </c>
      <c r="AW13" s="48">
        <v>9</v>
      </c>
      <c r="AX13" s="45">
        <f>'Generic Info'!$AH$16</f>
        <v>200</v>
      </c>
      <c r="AY13" s="34">
        <f>AX13/AX18</f>
        <v>5.2631578947368418E-2</v>
      </c>
      <c r="AZ13" s="48">
        <v>9</v>
      </c>
      <c r="BA13" s="45">
        <f>'Generic Info'!$AK$16</f>
        <v>600</v>
      </c>
      <c r="BB13" s="34">
        <f>BA13/AZ18</f>
        <v>0.15826958586125034</v>
      </c>
      <c r="BC13" s="47"/>
      <c r="BD13" s="47"/>
      <c r="BE13" s="47"/>
      <c r="BF13" s="47"/>
      <c r="BG13" s="47"/>
      <c r="BH13" s="47"/>
      <c r="BI13" s="45">
        <v>9</v>
      </c>
      <c r="BJ13" s="45">
        <f>AX13+BA13+BD12+BG9</f>
        <v>4000</v>
      </c>
      <c r="BK13" s="34">
        <f>BJ13/BI18</f>
        <v>0.27461211039406835</v>
      </c>
    </row>
    <row r="14" spans="1:63">
      <c r="A14" s="48">
        <v>10</v>
      </c>
      <c r="B14" s="47">
        <v>20000</v>
      </c>
      <c r="C14" s="34">
        <f t="shared" si="0"/>
        <v>0.10774410774410774</v>
      </c>
      <c r="D14" s="85">
        <v>10</v>
      </c>
      <c r="E14" s="260">
        <v>100000</v>
      </c>
      <c r="F14" s="100">
        <f>E14/D18</f>
        <v>0.53879310344827591</v>
      </c>
      <c r="G14" s="47"/>
      <c r="H14" s="47"/>
      <c r="I14" s="47"/>
      <c r="J14" s="47"/>
      <c r="K14" s="47"/>
      <c r="L14" s="47"/>
      <c r="M14" s="45">
        <v>10</v>
      </c>
      <c r="N14" s="45">
        <f t="shared" si="1"/>
        <v>120000</v>
      </c>
      <c r="O14" s="35">
        <f>N14/M18</f>
        <v>0.16424294268605646</v>
      </c>
      <c r="Q14" s="52">
        <v>10</v>
      </c>
      <c r="R14" s="50">
        <f>SUM(B5:B14)</f>
        <v>35625</v>
      </c>
      <c r="S14" s="34">
        <f>R14/R18</f>
        <v>0.19191919191919191</v>
      </c>
      <c r="T14" s="49">
        <v>10</v>
      </c>
      <c r="U14" s="45">
        <f>SUM(E5:E14)</f>
        <v>185600</v>
      </c>
      <c r="V14" s="34">
        <f>U14/T18</f>
        <v>1</v>
      </c>
      <c r="W14" s="47"/>
      <c r="X14" s="47"/>
      <c r="Y14" s="47"/>
      <c r="Z14" s="47"/>
      <c r="AA14" s="47"/>
      <c r="AB14" s="47"/>
      <c r="AC14" s="45">
        <v>10</v>
      </c>
      <c r="AD14" s="45">
        <f>R14+U14+X12+AA9</f>
        <v>580625</v>
      </c>
      <c r="AE14" s="34">
        <f>AD14/AC18</f>
        <v>0.79469632164242943</v>
      </c>
      <c r="AG14">
        <v>10</v>
      </c>
      <c r="AH14" s="47">
        <f>AH13+$K$31</f>
        <v>760000</v>
      </c>
      <c r="AW14" s="48">
        <v>10</v>
      </c>
      <c r="AX14" s="45">
        <f>'Generic Info'!$AH$17</f>
        <v>400</v>
      </c>
      <c r="AY14" s="34">
        <f>AX14/AX18</f>
        <v>0.10526315789473684</v>
      </c>
      <c r="AZ14" s="48">
        <v>10</v>
      </c>
      <c r="BA14" s="45">
        <f>'Generic Info'!$AK$17</f>
        <v>800</v>
      </c>
      <c r="BB14" s="34">
        <f>BA14/AZ18</f>
        <v>0.21102611448166711</v>
      </c>
      <c r="BC14" s="47"/>
      <c r="BD14" s="47"/>
      <c r="BE14" s="47"/>
      <c r="BF14" s="47"/>
      <c r="BG14" s="47"/>
      <c r="BH14" s="47"/>
      <c r="BI14" s="45">
        <v>10</v>
      </c>
      <c r="BJ14" s="45">
        <f>AX14+BA14+BD12+BG9</f>
        <v>4400</v>
      </c>
      <c r="BK14" s="34">
        <f>BJ14/BI18</f>
        <v>0.30207332143347521</v>
      </c>
    </row>
    <row r="15" spans="1:63">
      <c r="A15" s="48">
        <v>11</v>
      </c>
      <c r="B15" s="47">
        <v>50000</v>
      </c>
      <c r="C15" s="34">
        <f t="shared" si="0"/>
        <v>0.26936026936026936</v>
      </c>
      <c r="D15" s="261">
        <v>11</v>
      </c>
      <c r="E15" s="262">
        <v>0</v>
      </c>
      <c r="F15" s="105">
        <f>E15/D18</f>
        <v>0</v>
      </c>
      <c r="G15" s="47"/>
      <c r="H15" s="47"/>
      <c r="I15" s="47"/>
      <c r="J15" s="47"/>
      <c r="K15" s="47"/>
      <c r="L15" s="47"/>
      <c r="M15" s="45">
        <v>11</v>
      </c>
      <c r="N15" s="45">
        <f t="shared" si="1"/>
        <v>50000</v>
      </c>
      <c r="O15" s="35">
        <f>N15/M18</f>
        <v>6.8434559452523525E-2</v>
      </c>
      <c r="Q15" s="52">
        <v>11</v>
      </c>
      <c r="R15" s="50">
        <f>SUM(B5:B15)</f>
        <v>85625</v>
      </c>
      <c r="S15" s="34">
        <f>R15/R18</f>
        <v>0.46127946127946129</v>
      </c>
      <c r="T15" s="61">
        <v>11</v>
      </c>
      <c r="U15" s="59">
        <f>SUM(E5:E15)</f>
        <v>185600</v>
      </c>
      <c r="V15" s="56">
        <f>U15/T18</f>
        <v>1</v>
      </c>
      <c r="W15" s="47"/>
      <c r="X15" s="47"/>
      <c r="Y15" s="47"/>
      <c r="Z15" s="47"/>
      <c r="AA15" s="47"/>
      <c r="AB15" s="47"/>
      <c r="AC15" s="45">
        <v>11</v>
      </c>
      <c r="AD15" s="45">
        <f>R15+U15+X12+AA9</f>
        <v>630625</v>
      </c>
      <c r="AE15" s="34">
        <f>AD15/AC18</f>
        <v>0.86313088109495295</v>
      </c>
      <c r="AG15">
        <v>11</v>
      </c>
      <c r="AH15" s="47">
        <f>AH14+$K$32</f>
        <v>840000</v>
      </c>
      <c r="AT15" t="s">
        <v>294</v>
      </c>
      <c r="AW15" s="48">
        <v>11</v>
      </c>
      <c r="AX15" s="45">
        <f>'Generic Info'!$AH$18</f>
        <v>600</v>
      </c>
      <c r="AY15" s="34">
        <f>AX15/AX18</f>
        <v>0.15789473684210525</v>
      </c>
      <c r="AZ15" s="87">
        <v>11</v>
      </c>
      <c r="BA15" s="59">
        <f>'Generic Info'!$AK$18</f>
        <v>1600</v>
      </c>
      <c r="BB15" s="56">
        <f>BA15/AZ18</f>
        <v>0.42205222896333422</v>
      </c>
      <c r="BC15" s="47"/>
      <c r="BD15" s="47"/>
      <c r="BE15" s="47"/>
      <c r="BF15" s="47"/>
      <c r="BG15" s="47"/>
      <c r="BH15" s="47"/>
      <c r="BI15" s="45">
        <v>11</v>
      </c>
      <c r="BJ15" s="45">
        <f>AX15+BA15+BD12+BG9</f>
        <v>5400</v>
      </c>
      <c r="BK15" s="34">
        <f>BJ15/BI18</f>
        <v>0.37072634903199231</v>
      </c>
    </row>
    <row r="16" spans="1:63">
      <c r="A16" s="48">
        <v>12</v>
      </c>
      <c r="B16" s="47">
        <v>100000</v>
      </c>
      <c r="C16" s="34">
        <f t="shared" si="0"/>
        <v>0.53872053872053871</v>
      </c>
      <c r="D16" s="47"/>
      <c r="E16" s="47"/>
      <c r="F16" s="47"/>
      <c r="G16" s="47"/>
      <c r="H16" s="47"/>
      <c r="I16" s="47"/>
      <c r="J16" s="47"/>
      <c r="K16" s="47"/>
      <c r="L16" s="47"/>
      <c r="M16" s="45">
        <v>12</v>
      </c>
      <c r="N16" s="45">
        <f t="shared" si="1"/>
        <v>100000</v>
      </c>
      <c r="O16" s="35">
        <f>N16/M18</f>
        <v>0.13686911890504705</v>
      </c>
      <c r="Q16" s="52">
        <v>12</v>
      </c>
      <c r="R16" s="50">
        <f>SUM(B5:B16)</f>
        <v>185625</v>
      </c>
      <c r="S16" s="34">
        <f>R16/R18</f>
        <v>1</v>
      </c>
      <c r="T16" s="47"/>
      <c r="U16" s="47"/>
      <c r="V16" s="47"/>
      <c r="W16" s="47"/>
      <c r="X16" s="47"/>
      <c r="Y16" s="47"/>
      <c r="Z16" s="47"/>
      <c r="AA16" s="47"/>
      <c r="AB16" s="47"/>
      <c r="AC16" s="45">
        <v>12</v>
      </c>
      <c r="AD16" s="45">
        <f>R16+U15+X12+AA9</f>
        <v>730625</v>
      </c>
      <c r="AE16" s="34">
        <f>AD16/AC18</f>
        <v>1</v>
      </c>
      <c r="AG16">
        <v>12</v>
      </c>
      <c r="AH16" s="47">
        <f>$K$33+AH15</f>
        <v>960000</v>
      </c>
      <c r="AT16" s="258">
        <f ca="1">AS13-AT13</f>
        <v>2692.1928724537065</v>
      </c>
      <c r="AW16" s="48">
        <v>12</v>
      </c>
      <c r="AX16" s="45">
        <f>'Generic Info'!$AH$19</f>
        <v>800</v>
      </c>
      <c r="AY16" s="34">
        <f>AX16/AX18</f>
        <v>0.21052631578947367</v>
      </c>
      <c r="AZ16" s="47"/>
      <c r="BA16" s="47"/>
      <c r="BB16" s="47"/>
      <c r="BC16" s="47"/>
      <c r="BD16" s="47"/>
      <c r="BE16" s="47"/>
      <c r="BF16" s="47"/>
      <c r="BG16" s="47"/>
      <c r="BH16" s="47"/>
      <c r="BI16" s="45">
        <v>12</v>
      </c>
      <c r="BJ16" s="45">
        <f>AX16+BA15+BD12+BG9</f>
        <v>5600</v>
      </c>
      <c r="BK16" s="34">
        <f>BJ16/BI18</f>
        <v>0.38445695455169571</v>
      </c>
    </row>
    <row r="17" spans="1:63">
      <c r="A17" s="48">
        <v>13</v>
      </c>
      <c r="B17" s="47">
        <v>0</v>
      </c>
      <c r="C17" s="34">
        <f t="shared" si="0"/>
        <v>0</v>
      </c>
      <c r="D17" s="47"/>
      <c r="E17" s="47"/>
      <c r="F17" s="47"/>
      <c r="G17" s="47"/>
      <c r="H17" s="47"/>
      <c r="I17" s="47"/>
      <c r="J17" s="47"/>
      <c r="K17" s="47"/>
      <c r="L17" s="47"/>
      <c r="M17" s="45">
        <v>13</v>
      </c>
      <c r="N17" s="45">
        <f t="shared" si="1"/>
        <v>0</v>
      </c>
      <c r="O17" s="35">
        <f>N17/M18</f>
        <v>0</v>
      </c>
      <c r="Q17" s="52">
        <v>13</v>
      </c>
      <c r="R17" s="50">
        <f>SUM(B5:B17)</f>
        <v>185625</v>
      </c>
      <c r="S17" s="34">
        <f>R17/R18</f>
        <v>1</v>
      </c>
      <c r="T17" s="47"/>
      <c r="U17" s="47"/>
      <c r="V17" s="47"/>
      <c r="W17" s="47"/>
      <c r="X17" s="47"/>
      <c r="Y17" s="47"/>
      <c r="Z17" s="47"/>
      <c r="AA17" s="47"/>
      <c r="AB17" s="47"/>
      <c r="AC17" s="45">
        <v>13</v>
      </c>
      <c r="AD17" s="45">
        <f>R17+U15+X12+AA9</f>
        <v>730625</v>
      </c>
      <c r="AE17" s="34">
        <f>AD17/AC18</f>
        <v>1</v>
      </c>
      <c r="AG17">
        <v>13</v>
      </c>
      <c r="AH17" s="47">
        <f>AH16+$K$31</f>
        <v>1000000</v>
      </c>
      <c r="AN17" s="258"/>
      <c r="AO17" s="258"/>
      <c r="AT17" s="263">
        <f ca="1">AT16*24</f>
        <v>64612.628938888956</v>
      </c>
      <c r="AW17" s="87">
        <v>13</v>
      </c>
      <c r="AX17" s="59">
        <f>'Generic Info'!$AH$20</f>
        <v>1600</v>
      </c>
      <c r="AY17" s="56">
        <f>AX17/AX18</f>
        <v>0.42105263157894735</v>
      </c>
      <c r="AZ17" s="47"/>
      <c r="BA17" s="47"/>
      <c r="BB17" s="47"/>
      <c r="BC17" s="47"/>
      <c r="BD17" s="47"/>
      <c r="BE17" s="47"/>
      <c r="BF17" s="47"/>
      <c r="BG17" s="47"/>
      <c r="BH17" s="47"/>
      <c r="BI17" s="45">
        <v>13</v>
      </c>
      <c r="BJ17" s="45">
        <f>AX17+BA15+BD12+BG9</f>
        <v>6400</v>
      </c>
      <c r="BK17" s="34">
        <f>BJ17/BI18</f>
        <v>0.43937937663050941</v>
      </c>
    </row>
    <row r="18" spans="1:63">
      <c r="A18" s="63" t="s">
        <v>112</v>
      </c>
      <c r="B18" s="136">
        <f>SUM(B5:B17)</f>
        <v>185625</v>
      </c>
      <c r="C18" s="136"/>
      <c r="D18" s="137">
        <f>SUM(E5:E15)</f>
        <v>185600</v>
      </c>
      <c r="E18" s="137"/>
      <c r="F18" s="137"/>
      <c r="G18" s="137">
        <f>SUM(H5:H12)</f>
        <v>184400</v>
      </c>
      <c r="H18" s="137"/>
      <c r="I18" s="137"/>
      <c r="J18" s="137">
        <f>SUM(K5:K9)</f>
        <v>175000</v>
      </c>
      <c r="K18" s="137"/>
      <c r="L18" s="137"/>
      <c r="M18" s="138">
        <f>SUM(N5:N17)</f>
        <v>730625</v>
      </c>
      <c r="N18" s="138"/>
      <c r="O18" s="138"/>
      <c r="Q18" s="63" t="s">
        <v>112</v>
      </c>
      <c r="R18" s="136">
        <f>SUM(R17)</f>
        <v>185625</v>
      </c>
      <c r="S18" s="136"/>
      <c r="T18" s="137">
        <f>U15</f>
        <v>185600</v>
      </c>
      <c r="U18" s="137"/>
      <c r="V18" s="137"/>
      <c r="W18" s="137">
        <f>X12</f>
        <v>184400</v>
      </c>
      <c r="X18" s="137"/>
      <c r="Y18" s="137"/>
      <c r="Z18" s="137">
        <f>AA9</f>
        <v>175000</v>
      </c>
      <c r="AA18" s="137"/>
      <c r="AB18" s="137"/>
      <c r="AC18" s="138">
        <f>SUM(R18:AA18)</f>
        <v>730625</v>
      </c>
      <c r="AD18" s="138"/>
      <c r="AE18" s="138"/>
      <c r="AG18">
        <v>14</v>
      </c>
      <c r="AH18" s="47">
        <f>AH17+$K$32</f>
        <v>1080000</v>
      </c>
      <c r="AT18" s="263">
        <f ca="1">ROUNDDOWN(AT17,0)</f>
        <v>64612</v>
      </c>
      <c r="AW18" s="63" t="s">
        <v>112</v>
      </c>
      <c r="AX18" s="264">
        <f>SUM(AX5:AX17)</f>
        <v>3800</v>
      </c>
      <c r="AY18" s="65"/>
      <c r="AZ18" s="65">
        <f>SUM(BA5:BA15)</f>
        <v>3791</v>
      </c>
      <c r="BA18" s="65"/>
      <c r="BB18" s="65"/>
      <c r="BC18" s="65">
        <f>SUM(BD5:BD12)</f>
        <v>3725</v>
      </c>
      <c r="BD18" s="65"/>
      <c r="BE18" s="65"/>
      <c r="BF18" s="65">
        <f>SUM(BG5:BG9)</f>
        <v>3250</v>
      </c>
      <c r="BG18" s="65"/>
      <c r="BH18" s="65"/>
      <c r="BI18" s="65">
        <f>SUM(AX18:BG18)</f>
        <v>14566</v>
      </c>
      <c r="BJ18" s="65"/>
      <c r="BK18" s="66"/>
    </row>
    <row r="19" spans="1:63">
      <c r="A19" s="63" t="s">
        <v>69</v>
      </c>
      <c r="B19" s="139">
        <f>B18/M18</f>
        <v>0.2540633019674936</v>
      </c>
      <c r="C19" s="139"/>
      <c r="D19" s="140">
        <f>D18/M18</f>
        <v>0.2540290846877673</v>
      </c>
      <c r="E19" s="140"/>
      <c r="F19" s="140"/>
      <c r="G19" s="140">
        <f>G18/M18</f>
        <v>0.25238665526090676</v>
      </c>
      <c r="H19" s="140"/>
      <c r="I19" s="140"/>
      <c r="J19" s="140">
        <f>J18/M18</f>
        <v>0.23952095808383234</v>
      </c>
      <c r="K19" s="140"/>
      <c r="L19" s="140"/>
      <c r="M19" s="141">
        <f>M18/M18</f>
        <v>1</v>
      </c>
      <c r="N19" s="141"/>
      <c r="O19" s="141"/>
      <c r="Q19" s="10" t="s">
        <v>69</v>
      </c>
      <c r="R19" s="140">
        <f>R18/AC18</f>
        <v>0.2540633019674936</v>
      </c>
      <c r="S19" s="140"/>
      <c r="T19" s="140">
        <f>T18/AC18</f>
        <v>0.2540290846877673</v>
      </c>
      <c r="U19" s="140"/>
      <c r="V19" s="140"/>
      <c r="W19" s="140">
        <f>W18/AC18</f>
        <v>0.25238665526090676</v>
      </c>
      <c r="X19" s="140"/>
      <c r="Y19" s="140"/>
      <c r="Z19" s="140">
        <f>Z18/AC18</f>
        <v>0.23952095808383234</v>
      </c>
      <c r="AA19" s="140"/>
      <c r="AB19" s="140"/>
      <c r="AC19" s="141">
        <f>AC18/AC18</f>
        <v>1</v>
      </c>
      <c r="AD19" s="141"/>
      <c r="AE19" s="141"/>
      <c r="AG19">
        <v>15</v>
      </c>
      <c r="AH19" s="47">
        <f>$K$33+AH18</f>
        <v>1200000</v>
      </c>
      <c r="AT19" s="3">
        <f ca="1">AT18/8</f>
        <v>8076.5</v>
      </c>
      <c r="AU19" s="258"/>
      <c r="AW19" s="7" t="s">
        <v>69</v>
      </c>
      <c r="AX19" s="67">
        <f>AX18/BI18</f>
        <v>0.26088150487436496</v>
      </c>
      <c r="AY19" s="68"/>
      <c r="AZ19" s="68">
        <f>AZ18/BI18</f>
        <v>0.26026362762597832</v>
      </c>
      <c r="BA19" s="68"/>
      <c r="BB19" s="68"/>
      <c r="BC19" s="68">
        <f>BC18/BI18</f>
        <v>0.2557325278044762</v>
      </c>
      <c r="BD19" s="68"/>
      <c r="BE19" s="68"/>
      <c r="BF19" s="68">
        <f>BF18/BI18</f>
        <v>0.22312233969518055</v>
      </c>
      <c r="BG19" s="68"/>
      <c r="BH19" s="68"/>
      <c r="BI19" s="68">
        <f>BI18/BI18</f>
        <v>1</v>
      </c>
      <c r="BJ19" s="68"/>
      <c r="BK19" s="68"/>
    </row>
    <row r="20" spans="1:63">
      <c r="A20" s="265"/>
      <c r="B20" s="266"/>
      <c r="C20" s="266"/>
      <c r="D20" s="266"/>
      <c r="E20" s="266"/>
      <c r="F20" s="266"/>
      <c r="G20" s="266"/>
      <c r="H20" s="266"/>
      <c r="I20" s="266"/>
      <c r="J20" s="266"/>
      <c r="K20" s="266"/>
      <c r="L20" s="266"/>
      <c r="M20" s="266"/>
      <c r="N20" s="266"/>
      <c r="O20" s="267"/>
      <c r="AG20">
        <v>16</v>
      </c>
      <c r="AH20" s="47">
        <f>AH19+$K$31</f>
        <v>1240000</v>
      </c>
      <c r="AO20" t="s">
        <v>48</v>
      </c>
      <c r="AP20" t="s">
        <v>1</v>
      </c>
      <c r="AQ20" t="s">
        <v>2</v>
      </c>
      <c r="AT20" s="3">
        <f ca="1">ROUNDDOWN(AT19,0)</f>
        <v>8076</v>
      </c>
      <c r="AU20" s="258">
        <f ca="1">AT13+AT21</f>
        <v>45736.33326388889</v>
      </c>
      <c r="AW20" s="76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ht="15.75" customHeight="1">
      <c r="A21" s="131" t="s">
        <v>407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Q21" s="131" t="s">
        <v>407</v>
      </c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G21">
        <v>17</v>
      </c>
      <c r="AH21" s="47">
        <f>AH20+$K$32</f>
        <v>1320000</v>
      </c>
      <c r="AO21">
        <f ca="1">AT20*VLOOKUP('Card Progress'!N6,'Card Progress data'!AC42:AD52,2,0)</f>
        <v>323040</v>
      </c>
      <c r="AP21">
        <f ca="1">AT20*4</f>
        <v>32304</v>
      </c>
      <c r="AQ21">
        <f ca="1">AT20*4</f>
        <v>32304</v>
      </c>
      <c r="AS21">
        <f ca="1">AO21</f>
        <v>323040</v>
      </c>
      <c r="AT21" s="258">
        <f ca="1">AT20*(8/24)</f>
        <v>2692</v>
      </c>
      <c r="AU21" s="258"/>
      <c r="AV21" s="3" t="s">
        <v>120</v>
      </c>
      <c r="AW21" s="274" t="s">
        <v>120</v>
      </c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274"/>
      <c r="BJ21" s="274"/>
      <c r="BK21" s="274"/>
    </row>
    <row r="22" spans="1:63" ht="15.75" customHeight="1">
      <c r="A22" s="131" t="s">
        <v>48</v>
      </c>
      <c r="B22" s="131"/>
      <c r="C22" s="131"/>
      <c r="D22" s="131" t="s">
        <v>1</v>
      </c>
      <c r="E22" s="131"/>
      <c r="F22" s="131"/>
      <c r="G22" s="131" t="s">
        <v>2</v>
      </c>
      <c r="H22" s="131"/>
      <c r="I22" s="131"/>
      <c r="J22" s="131" t="s">
        <v>3</v>
      </c>
      <c r="K22" s="131"/>
      <c r="L22" s="131"/>
      <c r="M22" s="131" t="s">
        <v>65</v>
      </c>
      <c r="N22" s="131"/>
      <c r="O22" s="131"/>
      <c r="Q22" s="131" t="s">
        <v>48</v>
      </c>
      <c r="R22" s="131"/>
      <c r="S22" s="131"/>
      <c r="T22" s="131" t="s">
        <v>1</v>
      </c>
      <c r="U22" s="131"/>
      <c r="V22" s="131"/>
      <c r="W22" s="131" t="s">
        <v>2</v>
      </c>
      <c r="X22" s="131"/>
      <c r="Y22" s="131"/>
      <c r="Z22" s="131" t="s">
        <v>3</v>
      </c>
      <c r="AA22" s="131"/>
      <c r="AB22" s="131"/>
      <c r="AC22" s="131" t="s">
        <v>65</v>
      </c>
      <c r="AD22" s="131"/>
      <c r="AE22" s="131"/>
      <c r="AG22">
        <v>18</v>
      </c>
      <c r="AH22" s="47">
        <f>$K$33+AH21</f>
        <v>1440000</v>
      </c>
      <c r="AM22" t="str">
        <f>VLOOKUP('Card Progress'!K2,Q42:S65,3,0)</f>
        <v>C31</v>
      </c>
      <c r="AN22" s="47">
        <f ca="1">VLOOKUP('Card Progress'!K2,Q42:R65,2,0)+AO21</f>
        <v>617683</v>
      </c>
      <c r="AT22" s="258"/>
      <c r="AU22" s="258"/>
      <c r="AW22" s="131" t="s">
        <v>48</v>
      </c>
      <c r="AX22" s="131"/>
      <c r="AY22" s="131"/>
      <c r="AZ22" s="131" t="s">
        <v>1</v>
      </c>
      <c r="BA22" s="131"/>
      <c r="BB22" s="131"/>
      <c r="BC22" s="131" t="s">
        <v>2</v>
      </c>
      <c r="BD22" s="131"/>
      <c r="BE22" s="131"/>
      <c r="BF22" s="131" t="s">
        <v>3</v>
      </c>
      <c r="BG22" s="131"/>
      <c r="BH22" s="131"/>
      <c r="BI22" s="131" t="s">
        <v>65</v>
      </c>
      <c r="BJ22" s="131"/>
      <c r="BK22" s="131"/>
    </row>
    <row r="23" spans="1:63" ht="15.75" customHeight="1">
      <c r="A23" s="27" t="s">
        <v>67</v>
      </c>
      <c r="B23" s="27" t="s">
        <v>40</v>
      </c>
      <c r="C23" s="27" t="s">
        <v>69</v>
      </c>
      <c r="D23" s="27" t="s">
        <v>67</v>
      </c>
      <c r="E23" s="27" t="s">
        <v>40</v>
      </c>
      <c r="F23" s="27" t="s">
        <v>69</v>
      </c>
      <c r="G23" s="27" t="s">
        <v>67</v>
      </c>
      <c r="H23" s="27" t="s">
        <v>40</v>
      </c>
      <c r="I23" s="27" t="s">
        <v>69</v>
      </c>
      <c r="J23" s="27" t="s">
        <v>67</v>
      </c>
      <c r="K23" s="27" t="s">
        <v>40</v>
      </c>
      <c r="L23" s="27" t="s">
        <v>69</v>
      </c>
      <c r="M23" s="27" t="s">
        <v>67</v>
      </c>
      <c r="N23" s="7" t="s">
        <v>40</v>
      </c>
      <c r="O23" s="27" t="s">
        <v>69</v>
      </c>
      <c r="Q23" s="27" t="s">
        <v>67</v>
      </c>
      <c r="R23" s="27" t="s">
        <v>40</v>
      </c>
      <c r="S23" s="7" t="s">
        <v>215</v>
      </c>
      <c r="T23" s="27" t="s">
        <v>67</v>
      </c>
      <c r="U23" s="27" t="s">
        <v>40</v>
      </c>
      <c r="V23" s="7" t="s">
        <v>67</v>
      </c>
      <c r="W23" s="27" t="s">
        <v>67</v>
      </c>
      <c r="X23" s="27" t="s">
        <v>40</v>
      </c>
      <c r="Y23" s="27" t="s">
        <v>69</v>
      </c>
      <c r="Z23" s="27">
        <v>-1</v>
      </c>
      <c r="AA23" s="27">
        <v>0</v>
      </c>
      <c r="AB23" s="27">
        <v>0</v>
      </c>
      <c r="AC23" s="27" t="s">
        <v>67</v>
      </c>
      <c r="AD23" s="7" t="s">
        <v>40</v>
      </c>
      <c r="AE23" s="7" t="s">
        <v>69</v>
      </c>
      <c r="AG23">
        <v>19</v>
      </c>
      <c r="AH23" s="47">
        <f>AH22+$K$31</f>
        <v>1480000</v>
      </c>
      <c r="AW23" s="27" t="s">
        <v>67</v>
      </c>
      <c r="AX23" s="27" t="s">
        <v>68</v>
      </c>
      <c r="AY23" s="27" t="s">
        <v>69</v>
      </c>
      <c r="AZ23" s="27" t="s">
        <v>67</v>
      </c>
      <c r="BA23" s="27" t="s">
        <v>68</v>
      </c>
      <c r="BB23" s="27" t="s">
        <v>69</v>
      </c>
      <c r="BC23" s="27" t="s">
        <v>67</v>
      </c>
      <c r="BD23" s="27" t="s">
        <v>68</v>
      </c>
      <c r="BE23" s="27" t="s">
        <v>69</v>
      </c>
      <c r="BF23" s="27" t="s">
        <v>67</v>
      </c>
      <c r="BG23" s="27" t="s">
        <v>68</v>
      </c>
      <c r="BH23" s="27" t="s">
        <v>69</v>
      </c>
      <c r="BI23" s="27" t="s">
        <v>67</v>
      </c>
      <c r="BJ23" s="27" t="s">
        <v>68</v>
      </c>
      <c r="BK23" s="27" t="s">
        <v>69</v>
      </c>
    </row>
    <row r="24" spans="1:63" ht="15.75" customHeight="1">
      <c r="A24" s="9">
        <v>0</v>
      </c>
      <c r="B24" s="27">
        <v>0</v>
      </c>
      <c r="C24" s="28">
        <f>B24/B38</f>
        <v>0</v>
      </c>
      <c r="D24" s="9">
        <v>0</v>
      </c>
      <c r="E24" s="27">
        <v>0</v>
      </c>
      <c r="F24" s="28">
        <f>E24/D38</f>
        <v>0</v>
      </c>
      <c r="G24" s="9">
        <v>0</v>
      </c>
      <c r="H24" s="27">
        <v>0</v>
      </c>
      <c r="I24" s="28">
        <f>H24/G38</f>
        <v>0</v>
      </c>
      <c r="J24" s="9">
        <v>0</v>
      </c>
      <c r="K24" s="27">
        <v>1</v>
      </c>
      <c r="L24" s="28">
        <f>K24/J38</f>
        <v>2.7777777777777776E-2</v>
      </c>
      <c r="M24" s="9">
        <v>0</v>
      </c>
      <c r="N24" s="45">
        <f t="shared" ref="N24:N37" si="4">B24+E24+H24+K24</f>
        <v>1</v>
      </c>
      <c r="O24" s="28">
        <f>N24/M38</f>
        <v>1.5323462980045786E-6</v>
      </c>
      <c r="Q24" s="9">
        <v>0</v>
      </c>
      <c r="R24" s="27">
        <f>B24</f>
        <v>0</v>
      </c>
      <c r="S24" s="48">
        <v>1</v>
      </c>
      <c r="T24" s="9">
        <v>0</v>
      </c>
      <c r="U24" s="12">
        <v>0</v>
      </c>
      <c r="V24" s="48">
        <v>1</v>
      </c>
      <c r="W24" s="99">
        <v>0</v>
      </c>
      <c r="X24" s="12">
        <v>0</v>
      </c>
      <c r="Y24" s="38">
        <v>1</v>
      </c>
      <c r="Z24" s="99">
        <v>0</v>
      </c>
      <c r="AA24" s="27">
        <f>K24</f>
        <v>1</v>
      </c>
      <c r="AB24" s="268">
        <v>1</v>
      </c>
      <c r="AC24" s="9">
        <v>0</v>
      </c>
      <c r="AD24" s="45">
        <f t="shared" ref="AD24:AD37" si="5">R24+U24+X24+AA24</f>
        <v>1</v>
      </c>
      <c r="AE24" s="28">
        <f>AD24/AC38</f>
        <v>2.786136186336788E-5</v>
      </c>
      <c r="AG24">
        <v>20</v>
      </c>
      <c r="AH24" s="47">
        <f>AH23+$K$32</f>
        <v>1560000</v>
      </c>
      <c r="AW24" s="38">
        <v>0</v>
      </c>
      <c r="AX24" s="43">
        <f>AX4</f>
        <v>0</v>
      </c>
      <c r="AY24" s="28">
        <f>AX24/AX37</f>
        <v>0</v>
      </c>
      <c r="AZ24" s="38">
        <v>0</v>
      </c>
      <c r="BA24" s="43">
        <f>BA4</f>
        <v>0</v>
      </c>
      <c r="BB24" s="28">
        <v>0</v>
      </c>
      <c r="BC24" s="43">
        <v>0</v>
      </c>
      <c r="BD24" s="43">
        <f>BD4</f>
        <v>0</v>
      </c>
      <c r="BE24" s="28">
        <v>0</v>
      </c>
      <c r="BF24" s="43">
        <v>0</v>
      </c>
      <c r="BG24" s="43">
        <f>BG4</f>
        <v>0</v>
      </c>
      <c r="BH24" s="28">
        <v>0</v>
      </c>
      <c r="BI24" s="43">
        <v>0</v>
      </c>
      <c r="BJ24" s="43">
        <f t="shared" ref="BJ24:BJ29" si="6">AX24+BA24+BD24+BG24</f>
        <v>0</v>
      </c>
      <c r="BK24" s="28">
        <f>BJ24/BI37</f>
        <v>0</v>
      </c>
    </row>
    <row r="25" spans="1:63" ht="15.75" customHeight="1">
      <c r="A25" s="48">
        <v>1</v>
      </c>
      <c r="B25" s="47">
        <v>2</v>
      </c>
      <c r="C25" s="34">
        <f>B25/B38</f>
        <v>2.0863759649488838E-4</v>
      </c>
      <c r="D25" s="49">
        <v>1</v>
      </c>
      <c r="E25" s="50">
        <v>2</v>
      </c>
      <c r="F25" s="34">
        <f>E25/D38</f>
        <v>7.7339520494972935E-4</v>
      </c>
      <c r="G25" s="85">
        <v>1</v>
      </c>
      <c r="H25" s="45">
        <v>2</v>
      </c>
      <c r="I25" s="100">
        <f>H25/G38</f>
        <v>5.1813471502590676E-3</v>
      </c>
      <c r="J25" s="52">
        <v>1</v>
      </c>
      <c r="K25" s="45">
        <v>2</v>
      </c>
      <c r="L25" s="100">
        <f>K25/J38</f>
        <v>5.5555555555555552E-2</v>
      </c>
      <c r="M25" s="48">
        <v>1</v>
      </c>
      <c r="N25" s="45">
        <f t="shared" si="4"/>
        <v>8</v>
      </c>
      <c r="O25" s="35">
        <f>N25/M38</f>
        <v>1.2258770384036629E-5</v>
      </c>
      <c r="Q25" s="48">
        <v>1</v>
      </c>
      <c r="R25" s="47">
        <f>SUM(B24:B25)</f>
        <v>2</v>
      </c>
      <c r="S25" s="48">
        <v>2</v>
      </c>
      <c r="T25" s="49">
        <v>1</v>
      </c>
      <c r="U25" s="50">
        <f>SUM($E$24:E25)</f>
        <v>2</v>
      </c>
      <c r="V25" s="48">
        <v>2</v>
      </c>
      <c r="W25" s="85">
        <v>1</v>
      </c>
      <c r="X25" s="50">
        <f>SUM($H$24:H25)</f>
        <v>2</v>
      </c>
      <c r="Y25" s="48">
        <v>2</v>
      </c>
      <c r="Z25" s="85">
        <v>1</v>
      </c>
      <c r="AA25" s="45">
        <f>SUM($K$24:K25)</f>
        <v>3</v>
      </c>
      <c r="AB25" s="269">
        <v>2</v>
      </c>
      <c r="AC25" s="48">
        <v>1</v>
      </c>
      <c r="AD25" s="45">
        <f t="shared" si="5"/>
        <v>9</v>
      </c>
      <c r="AE25" s="35">
        <f>AD25/AC38</f>
        <v>2.5075225677031093E-4</v>
      </c>
      <c r="AG25">
        <v>21</v>
      </c>
      <c r="AH25" s="47">
        <f>$K$33+AH24</f>
        <v>1680000</v>
      </c>
      <c r="AN25" t="str">
        <f>'Card Progress'!K2</f>
        <v>Elite Barbarians</v>
      </c>
      <c r="AW25" s="52">
        <v>1</v>
      </c>
      <c r="AX25" s="50">
        <f>AX5</f>
        <v>0</v>
      </c>
      <c r="AY25" s="34">
        <f>AX25/AX38</f>
        <v>0</v>
      </c>
      <c r="AZ25" s="49">
        <v>1</v>
      </c>
      <c r="BA25" s="45">
        <f>BA5</f>
        <v>0</v>
      </c>
      <c r="BB25" s="34">
        <f>BA25/AZ38</f>
        <v>0</v>
      </c>
      <c r="BC25" s="51">
        <v>1</v>
      </c>
      <c r="BD25" s="45">
        <f>BD5</f>
        <v>0</v>
      </c>
      <c r="BE25" s="34">
        <f>BD25/BC38</f>
        <v>0</v>
      </c>
      <c r="BF25" s="45">
        <v>1</v>
      </c>
      <c r="BG25" s="45">
        <f>BG5</f>
        <v>0</v>
      </c>
      <c r="BH25" s="34">
        <f>BG25/BF38</f>
        <v>0</v>
      </c>
      <c r="BI25" s="45">
        <v>1</v>
      </c>
      <c r="BJ25" s="45">
        <f t="shared" si="6"/>
        <v>0</v>
      </c>
      <c r="BK25" s="34">
        <f>BJ25/BI38</f>
        <v>0</v>
      </c>
    </row>
    <row r="26" spans="1:63" ht="15.75" customHeight="1">
      <c r="A26" s="48">
        <v>2</v>
      </c>
      <c r="B26" s="47">
        <v>4</v>
      </c>
      <c r="C26" s="34">
        <f>B26/B38</f>
        <v>4.1727519298977677E-4</v>
      </c>
      <c r="D26" s="49">
        <v>2</v>
      </c>
      <c r="E26" s="50">
        <v>4</v>
      </c>
      <c r="F26" s="34">
        <f>E26/D38</f>
        <v>1.5467904098994587E-3</v>
      </c>
      <c r="G26" s="85">
        <v>2</v>
      </c>
      <c r="H26" s="45">
        <v>4</v>
      </c>
      <c r="I26" s="100">
        <f>H26/G38</f>
        <v>1.0362694300518135E-2</v>
      </c>
      <c r="J26" s="52">
        <v>2</v>
      </c>
      <c r="K26" s="45">
        <v>4</v>
      </c>
      <c r="L26" s="100">
        <f>K26/J38</f>
        <v>0.1111111111111111</v>
      </c>
      <c r="M26" s="48">
        <v>2</v>
      </c>
      <c r="N26" s="45">
        <f t="shared" si="4"/>
        <v>16</v>
      </c>
      <c r="O26" s="35">
        <f>N26/M38</f>
        <v>2.4517540768073257E-5</v>
      </c>
      <c r="Q26" s="48">
        <v>2</v>
      </c>
      <c r="R26" s="47">
        <f>SUM(B24:B26)</f>
        <v>6</v>
      </c>
      <c r="S26" s="48">
        <v>3</v>
      </c>
      <c r="T26" s="49">
        <v>2</v>
      </c>
      <c r="U26" s="50">
        <f>SUM($E$24:E26)</f>
        <v>6</v>
      </c>
      <c r="V26" s="48">
        <v>3</v>
      </c>
      <c r="W26" s="85">
        <v>2</v>
      </c>
      <c r="X26" s="50">
        <f>SUM($H$24:H26)</f>
        <v>6</v>
      </c>
      <c r="Y26" s="48">
        <v>3</v>
      </c>
      <c r="Z26" s="85">
        <v>2</v>
      </c>
      <c r="AA26" s="45">
        <f>SUM($K$24:K26)</f>
        <v>7</v>
      </c>
      <c r="AB26" s="269">
        <v>3</v>
      </c>
      <c r="AC26" s="48">
        <v>2</v>
      </c>
      <c r="AD26" s="45">
        <f t="shared" si="5"/>
        <v>25</v>
      </c>
      <c r="AE26" s="35">
        <f>AD26/AC38</f>
        <v>6.9653404658419707E-4</v>
      </c>
      <c r="AG26">
        <v>22</v>
      </c>
      <c r="AH26" s="47">
        <f>AH25+$K$31</f>
        <v>1720000</v>
      </c>
      <c r="AM26">
        <f ca="1">VLOOKUP('Card Progress'!K2,Q42:S65,2,0)</f>
        <v>294643</v>
      </c>
      <c r="AN26">
        <v>3563</v>
      </c>
      <c r="AW26" s="52">
        <v>2</v>
      </c>
      <c r="AX26" s="50">
        <f>SUM($AX$5:AX6)</f>
        <v>4</v>
      </c>
      <c r="AY26" s="34">
        <f>AX26/AX38</f>
        <v>4.442963456625569E-4</v>
      </c>
      <c r="AZ26" s="49">
        <v>2</v>
      </c>
      <c r="BA26" s="45">
        <f>SUM($BA$5:BA6)</f>
        <v>6</v>
      </c>
      <c r="BB26" s="34">
        <f>BA26/AZ38</f>
        <v>6.7415730337078649E-4</v>
      </c>
      <c r="BC26" s="51">
        <v>2</v>
      </c>
      <c r="BD26" s="45">
        <f>SUM($BD$5:BD6)</f>
        <v>25</v>
      </c>
      <c r="BE26" s="34">
        <f>BD26/BC38</f>
        <v>2.9850746268656717E-3</v>
      </c>
      <c r="BF26" s="45">
        <v>2</v>
      </c>
      <c r="BG26" s="45">
        <f>SUM($BG$5:BG6)</f>
        <v>250</v>
      </c>
      <c r="BH26" s="34">
        <f>BG26/BF38</f>
        <v>4.1666666666666664E-2</v>
      </c>
      <c r="BI26" s="45">
        <v>2</v>
      </c>
      <c r="BJ26" s="45">
        <f t="shared" si="6"/>
        <v>285</v>
      </c>
      <c r="BK26" s="34">
        <f>BJ26/BI38</f>
        <v>8.8295433422145107E-3</v>
      </c>
    </row>
    <row r="27" spans="1:63" ht="15.75" customHeight="1">
      <c r="A27" s="48">
        <v>3</v>
      </c>
      <c r="B27" s="47">
        <v>10</v>
      </c>
      <c r="C27" s="34">
        <f>B27/B38</f>
        <v>1.043187982474442E-3</v>
      </c>
      <c r="D27" s="49">
        <v>3</v>
      </c>
      <c r="E27" s="50">
        <v>10</v>
      </c>
      <c r="F27" s="34">
        <f>E27/D38</f>
        <v>3.8669760247486465E-3</v>
      </c>
      <c r="G27" s="85">
        <v>3</v>
      </c>
      <c r="H27" s="45">
        <v>10</v>
      </c>
      <c r="I27" s="100">
        <f>H27/G38</f>
        <v>2.5906735751295335E-2</v>
      </c>
      <c r="J27" s="52">
        <v>3</v>
      </c>
      <c r="K27" s="45">
        <v>10</v>
      </c>
      <c r="L27" s="100">
        <f>K27/J38</f>
        <v>0.27777777777777779</v>
      </c>
      <c r="M27" s="48">
        <v>3</v>
      </c>
      <c r="N27" s="45">
        <f t="shared" si="4"/>
        <v>40</v>
      </c>
      <c r="O27" s="35">
        <f>N27/M38</f>
        <v>6.1293851920183145E-5</v>
      </c>
      <c r="Q27" s="48">
        <v>3</v>
      </c>
      <c r="R27" s="47">
        <f>SUM($B$25:B27)</f>
        <v>16</v>
      </c>
      <c r="S27" s="48">
        <v>4</v>
      </c>
      <c r="T27" s="49">
        <v>3</v>
      </c>
      <c r="U27" s="50">
        <f>SUM($E$24:E27)</f>
        <v>16</v>
      </c>
      <c r="V27" s="48">
        <v>4</v>
      </c>
      <c r="W27" s="85">
        <v>3</v>
      </c>
      <c r="X27" s="50">
        <f>SUM($H$24:H27)</f>
        <v>16</v>
      </c>
      <c r="Y27" s="48">
        <v>4</v>
      </c>
      <c r="Z27" s="85">
        <v>3</v>
      </c>
      <c r="AA27" s="45">
        <f>SUM($K$24:K27)</f>
        <v>17</v>
      </c>
      <c r="AB27" s="269">
        <v>4</v>
      </c>
      <c r="AC27" s="48">
        <v>3</v>
      </c>
      <c r="AD27" s="45">
        <f t="shared" si="5"/>
        <v>65</v>
      </c>
      <c r="AE27" s="35">
        <f>AD27/AC38</f>
        <v>1.8109885211189123E-3</v>
      </c>
      <c r="AG27">
        <v>23</v>
      </c>
      <c r="AH27" s="47">
        <f>AH26+$K$32</f>
        <v>1800000</v>
      </c>
      <c r="AO27" t="s">
        <v>48</v>
      </c>
      <c r="AP27" t="s">
        <v>1</v>
      </c>
      <c r="AQ27" t="s">
        <v>2</v>
      </c>
      <c r="AW27" s="52">
        <v>3</v>
      </c>
      <c r="AX27" s="50">
        <f>SUM($AX$5:AX7)</f>
        <v>9</v>
      </c>
      <c r="AY27" s="34">
        <f>AX27/AX38</f>
        <v>9.9966677774075306E-4</v>
      </c>
      <c r="AZ27" s="49">
        <v>3</v>
      </c>
      <c r="BA27" s="45">
        <f>SUM($BA$5:BA7)</f>
        <v>16</v>
      </c>
      <c r="BB27" s="34">
        <f>BA27/AZ38</f>
        <v>1.7977528089887641E-3</v>
      </c>
      <c r="BC27" s="51">
        <v>3</v>
      </c>
      <c r="BD27" s="45">
        <f>SUM($BD$5:BD7)</f>
        <v>125</v>
      </c>
      <c r="BE27" s="34">
        <f>BD27/BC38</f>
        <v>1.4925373134328358E-2</v>
      </c>
      <c r="BF27" s="45">
        <v>3</v>
      </c>
      <c r="BG27" s="45">
        <f>SUM($BG$5:BG7)</f>
        <v>850</v>
      </c>
      <c r="BH27" s="34">
        <f>BG27/BF38</f>
        <v>0.14166666666666666</v>
      </c>
      <c r="BI27" s="45">
        <v>3</v>
      </c>
      <c r="BJ27" s="45">
        <f t="shared" si="6"/>
        <v>1000</v>
      </c>
      <c r="BK27" s="34">
        <f>BJ27/BI38</f>
        <v>3.0980853832331619E-2</v>
      </c>
    </row>
    <row r="28" spans="1:63" ht="15.75" customHeight="1">
      <c r="A28" s="48">
        <v>4</v>
      </c>
      <c r="B28" s="47">
        <v>20</v>
      </c>
      <c r="C28" s="34">
        <f>B28/B38</f>
        <v>2.0863759649488839E-3</v>
      </c>
      <c r="D28" s="49">
        <v>4</v>
      </c>
      <c r="E28" s="50">
        <v>20</v>
      </c>
      <c r="F28" s="34">
        <f>E28/D38</f>
        <v>7.7339520494972931E-3</v>
      </c>
      <c r="G28" s="85">
        <v>4</v>
      </c>
      <c r="H28" s="45">
        <v>20</v>
      </c>
      <c r="I28" s="100">
        <f>H28/G38</f>
        <v>5.181347150259067E-2</v>
      </c>
      <c r="J28" s="52">
        <v>4</v>
      </c>
      <c r="K28" s="45">
        <v>20</v>
      </c>
      <c r="L28" s="100">
        <f>K28/J38</f>
        <v>0.55555555555555558</v>
      </c>
      <c r="M28" s="48">
        <v>4</v>
      </c>
      <c r="N28" s="45">
        <f t="shared" si="4"/>
        <v>80</v>
      </c>
      <c r="O28" s="35">
        <f>N28/M38</f>
        <v>1.2258770384036629E-4</v>
      </c>
      <c r="Q28" s="48">
        <v>4</v>
      </c>
      <c r="R28" s="47">
        <f>SUM($B$25:B28)</f>
        <v>36</v>
      </c>
      <c r="S28" s="48">
        <v>5</v>
      </c>
      <c r="T28" s="49">
        <v>4</v>
      </c>
      <c r="U28" s="50">
        <f>SUM($E$24:E28)</f>
        <v>36</v>
      </c>
      <c r="V28" s="48">
        <v>5</v>
      </c>
      <c r="W28" s="85">
        <v>4</v>
      </c>
      <c r="X28" s="50">
        <f>SUM($H$24:H28)</f>
        <v>36</v>
      </c>
      <c r="Y28" s="48">
        <v>5</v>
      </c>
      <c r="Z28" s="85">
        <v>4</v>
      </c>
      <c r="AA28" s="45">
        <f>SUM($K$24:K28)</f>
        <v>37</v>
      </c>
      <c r="AB28" s="269">
        <v>5</v>
      </c>
      <c r="AC28" s="48">
        <v>4</v>
      </c>
      <c r="AD28" s="45">
        <f t="shared" si="5"/>
        <v>145</v>
      </c>
      <c r="AE28" s="35">
        <f>AD28/AC38</f>
        <v>4.0398974701883429E-3</v>
      </c>
      <c r="AG28">
        <v>24</v>
      </c>
      <c r="AH28" s="47">
        <f>$K$33+AH27</f>
        <v>1920000</v>
      </c>
      <c r="AN28">
        <f ca="1">AN26+AO28</f>
        <v>294643</v>
      </c>
      <c r="AO28">
        <f ca="1">AT39*VLOOKUP('Card Progress'!N6,'Card Progress data'!AC42:AD52,2,0)</f>
        <v>291080</v>
      </c>
      <c r="AP28">
        <f ca="1">AT39*4</f>
        <v>29108</v>
      </c>
      <c r="AQ28">
        <f ca="1">AT39*4</f>
        <v>29108</v>
      </c>
      <c r="AW28" s="52">
        <v>4</v>
      </c>
      <c r="AX28" s="50">
        <f>SUM($AX$5:AX8)</f>
        <v>15</v>
      </c>
      <c r="AY28" s="34">
        <f>AX28/AX38</f>
        <v>1.6661112962345886E-3</v>
      </c>
      <c r="AZ28" s="49">
        <v>4</v>
      </c>
      <c r="BA28" s="45">
        <f>SUM($BA$5:BA8)</f>
        <v>41</v>
      </c>
      <c r="BB28" s="34">
        <f>BA28/AZ38</f>
        <v>4.6067415730337083E-3</v>
      </c>
      <c r="BC28" s="51">
        <v>4</v>
      </c>
      <c r="BD28" s="45">
        <f>SUM($BD$5:BD8)</f>
        <v>325</v>
      </c>
      <c r="BE28" s="34">
        <f>BD28/BC38</f>
        <v>3.880597014925373E-2</v>
      </c>
      <c r="BF28" s="45">
        <v>4</v>
      </c>
      <c r="BG28" s="45">
        <f>SUM($BG$5:BG8)</f>
        <v>1650</v>
      </c>
      <c r="BH28" s="34">
        <f>BG28/BF38</f>
        <v>0.27500000000000002</v>
      </c>
      <c r="BI28" s="45">
        <v>4</v>
      </c>
      <c r="BJ28" s="45">
        <f t="shared" si="6"/>
        <v>2031</v>
      </c>
      <c r="BK28" s="34">
        <f>BJ28/BI38</f>
        <v>6.2922114133465518E-2</v>
      </c>
    </row>
    <row r="29" spans="1:63" ht="15.75" customHeight="1">
      <c r="A29" s="48">
        <v>5</v>
      </c>
      <c r="B29" s="47">
        <v>50</v>
      </c>
      <c r="C29" s="34">
        <f>B29/B38</f>
        <v>5.2159399123722092E-3</v>
      </c>
      <c r="D29" s="49">
        <v>5</v>
      </c>
      <c r="E29" s="50">
        <v>50</v>
      </c>
      <c r="F29" s="34">
        <f>E29/D38</f>
        <v>1.9334880123743233E-2</v>
      </c>
      <c r="G29" s="85">
        <v>5</v>
      </c>
      <c r="H29" s="45">
        <v>50</v>
      </c>
      <c r="I29" s="100">
        <f>H29/G38</f>
        <v>0.12953367875647667</v>
      </c>
      <c r="J29" s="264">
        <v>5</v>
      </c>
      <c r="K29" s="59">
        <v>0</v>
      </c>
      <c r="L29" s="105">
        <f>K29/J38</f>
        <v>0</v>
      </c>
      <c r="M29" s="48">
        <v>5</v>
      </c>
      <c r="N29" s="45">
        <f t="shared" si="4"/>
        <v>150</v>
      </c>
      <c r="O29" s="35">
        <f>N29/M38</f>
        <v>2.2985194470068681E-4</v>
      </c>
      <c r="Q29" s="48">
        <v>5</v>
      </c>
      <c r="R29" s="47">
        <f>SUM($B$25:B29)</f>
        <v>86</v>
      </c>
      <c r="S29" s="48">
        <v>6</v>
      </c>
      <c r="T29" s="49">
        <v>5</v>
      </c>
      <c r="U29" s="50">
        <f>SUM($E$24:E29)</f>
        <v>86</v>
      </c>
      <c r="V29" s="48">
        <v>6</v>
      </c>
      <c r="W29" s="85">
        <v>5</v>
      </c>
      <c r="X29" s="50">
        <f>SUM($H$24:H29)</f>
        <v>86</v>
      </c>
      <c r="Y29" s="48">
        <v>6</v>
      </c>
      <c r="Z29" s="261">
        <v>5</v>
      </c>
      <c r="AA29" s="45">
        <v>0</v>
      </c>
      <c r="AB29" s="270"/>
      <c r="AC29" s="48">
        <v>5</v>
      </c>
      <c r="AD29" s="45">
        <f t="shared" si="5"/>
        <v>258</v>
      </c>
      <c r="AE29" s="35">
        <f>AD29/AC38</f>
        <v>7.1882313607489132E-3</v>
      </c>
      <c r="AG29">
        <v>25</v>
      </c>
      <c r="AH29" s="47">
        <f>AH28+$K$31</f>
        <v>1960000</v>
      </c>
      <c r="AS29" s="258">
        <v>42961.666597222225</v>
      </c>
      <c r="AW29" s="52">
        <v>5</v>
      </c>
      <c r="AX29" s="50">
        <f>SUM($AX$5:AX9)</f>
        <v>25</v>
      </c>
      <c r="AY29" s="34">
        <f>AX29/AX38</f>
        <v>2.7768521603909807E-3</v>
      </c>
      <c r="AZ29" s="49">
        <v>5</v>
      </c>
      <c r="BA29" s="45">
        <f>SUM($BA$5:BA9)</f>
        <v>91</v>
      </c>
      <c r="BB29" s="34">
        <f>BA29/AZ38</f>
        <v>1.0224719101123596E-2</v>
      </c>
      <c r="BC29" s="51">
        <v>5</v>
      </c>
      <c r="BD29" s="45">
        <f>SUM($BD$5:BD9)</f>
        <v>725</v>
      </c>
      <c r="BE29" s="34">
        <f>BD29/BC38</f>
        <v>8.6567164179104483E-2</v>
      </c>
      <c r="BF29" s="59">
        <v>5</v>
      </c>
      <c r="BG29" s="59">
        <f>SUM($BG$5:BG9)</f>
        <v>3250</v>
      </c>
      <c r="BH29" s="56">
        <f>BG29/BF38</f>
        <v>0.54166666666666663</v>
      </c>
      <c r="BI29" s="45">
        <v>5</v>
      </c>
      <c r="BJ29" s="45">
        <f t="shared" si="6"/>
        <v>4091</v>
      </c>
      <c r="BK29" s="34">
        <f>BJ29/BI38</f>
        <v>0.12674267302806866</v>
      </c>
    </row>
    <row r="30" spans="1:63" ht="15.75" customHeight="1">
      <c r="A30" s="48">
        <v>6</v>
      </c>
      <c r="B30" s="47">
        <v>100</v>
      </c>
      <c r="C30" s="34">
        <f>B30/B38</f>
        <v>1.0431879824744418E-2</v>
      </c>
      <c r="D30" s="49">
        <v>6</v>
      </c>
      <c r="E30" s="50">
        <v>100</v>
      </c>
      <c r="F30" s="34">
        <f>E30/D38</f>
        <v>3.8669760247486466E-2</v>
      </c>
      <c r="G30" s="85">
        <v>6</v>
      </c>
      <c r="H30" s="45">
        <v>100</v>
      </c>
      <c r="I30" s="6">
        <f>H30/G38</f>
        <v>0.25906735751295334</v>
      </c>
      <c r="J30" s="153" t="s">
        <v>409</v>
      </c>
      <c r="K30" s="153"/>
      <c r="L30" s="153"/>
      <c r="M30" s="48">
        <v>6</v>
      </c>
      <c r="N30" s="45">
        <f t="shared" si="4"/>
        <v>300</v>
      </c>
      <c r="O30" s="35">
        <f>N30/M38</f>
        <v>4.5970388940137362E-4</v>
      </c>
      <c r="Q30" s="48">
        <v>6</v>
      </c>
      <c r="R30" s="47">
        <f>SUM($B$25:B30)</f>
        <v>186</v>
      </c>
      <c r="S30" s="48">
        <v>7</v>
      </c>
      <c r="T30" s="49">
        <v>6</v>
      </c>
      <c r="U30" s="50">
        <f>SUM($E$24:E30)</f>
        <v>186</v>
      </c>
      <c r="V30" s="48">
        <v>7</v>
      </c>
      <c r="W30" s="85">
        <v>6</v>
      </c>
      <c r="X30" s="50">
        <f>SUM($H$24:H30)</f>
        <v>186</v>
      </c>
      <c r="Y30" s="48">
        <v>7</v>
      </c>
      <c r="Z30" s="47"/>
      <c r="AA30" s="47"/>
      <c r="AB30" s="47"/>
      <c r="AC30" s="48">
        <v>6</v>
      </c>
      <c r="AD30" s="45">
        <f t="shared" si="5"/>
        <v>558</v>
      </c>
      <c r="AE30" s="35">
        <f>AD30/AC38</f>
        <v>1.5546639919759278E-2</v>
      </c>
      <c r="AG30">
        <v>26</v>
      </c>
      <c r="AH30" s="47">
        <f>AH29+$K$32</f>
        <v>2040000</v>
      </c>
      <c r="AW30" s="52">
        <v>6</v>
      </c>
      <c r="AX30" s="50">
        <f>SUM($AX$5:AX10)</f>
        <v>50</v>
      </c>
      <c r="AY30" s="34">
        <f>AX30/AX38</f>
        <v>5.5537043207819613E-3</v>
      </c>
      <c r="AZ30" s="49">
        <v>6</v>
      </c>
      <c r="BA30" s="45">
        <f>SUM($BA$5:BA10)</f>
        <v>191</v>
      </c>
      <c r="BB30" s="34">
        <f>BA30/AZ38</f>
        <v>2.1460674157303371E-2</v>
      </c>
      <c r="BC30" s="51">
        <v>6</v>
      </c>
      <c r="BD30" s="45">
        <f>SUM($BD$5:BD10)</f>
        <v>1325</v>
      </c>
      <c r="BE30" s="34">
        <f>BD30/BC38</f>
        <v>0.15820895522388059</v>
      </c>
      <c r="BF30" s="47"/>
      <c r="BG30" s="47"/>
      <c r="BH30" s="47"/>
      <c r="BI30" s="45">
        <v>6</v>
      </c>
      <c r="BJ30" s="45">
        <f>AX30+BA30+BD30+BG29</f>
        <v>4816</v>
      </c>
      <c r="BK30" s="34">
        <f>BJ30/BI38</f>
        <v>0.14920379205650908</v>
      </c>
    </row>
    <row r="31" spans="1:63" ht="15.75" customHeight="1">
      <c r="A31" s="48">
        <v>7</v>
      </c>
      <c r="B31" s="47">
        <v>200</v>
      </c>
      <c r="C31" s="34">
        <f>B31/B38</f>
        <v>2.0863759649488837E-2</v>
      </c>
      <c r="D31" s="49">
        <v>7</v>
      </c>
      <c r="E31" s="50">
        <v>200</v>
      </c>
      <c r="F31" s="34">
        <f>E31/D38</f>
        <v>7.7339520494972933E-2</v>
      </c>
      <c r="G31" s="85">
        <v>7</v>
      </c>
      <c r="H31" s="45">
        <v>200</v>
      </c>
      <c r="I31" s="6">
        <f>H31/G38</f>
        <v>0.51813471502590669</v>
      </c>
      <c r="J31" s="50">
        <v>1</v>
      </c>
      <c r="K31" s="45">
        <v>40000</v>
      </c>
      <c r="L31" s="51"/>
      <c r="M31" s="48">
        <v>7</v>
      </c>
      <c r="N31" s="45">
        <f t="shared" si="4"/>
        <v>40600</v>
      </c>
      <c r="O31" s="35">
        <f>N31/M38</f>
        <v>6.221325969898589E-2</v>
      </c>
      <c r="Q31" s="48">
        <v>7</v>
      </c>
      <c r="R31" s="47">
        <f>SUM($B$25:B31)</f>
        <v>386</v>
      </c>
      <c r="S31" s="48">
        <v>8</v>
      </c>
      <c r="T31" s="49">
        <v>7</v>
      </c>
      <c r="U31" s="50">
        <f>SUM($E$24:E31)</f>
        <v>386</v>
      </c>
      <c r="V31" s="48">
        <v>8</v>
      </c>
      <c r="W31" s="85">
        <v>7</v>
      </c>
      <c r="X31" s="50">
        <f>SUM($H$24:H31)</f>
        <v>386</v>
      </c>
      <c r="Y31" s="48">
        <v>8</v>
      </c>
      <c r="Z31" s="47"/>
      <c r="AA31" s="47"/>
      <c r="AB31" s="47"/>
      <c r="AC31" s="48">
        <v>7</v>
      </c>
      <c r="AD31" s="45">
        <f t="shared" si="5"/>
        <v>1158</v>
      </c>
      <c r="AE31" s="35">
        <f>AD31/AC38</f>
        <v>3.2263457037780004E-2</v>
      </c>
      <c r="AG31">
        <v>27</v>
      </c>
      <c r="AH31" s="47">
        <f>$K$33+AH30</f>
        <v>2160000</v>
      </c>
      <c r="AS31" t="s">
        <v>285</v>
      </c>
      <c r="AT31" s="258"/>
      <c r="AW31" s="52">
        <v>7</v>
      </c>
      <c r="AX31" s="50">
        <f>SUM($AX$5:AX11)</f>
        <v>100</v>
      </c>
      <c r="AY31" s="34">
        <f>AX31/AX38</f>
        <v>1.1107408641563923E-2</v>
      </c>
      <c r="AZ31" s="49">
        <v>7</v>
      </c>
      <c r="BA31" s="45">
        <f>SUM($BA$5:BA11)</f>
        <v>391</v>
      </c>
      <c r="BB31" s="34">
        <f>BA31/AZ38</f>
        <v>4.3932584269662921E-2</v>
      </c>
      <c r="BC31" s="51">
        <v>7</v>
      </c>
      <c r="BD31" s="45">
        <f>SUM($BD$5:BD11)</f>
        <v>2125</v>
      </c>
      <c r="BE31" s="34">
        <f>BD31/BC38</f>
        <v>0.2537313432835821</v>
      </c>
      <c r="BF31" s="47"/>
      <c r="BG31" s="47"/>
      <c r="BH31" s="47"/>
      <c r="BI31" s="45">
        <v>7</v>
      </c>
      <c r="BJ31" s="45">
        <f>AX31+BA31+BD31+BG29</f>
        <v>5866</v>
      </c>
      <c r="BK31" s="34">
        <f>BJ31/BI38</f>
        <v>0.18173368858045727</v>
      </c>
    </row>
    <row r="32" spans="1:63" ht="15.75" customHeight="1">
      <c r="A32" s="48">
        <v>8</v>
      </c>
      <c r="B32" s="47">
        <v>400</v>
      </c>
      <c r="C32" s="34">
        <f>B32/B38</f>
        <v>4.1727519298977674E-2</v>
      </c>
      <c r="D32" s="49">
        <v>8</v>
      </c>
      <c r="E32" s="50">
        <v>400</v>
      </c>
      <c r="F32" s="34">
        <f>E32/D38</f>
        <v>0.15467904098994587</v>
      </c>
      <c r="G32" s="261">
        <v>8</v>
      </c>
      <c r="H32" s="59">
        <v>0</v>
      </c>
      <c r="I32" s="271">
        <f>H32/G38</f>
        <v>0</v>
      </c>
      <c r="J32" s="50">
        <v>2</v>
      </c>
      <c r="K32" s="45">
        <v>80000</v>
      </c>
      <c r="L32" s="51"/>
      <c r="M32" s="48">
        <v>8</v>
      </c>
      <c r="N32" s="45">
        <f t="shared" si="4"/>
        <v>80800</v>
      </c>
      <c r="O32" s="35">
        <f>N32/M38</f>
        <v>0.12381358087876995</v>
      </c>
      <c r="Q32" s="48">
        <v>8</v>
      </c>
      <c r="R32" s="47">
        <f>SUM($B$25:B32)</f>
        <v>786</v>
      </c>
      <c r="S32" s="48">
        <v>9</v>
      </c>
      <c r="T32" s="49">
        <v>8</v>
      </c>
      <c r="U32" s="50">
        <f>SUM($E$24:E32)</f>
        <v>786</v>
      </c>
      <c r="V32" s="48">
        <v>9</v>
      </c>
      <c r="W32" s="261">
        <v>8</v>
      </c>
      <c r="X32" s="257">
        <v>0</v>
      </c>
      <c r="Y32" s="56"/>
      <c r="Z32" s="47"/>
      <c r="AA32" s="47"/>
      <c r="AB32" s="47"/>
      <c r="AC32" s="48">
        <v>8</v>
      </c>
      <c r="AD32" s="45">
        <f t="shared" si="5"/>
        <v>1572</v>
      </c>
      <c r="AE32" s="35">
        <f>AD32/AC38</f>
        <v>4.379806084921431E-2</v>
      </c>
      <c r="AG32">
        <v>28</v>
      </c>
      <c r="AH32" s="47">
        <f>AH31+$K$31</f>
        <v>2200000</v>
      </c>
      <c r="AN32" t="s">
        <v>286</v>
      </c>
      <c r="AS32" s="258">
        <f ca="1">NOW()</f>
        <v>45736.526136342596</v>
      </c>
      <c r="AT32" s="258">
        <v>43310.692974531252</v>
      </c>
      <c r="AW32" s="52">
        <v>8</v>
      </c>
      <c r="AX32" s="50">
        <f>SUM($AX$5:AX12)</f>
        <v>200</v>
      </c>
      <c r="AY32" s="34">
        <f>AX32/AX38</f>
        <v>2.2214817283127845E-2</v>
      </c>
      <c r="AZ32" s="49">
        <v>8</v>
      </c>
      <c r="BA32" s="45">
        <f>SUM($BA$5:BA12)</f>
        <v>791</v>
      </c>
      <c r="BB32" s="34">
        <f>BA32/AZ38</f>
        <v>8.8876404494382027E-2</v>
      </c>
      <c r="BC32" s="60">
        <v>8</v>
      </c>
      <c r="BD32" s="59">
        <f>SUM($BD$5:BD12)</f>
        <v>3725</v>
      </c>
      <c r="BE32" s="56">
        <f>BD32/BC38</f>
        <v>0.44477611940298506</v>
      </c>
      <c r="BF32" s="47"/>
      <c r="BG32" s="47"/>
      <c r="BH32" s="47"/>
      <c r="BI32" s="45">
        <v>8</v>
      </c>
      <c r="BJ32" s="45">
        <f>AX32+BA32+BD32+BG29</f>
        <v>7966</v>
      </c>
      <c r="BK32" s="34">
        <f>BJ32/BI38</f>
        <v>0.24679348162835368</v>
      </c>
    </row>
    <row r="33" spans="1:63" ht="15.75" customHeight="1">
      <c r="A33" s="48">
        <v>9</v>
      </c>
      <c r="B33" s="47">
        <v>800</v>
      </c>
      <c r="C33" s="34">
        <f>B33/B38</f>
        <v>8.3455038597955347E-2</v>
      </c>
      <c r="D33" s="49">
        <v>9</v>
      </c>
      <c r="E33" s="50">
        <v>800</v>
      </c>
      <c r="F33" s="34">
        <f>E33/D38</f>
        <v>0.30935808197989173</v>
      </c>
      <c r="G33" s="47"/>
      <c r="H33" s="47"/>
      <c r="I33" s="47"/>
      <c r="J33" s="257">
        <v>3</v>
      </c>
      <c r="K33" s="59">
        <v>120000</v>
      </c>
      <c r="L33" s="60"/>
      <c r="M33" s="48">
        <v>9</v>
      </c>
      <c r="N33" s="45">
        <f t="shared" si="4"/>
        <v>121600</v>
      </c>
      <c r="O33" s="35">
        <f>N33/M38</f>
        <v>0.18633330983735677</v>
      </c>
      <c r="Q33" s="48">
        <v>9</v>
      </c>
      <c r="R33" s="47">
        <f>SUM($B$25:B33)</f>
        <v>1586</v>
      </c>
      <c r="S33" s="48">
        <v>10</v>
      </c>
      <c r="T33" s="49">
        <v>9</v>
      </c>
      <c r="U33" s="50">
        <f>SUM($E$24:E33)</f>
        <v>1586</v>
      </c>
      <c r="V33" s="48">
        <v>10</v>
      </c>
      <c r="W33" s="47"/>
      <c r="X33" s="47"/>
      <c r="Y33" s="47"/>
      <c r="Z33" s="47"/>
      <c r="AA33" s="47"/>
      <c r="AB33" s="47"/>
      <c r="AC33" s="48">
        <v>9</v>
      </c>
      <c r="AD33" s="45">
        <f t="shared" si="5"/>
        <v>3172</v>
      </c>
      <c r="AE33" s="35">
        <f>AD33/AC38</f>
        <v>8.8376239830602915E-2</v>
      </c>
      <c r="AG33">
        <v>29</v>
      </c>
      <c r="AH33" s="47">
        <f>AH32+$K$32</f>
        <v>2280000</v>
      </c>
      <c r="AN33">
        <f>'Card Progress'!J5</f>
        <v>0</v>
      </c>
      <c r="AS33" s="89"/>
      <c r="AW33" s="52">
        <v>9</v>
      </c>
      <c r="AX33" s="50">
        <f>SUM($AX$5:AX13)</f>
        <v>400</v>
      </c>
      <c r="AY33" s="34">
        <f>AX33/AX38</f>
        <v>4.4429634566255691E-2</v>
      </c>
      <c r="AZ33" s="49">
        <v>9</v>
      </c>
      <c r="BA33" s="45">
        <f>SUM($BA$5:BA13)</f>
        <v>1391</v>
      </c>
      <c r="BB33" s="34">
        <f>BA33/AZ38</f>
        <v>0.15629213483146068</v>
      </c>
      <c r="BC33" s="47"/>
      <c r="BD33" s="47"/>
      <c r="BE33" s="47"/>
      <c r="BF33" s="47"/>
      <c r="BG33" s="47"/>
      <c r="BH33" s="47"/>
      <c r="BI33" s="45">
        <v>9</v>
      </c>
      <c r="BJ33" s="45">
        <f>AX33+BA33+BD32+BG29</f>
        <v>8766</v>
      </c>
      <c r="BK33" s="34">
        <f>BJ33/BI38</f>
        <v>0.27157816469421897</v>
      </c>
    </row>
    <row r="34" spans="1:63" ht="15.75" customHeight="1">
      <c r="A34" s="48">
        <v>10</v>
      </c>
      <c r="B34" s="47">
        <v>1000</v>
      </c>
      <c r="C34" s="34">
        <f>B34/B38</f>
        <v>0.10431879824744419</v>
      </c>
      <c r="D34" s="85">
        <v>10</v>
      </c>
      <c r="E34" s="260">
        <v>1000</v>
      </c>
      <c r="F34" s="100">
        <f>E34/D38</f>
        <v>0.38669760247486468</v>
      </c>
      <c r="G34" s="47"/>
      <c r="H34" s="47"/>
      <c r="I34" s="47"/>
      <c r="J34" s="153" t="s">
        <v>410</v>
      </c>
      <c r="K34" s="153"/>
      <c r="L34" s="153"/>
      <c r="M34" s="48">
        <v>10</v>
      </c>
      <c r="N34" s="45">
        <f t="shared" si="4"/>
        <v>2000</v>
      </c>
      <c r="O34" s="35">
        <f>N34/M38</f>
        <v>3.0646925960091573E-3</v>
      </c>
      <c r="Q34" s="48">
        <v>10</v>
      </c>
      <c r="R34" s="47">
        <f>SUM($B$25:B34)</f>
        <v>2586</v>
      </c>
      <c r="S34" s="48">
        <v>11</v>
      </c>
      <c r="T34" s="85">
        <v>10</v>
      </c>
      <c r="U34" s="50">
        <f>SUM($E$24:E34)</f>
        <v>2586</v>
      </c>
      <c r="V34" s="48">
        <v>11</v>
      </c>
      <c r="W34" s="47"/>
      <c r="X34" s="47"/>
      <c r="Y34" s="47"/>
      <c r="Z34" s="47"/>
      <c r="AA34" s="47"/>
      <c r="AB34" s="47"/>
      <c r="AC34" s="48">
        <v>10</v>
      </c>
      <c r="AD34" s="45">
        <f t="shared" si="5"/>
        <v>5172</v>
      </c>
      <c r="AE34" s="35">
        <f>AD34/AC38</f>
        <v>0.14409896355733867</v>
      </c>
      <c r="AG34">
        <v>30</v>
      </c>
      <c r="AH34" s="47">
        <f>$K$33+AH33</f>
        <v>2400000</v>
      </c>
      <c r="AN34" t="e">
        <f>VLOOKUP('Card Progress'!J5,'Card Progress data'!Q42:R66,2,0)</f>
        <v>#N/A</v>
      </c>
      <c r="AT34" t="s">
        <v>294</v>
      </c>
      <c r="AW34" s="52">
        <v>10</v>
      </c>
      <c r="AX34" s="50">
        <f>SUM($AX$5:AX14)</f>
        <v>800</v>
      </c>
      <c r="AY34" s="34">
        <f>AX34/AX38</f>
        <v>8.8859269132511381E-2</v>
      </c>
      <c r="AZ34" s="49">
        <v>10</v>
      </c>
      <c r="BA34" s="45">
        <f>SUM($BA$5:BA14)</f>
        <v>2191</v>
      </c>
      <c r="BB34" s="34">
        <f>BA34/AZ38</f>
        <v>0.24617977528089888</v>
      </c>
      <c r="BC34" s="47"/>
      <c r="BD34" s="47"/>
      <c r="BE34" s="47"/>
      <c r="BF34" s="47"/>
      <c r="BG34" s="47"/>
      <c r="BH34" s="47"/>
      <c r="BI34" s="45">
        <v>10</v>
      </c>
      <c r="BJ34" s="45">
        <f>AX34+BA34+BD32+BG29</f>
        <v>9966</v>
      </c>
      <c r="BK34" s="34">
        <f>BJ34/BI38</f>
        <v>0.30875518929301693</v>
      </c>
    </row>
    <row r="35" spans="1:63" ht="15.75" customHeight="1">
      <c r="A35" s="48">
        <v>11</v>
      </c>
      <c r="B35" s="47">
        <v>2000</v>
      </c>
      <c r="C35" s="34">
        <f>B35/B38</f>
        <v>0.20863759649488839</v>
      </c>
      <c r="D35" s="61">
        <v>11</v>
      </c>
      <c r="E35" s="62">
        <v>0</v>
      </c>
      <c r="F35" s="56">
        <f>E35/D38</f>
        <v>0</v>
      </c>
      <c r="G35" s="47"/>
      <c r="H35" s="47"/>
      <c r="I35" s="47"/>
      <c r="J35" s="41">
        <v>1</v>
      </c>
      <c r="K35" s="43">
        <f>K31</f>
        <v>40000</v>
      </c>
      <c r="L35" s="42"/>
      <c r="M35" s="48">
        <v>11</v>
      </c>
      <c r="N35" s="45">
        <f t="shared" si="4"/>
        <v>42000</v>
      </c>
      <c r="O35" s="35">
        <f>N35/M38</f>
        <v>6.4358544516192301E-2</v>
      </c>
      <c r="Q35" s="48">
        <v>11</v>
      </c>
      <c r="R35" s="47">
        <f>SUM($B$25:B35)</f>
        <v>4586</v>
      </c>
      <c r="S35" s="48">
        <v>12</v>
      </c>
      <c r="T35" s="61">
        <v>11</v>
      </c>
      <c r="U35" s="62">
        <v>0</v>
      </c>
      <c r="V35" s="87">
        <v>11</v>
      </c>
      <c r="W35" s="47"/>
      <c r="X35" s="47"/>
      <c r="Y35" s="47"/>
      <c r="Z35" s="47"/>
      <c r="AA35" s="47"/>
      <c r="AB35" s="47"/>
      <c r="AC35" s="48">
        <v>11</v>
      </c>
      <c r="AD35" s="45">
        <f t="shared" si="5"/>
        <v>4586</v>
      </c>
      <c r="AE35" s="35">
        <f>AD35/AC38</f>
        <v>0.12777220550540511</v>
      </c>
      <c r="AG35">
        <v>31</v>
      </c>
      <c r="AH35" s="47">
        <f>AH34+$K$31</f>
        <v>2440000</v>
      </c>
      <c r="AT35" s="3">
        <f ca="1">AS32-AT32</f>
        <v>2425.8331618113443</v>
      </c>
      <c r="AU35" s="3"/>
      <c r="AW35" s="52">
        <v>11</v>
      </c>
      <c r="AX35" s="50">
        <f>SUM($AX$5:AX15)</f>
        <v>1400</v>
      </c>
      <c r="AY35" s="34">
        <f>AX35/AX38</f>
        <v>0.15550372098189491</v>
      </c>
      <c r="AZ35" s="61">
        <v>11</v>
      </c>
      <c r="BA35" s="59">
        <f>SUM($BA$5:BA15)</f>
        <v>3791</v>
      </c>
      <c r="BB35" s="56">
        <f>BA35/AZ38</f>
        <v>0.4259550561797753</v>
      </c>
      <c r="BC35" s="47"/>
      <c r="BD35" s="47"/>
      <c r="BE35" s="47"/>
      <c r="BF35" s="47"/>
      <c r="BG35" s="47"/>
      <c r="BH35" s="47"/>
      <c r="BI35" s="45">
        <v>11</v>
      </c>
      <c r="BJ35" s="45">
        <f>AX35+BA35+BD32+BG29</f>
        <v>12166</v>
      </c>
      <c r="BK35" s="34">
        <f>BJ35/BI38</f>
        <v>0.37691306772414646</v>
      </c>
    </row>
    <row r="36" spans="1:63" ht="15.75" customHeight="1">
      <c r="A36" s="48">
        <v>12</v>
      </c>
      <c r="B36" s="47">
        <v>5000</v>
      </c>
      <c r="C36" s="34">
        <f>B36/B38</f>
        <v>0.52159399123722094</v>
      </c>
      <c r="D36" s="47"/>
      <c r="E36" s="47"/>
      <c r="F36" s="47"/>
      <c r="G36" s="47"/>
      <c r="H36" s="47"/>
      <c r="I36" s="47"/>
      <c r="J36" s="50">
        <v>2</v>
      </c>
      <c r="K36" s="45">
        <f>K32+K31</f>
        <v>120000</v>
      </c>
      <c r="L36" s="51"/>
      <c r="M36" s="48">
        <v>12</v>
      </c>
      <c r="N36" s="45">
        <f t="shared" si="4"/>
        <v>125000</v>
      </c>
      <c r="O36" s="35">
        <f>N36/M38</f>
        <v>0.19154328725057232</v>
      </c>
      <c r="Q36" s="48">
        <v>12</v>
      </c>
      <c r="R36" s="47">
        <f>SUM($B$25:B36)</f>
        <v>9586</v>
      </c>
      <c r="S36" s="48">
        <v>13</v>
      </c>
      <c r="T36" s="47"/>
      <c r="U36" s="47"/>
      <c r="V36" s="47"/>
      <c r="W36" s="47"/>
      <c r="X36" s="47"/>
      <c r="Y36" s="47"/>
      <c r="Z36" s="47"/>
      <c r="AA36" s="47"/>
      <c r="AB36" s="47"/>
      <c r="AC36" s="48">
        <v>12</v>
      </c>
      <c r="AD36" s="45">
        <f t="shared" si="5"/>
        <v>9586</v>
      </c>
      <c r="AE36" s="35">
        <f>AD36/AC38</f>
        <v>0.2670790148222445</v>
      </c>
      <c r="AG36">
        <v>32</v>
      </c>
      <c r="AH36" s="47">
        <f>AH35+$K$32</f>
        <v>2520000</v>
      </c>
      <c r="AT36" s="3">
        <f ca="1">AT35*24</f>
        <v>58219.995883472264</v>
      </c>
      <c r="AU36" s="3"/>
      <c r="AW36" s="52">
        <v>12</v>
      </c>
      <c r="AX36" s="50">
        <f>SUM($AX$5:AX16)</f>
        <v>2200</v>
      </c>
      <c r="AY36" s="34">
        <f>AX36/AX38</f>
        <v>0.24436299011440632</v>
      </c>
      <c r="AZ36" s="47"/>
      <c r="BA36" s="47"/>
      <c r="BB36" s="47"/>
      <c r="BC36" s="47"/>
      <c r="BD36" s="47"/>
      <c r="BE36" s="47"/>
      <c r="BF36" s="47"/>
      <c r="BG36" s="47"/>
      <c r="BH36" s="47"/>
      <c r="BI36" s="45">
        <v>12</v>
      </c>
      <c r="BJ36" s="45">
        <f>AX36+BA35+BD32+BG29</f>
        <v>12966</v>
      </c>
      <c r="BK36" s="34">
        <f>BJ36/BI38</f>
        <v>0.4016977507900118</v>
      </c>
    </row>
    <row r="37" spans="1:63" ht="15.75" customHeight="1">
      <c r="A37" s="48">
        <v>13</v>
      </c>
      <c r="B37" s="47">
        <v>0</v>
      </c>
      <c r="C37" s="34">
        <f>B37/B38</f>
        <v>0</v>
      </c>
      <c r="D37" s="47"/>
      <c r="E37" s="47"/>
      <c r="F37" s="47"/>
      <c r="G37" s="47"/>
      <c r="H37" s="47"/>
      <c r="I37" s="47"/>
      <c r="J37" s="257">
        <v>3</v>
      </c>
      <c r="K37" s="59">
        <f>K31+K32+K33</f>
        <v>240000</v>
      </c>
      <c r="L37" s="60"/>
      <c r="M37" s="48">
        <v>13</v>
      </c>
      <c r="N37" s="45">
        <f t="shared" si="4"/>
        <v>240000</v>
      </c>
      <c r="O37" s="35">
        <f>N37/M38</f>
        <v>0.36776311152109886</v>
      </c>
      <c r="Q37" s="48">
        <v>13</v>
      </c>
      <c r="R37" s="47">
        <f>SUM($B$25:B37)</f>
        <v>9586</v>
      </c>
      <c r="S37" s="48">
        <v>13</v>
      </c>
      <c r="T37" s="47"/>
      <c r="U37" s="47"/>
      <c r="V37" s="47"/>
      <c r="W37" s="47"/>
      <c r="X37" s="47"/>
      <c r="Y37" s="47"/>
      <c r="Z37" s="47"/>
      <c r="AA37" s="47"/>
      <c r="AB37" s="47"/>
      <c r="AC37" s="48">
        <v>13</v>
      </c>
      <c r="AD37" s="45">
        <f t="shared" si="5"/>
        <v>9586</v>
      </c>
      <c r="AE37" s="35">
        <f>AD37/AC38</f>
        <v>0.2670790148222445</v>
      </c>
      <c r="AG37">
        <v>33</v>
      </c>
      <c r="AH37" s="47">
        <f>$K$33+AH36</f>
        <v>2640000</v>
      </c>
      <c r="AT37" s="3">
        <f ca="1">ROUNDDOWN(AT36,0)</f>
        <v>58219</v>
      </c>
      <c r="AU37" s="3"/>
      <c r="AW37" s="52">
        <v>13</v>
      </c>
      <c r="AX37" s="50">
        <f>SUM($AX$5:AX17)</f>
        <v>3800</v>
      </c>
      <c r="AY37" s="34">
        <f>AX37/AX38</f>
        <v>0.42208152837942908</v>
      </c>
      <c r="AZ37" s="47"/>
      <c r="BA37" s="47"/>
      <c r="BB37" s="47"/>
      <c r="BC37" s="47"/>
      <c r="BD37" s="47"/>
      <c r="BE37" s="47"/>
      <c r="BF37" s="47"/>
      <c r="BG37" s="47"/>
      <c r="BH37" s="47"/>
      <c r="BI37" s="45">
        <v>13</v>
      </c>
      <c r="BJ37" s="45">
        <f>AX37+BA35+BD32+BG29</f>
        <v>14566</v>
      </c>
      <c r="BK37" s="34">
        <f>BJ37/BI38</f>
        <v>0.45126711692174237</v>
      </c>
    </row>
    <row r="38" spans="1:63" ht="15.75" customHeight="1">
      <c r="A38" s="63" t="s">
        <v>224</v>
      </c>
      <c r="B38" s="64">
        <f>SUM(B25:B37)</f>
        <v>9586</v>
      </c>
      <c r="C38" s="65"/>
      <c r="D38" s="137">
        <f>SUM(E25:E35)</f>
        <v>2586</v>
      </c>
      <c r="E38" s="137"/>
      <c r="F38" s="137"/>
      <c r="G38" s="137">
        <f>SUM(H25:H32)</f>
        <v>386</v>
      </c>
      <c r="H38" s="137"/>
      <c r="I38" s="137"/>
      <c r="J38" s="137">
        <f>SUM(K25:K29)</f>
        <v>36</v>
      </c>
      <c r="K38" s="137"/>
      <c r="L38" s="137"/>
      <c r="M38" s="138">
        <f>SUM(N25:N37)</f>
        <v>652594</v>
      </c>
      <c r="N38" s="138"/>
      <c r="O38" s="138"/>
      <c r="Q38" s="63" t="s">
        <v>224</v>
      </c>
      <c r="R38" s="136">
        <f>SUM(R25:R37)</f>
        <v>29434</v>
      </c>
      <c r="S38" s="136"/>
      <c r="T38" s="137">
        <f>SUM(U25:U35)</f>
        <v>5676</v>
      </c>
      <c r="U38" s="137"/>
      <c r="V38" s="137"/>
      <c r="W38" s="137">
        <f>SUM(X25:X32)</f>
        <v>718</v>
      </c>
      <c r="X38" s="137"/>
      <c r="Y38" s="137"/>
      <c r="Z38" s="137">
        <f>SUM(AA25:AA29)</f>
        <v>64</v>
      </c>
      <c r="AA38" s="137"/>
      <c r="AB38" s="137"/>
      <c r="AC38" s="138">
        <f>SUM(AD25:AD37)</f>
        <v>35892</v>
      </c>
      <c r="AD38" s="138"/>
      <c r="AE38" s="138"/>
      <c r="AG38">
        <v>34</v>
      </c>
      <c r="AH38" s="47">
        <f>AH37+$K$31</f>
        <v>2680000</v>
      </c>
      <c r="AT38" s="3">
        <f ca="1">AT37/8</f>
        <v>7277.375</v>
      </c>
      <c r="AU38" s="3"/>
      <c r="AW38" s="63" t="s">
        <v>112</v>
      </c>
      <c r="AX38" s="64">
        <f>SUM(AX25:AX37)</f>
        <v>9003</v>
      </c>
      <c r="AY38" s="65"/>
      <c r="AZ38" s="65">
        <f>SUM(BA25:BA35)</f>
        <v>8900</v>
      </c>
      <c r="BA38" s="65"/>
      <c r="BB38" s="65"/>
      <c r="BC38" s="65">
        <f>SUM(BD25:BD32)</f>
        <v>8375</v>
      </c>
      <c r="BD38" s="65"/>
      <c r="BE38" s="65"/>
      <c r="BF38" s="65">
        <f>SUM(BG25:BG29)</f>
        <v>6000</v>
      </c>
      <c r="BG38" s="65"/>
      <c r="BH38" s="65"/>
      <c r="BI38" s="65">
        <f>SUM(AX38:BG38)</f>
        <v>32278</v>
      </c>
      <c r="BJ38" s="65"/>
      <c r="BK38" s="66"/>
    </row>
    <row r="39" spans="1:63" ht="15.75" customHeight="1">
      <c r="A39" s="63" t="s">
        <v>69</v>
      </c>
      <c r="B39" s="67">
        <f>B38/M38</f>
        <v>1.468907161267189E-2</v>
      </c>
      <c r="C39" s="68"/>
      <c r="D39" s="140">
        <f>D38/M38</f>
        <v>3.9626475266398408E-3</v>
      </c>
      <c r="E39" s="140"/>
      <c r="F39" s="140"/>
      <c r="G39" s="140">
        <f>G38/M38</f>
        <v>5.9148567102976733E-4</v>
      </c>
      <c r="H39" s="140"/>
      <c r="I39" s="140"/>
      <c r="J39" s="140">
        <f>J38/M38</f>
        <v>5.5164466728164833E-5</v>
      </c>
      <c r="K39" s="140"/>
      <c r="L39" s="140"/>
      <c r="M39" s="141">
        <f>M38/M38</f>
        <v>1</v>
      </c>
      <c r="N39" s="141"/>
      <c r="O39" s="141"/>
      <c r="Q39" s="63" t="s">
        <v>69</v>
      </c>
      <c r="R39" s="139">
        <f>R38/AC38</f>
        <v>0.82007132508637026</v>
      </c>
      <c r="S39" s="139"/>
      <c r="T39" s="140">
        <f>T38/AC38</f>
        <v>0.1581410899364761</v>
      </c>
      <c r="U39" s="140"/>
      <c r="V39" s="140"/>
      <c r="W39" s="140">
        <f>W38/AC38</f>
        <v>2.0004457817898138E-2</v>
      </c>
      <c r="X39" s="140"/>
      <c r="Y39" s="140"/>
      <c r="Z39" s="140">
        <f>Z38/AC38</f>
        <v>1.7831271592555443E-3</v>
      </c>
      <c r="AA39" s="140"/>
      <c r="AB39" s="140"/>
      <c r="AC39" s="141">
        <f>AC38/AC38</f>
        <v>1</v>
      </c>
      <c r="AD39" s="141"/>
      <c r="AE39" s="141"/>
      <c r="AG39">
        <v>35</v>
      </c>
      <c r="AH39" s="47">
        <f>AH38+$K$32</f>
        <v>2760000</v>
      </c>
      <c r="AT39" s="3">
        <f ca="1">ROUNDDOWN(AT38,0)</f>
        <v>7277</v>
      </c>
      <c r="AU39" s="272">
        <f ca="1">AT32+AT40</f>
        <v>45736.359641197916</v>
      </c>
      <c r="AW39" s="7" t="s">
        <v>69</v>
      </c>
      <c r="AX39" s="67">
        <f>AX38/BI38</f>
        <v>0.27892062705248155</v>
      </c>
      <c r="AY39" s="68"/>
      <c r="AZ39" s="68">
        <f>AZ38/BI38</f>
        <v>0.27572959910775141</v>
      </c>
      <c r="BA39" s="68"/>
      <c r="BB39" s="68"/>
      <c r="BC39" s="68">
        <f>BC38/BI38</f>
        <v>0.2594646508457773</v>
      </c>
      <c r="BD39" s="68"/>
      <c r="BE39" s="68"/>
      <c r="BF39" s="68">
        <f>BF38/BI38</f>
        <v>0.18588512299398971</v>
      </c>
      <c r="BG39" s="68"/>
      <c r="BH39" s="68"/>
      <c r="BI39" s="68">
        <f>BI38/BI38</f>
        <v>1</v>
      </c>
      <c r="BJ39" s="68"/>
      <c r="BK39" s="68"/>
    </row>
    <row r="40" spans="1:63" ht="15.75" customHeight="1">
      <c r="AC40" s="275" t="s">
        <v>411</v>
      </c>
      <c r="AD40" s="275"/>
      <c r="AG40">
        <v>36</v>
      </c>
      <c r="AH40" s="47">
        <f>$K$33+AH39</f>
        <v>2880000</v>
      </c>
      <c r="AS40">
        <f>AO40</f>
        <v>0</v>
      </c>
      <c r="AT40" s="3">
        <f ca="1">AT39*(8/24)</f>
        <v>2425.6666666666665</v>
      </c>
      <c r="AU40" s="3"/>
    </row>
    <row r="41" spans="1:63" ht="15.75" customHeight="1">
      <c r="A41" s="134" t="s">
        <v>406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Q41" s="3" t="s">
        <v>412</v>
      </c>
      <c r="R41" t="s">
        <v>413</v>
      </c>
      <c r="T41" s="3" t="s">
        <v>412</v>
      </c>
      <c r="U41" t="s">
        <v>413</v>
      </c>
      <c r="V41" s="33"/>
      <c r="W41" s="3" t="s">
        <v>412</v>
      </c>
      <c r="X41" t="s">
        <v>413</v>
      </c>
      <c r="Z41" s="3" t="s">
        <v>412</v>
      </c>
      <c r="AA41" t="s">
        <v>413</v>
      </c>
      <c r="AC41" s="130" t="s">
        <v>414</v>
      </c>
      <c r="AD41" s="130"/>
      <c r="AG41">
        <v>37</v>
      </c>
      <c r="AH41" s="47">
        <f>AH40+$K$31</f>
        <v>2920000</v>
      </c>
    </row>
    <row r="42" spans="1:63" ht="15.75" customHeight="1">
      <c r="A42" s="131" t="s">
        <v>48</v>
      </c>
      <c r="B42" s="131"/>
      <c r="C42" s="131"/>
      <c r="D42" s="131" t="s">
        <v>1</v>
      </c>
      <c r="E42" s="131"/>
      <c r="F42" s="131"/>
      <c r="G42" s="131" t="s">
        <v>2</v>
      </c>
      <c r="H42" s="131"/>
      <c r="I42" s="131"/>
      <c r="J42" s="131" t="s">
        <v>3</v>
      </c>
      <c r="K42" s="131"/>
      <c r="L42" s="131"/>
      <c r="M42" s="134" t="s">
        <v>65</v>
      </c>
      <c r="N42" s="134"/>
      <c r="O42" s="134"/>
      <c r="Q42" s="7" t="str">
        <f>'Card Progress'!B10</f>
        <v>Skeletons</v>
      </c>
      <c r="R42" s="7">
        <f>'Card Progress'!C10</f>
        <v>9200</v>
      </c>
      <c r="S42" t="s">
        <v>415</v>
      </c>
      <c r="T42" s="7" t="str">
        <f>'Card Progress'!B41</f>
        <v>Ice Golem</v>
      </c>
      <c r="U42" s="7">
        <f>'Card Progress'!C41</f>
        <v>590</v>
      </c>
      <c r="V42" s="33" t="s">
        <v>416</v>
      </c>
      <c r="W42" s="7" t="str">
        <f>'Card Progress'!B69</f>
        <v>Mirror</v>
      </c>
      <c r="X42" s="7">
        <f>'Card Progress'!C69</f>
        <v>52</v>
      </c>
      <c r="Y42" s="33" t="s">
        <v>417</v>
      </c>
      <c r="Z42" s="7" t="s">
        <v>385</v>
      </c>
      <c r="AA42" s="7" t="s">
        <v>418</v>
      </c>
      <c r="AB42" s="7" t="s">
        <v>419</v>
      </c>
      <c r="AC42">
        <v>1</v>
      </c>
      <c r="AD42">
        <v>10</v>
      </c>
      <c r="AG42">
        <v>38</v>
      </c>
      <c r="AH42" s="47">
        <f>AH41+$K$32</f>
        <v>3000000</v>
      </c>
    </row>
    <row r="43" spans="1:63" ht="15.75" customHeight="1">
      <c r="A43" s="27" t="s">
        <v>67</v>
      </c>
      <c r="B43" s="27" t="s">
        <v>68</v>
      </c>
      <c r="C43" s="27" t="s">
        <v>69</v>
      </c>
      <c r="D43" s="27" t="s">
        <v>67</v>
      </c>
      <c r="E43" s="27" t="s">
        <v>68</v>
      </c>
      <c r="F43" s="27" t="s">
        <v>69</v>
      </c>
      <c r="G43" s="27" t="s">
        <v>67</v>
      </c>
      <c r="H43" s="27" t="s">
        <v>68</v>
      </c>
      <c r="I43" s="27" t="s">
        <v>69</v>
      </c>
      <c r="J43" s="27">
        <v>-1</v>
      </c>
      <c r="K43" s="27">
        <v>175000</v>
      </c>
      <c r="L43" s="27">
        <v>0</v>
      </c>
      <c r="M43" s="27" t="s">
        <v>67</v>
      </c>
      <c r="N43" s="27" t="s">
        <v>68</v>
      </c>
      <c r="O43" s="27" t="s">
        <v>69</v>
      </c>
      <c r="Q43" s="7" t="str">
        <f>'Card Progress'!B11</f>
        <v>Ice spirit</v>
      </c>
      <c r="R43" s="7">
        <f>'Card Progress'!C11</f>
        <v>8104</v>
      </c>
      <c r="S43" t="s">
        <v>420</v>
      </c>
      <c r="T43" s="7" t="str">
        <f>'Card Progress'!B42</f>
        <v>Heal spell</v>
      </c>
      <c r="U43" s="7">
        <f>'Card Progress'!C42</f>
        <v>661</v>
      </c>
      <c r="V43" s="33" t="s">
        <v>421</v>
      </c>
      <c r="W43" s="7" t="str">
        <f>'Card Progress'!B70</f>
        <v>Rage</v>
      </c>
      <c r="X43" s="7">
        <f>'Card Progress'!C70</f>
        <v>74</v>
      </c>
      <c r="Y43" s="33" t="s">
        <v>422</v>
      </c>
      <c r="Z43" s="7" t="s">
        <v>387</v>
      </c>
      <c r="AA43" s="7" t="s">
        <v>423</v>
      </c>
      <c r="AB43" s="7" t="s">
        <v>424</v>
      </c>
      <c r="AC43">
        <v>2</v>
      </c>
      <c r="AD43">
        <v>10</v>
      </c>
      <c r="AG43">
        <v>39</v>
      </c>
      <c r="AH43" s="47">
        <f>$K$33+AH42</f>
        <v>3120000</v>
      </c>
    </row>
    <row r="44" spans="1:63" ht="15.75" customHeight="1">
      <c r="A44" s="8">
        <v>0</v>
      </c>
      <c r="B44" s="47">
        <v>185625</v>
      </c>
      <c r="C44" s="34">
        <f t="shared" ref="C44:C57" si="7">B44/$B$18</f>
        <v>1</v>
      </c>
      <c r="D44" s="8">
        <v>0</v>
      </c>
      <c r="E44" s="45">
        <v>185600</v>
      </c>
      <c r="F44" s="100">
        <f>E44/D58</f>
        <v>0.10882120137199144</v>
      </c>
      <c r="G44" s="33">
        <v>0</v>
      </c>
      <c r="H44" s="45">
        <v>184400</v>
      </c>
      <c r="I44" s="33"/>
      <c r="J44" s="33">
        <v>0</v>
      </c>
      <c r="K44" s="27">
        <v>175000</v>
      </c>
      <c r="L44" s="33"/>
      <c r="M44" s="33">
        <v>0</v>
      </c>
      <c r="N44" s="45">
        <f t="shared" ref="N44:N57" si="8">B44+E44+H44+K44</f>
        <v>730625</v>
      </c>
      <c r="O44" s="35">
        <f>N44/M57</f>
        <v>56201.923076923078</v>
      </c>
      <c r="Q44" s="7" t="str">
        <f>'Card Progress'!B12</f>
        <v>Giant Snowball</v>
      </c>
      <c r="R44" s="7">
        <f>'Card Progress'!C12</f>
        <v>2781</v>
      </c>
      <c r="S44" t="s">
        <v>425</v>
      </c>
      <c r="T44" s="7" t="str">
        <f>'Card Progress'!B43</f>
        <v>Tombstone</v>
      </c>
      <c r="U44" s="7">
        <f>'Card Progress'!C43</f>
        <v>581</v>
      </c>
      <c r="V44" s="33" t="s">
        <v>426</v>
      </c>
      <c r="W44" s="7" t="str">
        <f>'Card Progress'!B71</f>
        <v>Skeleton Army</v>
      </c>
      <c r="X44" s="7">
        <f>'Card Progress'!C71</f>
        <v>47</v>
      </c>
      <c r="Y44" s="33" t="s">
        <v>427</v>
      </c>
      <c r="Z44" s="7" t="s">
        <v>388</v>
      </c>
      <c r="AA44" s="7" t="s">
        <v>428</v>
      </c>
      <c r="AB44" s="7" t="s">
        <v>429</v>
      </c>
      <c r="AC44">
        <v>3</v>
      </c>
      <c r="AD44">
        <v>10</v>
      </c>
      <c r="AG44">
        <v>40</v>
      </c>
      <c r="AH44" s="47">
        <f>AH43+$K$31</f>
        <v>3160000</v>
      </c>
    </row>
    <row r="45" spans="1:63" ht="15.75" customHeight="1">
      <c r="A45" s="48">
        <v>1</v>
      </c>
      <c r="B45" s="47">
        <v>185625</v>
      </c>
      <c r="C45" s="34">
        <f t="shared" si="7"/>
        <v>1</v>
      </c>
      <c r="D45" s="85">
        <v>1</v>
      </c>
      <c r="E45" s="45">
        <v>185600</v>
      </c>
      <c r="F45" s="100">
        <f>E45/D58</f>
        <v>0.10882120137199144</v>
      </c>
      <c r="G45" s="47">
        <v>1</v>
      </c>
      <c r="H45" s="45">
        <v>184400</v>
      </c>
      <c r="I45" s="100">
        <f>H45/G58</f>
        <v>0.16057122953674677</v>
      </c>
      <c r="J45" s="50">
        <v>1</v>
      </c>
      <c r="K45" s="45">
        <v>175000</v>
      </c>
      <c r="L45" s="100">
        <f>K45/J58</f>
        <v>0.29411764705882354</v>
      </c>
      <c r="M45" s="45">
        <v>1</v>
      </c>
      <c r="N45" s="45">
        <f t="shared" si="8"/>
        <v>730625</v>
      </c>
      <c r="O45" s="35">
        <f>N45/M58</f>
        <v>0.13222198997601228</v>
      </c>
      <c r="Q45" s="7" t="str">
        <f>'Card Progress'!B13</f>
        <v>Goblins</v>
      </c>
      <c r="R45" s="7">
        <f>'Card Progress'!C13</f>
        <v>8100</v>
      </c>
      <c r="S45" t="s">
        <v>430</v>
      </c>
      <c r="T45" s="7" t="str">
        <f>'Card Progress'!B44</f>
        <v>Dart Goblin</v>
      </c>
      <c r="U45" s="7">
        <f>'Card Progress'!C44</f>
        <v>724</v>
      </c>
      <c r="V45" s="33" t="s">
        <v>431</v>
      </c>
      <c r="W45" s="7" t="str">
        <f>'Card Progress'!B72</f>
        <v>Barbarian Barrel</v>
      </c>
      <c r="X45" s="7">
        <f>'Card Progress'!C72</f>
        <v>60</v>
      </c>
      <c r="Y45" s="33" t="s">
        <v>432</v>
      </c>
      <c r="Z45" s="7" t="s">
        <v>389</v>
      </c>
      <c r="AA45" s="7" t="s">
        <v>433</v>
      </c>
      <c r="AB45" s="7" t="s">
        <v>434</v>
      </c>
      <c r="AC45">
        <v>4</v>
      </c>
      <c r="AD45">
        <v>20</v>
      </c>
      <c r="AG45">
        <v>41</v>
      </c>
      <c r="AH45" s="47">
        <f>AH44+$K$32</f>
        <v>3240000</v>
      </c>
    </row>
    <row r="46" spans="1:63" ht="15.75" customHeight="1">
      <c r="A46" s="48">
        <v>2</v>
      </c>
      <c r="B46" s="47">
        <v>185620</v>
      </c>
      <c r="C46" s="34">
        <f t="shared" si="7"/>
        <v>0.99997306397306396</v>
      </c>
      <c r="D46" s="85">
        <v>2</v>
      </c>
      <c r="E46" s="45">
        <v>185550</v>
      </c>
      <c r="F46" s="100">
        <f>E46/D58</f>
        <v>0.10879188531558735</v>
      </c>
      <c r="G46" s="47">
        <v>2</v>
      </c>
      <c r="H46" s="45">
        <v>184000</v>
      </c>
      <c r="I46" s="100">
        <f>H46/G58</f>
        <v>0.16022291884360851</v>
      </c>
      <c r="J46" s="50">
        <v>2</v>
      </c>
      <c r="K46" s="45">
        <v>170000</v>
      </c>
      <c r="L46" s="100">
        <f>K46/J58</f>
        <v>0.2857142857142857</v>
      </c>
      <c r="M46" s="45">
        <v>2</v>
      </c>
      <c r="N46" s="45">
        <f t="shared" si="8"/>
        <v>725170</v>
      </c>
      <c r="O46" s="35">
        <f>N46/M58</f>
        <v>0.13123479277454894</v>
      </c>
      <c r="Q46" s="7" t="str">
        <f>'Card Progress'!B14</f>
        <v>Zap</v>
      </c>
      <c r="R46" s="7">
        <f>'Card Progress'!C14</f>
        <v>7100</v>
      </c>
      <c r="S46" t="s">
        <v>435</v>
      </c>
      <c r="T46" s="7" t="str">
        <f>'Card Progress'!B45</f>
        <v>Mega Minion</v>
      </c>
      <c r="U46" s="7">
        <f>'Card Progress'!C45</f>
        <v>405</v>
      </c>
      <c r="V46" s="33" t="s">
        <v>436</v>
      </c>
      <c r="W46" s="7" t="str">
        <f>'Card Progress'!B73</f>
        <v>Guards</v>
      </c>
      <c r="X46" s="7">
        <f>'Card Progress'!C73</f>
        <v>47</v>
      </c>
      <c r="Y46" s="33" t="s">
        <v>437</v>
      </c>
      <c r="Z46" s="7" t="s">
        <v>390</v>
      </c>
      <c r="AA46" s="7" t="s">
        <v>419</v>
      </c>
      <c r="AB46" s="7" t="s">
        <v>438</v>
      </c>
      <c r="AC46">
        <v>5</v>
      </c>
      <c r="AD46">
        <v>20</v>
      </c>
      <c r="AG46">
        <v>42</v>
      </c>
      <c r="AH46" s="47">
        <f>$K$33+AH45</f>
        <v>3360000</v>
      </c>
    </row>
    <row r="47" spans="1:63" ht="15.75" customHeight="1">
      <c r="A47" s="48">
        <v>3</v>
      </c>
      <c r="B47" s="47">
        <v>185600</v>
      </c>
      <c r="C47" s="34">
        <f t="shared" si="7"/>
        <v>0.9998653198653199</v>
      </c>
      <c r="D47" s="85">
        <v>3</v>
      </c>
      <c r="E47" s="45">
        <v>185400</v>
      </c>
      <c r="F47" s="100">
        <f>E47/D58</f>
        <v>0.10870393714637507</v>
      </c>
      <c r="G47" s="47">
        <v>3</v>
      </c>
      <c r="H47" s="45">
        <v>182000</v>
      </c>
      <c r="I47" s="100">
        <f>H47/G58</f>
        <v>0.1584813653779171</v>
      </c>
      <c r="J47" s="50">
        <v>3</v>
      </c>
      <c r="K47" s="45">
        <v>150000</v>
      </c>
      <c r="L47" s="100">
        <f>K47/J58</f>
        <v>0.25210084033613445</v>
      </c>
      <c r="M47" s="45">
        <v>3</v>
      </c>
      <c r="N47" s="45">
        <f t="shared" si="8"/>
        <v>703000</v>
      </c>
      <c r="O47" s="35">
        <f>N47/M58</f>
        <v>0.12722266409325803</v>
      </c>
      <c r="Q47" s="7" t="str">
        <f>'Card Progress'!B15</f>
        <v>Bats</v>
      </c>
      <c r="R47" s="7">
        <f>'Card Progress'!C15</f>
        <v>6565</v>
      </c>
      <c r="S47" t="s">
        <v>439</v>
      </c>
      <c r="T47" s="7" t="str">
        <f>'Card Progress'!B46</f>
        <v>Hog Rider</v>
      </c>
      <c r="U47" s="7">
        <f>'Card Progress'!C46</f>
        <v>190</v>
      </c>
      <c r="V47" s="33" t="s">
        <v>440</v>
      </c>
      <c r="W47" s="7" t="str">
        <f>'Card Progress'!B74</f>
        <v>Goblin Barrel</v>
      </c>
      <c r="X47" s="7">
        <f>'Card Progress'!C74</f>
        <v>44</v>
      </c>
      <c r="Y47" s="33" t="s">
        <v>441</v>
      </c>
      <c r="Z47" s="7" t="s">
        <v>391</v>
      </c>
      <c r="AA47" s="7" t="s">
        <v>424</v>
      </c>
      <c r="AB47" s="7" t="s">
        <v>442</v>
      </c>
      <c r="AC47">
        <v>6</v>
      </c>
      <c r="AD47">
        <v>20</v>
      </c>
      <c r="AG47">
        <v>43</v>
      </c>
      <c r="AH47" s="47">
        <f>AH46+$K$31</f>
        <v>3400000</v>
      </c>
    </row>
    <row r="48" spans="1:63" ht="15.75" customHeight="1">
      <c r="A48" s="48">
        <v>4</v>
      </c>
      <c r="B48" s="47">
        <v>185550</v>
      </c>
      <c r="C48" s="34">
        <f t="shared" si="7"/>
        <v>0.99959595959595959</v>
      </c>
      <c r="D48" s="85">
        <v>4</v>
      </c>
      <c r="E48" s="45">
        <v>185000</v>
      </c>
      <c r="F48" s="100">
        <f>E48/D58</f>
        <v>0.10846940869514234</v>
      </c>
      <c r="G48" s="47">
        <v>4</v>
      </c>
      <c r="H48" s="45">
        <v>178000</v>
      </c>
      <c r="I48" s="100">
        <f>H48/G58</f>
        <v>0.15499825844653431</v>
      </c>
      <c r="J48" s="50">
        <v>4</v>
      </c>
      <c r="K48" s="45">
        <v>100000</v>
      </c>
      <c r="L48" s="100">
        <f>K48/J58</f>
        <v>0.16806722689075632</v>
      </c>
      <c r="M48" s="45">
        <v>4</v>
      </c>
      <c r="N48" s="45">
        <f t="shared" si="8"/>
        <v>648550</v>
      </c>
      <c r="O48" s="35">
        <f>N48/M58</f>
        <v>0.11736878918589258</v>
      </c>
      <c r="Q48" s="7" t="str">
        <f>'Card Progress'!B16</f>
        <v>Fire Spirits</v>
      </c>
      <c r="R48" s="7">
        <f>'Card Progress'!C16</f>
        <v>0</v>
      </c>
      <c r="S48" t="s">
        <v>443</v>
      </c>
      <c r="T48" s="7" t="str">
        <f>'Card Progress'!B47</f>
        <v>Fireball</v>
      </c>
      <c r="U48" s="7">
        <f>'Card Progress'!C47</f>
        <v>393</v>
      </c>
      <c r="V48" s="33" t="s">
        <v>444</v>
      </c>
      <c r="W48" s="7" t="str">
        <f>'Card Progress'!B75</f>
        <v>Tornado</v>
      </c>
      <c r="X48" s="7">
        <f>'Card Progress'!C75</f>
        <v>81</v>
      </c>
      <c r="Y48" s="33" t="s">
        <v>445</v>
      </c>
      <c r="Z48" s="7" t="s">
        <v>392</v>
      </c>
      <c r="AA48" s="7" t="s">
        <v>419</v>
      </c>
      <c r="AB48" s="7" t="s">
        <v>446</v>
      </c>
      <c r="AC48">
        <v>7</v>
      </c>
      <c r="AD48">
        <v>30</v>
      </c>
      <c r="AG48">
        <v>44</v>
      </c>
      <c r="AH48" s="47">
        <f>AH47+$K$32</f>
        <v>3480000</v>
      </c>
    </row>
    <row r="49" spans="1:36" ht="15.75" customHeight="1">
      <c r="A49" s="48">
        <v>5</v>
      </c>
      <c r="B49" s="47">
        <v>185400</v>
      </c>
      <c r="C49" s="34">
        <f t="shared" si="7"/>
        <v>0.99878787878787878</v>
      </c>
      <c r="D49" s="85">
        <v>5</v>
      </c>
      <c r="E49" s="45">
        <v>184000</v>
      </c>
      <c r="F49" s="100">
        <f>E49/D58</f>
        <v>0.10788308756706048</v>
      </c>
      <c r="G49" s="47">
        <v>5</v>
      </c>
      <c r="H49" s="45">
        <v>170000</v>
      </c>
      <c r="I49" s="100">
        <f>H49/G58</f>
        <v>0.14803204458376873</v>
      </c>
      <c r="J49" s="257">
        <v>5</v>
      </c>
      <c r="K49" s="59">
        <v>0</v>
      </c>
      <c r="L49" s="105">
        <f>K49/J58</f>
        <v>0</v>
      </c>
      <c r="M49" s="45">
        <v>5</v>
      </c>
      <c r="N49" s="45">
        <f t="shared" si="8"/>
        <v>539400</v>
      </c>
      <c r="O49" s="35">
        <f>N49/M58</f>
        <v>9.7615796602991994E-2</v>
      </c>
      <c r="Q49" s="7" t="str">
        <f>'Card Progress'!B17</f>
        <v>Spear Goblins</v>
      </c>
      <c r="R49" s="7">
        <f>'Card Progress'!C17</f>
        <v>5158</v>
      </c>
      <c r="S49" t="s">
        <v>447</v>
      </c>
      <c r="T49" s="7" t="str">
        <f>'Card Progress'!B48</f>
        <v>Battle Ram</v>
      </c>
      <c r="U49" s="7">
        <f>'Card Progress'!C48</f>
        <v>576</v>
      </c>
      <c r="V49" s="33" t="s">
        <v>448</v>
      </c>
      <c r="W49" s="7" t="str">
        <f>'Card Progress'!B76</f>
        <v>Clone</v>
      </c>
      <c r="X49" s="7">
        <f>'Card Progress'!C76</f>
        <v>118</v>
      </c>
      <c r="Y49" s="33" t="s">
        <v>449</v>
      </c>
      <c r="Z49" s="7" t="s">
        <v>393</v>
      </c>
      <c r="AA49" s="7" t="s">
        <v>424</v>
      </c>
      <c r="AB49" s="7" t="s">
        <v>450</v>
      </c>
      <c r="AC49">
        <v>8</v>
      </c>
      <c r="AD49">
        <v>30</v>
      </c>
      <c r="AG49">
        <v>45</v>
      </c>
      <c r="AH49" s="47">
        <f>$K$33+AH48</f>
        <v>3600000</v>
      </c>
    </row>
    <row r="50" spans="1:36" ht="15.75" customHeight="1">
      <c r="A50" s="48">
        <v>6</v>
      </c>
      <c r="B50" s="47">
        <v>185000</v>
      </c>
      <c r="C50" s="34">
        <f t="shared" si="7"/>
        <v>0.99663299663299665</v>
      </c>
      <c r="D50" s="85">
        <v>6</v>
      </c>
      <c r="E50" s="45">
        <v>182000</v>
      </c>
      <c r="F50" s="100">
        <f>E50/D58</f>
        <v>0.10671044531089678</v>
      </c>
      <c r="G50" s="47">
        <v>6</v>
      </c>
      <c r="H50" s="45">
        <v>150000</v>
      </c>
      <c r="I50" s="100">
        <f>H50/G58</f>
        <v>0.13061650992685475</v>
      </c>
      <c r="J50" s="47"/>
      <c r="K50" s="47"/>
      <c r="L50" s="47"/>
      <c r="M50" s="45">
        <v>6</v>
      </c>
      <c r="N50" s="45">
        <f t="shared" si="8"/>
        <v>517000</v>
      </c>
      <c r="O50" s="35">
        <f>N50/M58</f>
        <v>9.3562044574984918E-2</v>
      </c>
      <c r="Q50" s="7" t="str">
        <f>'Card Progress'!B18</f>
        <v>Knight</v>
      </c>
      <c r="R50" s="7">
        <f>'Card Progress'!C18</f>
        <v>0</v>
      </c>
      <c r="S50" t="s">
        <v>451</v>
      </c>
      <c r="T50" s="7" t="str">
        <f>'Card Progress'!B49</f>
        <v>Furnace</v>
      </c>
      <c r="U50" s="7">
        <f>'Card Progress'!C49</f>
        <v>412</v>
      </c>
      <c r="V50" s="33" t="s">
        <v>452</v>
      </c>
      <c r="W50" s="7" t="str">
        <f>'Card Progress'!B77</f>
        <v>Dark Prince</v>
      </c>
      <c r="X50" s="7">
        <f>'Card Progress'!C77</f>
        <v>47</v>
      </c>
      <c r="Y50" s="33" t="s">
        <v>453</v>
      </c>
      <c r="Z50" s="7" t="s">
        <v>394</v>
      </c>
      <c r="AA50" s="7" t="s">
        <v>424</v>
      </c>
      <c r="AB50" s="7" t="s">
        <v>454</v>
      </c>
      <c r="AC50">
        <v>9</v>
      </c>
      <c r="AD50">
        <v>30</v>
      </c>
      <c r="AG50">
        <v>46</v>
      </c>
      <c r="AH50" s="47">
        <f>AH49+$K$31</f>
        <v>3640000</v>
      </c>
    </row>
    <row r="51" spans="1:36" ht="15.75" customHeight="1">
      <c r="A51" s="48">
        <v>7</v>
      </c>
      <c r="B51" s="47">
        <v>184000</v>
      </c>
      <c r="C51" s="34">
        <f t="shared" si="7"/>
        <v>0.99124579124579126</v>
      </c>
      <c r="D51" s="85">
        <v>7</v>
      </c>
      <c r="E51" s="45">
        <v>178000</v>
      </c>
      <c r="F51" s="100">
        <f>E51/D58</f>
        <v>0.10436516079856938</v>
      </c>
      <c r="G51" s="47">
        <v>7</v>
      </c>
      <c r="H51" s="45">
        <v>100000</v>
      </c>
      <c r="I51" s="100">
        <f>H51/G58</f>
        <v>8.7077673284569834E-2</v>
      </c>
      <c r="J51" s="47"/>
      <c r="K51" s="47"/>
      <c r="L51" s="47"/>
      <c r="M51" s="45">
        <v>7</v>
      </c>
      <c r="N51" s="45">
        <f t="shared" si="8"/>
        <v>462000</v>
      </c>
      <c r="O51" s="35">
        <f>N51/M58</f>
        <v>8.3608635577646084E-2</v>
      </c>
      <c r="Q51" s="7" t="str">
        <f>'Card Progress'!B19</f>
        <v>Archers</v>
      </c>
      <c r="R51" s="7">
        <f>'Card Progress'!C19</f>
        <v>0</v>
      </c>
      <c r="S51" t="s">
        <v>455</v>
      </c>
      <c r="T51" s="7" t="str">
        <f>'Card Progress'!B50</f>
        <v>Mini P.E.K.K.A</v>
      </c>
      <c r="U51" s="7">
        <f>'Card Progress'!C50</f>
        <v>732</v>
      </c>
      <c r="V51" s="33" t="s">
        <v>456</v>
      </c>
      <c r="W51" s="7" t="str">
        <f>'Card Progress'!B78</f>
        <v>Baby Dragon</v>
      </c>
      <c r="X51" s="7">
        <f>'Card Progress'!C78</f>
        <v>25</v>
      </c>
      <c r="Y51" s="33" t="s">
        <v>457</v>
      </c>
      <c r="Z51" s="7" t="s">
        <v>395</v>
      </c>
      <c r="AA51" s="7" t="s">
        <v>429</v>
      </c>
      <c r="AB51" s="7" t="s">
        <v>458</v>
      </c>
      <c r="AC51">
        <v>10</v>
      </c>
      <c r="AD51">
        <v>40</v>
      </c>
      <c r="AE51" t="s">
        <v>9</v>
      </c>
      <c r="AF51" t="s">
        <v>229</v>
      </c>
      <c r="AG51">
        <v>47</v>
      </c>
      <c r="AH51" s="47">
        <f>AH50+$K$32</f>
        <v>3720000</v>
      </c>
    </row>
    <row r="52" spans="1:36" ht="15.75" customHeight="1">
      <c r="A52" s="48">
        <v>8</v>
      </c>
      <c r="B52" s="47">
        <v>182000</v>
      </c>
      <c r="C52" s="34">
        <f t="shared" si="7"/>
        <v>0.98047138047138049</v>
      </c>
      <c r="D52" s="85">
        <v>8</v>
      </c>
      <c r="E52" s="45">
        <v>170000</v>
      </c>
      <c r="F52" s="100">
        <f>E52/D58</f>
        <v>9.9674591773914578E-2</v>
      </c>
      <c r="G52" s="259">
        <v>8</v>
      </c>
      <c r="H52" s="59">
        <v>0</v>
      </c>
      <c r="I52" s="105">
        <f>H52/G58</f>
        <v>0</v>
      </c>
      <c r="J52" s="47"/>
      <c r="K52" s="47"/>
      <c r="L52" s="47"/>
      <c r="M52" s="45">
        <v>8</v>
      </c>
      <c r="N52" s="45">
        <f t="shared" si="8"/>
        <v>352000</v>
      </c>
      <c r="O52" s="35">
        <f>N52/M58</f>
        <v>6.3701817582968445E-2</v>
      </c>
      <c r="Q52" s="7" t="str">
        <f>'Card Progress'!B21</f>
        <v>Arrows</v>
      </c>
      <c r="R52" s="7">
        <f>'Card Progress'!C21</f>
        <v>4835</v>
      </c>
      <c r="S52" t="s">
        <v>459</v>
      </c>
      <c r="T52" s="7" t="str">
        <f>'Card Progress'!B51</f>
        <v>Flying Machine</v>
      </c>
      <c r="U52" s="7">
        <f>'Card Progress'!C51</f>
        <v>563</v>
      </c>
      <c r="V52" s="33" t="s">
        <v>460</v>
      </c>
      <c r="W52" s="7" t="str">
        <f>'Card Progress'!B79</f>
        <v>Hunter</v>
      </c>
      <c r="X52" s="7">
        <f>'Card Progress'!C79</f>
        <v>73</v>
      </c>
      <c r="Y52" s="33" t="s">
        <v>461</v>
      </c>
      <c r="Z52" s="7" t="s">
        <v>396</v>
      </c>
      <c r="AA52" s="7" t="s">
        <v>434</v>
      </c>
      <c r="AB52" s="7" t="s">
        <v>462</v>
      </c>
      <c r="AC52">
        <v>11</v>
      </c>
      <c r="AD52">
        <v>40</v>
      </c>
      <c r="AE52">
        <f>VLOOKUP('Card Progress'!N6,'Card Progress data'!AC42:AD52,2,0)</f>
        <v>40</v>
      </c>
      <c r="AF52">
        <f>VLOOKUP('Card Progress'!N6,'Card Progress data'!AC56:AD66,2,0)</f>
        <v>4</v>
      </c>
      <c r="AG52">
        <v>48</v>
      </c>
      <c r="AH52" s="47">
        <f>$K$33+AH51</f>
        <v>3840000</v>
      </c>
    </row>
    <row r="53" spans="1:36" ht="15.75" customHeight="1">
      <c r="A53" s="48">
        <v>9</v>
      </c>
      <c r="B53" s="47">
        <v>178000</v>
      </c>
      <c r="C53" s="34">
        <f t="shared" si="7"/>
        <v>0.95892255892255895</v>
      </c>
      <c r="D53" s="85">
        <v>9</v>
      </c>
      <c r="E53" s="45">
        <v>150000</v>
      </c>
      <c r="F53" s="100">
        <f>E53/D58</f>
        <v>8.7948169212277563E-2</v>
      </c>
      <c r="G53" s="47"/>
      <c r="H53" s="47"/>
      <c r="I53" s="47"/>
      <c r="J53" s="47"/>
      <c r="K53" s="47"/>
      <c r="L53" s="47"/>
      <c r="M53" s="45">
        <v>9</v>
      </c>
      <c r="N53" s="45">
        <f t="shared" si="8"/>
        <v>328000</v>
      </c>
      <c r="O53" s="35">
        <f>N53/M58</f>
        <v>5.9358511838675146E-2</v>
      </c>
      <c r="Q53" s="7" t="str">
        <f>'Card Progress'!B22</f>
        <v>Minions</v>
      </c>
      <c r="R53" s="7">
        <f>'Card Progress'!C22</f>
        <v>8100</v>
      </c>
      <c r="S53" t="s">
        <v>463</v>
      </c>
      <c r="T53" s="7" t="str">
        <f>'Card Progress'!B52</f>
        <v>Zappies</v>
      </c>
      <c r="U53" s="7">
        <f>'Card Progress'!C52</f>
        <v>411</v>
      </c>
      <c r="V53" s="33" t="s">
        <v>464</v>
      </c>
      <c r="W53" s="7" t="str">
        <f>'Card Progress'!B80</f>
        <v>Freeze</v>
      </c>
      <c r="X53" s="7">
        <f>'Card Progress'!C80</f>
        <v>71</v>
      </c>
      <c r="Y53" s="33" t="s">
        <v>465</v>
      </c>
      <c r="Z53" s="7" t="s">
        <v>397</v>
      </c>
      <c r="AA53" s="7" t="s">
        <v>438</v>
      </c>
      <c r="AB53" s="7" t="s">
        <v>466</v>
      </c>
      <c r="AE53" t="s">
        <v>230</v>
      </c>
      <c r="AG53">
        <v>49</v>
      </c>
      <c r="AH53" s="47">
        <f>AH52+$K$31</f>
        <v>3880000</v>
      </c>
    </row>
    <row r="54" spans="1:36" ht="15.75" customHeight="1">
      <c r="A54" s="48">
        <v>10</v>
      </c>
      <c r="B54" s="47">
        <v>170000</v>
      </c>
      <c r="C54" s="34">
        <f t="shared" si="7"/>
        <v>0.91582491582491588</v>
      </c>
      <c r="D54" s="85">
        <v>10</v>
      </c>
      <c r="E54" s="260">
        <v>100000</v>
      </c>
      <c r="F54" s="100">
        <f>E54/D58</f>
        <v>5.863211280818504E-2</v>
      </c>
      <c r="G54" s="47"/>
      <c r="H54" s="47"/>
      <c r="I54" s="47"/>
      <c r="J54" s="47"/>
      <c r="K54" s="47"/>
      <c r="L54" s="47"/>
      <c r="M54" s="45">
        <v>10</v>
      </c>
      <c r="N54" s="45">
        <f t="shared" si="8"/>
        <v>270000</v>
      </c>
      <c r="O54" s="35">
        <f>N54/M58</f>
        <v>4.8862189623299662E-2</v>
      </c>
      <c r="Q54" s="7" t="str">
        <f>'Card Progress'!B23</f>
        <v>Cannon</v>
      </c>
      <c r="R54" s="7">
        <f>'Card Progress'!C23</f>
        <v>8000</v>
      </c>
      <c r="S54" t="s">
        <v>467</v>
      </c>
      <c r="T54" s="7" t="str">
        <f>'Card Progress'!B53</f>
        <v>Musketeer</v>
      </c>
      <c r="U54" s="7">
        <f>'Card Progress'!C53</f>
        <v>847</v>
      </c>
      <c r="V54" s="33" t="s">
        <v>468</v>
      </c>
      <c r="W54" s="7" t="str">
        <f>'Card Progress'!B81</f>
        <v>Posion</v>
      </c>
      <c r="X54" s="7">
        <f>'Card Progress'!C81</f>
        <v>66</v>
      </c>
      <c r="Y54" s="33" t="s">
        <v>469</v>
      </c>
      <c r="Z54" s="7" t="s">
        <v>398</v>
      </c>
      <c r="AA54" s="7" t="s">
        <v>442</v>
      </c>
      <c r="AB54" s="7" t="s">
        <v>470</v>
      </c>
      <c r="AC54" s="130" t="s">
        <v>411</v>
      </c>
      <c r="AD54" s="130"/>
      <c r="AE54">
        <f>VLOOKUP('Card Progress'!N6,'Card Progress data'!AC56:AD66,2,0)</f>
        <v>4</v>
      </c>
      <c r="AG54">
        <v>50</v>
      </c>
      <c r="AH54" s="47">
        <f>AH53+$K$32</f>
        <v>3960000</v>
      </c>
    </row>
    <row r="55" spans="1:36" ht="15.75" customHeight="1">
      <c r="A55" s="48">
        <v>11</v>
      </c>
      <c r="B55" s="47">
        <v>150000</v>
      </c>
      <c r="C55" s="34">
        <f t="shared" si="7"/>
        <v>0.80808080808080807</v>
      </c>
      <c r="D55" s="261">
        <v>11</v>
      </c>
      <c r="E55" s="262">
        <v>0</v>
      </c>
      <c r="F55" s="105">
        <f>E55/D58</f>
        <v>0</v>
      </c>
      <c r="G55" s="47"/>
      <c r="H55" s="47"/>
      <c r="I55" s="47"/>
      <c r="J55" s="47"/>
      <c r="K55" s="47"/>
      <c r="L55" s="47"/>
      <c r="M55" s="45">
        <v>11</v>
      </c>
      <c r="N55" s="45">
        <f t="shared" si="8"/>
        <v>150000</v>
      </c>
      <c r="O55" s="35">
        <f>N55/M58</f>
        <v>2.7145660901833145E-2</v>
      </c>
      <c r="Q55" s="7" t="str">
        <f>'Card Progress'!B25</f>
        <v>Skeleton Barrel</v>
      </c>
      <c r="R55" s="7">
        <f>'Card Progress'!C25</f>
        <v>6117</v>
      </c>
      <c r="S55" t="s">
        <v>471</v>
      </c>
      <c r="T55" s="7" t="str">
        <f>'Card Progress'!B54</f>
        <v>Valkyrie</v>
      </c>
      <c r="U55" s="7">
        <f>'Card Progress'!C54</f>
        <v>316</v>
      </c>
      <c r="V55" s="33" t="s">
        <v>472</v>
      </c>
      <c r="W55" s="7" t="str">
        <f>'Card Progress'!B82</f>
        <v>Cannon Cart</v>
      </c>
      <c r="X55" s="7">
        <f>'Card Progress'!C82</f>
        <v>70</v>
      </c>
      <c r="Y55" s="33" t="s">
        <v>473</v>
      </c>
      <c r="Z55" s="7" t="s">
        <v>399</v>
      </c>
      <c r="AA55" s="7" t="s">
        <v>446</v>
      </c>
      <c r="AB55" s="7" t="s">
        <v>474</v>
      </c>
      <c r="AC55" s="130" t="s">
        <v>475</v>
      </c>
      <c r="AD55" s="130"/>
      <c r="AJ55" t="str">
        <f>AM22</f>
        <v>C31</v>
      </c>
    </row>
    <row r="56" spans="1:36" ht="15.75" customHeight="1">
      <c r="A56" s="48">
        <v>12</v>
      </c>
      <c r="B56" s="47">
        <v>100000</v>
      </c>
      <c r="C56" s="34">
        <f t="shared" si="7"/>
        <v>0.53872053872053871</v>
      </c>
      <c r="D56" s="47"/>
      <c r="E56" s="47"/>
      <c r="F56" s="47"/>
      <c r="G56" s="47"/>
      <c r="H56" s="47"/>
      <c r="I56" s="47"/>
      <c r="J56" s="47"/>
      <c r="K56" s="47"/>
      <c r="L56" s="47"/>
      <c r="M56" s="45">
        <v>12</v>
      </c>
      <c r="N56" s="45">
        <f t="shared" si="8"/>
        <v>100000</v>
      </c>
      <c r="O56" s="35">
        <f>N56/M58</f>
        <v>1.8097107267888764E-2</v>
      </c>
      <c r="Q56" s="7" t="str">
        <f>'Card Progress'!B26</f>
        <v>Bomber</v>
      </c>
      <c r="R56" s="7">
        <f>'Card Progress'!C26</f>
        <v>0</v>
      </c>
      <c r="S56" t="s">
        <v>476</v>
      </c>
      <c r="T56" s="7" t="str">
        <f>'Card Progress'!B55</f>
        <v>Inferno Tower</v>
      </c>
      <c r="U56" s="7">
        <f>'Card Progress'!C55</f>
        <v>874</v>
      </c>
      <c r="V56" s="33" t="s">
        <v>477</v>
      </c>
      <c r="W56" s="7" t="str">
        <f>'Card Progress'!B83</f>
        <v>Witch</v>
      </c>
      <c r="X56" s="7">
        <f>'Card Progress'!C83</f>
        <v>107</v>
      </c>
      <c r="Y56" s="33" t="s">
        <v>478</v>
      </c>
      <c r="Z56" s="7" t="s">
        <v>400</v>
      </c>
      <c r="AA56" s="7" t="s">
        <v>450</v>
      </c>
      <c r="AB56" s="7" t="s">
        <v>479</v>
      </c>
      <c r="AC56">
        <v>1</v>
      </c>
      <c r="AD56">
        <v>1</v>
      </c>
    </row>
    <row r="57" spans="1:36" ht="15.75" customHeight="1">
      <c r="A57" s="48">
        <v>13</v>
      </c>
      <c r="B57" s="47">
        <v>0</v>
      </c>
      <c r="C57" s="34">
        <f t="shared" si="7"/>
        <v>0</v>
      </c>
      <c r="D57" s="47"/>
      <c r="E57" s="47"/>
      <c r="F57" s="47"/>
      <c r="G57" s="47"/>
      <c r="H57" s="47"/>
      <c r="I57" s="47"/>
      <c r="J57" s="47"/>
      <c r="K57" s="47"/>
      <c r="L57" s="47"/>
      <c r="M57" s="45">
        <v>13</v>
      </c>
      <c r="N57" s="45">
        <f t="shared" si="8"/>
        <v>0</v>
      </c>
      <c r="O57" s="35">
        <f>N57/M58</f>
        <v>0</v>
      </c>
      <c r="Q57" s="7" t="str">
        <f>'Card Progress'!B27</f>
        <v>Goblin Gang</v>
      </c>
      <c r="R57" s="7">
        <f>'Card Progress'!C27</f>
        <v>8900</v>
      </c>
      <c r="S57" t="s">
        <v>480</v>
      </c>
      <c r="T57" s="7" t="str">
        <f>'Card Progress'!B56</f>
        <v>Giant</v>
      </c>
      <c r="U57" s="7">
        <f>'Card Progress'!C56</f>
        <v>443</v>
      </c>
      <c r="V57" s="33" t="s">
        <v>481</v>
      </c>
      <c r="W57" s="7" t="str">
        <f>'Card Progress'!B84</f>
        <v>Executioner</v>
      </c>
      <c r="X57" s="7">
        <f>'Card Progress'!C84</f>
        <v>50</v>
      </c>
      <c r="Y57" s="33" t="s">
        <v>482</v>
      </c>
      <c r="AC57">
        <v>2</v>
      </c>
      <c r="AD57">
        <v>1</v>
      </c>
    </row>
    <row r="58" spans="1:36" ht="15.75" customHeight="1">
      <c r="A58" s="63" t="s">
        <v>112</v>
      </c>
      <c r="B58" s="136">
        <f>SUM(B45:B57)</f>
        <v>2076795</v>
      </c>
      <c r="C58" s="136"/>
      <c r="D58" s="137">
        <f>SUM(E45:E55)</f>
        <v>1705550</v>
      </c>
      <c r="E58" s="137"/>
      <c r="F58" s="137"/>
      <c r="G58" s="137">
        <f>SUM(H45:H52)</f>
        <v>1148400</v>
      </c>
      <c r="H58" s="137"/>
      <c r="I58" s="137"/>
      <c r="J58" s="137">
        <f>SUM(K45:K49)</f>
        <v>595000</v>
      </c>
      <c r="K58" s="137"/>
      <c r="L58" s="137"/>
      <c r="M58" s="138">
        <f>SUM(N45:N57)</f>
        <v>5525745</v>
      </c>
      <c r="N58" s="138"/>
      <c r="O58" s="138"/>
      <c r="Q58" s="7" t="str">
        <f>'Card Progress'!B28</f>
        <v>Tesla</v>
      </c>
      <c r="R58" s="7">
        <f>'Card Progress'!C28</f>
        <v>8000</v>
      </c>
      <c r="S58" t="s">
        <v>483</v>
      </c>
      <c r="T58" s="7" t="str">
        <f>'Card Progress'!B57</f>
        <v>Wizard</v>
      </c>
      <c r="U58" s="7">
        <f>'Card Progress'!C57</f>
        <v>688</v>
      </c>
      <c r="V58" s="33" t="s">
        <v>484</v>
      </c>
      <c r="W58" s="7" t="str">
        <f>'Card Progress'!B85</f>
        <v>Ballon</v>
      </c>
      <c r="X58" s="7">
        <f>'Card Progress'!C85</f>
        <v>43</v>
      </c>
      <c r="Y58" s="33" t="s">
        <v>485</v>
      </c>
      <c r="AC58">
        <v>3</v>
      </c>
      <c r="AD58">
        <v>1</v>
      </c>
    </row>
    <row r="59" spans="1:36" ht="15.75" customHeight="1">
      <c r="A59" s="63" t="s">
        <v>69</v>
      </c>
      <c r="B59" s="139">
        <f>B58/M58</f>
        <v>0.37583981888415047</v>
      </c>
      <c r="C59" s="139"/>
      <c r="D59" s="140">
        <f>D58/M58</f>
        <v>0.30865521300747684</v>
      </c>
      <c r="E59" s="140"/>
      <c r="F59" s="140"/>
      <c r="G59" s="140">
        <f>G58/M58</f>
        <v>0.20782717986443458</v>
      </c>
      <c r="H59" s="140"/>
      <c r="I59" s="140"/>
      <c r="J59" s="140">
        <f>J58/M58</f>
        <v>0.10767778824393814</v>
      </c>
      <c r="K59" s="140"/>
      <c r="L59" s="140"/>
      <c r="M59" s="141">
        <f>M58/M58</f>
        <v>1</v>
      </c>
      <c r="N59" s="141"/>
      <c r="O59" s="141"/>
      <c r="Q59" s="7" t="str">
        <f>'Card Progress'!B30</f>
        <v>Mortar</v>
      </c>
      <c r="R59" s="7">
        <f>'Card Progress'!C30</f>
        <v>8800</v>
      </c>
      <c r="S59" t="s">
        <v>486</v>
      </c>
      <c r="T59" s="7" t="str">
        <f>'Card Progress'!B58</f>
        <v>Royal Hogs</v>
      </c>
      <c r="U59" s="7">
        <f>'Card Progress'!C58</f>
        <v>423</v>
      </c>
      <c r="V59" s="33" t="s">
        <v>487</v>
      </c>
      <c r="W59" s="7" t="str">
        <f>'Card Progress'!B86</f>
        <v>Bowler</v>
      </c>
      <c r="X59" s="7">
        <f>'Card Progress'!C86</f>
        <v>64</v>
      </c>
      <c r="Y59" s="33" t="s">
        <v>488</v>
      </c>
      <c r="AC59">
        <v>4</v>
      </c>
      <c r="AD59">
        <v>2</v>
      </c>
    </row>
    <row r="60" spans="1:36" ht="15.75" customHeight="1">
      <c r="Q60" s="7" t="str">
        <f>'Card Progress'!B31</f>
        <v>Barbarians</v>
      </c>
      <c r="R60" s="7">
        <f>'Card Progress'!C31</f>
        <v>8100</v>
      </c>
      <c r="S60" t="s">
        <v>489</v>
      </c>
      <c r="T60" s="7" t="str">
        <f>'Card Progress'!B59</f>
        <v>Bomb Tower</v>
      </c>
      <c r="U60" s="7">
        <f>'Card Progress'!C59</f>
        <v>700</v>
      </c>
      <c r="V60" s="33" t="s">
        <v>490</v>
      </c>
      <c r="W60" s="7" t="str">
        <f>'Card Progress'!B87</f>
        <v>Prince</v>
      </c>
      <c r="X60" s="7">
        <f>'Card Progress'!C87</f>
        <v>15</v>
      </c>
      <c r="Y60" s="33" t="s">
        <v>491</v>
      </c>
      <c r="AC60">
        <v>5</v>
      </c>
      <c r="AD60">
        <v>2</v>
      </c>
    </row>
    <row r="61" spans="1:36" ht="15.75" customHeight="1">
      <c r="Q61" s="7" t="str">
        <f>'Card Progress'!B32</f>
        <v>Rascals</v>
      </c>
      <c r="R61" s="7">
        <f>'Card Progress'!C32</f>
        <v>4537</v>
      </c>
      <c r="S61" t="s">
        <v>492</v>
      </c>
      <c r="T61" s="7" t="str">
        <f>'Card Progress'!B60</f>
        <v>Goblin Hut</v>
      </c>
      <c r="U61" s="7">
        <f>'Card Progress'!C60</f>
        <v>655</v>
      </c>
      <c r="V61" s="33" t="s">
        <v>493</v>
      </c>
      <c r="W61" s="7" t="str">
        <f>'Card Progress'!B88</f>
        <v>X-Bow</v>
      </c>
      <c r="X61" s="7">
        <f>'Card Progress'!C88</f>
        <v>69</v>
      </c>
      <c r="Y61" s="33" t="s">
        <v>494</v>
      </c>
      <c r="AC61">
        <v>6</v>
      </c>
      <c r="AD61">
        <v>2</v>
      </c>
    </row>
    <row r="62" spans="1:36" ht="15.75" customHeight="1">
      <c r="A62" s="131" t="s">
        <v>407</v>
      </c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Q62" s="7" t="str">
        <f>'Card Progress'!B33</f>
        <v>Minion Horde</v>
      </c>
      <c r="R62" s="7">
        <f>'Card Progress'!C33</f>
        <v>0</v>
      </c>
      <c r="S62" t="s">
        <v>495</v>
      </c>
      <c r="T62" s="7" t="str">
        <f>'Card Progress'!B61</f>
        <v>Rocket</v>
      </c>
      <c r="U62" s="7">
        <f>'Card Progress'!C61</f>
        <v>630</v>
      </c>
      <c r="V62" s="33" t="s">
        <v>496</v>
      </c>
      <c r="W62" s="7" t="str">
        <f>'Card Progress'!B89</f>
        <v>Giant Skeleton</v>
      </c>
      <c r="X62" s="7">
        <f>'Card Progress'!C89</f>
        <v>29</v>
      </c>
      <c r="Y62" s="33" t="s">
        <v>497</v>
      </c>
      <c r="AC62">
        <v>7</v>
      </c>
      <c r="AD62">
        <v>3</v>
      </c>
    </row>
    <row r="63" spans="1:36" ht="15.75" customHeight="1">
      <c r="A63" s="131" t="s">
        <v>48</v>
      </c>
      <c r="B63" s="131"/>
      <c r="C63" s="131"/>
      <c r="D63" s="131" t="s">
        <v>1</v>
      </c>
      <c r="E63" s="131"/>
      <c r="F63" s="131"/>
      <c r="G63" s="131" t="s">
        <v>2</v>
      </c>
      <c r="H63" s="131"/>
      <c r="I63" s="131"/>
      <c r="J63" s="131" t="s">
        <v>3</v>
      </c>
      <c r="K63" s="131"/>
      <c r="L63" s="131"/>
      <c r="M63" s="131" t="s">
        <v>65</v>
      </c>
      <c r="N63" s="131"/>
      <c r="O63" s="131"/>
      <c r="Q63" s="7" t="str">
        <f>'Card Progress'!B34</f>
        <v>Elite Barbarians</v>
      </c>
      <c r="R63" s="7">
        <f ca="1">'Card Progress'!C34</f>
        <v>294643</v>
      </c>
      <c r="S63" t="s">
        <v>408</v>
      </c>
      <c r="T63" s="7" t="str">
        <f>'Card Progress'!B62</f>
        <v>Elixir Collector</v>
      </c>
      <c r="U63" s="7">
        <f>'Card Progress'!C62</f>
        <v>890</v>
      </c>
      <c r="V63" s="33" t="s">
        <v>498</v>
      </c>
      <c r="W63" s="7" t="str">
        <f>'Card Progress'!B90</f>
        <v>Lightning</v>
      </c>
      <c r="X63" s="7">
        <f>'Card Progress'!C90</f>
        <v>67</v>
      </c>
      <c r="Y63" s="33" t="s">
        <v>499</v>
      </c>
      <c r="AC63">
        <v>8</v>
      </c>
      <c r="AD63">
        <v>3</v>
      </c>
    </row>
    <row r="64" spans="1:36" ht="15.75" customHeight="1">
      <c r="A64" s="27" t="s">
        <v>67</v>
      </c>
      <c r="B64" s="27" t="s">
        <v>40</v>
      </c>
      <c r="C64" s="27" t="s">
        <v>215</v>
      </c>
      <c r="D64" s="27" t="s">
        <v>67</v>
      </c>
      <c r="E64" s="27" t="s">
        <v>40</v>
      </c>
      <c r="F64" s="7" t="s">
        <v>67</v>
      </c>
      <c r="G64" s="27" t="s">
        <v>67</v>
      </c>
      <c r="H64" s="27" t="s">
        <v>40</v>
      </c>
      <c r="I64" s="27" t="s">
        <v>69</v>
      </c>
      <c r="J64" s="7" t="s">
        <v>67</v>
      </c>
      <c r="K64" s="27" t="s">
        <v>40</v>
      </c>
      <c r="L64" s="27" t="s">
        <v>69</v>
      </c>
      <c r="M64" s="27" t="s">
        <v>67</v>
      </c>
      <c r="N64" s="7" t="s">
        <v>40</v>
      </c>
      <c r="O64" s="7" t="s">
        <v>69</v>
      </c>
      <c r="Q64" s="7" t="str">
        <f>'Card Progress'!B36</f>
        <v>Royal Recruits</v>
      </c>
      <c r="R64" s="7">
        <f>'Card Progress'!C36</f>
        <v>3960</v>
      </c>
      <c r="S64" t="s">
        <v>500</v>
      </c>
      <c r="T64" s="7" t="str">
        <f>'Card Progress'!B63</f>
        <v>Barbarian Hut</v>
      </c>
      <c r="U64" s="7">
        <f>'Card Progress'!C63</f>
        <v>701</v>
      </c>
      <c r="V64" s="33" t="s">
        <v>501</v>
      </c>
      <c r="W64" s="7" t="str">
        <f>'Card Progress'!B91</f>
        <v>P.E.K.K.A</v>
      </c>
      <c r="X64" s="7">
        <f>'Card Progress'!C91</f>
        <v>100</v>
      </c>
      <c r="Y64" t="s">
        <v>497</v>
      </c>
      <c r="AC64">
        <v>9</v>
      </c>
      <c r="AD64">
        <v>3</v>
      </c>
    </row>
    <row r="65" spans="1:33" ht="15.75" customHeight="1">
      <c r="A65" s="52">
        <v>1</v>
      </c>
      <c r="B65" s="12">
        <f>B24</f>
        <v>0</v>
      </c>
      <c r="C65" s="38">
        <v>0</v>
      </c>
      <c r="D65" s="49">
        <v>1</v>
      </c>
      <c r="E65" s="12">
        <v>0</v>
      </c>
      <c r="F65" s="48">
        <v>1</v>
      </c>
      <c r="G65" s="85">
        <v>1</v>
      </c>
      <c r="H65" s="12">
        <f>SUM($H$24)</f>
        <v>0</v>
      </c>
      <c r="I65" s="38">
        <v>1</v>
      </c>
      <c r="J65" s="85">
        <v>1</v>
      </c>
      <c r="K65" s="27">
        <v>0</v>
      </c>
      <c r="L65" s="273">
        <v>1</v>
      </c>
      <c r="M65" s="9">
        <v>0</v>
      </c>
      <c r="N65" s="45">
        <f t="shared" ref="N65:N78" si="9">B65+E65+H65+K65</f>
        <v>0</v>
      </c>
      <c r="O65" s="28">
        <f>N65/M79</f>
        <v>0</v>
      </c>
      <c r="T65" s="7" t="str">
        <f>'Card Progress'!B64</f>
        <v>Three Musketeers</v>
      </c>
      <c r="U65" s="7">
        <f>'Card Progress'!C64</f>
        <v>438</v>
      </c>
      <c r="V65" s="33" t="s">
        <v>502</v>
      </c>
      <c r="AC65">
        <v>10</v>
      </c>
      <c r="AD65">
        <v>4</v>
      </c>
    </row>
    <row r="66" spans="1:33" ht="15.75" customHeight="1">
      <c r="A66" s="52">
        <v>2</v>
      </c>
      <c r="B66" s="18">
        <f>SUM($B$24:B25)</f>
        <v>2</v>
      </c>
      <c r="C66" s="48">
        <v>1</v>
      </c>
      <c r="D66" s="49">
        <v>2</v>
      </c>
      <c r="E66" s="50">
        <f>SUM($E$24:E25)</f>
        <v>2</v>
      </c>
      <c r="F66" s="48">
        <v>2</v>
      </c>
      <c r="G66" s="85">
        <v>2</v>
      </c>
      <c r="H66" s="50">
        <f>SUM($H$24:H25)</f>
        <v>2</v>
      </c>
      <c r="I66" s="48">
        <v>2</v>
      </c>
      <c r="J66" s="85">
        <v>2</v>
      </c>
      <c r="K66" s="45">
        <f>SUM($K$25:$K25)</f>
        <v>2</v>
      </c>
      <c r="L66" s="269">
        <v>2</v>
      </c>
      <c r="M66" s="48">
        <v>1</v>
      </c>
      <c r="N66" s="45">
        <f t="shared" si="9"/>
        <v>8</v>
      </c>
      <c r="O66" s="35">
        <f>N66/M79</f>
        <v>3.041593795148658E-4</v>
      </c>
      <c r="T66" s="7" t="str">
        <f>'Card Progress'!B65</f>
        <v>Total</v>
      </c>
      <c r="U66" s="7">
        <f>'Card Progress'!C65</f>
        <v>0</v>
      </c>
      <c r="AC66">
        <v>11</v>
      </c>
      <c r="AD66">
        <v>4</v>
      </c>
    </row>
    <row r="67" spans="1:33" ht="15.75" customHeight="1">
      <c r="A67" s="52">
        <v>3</v>
      </c>
      <c r="B67" s="18">
        <f>SUM($B$24:B26)</f>
        <v>6</v>
      </c>
      <c r="C67" s="48">
        <v>2</v>
      </c>
      <c r="D67" s="49">
        <v>3</v>
      </c>
      <c r="E67" s="50">
        <f>SUM($E$24:E26)</f>
        <v>6</v>
      </c>
      <c r="F67" s="48">
        <v>3</v>
      </c>
      <c r="G67" s="85">
        <v>3</v>
      </c>
      <c r="H67" s="50">
        <f>SUM($H$24:H26)</f>
        <v>6</v>
      </c>
      <c r="I67" s="48">
        <v>3</v>
      </c>
      <c r="J67" s="85">
        <v>3</v>
      </c>
      <c r="K67" s="45">
        <f>SUM($K$25:$K26)</f>
        <v>6</v>
      </c>
      <c r="L67" s="269">
        <v>3</v>
      </c>
      <c r="M67" s="48">
        <v>2</v>
      </c>
      <c r="N67" s="45">
        <f t="shared" si="9"/>
        <v>24</v>
      </c>
      <c r="O67" s="35">
        <f>N67/M79</f>
        <v>9.1247813854459733E-4</v>
      </c>
    </row>
    <row r="68" spans="1:33" ht="15.75" customHeight="1">
      <c r="A68" s="52">
        <v>4</v>
      </c>
      <c r="B68" s="18">
        <f>SUM($B$24:B27)</f>
        <v>16</v>
      </c>
      <c r="C68" s="48">
        <v>3</v>
      </c>
      <c r="D68" s="49">
        <v>4</v>
      </c>
      <c r="E68" s="50">
        <f>SUM($E$24:E27)</f>
        <v>16</v>
      </c>
      <c r="F68" s="48">
        <v>4</v>
      </c>
      <c r="G68" s="85">
        <v>4</v>
      </c>
      <c r="H68" s="50">
        <f>SUM($H$24:H27)</f>
        <v>16</v>
      </c>
      <c r="I68" s="48">
        <v>4</v>
      </c>
      <c r="J68" s="85">
        <v>4</v>
      </c>
      <c r="K68" s="45">
        <f>SUM($K$25:$K27)</f>
        <v>16</v>
      </c>
      <c r="L68" s="269">
        <v>4</v>
      </c>
      <c r="M68" s="48">
        <v>3</v>
      </c>
      <c r="N68" s="45">
        <f t="shared" si="9"/>
        <v>64</v>
      </c>
      <c r="O68" s="35">
        <f>N68/M79</f>
        <v>2.4332750361189264E-3</v>
      </c>
    </row>
    <row r="69" spans="1:33" ht="15.75" customHeight="1">
      <c r="A69" s="52">
        <v>5</v>
      </c>
      <c r="B69" s="18">
        <f>SUM($B$24:B28)</f>
        <v>36</v>
      </c>
      <c r="C69" s="48">
        <v>4</v>
      </c>
      <c r="D69" s="49">
        <v>5</v>
      </c>
      <c r="E69" s="50">
        <f>SUM($E$24:E28)</f>
        <v>36</v>
      </c>
      <c r="F69" s="48">
        <v>5</v>
      </c>
      <c r="G69" s="85">
        <v>5</v>
      </c>
      <c r="H69" s="50">
        <f>SUM($H$24:H28)</f>
        <v>36</v>
      </c>
      <c r="I69" s="48">
        <v>5</v>
      </c>
      <c r="J69" s="261">
        <v>5</v>
      </c>
      <c r="K69" s="45">
        <f>SUM($K$25:$K28)</f>
        <v>36</v>
      </c>
      <c r="L69" s="269">
        <v>5</v>
      </c>
      <c r="M69" s="48">
        <v>4</v>
      </c>
      <c r="N69" s="45">
        <f t="shared" si="9"/>
        <v>144</v>
      </c>
      <c r="O69" s="35">
        <f>N69/M79</f>
        <v>5.4748688312675842E-3</v>
      </c>
      <c r="AE69" s="130" t="s">
        <v>503</v>
      </c>
      <c r="AF69" s="130"/>
      <c r="AG69" s="3"/>
    </row>
    <row r="70" spans="1:33" ht="15.75" customHeight="1">
      <c r="A70" s="52">
        <v>6</v>
      </c>
      <c r="B70" s="18">
        <f>SUM($B$24:B29)</f>
        <v>86</v>
      </c>
      <c r="C70" s="48">
        <v>5</v>
      </c>
      <c r="D70" s="49">
        <v>6</v>
      </c>
      <c r="E70" s="50">
        <f>SUM($E$24:E29)</f>
        <v>86</v>
      </c>
      <c r="F70" s="48">
        <v>6</v>
      </c>
      <c r="G70" s="85">
        <v>6</v>
      </c>
      <c r="H70" s="50">
        <f>SUM($H$24:H29)</f>
        <v>86</v>
      </c>
      <c r="I70" s="48">
        <v>6</v>
      </c>
      <c r="J70" s="261">
        <v>0</v>
      </c>
      <c r="K70" s="59">
        <v>0</v>
      </c>
      <c r="L70" s="270"/>
      <c r="M70" s="48">
        <v>5</v>
      </c>
      <c r="N70" s="45">
        <f t="shared" si="9"/>
        <v>258</v>
      </c>
      <c r="O70" s="35">
        <f>N70/M79</f>
        <v>9.809139989354421E-3</v>
      </c>
      <c r="AE70">
        <v>0</v>
      </c>
      <c r="AF70">
        <v>0</v>
      </c>
    </row>
    <row r="71" spans="1:33" ht="15.75" customHeight="1">
      <c r="A71" s="52">
        <v>7</v>
      </c>
      <c r="B71" s="18">
        <f>SUM($B$24:B30)</f>
        <v>186</v>
      </c>
      <c r="C71" s="48">
        <v>6</v>
      </c>
      <c r="D71" s="49">
        <v>7</v>
      </c>
      <c r="E71" s="50">
        <f>SUM($E$24:E30)</f>
        <v>186</v>
      </c>
      <c r="F71" s="48">
        <v>7</v>
      </c>
      <c r="G71" s="85">
        <v>7</v>
      </c>
      <c r="H71" s="50">
        <f>SUM($H$24:H30)</f>
        <v>186</v>
      </c>
      <c r="I71" s="48">
        <v>7</v>
      </c>
      <c r="J71" s="47"/>
      <c r="K71" s="47"/>
      <c r="L71" s="47"/>
      <c r="M71" s="48">
        <v>6</v>
      </c>
      <c r="N71" s="45">
        <f t="shared" si="9"/>
        <v>558</v>
      </c>
      <c r="O71" s="35">
        <f>N71/M79</f>
        <v>2.121511672116189E-2</v>
      </c>
      <c r="AE71">
        <v>1</v>
      </c>
      <c r="AF71">
        <v>6</v>
      </c>
    </row>
    <row r="72" spans="1:33" ht="15.75" customHeight="1">
      <c r="A72" s="52">
        <v>8</v>
      </c>
      <c r="B72" s="18">
        <f>SUM($B$24:B31)</f>
        <v>386</v>
      </c>
      <c r="C72" s="48">
        <v>7</v>
      </c>
      <c r="D72" s="49">
        <v>8</v>
      </c>
      <c r="E72" s="50">
        <f>SUM($E$24:E31)</f>
        <v>386</v>
      </c>
      <c r="F72" s="48">
        <v>8</v>
      </c>
      <c r="G72" s="261">
        <v>8</v>
      </c>
      <c r="H72" s="50">
        <f>SUM($H$24:H31)</f>
        <v>386</v>
      </c>
      <c r="I72" s="48">
        <v>8</v>
      </c>
      <c r="J72" s="47"/>
      <c r="K72" s="47"/>
      <c r="L72" s="47"/>
      <c r="M72" s="48">
        <v>7</v>
      </c>
      <c r="N72" s="45">
        <f t="shared" si="9"/>
        <v>1158</v>
      </c>
      <c r="O72" s="35">
        <f>N72/M79</f>
        <v>4.402707018477682E-2</v>
      </c>
      <c r="AE72">
        <v>2</v>
      </c>
      <c r="AF72">
        <v>13</v>
      </c>
    </row>
    <row r="73" spans="1:33" ht="15.75" customHeight="1">
      <c r="A73" s="52">
        <v>9</v>
      </c>
      <c r="B73" s="18">
        <f>SUM($B$24:B32)</f>
        <v>786</v>
      </c>
      <c r="C73" s="48">
        <v>8</v>
      </c>
      <c r="D73" s="49">
        <v>9</v>
      </c>
      <c r="E73" s="50">
        <f>SUM($E$24:E32)</f>
        <v>786</v>
      </c>
      <c r="F73" s="48">
        <v>9</v>
      </c>
      <c r="G73" s="261">
        <v>0</v>
      </c>
      <c r="H73" s="257">
        <v>0</v>
      </c>
      <c r="I73" s="56"/>
      <c r="J73" s="47"/>
      <c r="K73" s="47"/>
      <c r="L73" s="47"/>
      <c r="M73" s="48">
        <v>8</v>
      </c>
      <c r="N73" s="45">
        <f t="shared" si="9"/>
        <v>1572</v>
      </c>
      <c r="O73" s="35">
        <f>N73/M79</f>
        <v>5.976731807467113E-2</v>
      </c>
      <c r="AE73">
        <v>3</v>
      </c>
      <c r="AF73">
        <v>20</v>
      </c>
    </row>
    <row r="74" spans="1:33" ht="15.75" customHeight="1">
      <c r="A74" s="52">
        <v>10</v>
      </c>
      <c r="B74" s="18">
        <f>SUM($B$24:B33)</f>
        <v>1586</v>
      </c>
      <c r="C74" s="48">
        <v>9</v>
      </c>
      <c r="D74" s="85">
        <v>10</v>
      </c>
      <c r="E74" s="50">
        <f>SUM($E$24:E33)</f>
        <v>1586</v>
      </c>
      <c r="F74" s="48">
        <v>10</v>
      </c>
      <c r="G74" s="47"/>
      <c r="H74" s="47"/>
      <c r="I74" s="47"/>
      <c r="J74" s="47"/>
      <c r="K74" s="47"/>
      <c r="L74" s="47"/>
      <c r="M74" s="48">
        <v>9</v>
      </c>
      <c r="N74" s="45">
        <f t="shared" si="9"/>
        <v>3172</v>
      </c>
      <c r="O74" s="35">
        <f>N74/M79</f>
        <v>0.12059919397764429</v>
      </c>
      <c r="AE74" t="s">
        <v>504</v>
      </c>
      <c r="AF74">
        <f>VLOOKUP('Card Progress'!K6,AE70:AF73,2,0)</f>
        <v>20</v>
      </c>
    </row>
    <row r="75" spans="1:33" ht="15.75" customHeight="1">
      <c r="A75" s="52">
        <v>11</v>
      </c>
      <c r="B75" s="18">
        <f>SUM($B$24:B34)</f>
        <v>2586</v>
      </c>
      <c r="C75" s="48">
        <v>10</v>
      </c>
      <c r="D75" s="61">
        <v>11</v>
      </c>
      <c r="E75" s="50">
        <f>SUM($E$24:E34)</f>
        <v>2586</v>
      </c>
      <c r="F75" s="48">
        <v>11</v>
      </c>
      <c r="G75" s="47"/>
      <c r="H75" s="47"/>
      <c r="I75" s="47"/>
      <c r="J75" s="47"/>
      <c r="K75" s="47"/>
      <c r="L75" s="47"/>
      <c r="M75" s="48">
        <v>10</v>
      </c>
      <c r="N75" s="45">
        <f t="shared" si="9"/>
        <v>5172</v>
      </c>
      <c r="O75" s="35">
        <f>N75/M79</f>
        <v>0.19663903885636072</v>
      </c>
    </row>
    <row r="76" spans="1:33" ht="15.75" customHeight="1">
      <c r="A76" s="52">
        <v>12</v>
      </c>
      <c r="B76" s="18">
        <f>SUM($B$24:B35)</f>
        <v>4586</v>
      </c>
      <c r="C76" s="48">
        <v>11</v>
      </c>
      <c r="D76" s="61">
        <v>0</v>
      </c>
      <c r="E76" s="62">
        <v>0</v>
      </c>
      <c r="F76" s="87">
        <v>11</v>
      </c>
      <c r="G76" s="47"/>
      <c r="H76" s="47"/>
      <c r="I76" s="47"/>
      <c r="J76" s="47"/>
      <c r="K76" s="47"/>
      <c r="L76" s="47"/>
      <c r="M76" s="48">
        <v>11</v>
      </c>
      <c r="N76" s="45">
        <f t="shared" si="9"/>
        <v>4586</v>
      </c>
      <c r="O76" s="35">
        <f>N76/M79</f>
        <v>0.1743593643068968</v>
      </c>
    </row>
    <row r="77" spans="1:33" ht="15.75" customHeight="1">
      <c r="A77" s="52">
        <v>13</v>
      </c>
      <c r="B77" s="18">
        <f>SUM($B$24:B36)</f>
        <v>9586</v>
      </c>
      <c r="C77" s="48">
        <v>12</v>
      </c>
      <c r="D77" s="47"/>
      <c r="E77" s="47"/>
      <c r="F77" s="47"/>
      <c r="G77" s="47"/>
      <c r="H77" s="47"/>
      <c r="I77" s="47"/>
      <c r="J77" s="47"/>
      <c r="K77" s="47"/>
      <c r="L77" s="47"/>
      <c r="M77" s="48">
        <v>12</v>
      </c>
      <c r="N77" s="45">
        <f t="shared" si="9"/>
        <v>9586</v>
      </c>
      <c r="O77" s="35">
        <f>N77/M79</f>
        <v>0.36445897650368791</v>
      </c>
      <c r="T77" s="131" t="s">
        <v>505</v>
      </c>
      <c r="U77" s="131"/>
      <c r="V77" s="131"/>
    </row>
    <row r="78" spans="1:33" ht="15.75" customHeight="1">
      <c r="A78" s="52">
        <v>0</v>
      </c>
      <c r="B78" s="15">
        <v>0</v>
      </c>
      <c r="C78" s="87">
        <v>13</v>
      </c>
      <c r="D78" s="47"/>
      <c r="E78" s="47"/>
      <c r="F78" s="47"/>
      <c r="G78" s="47"/>
      <c r="H78" s="47"/>
      <c r="I78" s="47"/>
      <c r="J78" s="47"/>
      <c r="K78" s="47"/>
      <c r="L78" s="47"/>
      <c r="M78" s="48">
        <v>13</v>
      </c>
      <c r="N78" s="45">
        <f t="shared" si="9"/>
        <v>0</v>
      </c>
      <c r="O78" s="35">
        <f>N78/M79</f>
        <v>0</v>
      </c>
      <c r="T78" s="7" t="s">
        <v>265</v>
      </c>
      <c r="U78" s="7" t="s">
        <v>78</v>
      </c>
      <c r="V78" s="7" t="s">
        <v>506</v>
      </c>
    </row>
    <row r="79" spans="1:33" ht="15.75" customHeight="1">
      <c r="A79" s="63" t="s">
        <v>224</v>
      </c>
      <c r="B79" s="276">
        <f>SUM(B66:B78)</f>
        <v>19848</v>
      </c>
      <c r="C79" s="276"/>
      <c r="D79" s="137">
        <f>SUM(E66:E76)</f>
        <v>5676</v>
      </c>
      <c r="E79" s="137"/>
      <c r="F79" s="137"/>
      <c r="G79" s="137">
        <f>SUM(H66:H73)</f>
        <v>718</v>
      </c>
      <c r="H79" s="137"/>
      <c r="I79" s="137"/>
      <c r="J79" s="137">
        <f>SUM(K66:K70)</f>
        <v>60</v>
      </c>
      <c r="K79" s="137"/>
      <c r="L79" s="137"/>
      <c r="M79" s="138">
        <f>SUM(N66:N78)</f>
        <v>26302</v>
      </c>
      <c r="N79" s="138"/>
      <c r="O79" s="138"/>
      <c r="T79" s="18" t="s">
        <v>48</v>
      </c>
      <c r="U79" s="27">
        <v>10</v>
      </c>
      <c r="V79" s="33">
        <v>10</v>
      </c>
    </row>
    <row r="80" spans="1:33" ht="15.75" customHeight="1">
      <c r="A80" s="63" t="s">
        <v>69</v>
      </c>
      <c r="B80" s="139">
        <f>B79/M79</f>
        <v>0.75461942057638198</v>
      </c>
      <c r="C80" s="139"/>
      <c r="D80" s="140">
        <f>D79/M79</f>
        <v>0.21580107976579727</v>
      </c>
      <c r="E80" s="140"/>
      <c r="F80" s="140"/>
      <c r="G80" s="140">
        <f>G79/M79</f>
        <v>2.7298304311459205E-2</v>
      </c>
      <c r="H80" s="140"/>
      <c r="I80" s="140"/>
      <c r="J80" s="140">
        <f>J79/M79</f>
        <v>2.2811953463614935E-3</v>
      </c>
      <c r="K80" s="140"/>
      <c r="L80" s="140"/>
      <c r="M80" s="141">
        <f>M79/M79</f>
        <v>1</v>
      </c>
      <c r="N80" s="141"/>
      <c r="O80" s="141"/>
      <c r="T80" s="18" t="s">
        <v>209</v>
      </c>
      <c r="U80" s="33">
        <v>50</v>
      </c>
      <c r="V80" s="33">
        <v>100</v>
      </c>
    </row>
    <row r="81" spans="20:22" ht="15.75" customHeight="1">
      <c r="T81" s="18" t="s">
        <v>210</v>
      </c>
      <c r="U81" s="33">
        <v>1000</v>
      </c>
      <c r="V81" s="33">
        <v>1000</v>
      </c>
    </row>
    <row r="82" spans="20:22" ht="15.75" customHeight="1">
      <c r="T82" s="15" t="s">
        <v>3</v>
      </c>
      <c r="U82" s="55">
        <v>20000</v>
      </c>
      <c r="V82" s="55">
        <v>40000</v>
      </c>
    </row>
    <row r="83" spans="20:22" ht="15.75" customHeight="1"/>
    <row r="84" spans="20:22" ht="15.75" customHeight="1"/>
    <row r="85" spans="20:22" ht="15.75" customHeight="1"/>
    <row r="86" spans="20:22" ht="15.75" customHeight="1"/>
    <row r="87" spans="20:22" ht="15.75" customHeight="1"/>
    <row r="88" spans="20:22" ht="15.75" customHeight="1"/>
    <row r="89" spans="20:22" ht="15.75" customHeight="1"/>
    <row r="90" spans="20:22" ht="15.75" customHeight="1"/>
    <row r="91" spans="20:22" ht="15.75" customHeight="1"/>
    <row r="92" spans="20:22" ht="15.75" customHeight="1"/>
    <row r="93" spans="20:22" ht="15.75" customHeight="1"/>
    <row r="94" spans="20:22" ht="15.75" customHeight="1"/>
    <row r="95" spans="20:22" ht="15.75" customHeight="1"/>
    <row r="96" spans="20:2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3">
    <mergeCell ref="B80:C80"/>
    <mergeCell ref="D80:F80"/>
    <mergeCell ref="G80:I80"/>
    <mergeCell ref="J80:L80"/>
    <mergeCell ref="M80:O80"/>
    <mergeCell ref="T77:V77"/>
    <mergeCell ref="B79:C79"/>
    <mergeCell ref="D79:F79"/>
    <mergeCell ref="G79:I79"/>
    <mergeCell ref="J79:L79"/>
    <mergeCell ref="M79:O79"/>
    <mergeCell ref="A63:C63"/>
    <mergeCell ref="D63:F63"/>
    <mergeCell ref="G63:I63"/>
    <mergeCell ref="J63:L63"/>
    <mergeCell ref="M63:O63"/>
    <mergeCell ref="AE69:AF69"/>
    <mergeCell ref="B59:C59"/>
    <mergeCell ref="D59:F59"/>
    <mergeCell ref="G59:I59"/>
    <mergeCell ref="J59:L59"/>
    <mergeCell ref="M59:O59"/>
    <mergeCell ref="A62:O62"/>
    <mergeCell ref="AC55:AD55"/>
    <mergeCell ref="B58:C58"/>
    <mergeCell ref="D58:F58"/>
    <mergeCell ref="G58:I58"/>
    <mergeCell ref="J58:L58"/>
    <mergeCell ref="M58:O58"/>
    <mergeCell ref="A42:C42"/>
    <mergeCell ref="D42:F42"/>
    <mergeCell ref="G42:I42"/>
    <mergeCell ref="J42:L42"/>
    <mergeCell ref="M42:O42"/>
    <mergeCell ref="AC54:AD54"/>
    <mergeCell ref="W39:Y39"/>
    <mergeCell ref="Z39:AB39"/>
    <mergeCell ref="AC39:AE39"/>
    <mergeCell ref="AC40:AD40"/>
    <mergeCell ref="A41:O41"/>
    <mergeCell ref="AC41:AD41"/>
    <mergeCell ref="T38:V38"/>
    <mergeCell ref="W38:Y38"/>
    <mergeCell ref="Z38:AB38"/>
    <mergeCell ref="AC38:AE38"/>
    <mergeCell ref="D39:F39"/>
    <mergeCell ref="G39:I39"/>
    <mergeCell ref="J39:L39"/>
    <mergeCell ref="M39:O39"/>
    <mergeCell ref="R39:S39"/>
    <mergeCell ref="T39:V39"/>
    <mergeCell ref="BC22:BE22"/>
    <mergeCell ref="BF22:BH22"/>
    <mergeCell ref="BI22:BK22"/>
    <mergeCell ref="J30:L30"/>
    <mergeCell ref="J34:L34"/>
    <mergeCell ref="D38:F38"/>
    <mergeCell ref="G38:I38"/>
    <mergeCell ref="J38:L38"/>
    <mergeCell ref="M38:O38"/>
    <mergeCell ref="R38:S38"/>
    <mergeCell ref="T22:V22"/>
    <mergeCell ref="W22:Y22"/>
    <mergeCell ref="Z22:AB22"/>
    <mergeCell ref="AC22:AE22"/>
    <mergeCell ref="AW22:AY22"/>
    <mergeCell ref="AZ22:BB22"/>
    <mergeCell ref="AC19:AE19"/>
    <mergeCell ref="A21:O21"/>
    <mergeCell ref="Q21:AE21"/>
    <mergeCell ref="AW21:BK21"/>
    <mergeCell ref="A22:C22"/>
    <mergeCell ref="D22:F22"/>
    <mergeCell ref="G22:I22"/>
    <mergeCell ref="J22:L22"/>
    <mergeCell ref="M22:O22"/>
    <mergeCell ref="Q22:S22"/>
    <mergeCell ref="AC18:AE18"/>
    <mergeCell ref="B19:C19"/>
    <mergeCell ref="D19:F19"/>
    <mergeCell ref="G19:I19"/>
    <mergeCell ref="J19:L19"/>
    <mergeCell ref="M19:O19"/>
    <mergeCell ref="R19:S19"/>
    <mergeCell ref="T19:V19"/>
    <mergeCell ref="W19:Y19"/>
    <mergeCell ref="Z19:AB19"/>
    <mergeCell ref="BF2:BH2"/>
    <mergeCell ref="B18:C18"/>
    <mergeCell ref="D18:F18"/>
    <mergeCell ref="G18:I18"/>
    <mergeCell ref="J18:L18"/>
    <mergeCell ref="M18:O18"/>
    <mergeCell ref="R18:S18"/>
    <mergeCell ref="T18:V18"/>
    <mergeCell ref="W18:Y18"/>
    <mergeCell ref="Z18:AB18"/>
    <mergeCell ref="W2:Y2"/>
    <mergeCell ref="Z2:AB2"/>
    <mergeCell ref="AC2:AD2"/>
    <mergeCell ref="AW2:AY2"/>
    <mergeCell ref="AZ2:BB2"/>
    <mergeCell ref="BC2:BE2"/>
    <mergeCell ref="A1:O1"/>
    <mergeCell ref="Q1:AE1"/>
    <mergeCell ref="AW1:BK1"/>
    <mergeCell ref="A2:C2"/>
    <mergeCell ref="D2:F2"/>
    <mergeCell ref="G2:I2"/>
    <mergeCell ref="J2:L2"/>
    <mergeCell ref="M2:O2"/>
    <mergeCell ref="Q2:S2"/>
    <mergeCell ref="T2:V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54BA-2BD2-44A5-BD10-BCB70BFB2007}">
  <dimension ref="A1:AD1000"/>
  <sheetViews>
    <sheetView workbookViewId="0"/>
  </sheetViews>
  <sheetFormatPr defaultRowHeight="15" customHeight="1"/>
  <cols>
    <col min="1" max="6" width="9.140625" customWidth="1"/>
    <col min="7" max="7" width="11.85546875" customWidth="1"/>
    <col min="8" max="30" width="9.140625" customWidth="1"/>
    <col min="31" max="1024" width="15.28515625" customWidth="1"/>
  </cols>
  <sheetData>
    <row r="1" spans="1:30">
      <c r="P1" s="131" t="s">
        <v>48</v>
      </c>
      <c r="Q1" s="131"/>
      <c r="R1" s="131"/>
      <c r="S1" s="131" t="s">
        <v>1</v>
      </c>
      <c r="T1" s="131"/>
      <c r="U1" s="131"/>
      <c r="V1" s="131" t="s">
        <v>2</v>
      </c>
      <c r="W1" s="131"/>
      <c r="X1" s="131"/>
      <c r="Y1" s="131" t="s">
        <v>3</v>
      </c>
      <c r="Z1" s="131"/>
      <c r="AA1" s="131"/>
      <c r="AB1" s="134" t="s">
        <v>65</v>
      </c>
      <c r="AC1" s="134"/>
      <c r="AD1" s="134"/>
    </row>
    <row r="2" spans="1:30">
      <c r="P2" s="7" t="s">
        <v>67</v>
      </c>
      <c r="Q2" s="7" t="s">
        <v>68</v>
      </c>
      <c r="R2" s="7" t="s">
        <v>69</v>
      </c>
      <c r="S2" s="7" t="s">
        <v>67</v>
      </c>
      <c r="T2" s="7" t="s">
        <v>68</v>
      </c>
      <c r="U2" s="7" t="s">
        <v>69</v>
      </c>
      <c r="V2" s="7" t="s">
        <v>67</v>
      </c>
      <c r="W2" s="7" t="s">
        <v>68</v>
      </c>
      <c r="X2" s="7" t="s">
        <v>69</v>
      </c>
      <c r="Y2" s="7" t="s">
        <v>67</v>
      </c>
      <c r="Z2" s="7" t="s">
        <v>68</v>
      </c>
      <c r="AA2" s="7" t="s">
        <v>69</v>
      </c>
      <c r="AB2" s="7" t="s">
        <v>67</v>
      </c>
      <c r="AC2" s="7" t="s">
        <v>68</v>
      </c>
      <c r="AD2" s="7" t="s">
        <v>69</v>
      </c>
    </row>
    <row r="3" spans="1:30">
      <c r="A3" s="44">
        <v>1</v>
      </c>
      <c r="B3" s="41"/>
      <c r="C3" s="28"/>
      <c r="D3" s="40">
        <v>1</v>
      </c>
      <c r="E3" s="43">
        <v>0</v>
      </c>
      <c r="F3" s="28">
        <f>E3/D16</f>
        <v>0</v>
      </c>
      <c r="G3" s="42">
        <v>1</v>
      </c>
      <c r="H3" s="43"/>
      <c r="I3" s="28">
        <f>H3/G16</f>
        <v>0</v>
      </c>
      <c r="J3" s="43">
        <v>1</v>
      </c>
      <c r="K3" s="43">
        <v>0</v>
      </c>
      <c r="L3" s="28">
        <f>K3/J16</f>
        <v>0</v>
      </c>
      <c r="M3" s="45">
        <v>1</v>
      </c>
      <c r="N3" s="45">
        <f>B3+E3+H3+K3</f>
        <v>0</v>
      </c>
      <c r="O3" s="34">
        <f>N3/M16</f>
        <v>0</v>
      </c>
      <c r="P3" s="38">
        <v>1</v>
      </c>
      <c r="Q3" s="39">
        <v>0</v>
      </c>
      <c r="R3" s="28">
        <f>Q3/Q16</f>
        <v>0</v>
      </c>
      <c r="S3" s="40">
        <v>1</v>
      </c>
      <c r="T3" s="41">
        <v>0</v>
      </c>
      <c r="U3" s="28">
        <f>T3/S16</f>
        <v>0</v>
      </c>
      <c r="V3" s="42">
        <v>1</v>
      </c>
      <c r="W3" s="43">
        <v>0</v>
      </c>
      <c r="X3" s="28">
        <f>W3/V16</f>
        <v>0</v>
      </c>
      <c r="Y3" s="43">
        <v>1</v>
      </c>
      <c r="Z3" s="42">
        <v>0</v>
      </c>
      <c r="AA3" s="28">
        <f>Z3/Y16</f>
        <v>0</v>
      </c>
      <c r="AB3" s="43">
        <v>1</v>
      </c>
      <c r="AC3" s="43">
        <f t="shared" ref="AC3:AC15" si="0">Q3+T3+W3+Z3</f>
        <v>0</v>
      </c>
      <c r="AD3" s="31">
        <f>AC3/AB16</f>
        <v>0</v>
      </c>
    </row>
    <row r="4" spans="1:30">
      <c r="A4" s="52">
        <v>2</v>
      </c>
      <c r="B4" s="50">
        <v>4</v>
      </c>
      <c r="C4" s="34"/>
      <c r="D4" s="49">
        <v>2</v>
      </c>
      <c r="E4" s="45">
        <v>6</v>
      </c>
      <c r="F4" s="34">
        <f>E4/D16</f>
        <v>1.5826958586125032E-3</v>
      </c>
      <c r="G4" s="51">
        <v>2</v>
      </c>
      <c r="H4" s="50">
        <v>25</v>
      </c>
      <c r="I4" s="34">
        <f>H4/G16</f>
        <v>6.7114093959731542E-3</v>
      </c>
      <c r="J4" s="45">
        <v>2</v>
      </c>
      <c r="K4" s="45">
        <v>250</v>
      </c>
      <c r="L4" s="34">
        <f>K4/J16</f>
        <v>7.6923076923076927E-2</v>
      </c>
      <c r="M4" s="45">
        <v>2</v>
      </c>
      <c r="N4" s="45">
        <f>B4+E4+H4+K4</f>
        <v>285</v>
      </c>
      <c r="O4" s="34">
        <f>N4/M16</f>
        <v>1.956611286557737E-2</v>
      </c>
      <c r="P4" s="48">
        <v>2</v>
      </c>
      <c r="Q4" s="47">
        <v>5</v>
      </c>
      <c r="R4" s="34">
        <f>Q4/Q16</f>
        <v>2.6936026936026937E-5</v>
      </c>
      <c r="S4" s="49">
        <v>2</v>
      </c>
      <c r="T4" s="50">
        <v>50</v>
      </c>
      <c r="U4" s="34">
        <f>T4/S16</f>
        <v>2.6939655172413793E-4</v>
      </c>
      <c r="V4" s="51">
        <v>2</v>
      </c>
      <c r="W4" s="45">
        <v>400</v>
      </c>
      <c r="X4" s="34">
        <f>W4/V16</f>
        <v>2.1691973969631237E-3</v>
      </c>
      <c r="Y4" s="45">
        <v>2</v>
      </c>
      <c r="Z4" s="51">
        <v>5000</v>
      </c>
      <c r="AA4" s="34">
        <f>Z4/Y16</f>
        <v>2.8571428571428571E-2</v>
      </c>
      <c r="AB4" s="45">
        <v>2</v>
      </c>
      <c r="AC4" s="45">
        <f t="shared" si="0"/>
        <v>5455</v>
      </c>
      <c r="AD4" s="35">
        <f>AC4/AB16</f>
        <v>7.4662104362703168E-3</v>
      </c>
    </row>
    <row r="5" spans="1:30">
      <c r="A5" s="52">
        <v>3</v>
      </c>
      <c r="B5" s="50">
        <v>5</v>
      </c>
      <c r="C5" s="34"/>
      <c r="D5" s="49">
        <v>3</v>
      </c>
      <c r="E5" s="50">
        <v>10</v>
      </c>
      <c r="F5" s="34">
        <f>E5/D16</f>
        <v>2.637826431020839E-3</v>
      </c>
      <c r="G5" s="51">
        <v>3</v>
      </c>
      <c r="H5" s="50">
        <v>100</v>
      </c>
      <c r="I5" s="34">
        <f>H5/G16</f>
        <v>2.6845637583892617E-2</v>
      </c>
      <c r="J5" s="45">
        <v>3</v>
      </c>
      <c r="K5" s="45">
        <v>600</v>
      </c>
      <c r="L5" s="34">
        <f>K5/J16</f>
        <v>0.18461538461538463</v>
      </c>
      <c r="M5" s="45">
        <v>3</v>
      </c>
      <c r="N5" s="45">
        <f>B5+E5+H5+K5</f>
        <v>715</v>
      </c>
      <c r="O5" s="34">
        <f>N5/M16</f>
        <v>4.9086914732939725E-2</v>
      </c>
      <c r="P5" s="48">
        <v>3</v>
      </c>
      <c r="Q5" s="47">
        <v>20</v>
      </c>
      <c r="R5" s="34">
        <f>Q5/Q16</f>
        <v>1.0774410774410775E-4</v>
      </c>
      <c r="S5" s="49">
        <v>3</v>
      </c>
      <c r="T5" s="50">
        <v>150</v>
      </c>
      <c r="U5" s="34">
        <f>T5/S16</f>
        <v>8.0818965517241378E-4</v>
      </c>
      <c r="V5" s="51">
        <v>3</v>
      </c>
      <c r="W5" s="45">
        <v>2000</v>
      </c>
      <c r="X5" s="34">
        <f>W5/V16</f>
        <v>1.0845986984815618E-2</v>
      </c>
      <c r="Y5" s="45">
        <v>3</v>
      </c>
      <c r="Z5" s="51">
        <v>20000</v>
      </c>
      <c r="AA5" s="34">
        <f>Z5/Y16</f>
        <v>0.11428571428571428</v>
      </c>
      <c r="AB5" s="45">
        <v>3</v>
      </c>
      <c r="AC5" s="45">
        <f t="shared" si="0"/>
        <v>22170</v>
      </c>
      <c r="AD5" s="35">
        <f>AC5/AB16</f>
        <v>3.0343883661248929E-2</v>
      </c>
    </row>
    <row r="6" spans="1:30">
      <c r="A6" s="52">
        <v>4</v>
      </c>
      <c r="B6" s="50">
        <v>6</v>
      </c>
      <c r="C6" s="34"/>
      <c r="D6" s="49">
        <v>4</v>
      </c>
      <c r="E6" s="50">
        <v>25</v>
      </c>
      <c r="F6" s="34">
        <f>E6/D16</f>
        <v>6.5945660775520972E-3</v>
      </c>
      <c r="G6" s="51">
        <v>4</v>
      </c>
      <c r="H6" s="50">
        <v>200</v>
      </c>
      <c r="I6" s="34">
        <f>H6/G16</f>
        <v>5.3691275167785234E-2</v>
      </c>
      <c r="J6" s="45">
        <v>4</v>
      </c>
      <c r="K6" s="45">
        <v>800</v>
      </c>
      <c r="L6" s="34">
        <f>K6/J16</f>
        <v>0.24615384615384617</v>
      </c>
      <c r="M6" s="45">
        <v>4</v>
      </c>
      <c r="N6" s="45">
        <f>B6+E6+H6+K6</f>
        <v>1031</v>
      </c>
      <c r="O6" s="34">
        <f>N6/M16</f>
        <v>7.0781271454071121E-2</v>
      </c>
      <c r="P6" s="48">
        <v>4</v>
      </c>
      <c r="Q6" s="47">
        <v>50</v>
      </c>
      <c r="R6" s="34">
        <f>Q6/Q16</f>
        <v>2.6936026936026934E-4</v>
      </c>
      <c r="S6" s="49">
        <v>4</v>
      </c>
      <c r="T6" s="50">
        <v>400</v>
      </c>
      <c r="U6" s="34">
        <f>T6/S16</f>
        <v>2.1551724137931034E-3</v>
      </c>
      <c r="V6" s="51">
        <v>4</v>
      </c>
      <c r="W6" s="45">
        <v>4000</v>
      </c>
      <c r="X6" s="34">
        <f>W6/V16</f>
        <v>2.1691973969631236E-2</v>
      </c>
      <c r="Y6" s="45">
        <v>4</v>
      </c>
      <c r="Z6" s="51">
        <v>50000</v>
      </c>
      <c r="AA6" s="34">
        <f>Z6/Y16</f>
        <v>0.2857142857142857</v>
      </c>
      <c r="AB6" s="45">
        <v>4</v>
      </c>
      <c r="AC6" s="45">
        <f t="shared" si="0"/>
        <v>54450</v>
      </c>
      <c r="AD6" s="35">
        <f>AC6/AB16</f>
        <v>7.4525235243798116E-2</v>
      </c>
    </row>
    <row r="7" spans="1:30">
      <c r="A7" s="52">
        <v>5</v>
      </c>
      <c r="B7" s="50">
        <v>10</v>
      </c>
      <c r="C7" s="34"/>
      <c r="D7" s="49">
        <v>5</v>
      </c>
      <c r="E7" s="50">
        <v>50</v>
      </c>
      <c r="F7" s="34">
        <f>E7/D16</f>
        <v>1.3189132155104194E-2</v>
      </c>
      <c r="G7" s="51">
        <v>5</v>
      </c>
      <c r="H7" s="50">
        <v>400</v>
      </c>
      <c r="I7" s="34">
        <f>H7/G16</f>
        <v>0.10738255033557047</v>
      </c>
      <c r="J7" s="59">
        <v>5</v>
      </c>
      <c r="K7" s="59">
        <v>1600</v>
      </c>
      <c r="L7" s="56">
        <f>K7/J16</f>
        <v>0.49230769230769234</v>
      </c>
      <c r="M7" s="45">
        <v>5</v>
      </c>
      <c r="N7" s="45">
        <f>B7+E7+H7+K7</f>
        <v>2060</v>
      </c>
      <c r="O7" s="34">
        <f>N7/M16</f>
        <v>0.14142523685294522</v>
      </c>
      <c r="P7" s="48">
        <v>5</v>
      </c>
      <c r="Q7" s="47">
        <v>150</v>
      </c>
      <c r="R7" s="34">
        <f>Q7/Q16</f>
        <v>8.0808080808080808E-4</v>
      </c>
      <c r="S7" s="49">
        <v>5</v>
      </c>
      <c r="T7" s="50">
        <v>1000</v>
      </c>
      <c r="U7" s="34">
        <f>T7/S16</f>
        <v>5.387931034482759E-3</v>
      </c>
      <c r="V7" s="51">
        <v>5</v>
      </c>
      <c r="W7" s="45">
        <v>8000</v>
      </c>
      <c r="X7" s="34">
        <f>W7/V16</f>
        <v>4.3383947939262472E-2</v>
      </c>
      <c r="Y7" s="59">
        <v>5</v>
      </c>
      <c r="Z7" s="60">
        <v>100000</v>
      </c>
      <c r="AA7" s="56">
        <f>Z7/Y16</f>
        <v>0.5714285714285714</v>
      </c>
      <c r="AB7" s="45">
        <v>5</v>
      </c>
      <c r="AC7" s="45">
        <f t="shared" si="0"/>
        <v>109150</v>
      </c>
      <c r="AD7" s="35">
        <f>AC7/AB16</f>
        <v>0.14939264328485885</v>
      </c>
    </row>
    <row r="8" spans="1:30">
      <c r="A8" s="52">
        <v>6</v>
      </c>
      <c r="B8" s="50">
        <v>25</v>
      </c>
      <c r="C8" s="34"/>
      <c r="D8" s="49">
        <v>6</v>
      </c>
      <c r="E8" s="50">
        <v>100</v>
      </c>
      <c r="F8" s="34">
        <f>E8/D16</f>
        <v>2.6378264310208389E-2</v>
      </c>
      <c r="G8" s="51">
        <v>6</v>
      </c>
      <c r="H8" s="50">
        <v>600</v>
      </c>
      <c r="I8" s="34">
        <f>H8/G16</f>
        <v>0.16107382550335569</v>
      </c>
      <c r="J8" s="47"/>
      <c r="K8" s="47"/>
      <c r="L8" s="47"/>
      <c r="M8" s="45">
        <v>6</v>
      </c>
      <c r="N8" s="45">
        <f>B8+E8+H8+K7</f>
        <v>2325</v>
      </c>
      <c r="O8" s="34">
        <f>N8/M16</f>
        <v>0.15961828916655224</v>
      </c>
      <c r="P8" s="48">
        <v>6</v>
      </c>
      <c r="Q8" s="47">
        <v>400</v>
      </c>
      <c r="R8" s="34">
        <f>Q8/Q16</f>
        <v>2.1548821548821547E-3</v>
      </c>
      <c r="S8" s="49">
        <v>6</v>
      </c>
      <c r="T8" s="50">
        <v>2000</v>
      </c>
      <c r="U8" s="34">
        <f>T8/S16</f>
        <v>1.0775862068965518E-2</v>
      </c>
      <c r="V8" s="51">
        <v>6</v>
      </c>
      <c r="W8" s="45">
        <v>20000</v>
      </c>
      <c r="X8" s="34">
        <f>W8/V16</f>
        <v>0.10845986984815618</v>
      </c>
      <c r="Y8" s="47"/>
      <c r="Z8" s="47"/>
      <c r="AA8" s="47"/>
      <c r="AB8" s="45">
        <v>6</v>
      </c>
      <c r="AC8" s="45">
        <f t="shared" si="0"/>
        <v>22400</v>
      </c>
      <c r="AD8" s="35">
        <f>AC8/AB16</f>
        <v>3.0658682634730539E-2</v>
      </c>
    </row>
    <row r="9" spans="1:30">
      <c r="A9" s="52">
        <v>7</v>
      </c>
      <c r="B9" s="50">
        <v>50</v>
      </c>
      <c r="C9" s="34"/>
      <c r="D9" s="49">
        <v>7</v>
      </c>
      <c r="E9" s="50">
        <v>200</v>
      </c>
      <c r="F9" s="34">
        <f>E9/D16</f>
        <v>5.2756528620416777E-2</v>
      </c>
      <c r="G9" s="51">
        <v>7</v>
      </c>
      <c r="H9" s="50">
        <v>800</v>
      </c>
      <c r="I9" s="34">
        <f>H9/G16</f>
        <v>0.21476510067114093</v>
      </c>
      <c r="J9" s="47"/>
      <c r="K9" s="47"/>
      <c r="L9" s="47"/>
      <c r="M9" s="45">
        <v>7</v>
      </c>
      <c r="N9" s="45">
        <f>B9+E9+H9+K7</f>
        <v>2650</v>
      </c>
      <c r="O9" s="34">
        <f>N9/M16</f>
        <v>0.1819305231360703</v>
      </c>
      <c r="P9" s="48">
        <v>7</v>
      </c>
      <c r="Q9" s="47">
        <v>1000</v>
      </c>
      <c r="R9" s="34">
        <f>Q9/Q16</f>
        <v>5.3872053872053875E-3</v>
      </c>
      <c r="S9" s="49">
        <v>7</v>
      </c>
      <c r="T9" s="50">
        <v>4000</v>
      </c>
      <c r="U9" s="34">
        <f>T9/S16</f>
        <v>2.1551724137931036E-2</v>
      </c>
      <c r="V9" s="51">
        <v>7</v>
      </c>
      <c r="W9" s="45">
        <v>50000</v>
      </c>
      <c r="X9" s="34">
        <f>W9/V16</f>
        <v>0.27114967462039047</v>
      </c>
      <c r="Y9" s="47"/>
      <c r="Z9" s="47"/>
      <c r="AA9" s="47"/>
      <c r="AB9" s="45">
        <v>7</v>
      </c>
      <c r="AC9" s="45">
        <f t="shared" si="0"/>
        <v>55000</v>
      </c>
      <c r="AD9" s="35">
        <f>AC9/AB16</f>
        <v>7.5278015397775871E-2</v>
      </c>
    </row>
    <row r="10" spans="1:30">
      <c r="A10" s="52">
        <v>8</v>
      </c>
      <c r="B10" s="50">
        <v>100</v>
      </c>
      <c r="C10" s="34"/>
      <c r="D10" s="49">
        <v>8</v>
      </c>
      <c r="E10" s="50">
        <v>400</v>
      </c>
      <c r="F10" s="34">
        <f>E10/D16</f>
        <v>0.10551305724083355</v>
      </c>
      <c r="G10" s="60">
        <v>8</v>
      </c>
      <c r="H10" s="59">
        <v>1600</v>
      </c>
      <c r="I10" s="56">
        <f>H10/G16</f>
        <v>0.42953020134228187</v>
      </c>
      <c r="J10" s="47"/>
      <c r="K10" s="47"/>
      <c r="L10" s="47"/>
      <c r="M10" s="45">
        <v>8</v>
      </c>
      <c r="N10" s="45">
        <f>B10+E10+H10+K7</f>
        <v>3700</v>
      </c>
      <c r="O10" s="34">
        <f>N10/M16</f>
        <v>0.25401620211451326</v>
      </c>
      <c r="P10" s="48">
        <v>8</v>
      </c>
      <c r="Q10" s="47">
        <v>2000</v>
      </c>
      <c r="R10" s="34">
        <f>Q10/Q16</f>
        <v>1.0774410774410775E-2</v>
      </c>
      <c r="S10" s="49">
        <v>8</v>
      </c>
      <c r="T10" s="50">
        <v>8000</v>
      </c>
      <c r="U10" s="34">
        <f>T10/S16</f>
        <v>4.3103448275862072E-2</v>
      </c>
      <c r="V10" s="60">
        <v>8</v>
      </c>
      <c r="W10" s="59">
        <v>100000</v>
      </c>
      <c r="X10" s="56">
        <f>W10/V16</f>
        <v>0.54229934924078094</v>
      </c>
      <c r="Y10" s="47"/>
      <c r="Z10" s="47"/>
      <c r="AA10" s="47"/>
      <c r="AB10" s="45">
        <v>8</v>
      </c>
      <c r="AC10" s="45">
        <f t="shared" si="0"/>
        <v>110000</v>
      </c>
      <c r="AD10" s="35">
        <f>AC10/AB16</f>
        <v>0.15055603079555174</v>
      </c>
    </row>
    <row r="11" spans="1:30">
      <c r="A11" s="52">
        <v>9</v>
      </c>
      <c r="B11" s="50">
        <v>200</v>
      </c>
      <c r="C11" s="34"/>
      <c r="D11" s="49">
        <v>9</v>
      </c>
      <c r="E11" s="50">
        <v>600</v>
      </c>
      <c r="F11" s="34">
        <f>E11/D16</f>
        <v>0.15826958586125034</v>
      </c>
      <c r="G11" s="47"/>
      <c r="H11" s="47"/>
      <c r="I11" s="47"/>
      <c r="J11" s="47"/>
      <c r="K11" s="47"/>
      <c r="L11" s="47"/>
      <c r="M11" s="45">
        <v>9</v>
      </c>
      <c r="N11" s="45">
        <f>B11+E11+H10+K7</f>
        <v>4000</v>
      </c>
      <c r="O11" s="34">
        <f>N11/M16</f>
        <v>0.27461211039406835</v>
      </c>
      <c r="P11" s="48">
        <v>9</v>
      </c>
      <c r="Q11" s="47">
        <v>4000</v>
      </c>
      <c r="R11" s="34">
        <f>Q11/Q16</f>
        <v>2.154882154882155E-2</v>
      </c>
      <c r="S11" s="49">
        <v>9</v>
      </c>
      <c r="T11" s="50">
        <v>20000</v>
      </c>
      <c r="U11" s="34">
        <f>T11/S16</f>
        <v>0.10775862068965517</v>
      </c>
      <c r="V11" s="47"/>
      <c r="W11" s="47"/>
      <c r="X11" s="47"/>
      <c r="Y11" s="47"/>
      <c r="Z11" s="47"/>
      <c r="AA11" s="47"/>
      <c r="AB11" s="45">
        <v>9</v>
      </c>
      <c r="AC11" s="45">
        <f t="shared" si="0"/>
        <v>24000</v>
      </c>
      <c r="AD11" s="35">
        <f>AC11/AB16</f>
        <v>3.2848588537211294E-2</v>
      </c>
    </row>
    <row r="12" spans="1:30">
      <c r="A12" s="52">
        <v>10</v>
      </c>
      <c r="B12" s="50">
        <v>400</v>
      </c>
      <c r="C12" s="34"/>
      <c r="D12" s="49">
        <v>10</v>
      </c>
      <c r="E12" s="50">
        <v>800</v>
      </c>
      <c r="F12" s="34">
        <f>E12/D16</f>
        <v>0.21102611448166711</v>
      </c>
      <c r="G12" s="47"/>
      <c r="H12" s="47"/>
      <c r="I12" s="47"/>
      <c r="J12" s="47"/>
      <c r="K12" s="47"/>
      <c r="L12" s="47"/>
      <c r="M12" s="45">
        <v>10</v>
      </c>
      <c r="N12" s="45">
        <f>B12+E12+H10+K7</f>
        <v>4400</v>
      </c>
      <c r="O12" s="34">
        <f>N12/M16</f>
        <v>0.30207332143347521</v>
      </c>
      <c r="P12" s="48">
        <v>10</v>
      </c>
      <c r="Q12" s="47">
        <v>8000</v>
      </c>
      <c r="R12" s="34">
        <f>Q12/Q16</f>
        <v>4.30976430976431E-2</v>
      </c>
      <c r="S12" s="49">
        <v>10</v>
      </c>
      <c r="T12" s="50">
        <v>50000</v>
      </c>
      <c r="U12" s="34">
        <f>T12/S16</f>
        <v>0.26939655172413796</v>
      </c>
      <c r="V12" s="47"/>
      <c r="W12" s="47"/>
      <c r="X12" s="47"/>
      <c r="Y12" s="47"/>
      <c r="Z12" s="47"/>
      <c r="AA12" s="47"/>
      <c r="AB12" s="45">
        <v>10</v>
      </c>
      <c r="AC12" s="45">
        <f t="shared" si="0"/>
        <v>58000</v>
      </c>
      <c r="AD12" s="35">
        <f>AC12/AB16</f>
        <v>7.9384088964927282E-2</v>
      </c>
    </row>
    <row r="13" spans="1:30">
      <c r="A13" s="52">
        <v>11</v>
      </c>
      <c r="B13" s="50">
        <v>600</v>
      </c>
      <c r="C13" s="34"/>
      <c r="D13" s="61">
        <v>11</v>
      </c>
      <c r="E13" s="59">
        <v>1600</v>
      </c>
      <c r="F13" s="56">
        <f>E13/D16</f>
        <v>0.42205222896333422</v>
      </c>
      <c r="G13" s="47"/>
      <c r="H13" s="47"/>
      <c r="I13" s="47"/>
      <c r="J13" s="47"/>
      <c r="K13" s="47"/>
      <c r="L13" s="47"/>
      <c r="M13" s="45">
        <v>11</v>
      </c>
      <c r="N13" s="45">
        <f>B13+E13+H10+K7</f>
        <v>5400</v>
      </c>
      <c r="O13" s="34">
        <f>N13/M16</f>
        <v>0.37072634903199231</v>
      </c>
      <c r="P13" s="48">
        <v>11</v>
      </c>
      <c r="Q13" s="47">
        <v>20000</v>
      </c>
      <c r="R13" s="34">
        <f>Q13/Q16</f>
        <v>0.10774410774410774</v>
      </c>
      <c r="S13" s="61">
        <v>11</v>
      </c>
      <c r="T13" s="62">
        <v>100000</v>
      </c>
      <c r="U13" s="56">
        <f>T13/S16</f>
        <v>0.53879310344827591</v>
      </c>
      <c r="V13" s="47"/>
      <c r="W13" s="47"/>
      <c r="X13" s="47"/>
      <c r="Y13" s="47"/>
      <c r="Z13" s="47"/>
      <c r="AA13" s="47"/>
      <c r="AB13" s="45">
        <v>11</v>
      </c>
      <c r="AC13" s="45">
        <f t="shared" si="0"/>
        <v>120000</v>
      </c>
      <c r="AD13" s="35">
        <f>AC13/AB16</f>
        <v>0.16424294268605646</v>
      </c>
    </row>
    <row r="14" spans="1:30">
      <c r="A14" s="52">
        <v>12</v>
      </c>
      <c r="B14" s="50">
        <v>800</v>
      </c>
      <c r="C14" s="34"/>
      <c r="D14" s="47"/>
      <c r="E14" s="47"/>
      <c r="F14" s="47"/>
      <c r="G14" s="47"/>
      <c r="H14" s="47"/>
      <c r="I14" s="47"/>
      <c r="J14" s="47"/>
      <c r="K14" s="47"/>
      <c r="L14" s="47"/>
      <c r="M14" s="45">
        <v>12</v>
      </c>
      <c r="N14" s="45">
        <f>B14+E13+H10+K7</f>
        <v>5600</v>
      </c>
      <c r="O14" s="34">
        <f>N14/M16</f>
        <v>0.38445695455169571</v>
      </c>
      <c r="P14" s="48">
        <v>12</v>
      </c>
      <c r="Q14" s="47">
        <v>50000</v>
      </c>
      <c r="R14" s="34">
        <f>Q14/Q16</f>
        <v>0.26936026936026936</v>
      </c>
      <c r="S14" s="47"/>
      <c r="T14" s="47"/>
      <c r="U14" s="47"/>
      <c r="V14" s="47"/>
      <c r="W14" s="47"/>
      <c r="X14" s="47"/>
      <c r="Y14" s="47"/>
      <c r="Z14" s="47"/>
      <c r="AA14" s="47"/>
      <c r="AB14" s="45">
        <v>12</v>
      </c>
      <c r="AC14" s="45">
        <f t="shared" si="0"/>
        <v>50000</v>
      </c>
      <c r="AD14" s="35">
        <f>AC14/AB16</f>
        <v>6.8434559452523525E-2</v>
      </c>
    </row>
    <row r="15" spans="1:30">
      <c r="A15" s="52">
        <v>13</v>
      </c>
      <c r="B15" s="50">
        <v>1600</v>
      </c>
      <c r="C15" s="34"/>
      <c r="D15" s="47"/>
      <c r="E15" s="47"/>
      <c r="F15" s="47"/>
      <c r="G15" s="47"/>
      <c r="H15" s="47"/>
      <c r="I15" s="47"/>
      <c r="J15" s="47"/>
      <c r="K15" s="47"/>
      <c r="L15" s="47"/>
      <c r="M15" s="45">
        <v>13</v>
      </c>
      <c r="N15" s="45">
        <f>B15+E13+H10+K7</f>
        <v>6400</v>
      </c>
      <c r="O15" s="34">
        <f>N15/M16</f>
        <v>0.43937937663050941</v>
      </c>
      <c r="P15" s="48">
        <v>13</v>
      </c>
      <c r="Q15" s="47">
        <v>100000</v>
      </c>
      <c r="R15" s="34">
        <f>Q15/Q16</f>
        <v>0.53872053872053871</v>
      </c>
      <c r="S15" s="47"/>
      <c r="T15" s="47"/>
      <c r="U15" s="47"/>
      <c r="V15" s="47"/>
      <c r="W15" s="47"/>
      <c r="X15" s="47"/>
      <c r="Y15" s="47"/>
      <c r="Z15" s="47"/>
      <c r="AA15" s="47"/>
      <c r="AB15" s="45">
        <v>13</v>
      </c>
      <c r="AC15" s="45">
        <f t="shared" si="0"/>
        <v>100000</v>
      </c>
      <c r="AD15" s="35">
        <f>AC15/AB16</f>
        <v>0.13686911890504705</v>
      </c>
    </row>
    <row r="16" spans="1:30">
      <c r="A16" s="63" t="s">
        <v>112</v>
      </c>
      <c r="B16" s="64">
        <f>SUM(B3:B15)</f>
        <v>3800</v>
      </c>
      <c r="C16" s="65"/>
      <c r="D16" s="65">
        <f>SUM(E3:E13)</f>
        <v>3791</v>
      </c>
      <c r="E16" s="65"/>
      <c r="F16" s="65"/>
      <c r="G16" s="65">
        <f>SUM(H3:H10)</f>
        <v>3725</v>
      </c>
      <c r="H16" s="65"/>
      <c r="I16" s="65"/>
      <c r="J16" s="65">
        <f>SUM(K3:K7)</f>
        <v>3250</v>
      </c>
      <c r="K16" s="65"/>
      <c r="L16" s="65"/>
      <c r="M16" s="65">
        <f>SUM(B16:K16)</f>
        <v>14566</v>
      </c>
      <c r="N16" s="65"/>
      <c r="O16" s="66"/>
      <c r="P16" s="63" t="s">
        <v>112</v>
      </c>
      <c r="Q16" s="136">
        <f>SUM(Q3:Q15)</f>
        <v>185625</v>
      </c>
      <c r="R16" s="136"/>
      <c r="S16" s="137">
        <f>SUM(T3:T13)</f>
        <v>185600</v>
      </c>
      <c r="T16" s="137"/>
      <c r="U16" s="137"/>
      <c r="V16" s="137">
        <f>SUM(W3:W10)</f>
        <v>184400</v>
      </c>
      <c r="W16" s="137"/>
      <c r="X16" s="137"/>
      <c r="Y16" s="137">
        <f>SUM(Z3:Z7)</f>
        <v>175000</v>
      </c>
      <c r="Z16" s="137"/>
      <c r="AA16" s="137"/>
      <c r="AB16" s="138">
        <f>SUM(AC3:AC15)</f>
        <v>730625</v>
      </c>
      <c r="AC16" s="138"/>
      <c r="AD16" s="138"/>
    </row>
    <row r="17" spans="1:30">
      <c r="A17" s="7" t="s">
        <v>69</v>
      </c>
      <c r="B17" s="67">
        <f>B16/M16</f>
        <v>0.26088150487436496</v>
      </c>
      <c r="C17" s="68"/>
      <c r="D17" s="68">
        <f>D16/M16</f>
        <v>0.26026362762597832</v>
      </c>
      <c r="E17" s="68"/>
      <c r="F17" s="68"/>
      <c r="G17" s="68">
        <f>G16/M16</f>
        <v>0.2557325278044762</v>
      </c>
      <c r="H17" s="68"/>
      <c r="I17" s="68"/>
      <c r="J17" s="68">
        <f>J16/M16</f>
        <v>0.22312233969518055</v>
      </c>
      <c r="K17" s="68"/>
      <c r="L17" s="68"/>
      <c r="M17" s="68">
        <f>M16/M16</f>
        <v>1</v>
      </c>
      <c r="N17" s="68"/>
      <c r="O17" s="69"/>
      <c r="P17" s="63" t="s">
        <v>69</v>
      </c>
      <c r="Q17" s="139">
        <f>Q16/AB16</f>
        <v>0.2540633019674936</v>
      </c>
      <c r="R17" s="139"/>
      <c r="S17" s="140">
        <f>S16/AB16</f>
        <v>0.2540290846877673</v>
      </c>
      <c r="T17" s="140"/>
      <c r="U17" s="140"/>
      <c r="V17" s="140">
        <f>V16/AB16</f>
        <v>0.25238665526090676</v>
      </c>
      <c r="W17" s="140"/>
      <c r="X17" s="140"/>
      <c r="Y17" s="140">
        <f>Y16/AB16</f>
        <v>0.23952095808383234</v>
      </c>
      <c r="Z17" s="140"/>
      <c r="AA17" s="140"/>
      <c r="AB17" s="141">
        <f>AB16/AB16</f>
        <v>1</v>
      </c>
      <c r="AC17" s="141"/>
      <c r="AD17" s="141"/>
    </row>
    <row r="21" spans="1:30" ht="15.75" customHeight="1"/>
    <row r="22" spans="1:30" ht="15.75" customHeight="1"/>
    <row r="23" spans="1:30" ht="15.75" customHeight="1"/>
    <row r="24" spans="1:30" ht="15.75" customHeight="1"/>
    <row r="25" spans="1:30" ht="15.75" customHeight="1"/>
    <row r="26" spans="1:30" ht="15.75" customHeight="1">
      <c r="I26">
        <f>Q15/B15</f>
        <v>62.5</v>
      </c>
      <c r="J26">
        <f>Q15/B15</f>
        <v>62.5</v>
      </c>
    </row>
    <row r="27" spans="1:30" ht="15.75" customHeight="1">
      <c r="M27" s="47">
        <v>80000</v>
      </c>
      <c r="N27" s="47">
        <v>-52000</v>
      </c>
      <c r="O27" s="47">
        <f>N27+M27</f>
        <v>28000</v>
      </c>
    </row>
    <row r="28" spans="1:30" ht="15.75" customHeight="1">
      <c r="I28" s="41" t="e">
        <f>#REF!/#REF!</f>
        <v>#REF!</v>
      </c>
    </row>
    <row r="29" spans="1:30" ht="15.75" customHeight="1"/>
    <row r="30" spans="1:30" ht="15.75" customHeight="1"/>
    <row r="31" spans="1:30" ht="15.75" customHeight="1">
      <c r="F31" s="131" t="s">
        <v>507</v>
      </c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</row>
    <row r="32" spans="1:30" ht="15.75" customHeight="1">
      <c r="F32" s="131" t="s">
        <v>0</v>
      </c>
      <c r="G32" s="131"/>
      <c r="H32" s="131"/>
      <c r="I32" s="131" t="s">
        <v>1</v>
      </c>
      <c r="J32" s="131"/>
      <c r="K32" s="131"/>
      <c r="L32" s="131" t="s">
        <v>2</v>
      </c>
      <c r="M32" s="131"/>
      <c r="N32" s="131"/>
      <c r="O32" s="131" t="s">
        <v>508</v>
      </c>
      <c r="P32" s="131"/>
      <c r="Q32" s="131"/>
    </row>
    <row r="33" spans="6:20" ht="15.75" customHeight="1">
      <c r="F33" s="7" t="s">
        <v>215</v>
      </c>
      <c r="G33" s="27" t="s">
        <v>507</v>
      </c>
      <c r="H33" s="7"/>
      <c r="I33" s="7" t="s">
        <v>215</v>
      </c>
      <c r="J33" s="27" t="s">
        <v>507</v>
      </c>
      <c r="K33" s="7"/>
      <c r="L33" s="7" t="s">
        <v>215</v>
      </c>
      <c r="M33" s="27" t="s">
        <v>507</v>
      </c>
      <c r="N33" s="7"/>
      <c r="O33" s="7" t="s">
        <v>215</v>
      </c>
      <c r="P33" s="27" t="s">
        <v>507</v>
      </c>
      <c r="Q33" s="7"/>
    </row>
    <row r="34" spans="6:20" ht="15.75" customHeight="1">
      <c r="F34" s="44">
        <v>1</v>
      </c>
      <c r="G34" s="43">
        <v>0</v>
      </c>
      <c r="H34" s="118"/>
      <c r="I34" s="277">
        <v>1</v>
      </c>
      <c r="J34" s="43">
        <v>0</v>
      </c>
      <c r="K34" s="118"/>
      <c r="L34" s="39">
        <v>1</v>
      </c>
      <c r="M34" s="43">
        <v>0</v>
      </c>
      <c r="N34" s="118"/>
      <c r="O34" s="41">
        <v>1</v>
      </c>
      <c r="P34" s="43">
        <v>0</v>
      </c>
      <c r="Q34" s="118"/>
      <c r="R34" s="45">
        <v>1</v>
      </c>
      <c r="S34" s="45">
        <f>G34+J34+M34+P34</f>
        <v>0</v>
      </c>
      <c r="T34" s="34">
        <f>S34/R47</f>
        <v>0</v>
      </c>
    </row>
    <row r="35" spans="6:20" ht="15.75" customHeight="1">
      <c r="F35" s="52">
        <v>2</v>
      </c>
      <c r="G35" s="45">
        <f t="shared" ref="G35:G46" si="1">Q4/B4</f>
        <v>1.25</v>
      </c>
      <c r="H35" s="100"/>
      <c r="I35" s="85">
        <v>2</v>
      </c>
      <c r="J35" s="45">
        <f t="shared" ref="J35:J44" si="2">T4/E4</f>
        <v>8.3333333333333339</v>
      </c>
      <c r="K35" s="100"/>
      <c r="L35" s="47">
        <v>2</v>
      </c>
      <c r="M35" s="45">
        <f t="shared" ref="M35:M41" si="3">W4/H4</f>
        <v>16</v>
      </c>
      <c r="N35" s="100"/>
      <c r="O35" s="50">
        <v>2</v>
      </c>
      <c r="P35" s="45">
        <f>Z4/K4</f>
        <v>20</v>
      </c>
      <c r="Q35" s="100"/>
      <c r="R35" s="45">
        <v>2</v>
      </c>
      <c r="S35" s="45">
        <f>G35+J35+M35+P35</f>
        <v>45.583333333333336</v>
      </c>
      <c r="T35" s="34">
        <f>S35/R47</f>
        <v>4.6836201729600131E-2</v>
      </c>
    </row>
    <row r="36" spans="6:20" ht="15.75" customHeight="1">
      <c r="F36" s="52">
        <v>3</v>
      </c>
      <c r="G36" s="45">
        <f t="shared" si="1"/>
        <v>4</v>
      </c>
      <c r="H36" s="100"/>
      <c r="I36" s="85">
        <v>3</v>
      </c>
      <c r="J36" s="45">
        <f t="shared" si="2"/>
        <v>15</v>
      </c>
      <c r="K36" s="100"/>
      <c r="L36" s="47">
        <v>3</v>
      </c>
      <c r="M36" s="45">
        <f t="shared" si="3"/>
        <v>20</v>
      </c>
      <c r="N36" s="100"/>
      <c r="O36" s="50">
        <v>3</v>
      </c>
      <c r="P36" s="45">
        <f>Z5/K5</f>
        <v>33.333333333333336</v>
      </c>
      <c r="Q36" s="100"/>
      <c r="R36" s="45">
        <v>3</v>
      </c>
      <c r="S36" s="45">
        <f>G36+J36+M36+P36</f>
        <v>72.333333333333343</v>
      </c>
      <c r="T36" s="34">
        <f>S36/R47</f>
        <v>7.4321431629420329E-2</v>
      </c>
    </row>
    <row r="37" spans="6:20" ht="15.75" customHeight="1">
      <c r="F37" s="52">
        <v>4</v>
      </c>
      <c r="G37" s="45">
        <f t="shared" si="1"/>
        <v>8.3333333333333339</v>
      </c>
      <c r="H37" s="100"/>
      <c r="I37" s="85">
        <v>4</v>
      </c>
      <c r="J37" s="45">
        <f t="shared" si="2"/>
        <v>16</v>
      </c>
      <c r="K37" s="100"/>
      <c r="L37" s="47">
        <v>4</v>
      </c>
      <c r="M37" s="45">
        <f t="shared" si="3"/>
        <v>20</v>
      </c>
      <c r="N37" s="100"/>
      <c r="O37" s="50">
        <v>4</v>
      </c>
      <c r="P37" s="45">
        <f>Z6/K6</f>
        <v>62.5</v>
      </c>
      <c r="Q37" s="100"/>
      <c r="R37" s="45">
        <v>4</v>
      </c>
      <c r="S37" s="45">
        <f>G37+J37+M37+P37</f>
        <v>106.83333333333334</v>
      </c>
      <c r="T37" s="34">
        <f>S37/R47</f>
        <v>0.10976967206096412</v>
      </c>
    </row>
    <row r="38" spans="6:20" ht="15.75" customHeight="1">
      <c r="F38" s="52">
        <v>5</v>
      </c>
      <c r="G38" s="45">
        <f t="shared" si="1"/>
        <v>15</v>
      </c>
      <c r="H38" s="100"/>
      <c r="I38" s="85">
        <v>5</v>
      </c>
      <c r="J38" s="45">
        <f t="shared" si="2"/>
        <v>20</v>
      </c>
      <c r="K38" s="100"/>
      <c r="L38" s="47">
        <v>5</v>
      </c>
      <c r="M38" s="45">
        <f t="shared" si="3"/>
        <v>20</v>
      </c>
      <c r="N38" s="100"/>
      <c r="O38" s="257">
        <v>5</v>
      </c>
      <c r="P38" s="59">
        <f>Z7/K7</f>
        <v>62.5</v>
      </c>
      <c r="Q38" s="105"/>
      <c r="R38" s="45">
        <v>5</v>
      </c>
      <c r="S38" s="45">
        <f>G38+J38+M38+P38</f>
        <v>117.5</v>
      </c>
      <c r="T38" s="34">
        <f>S38/R47</f>
        <v>0.12072951451322886</v>
      </c>
    </row>
    <row r="39" spans="6:20" ht="15.75" customHeight="1">
      <c r="F39" s="52">
        <v>6</v>
      </c>
      <c r="G39" s="45">
        <f t="shared" si="1"/>
        <v>16</v>
      </c>
      <c r="H39" s="100"/>
      <c r="I39" s="85">
        <v>6</v>
      </c>
      <c r="J39" s="45">
        <f t="shared" si="2"/>
        <v>20</v>
      </c>
      <c r="K39" s="100"/>
      <c r="L39" s="47">
        <v>6</v>
      </c>
      <c r="M39" s="45">
        <f t="shared" si="3"/>
        <v>33.333333333333336</v>
      </c>
      <c r="N39" s="100"/>
      <c r="O39" s="47"/>
      <c r="P39" s="47"/>
      <c r="Q39" s="47"/>
      <c r="R39" s="45">
        <v>6</v>
      </c>
      <c r="S39" s="45">
        <f>G39+J39+M39+P38</f>
        <v>131.83333333333334</v>
      </c>
      <c r="T39" s="34">
        <f>S39/R47</f>
        <v>0.13545680280845962</v>
      </c>
    </row>
    <row r="40" spans="6:20" ht="15.75" customHeight="1">
      <c r="F40" s="52">
        <v>7</v>
      </c>
      <c r="G40" s="45">
        <f t="shared" si="1"/>
        <v>20</v>
      </c>
      <c r="H40" s="100"/>
      <c r="I40" s="85">
        <v>7</v>
      </c>
      <c r="J40" s="45">
        <f t="shared" si="2"/>
        <v>20</v>
      </c>
      <c r="K40" s="100"/>
      <c r="L40" s="47">
        <v>7</v>
      </c>
      <c r="M40" s="45">
        <f t="shared" si="3"/>
        <v>62.5</v>
      </c>
      <c r="N40" s="100"/>
      <c r="O40" s="47"/>
      <c r="P40" s="47"/>
      <c r="Q40" s="47"/>
      <c r="R40" s="45">
        <v>7</v>
      </c>
      <c r="S40" s="45">
        <f>G40+J40+M40+P38</f>
        <v>165</v>
      </c>
      <c r="T40" s="34">
        <f>S40/R47</f>
        <v>0.16953506293347032</v>
      </c>
    </row>
    <row r="41" spans="6:20" ht="15.75" customHeight="1">
      <c r="F41" s="52">
        <v>8</v>
      </c>
      <c r="G41" s="45">
        <f t="shared" si="1"/>
        <v>20</v>
      </c>
      <c r="H41" s="100"/>
      <c r="I41" s="85">
        <v>8</v>
      </c>
      <c r="J41" s="45">
        <f t="shared" si="2"/>
        <v>20</v>
      </c>
      <c r="K41" s="100"/>
      <c r="L41" s="259">
        <v>8</v>
      </c>
      <c r="M41" s="59">
        <f t="shared" si="3"/>
        <v>62.5</v>
      </c>
      <c r="N41" s="105"/>
      <c r="O41" s="47"/>
      <c r="P41" s="47"/>
      <c r="Q41" s="47"/>
      <c r="R41" s="45">
        <v>8</v>
      </c>
      <c r="S41" s="45">
        <f>G41+J41+M41+P38</f>
        <v>165</v>
      </c>
      <c r="T41" s="34">
        <f>S41/R47</f>
        <v>0.16953506293347032</v>
      </c>
    </row>
    <row r="42" spans="6:20" ht="15.75" customHeight="1">
      <c r="F42" s="52">
        <v>9</v>
      </c>
      <c r="G42" s="45">
        <f t="shared" si="1"/>
        <v>20</v>
      </c>
      <c r="H42" s="100"/>
      <c r="I42" s="85">
        <v>9</v>
      </c>
      <c r="J42" s="45">
        <f t="shared" si="2"/>
        <v>33.333333333333336</v>
      </c>
      <c r="K42" s="100"/>
      <c r="L42" s="47"/>
      <c r="M42" s="47"/>
      <c r="N42" s="47"/>
      <c r="O42" s="47"/>
      <c r="P42" s="47"/>
      <c r="Q42" s="47"/>
      <c r="R42" s="45">
        <v>9</v>
      </c>
      <c r="S42" s="45">
        <f>G42+J42+M41+P38</f>
        <v>178.33333333333334</v>
      </c>
      <c r="T42" s="34">
        <f>S42/R47</f>
        <v>0.18323486599880126</v>
      </c>
    </row>
    <row r="43" spans="6:20" ht="15.75" customHeight="1">
      <c r="F43" s="52">
        <v>10</v>
      </c>
      <c r="G43" s="45">
        <f t="shared" si="1"/>
        <v>20</v>
      </c>
      <c r="H43" s="100"/>
      <c r="I43" s="85">
        <v>10</v>
      </c>
      <c r="J43" s="45">
        <f t="shared" si="2"/>
        <v>62.5</v>
      </c>
      <c r="K43" s="100"/>
      <c r="L43" s="47"/>
      <c r="M43" s="47"/>
      <c r="N43" s="47"/>
      <c r="O43" s="47"/>
      <c r="P43" s="47"/>
      <c r="Q43" s="47"/>
      <c r="R43" s="45">
        <v>10</v>
      </c>
      <c r="S43" s="45">
        <f>G43+J43+M41+P38</f>
        <v>207.5</v>
      </c>
      <c r="T43" s="34">
        <f>S43/R47</f>
        <v>0.21320318520421266</v>
      </c>
    </row>
    <row r="44" spans="6:20" ht="15.75" customHeight="1">
      <c r="F44" s="52">
        <v>11</v>
      </c>
      <c r="G44" s="45">
        <f t="shared" si="1"/>
        <v>33.333333333333336</v>
      </c>
      <c r="H44" s="105"/>
      <c r="I44" s="261">
        <v>11</v>
      </c>
      <c r="J44" s="59">
        <f t="shared" si="2"/>
        <v>62.5</v>
      </c>
      <c r="K44" s="105"/>
      <c r="L44" s="47"/>
      <c r="M44" s="47"/>
      <c r="N44" s="47"/>
      <c r="O44" s="47"/>
      <c r="P44" s="47"/>
      <c r="Q44" s="47"/>
      <c r="R44" s="45">
        <v>11</v>
      </c>
      <c r="S44" s="45">
        <f>G44+J44+M41+P38</f>
        <v>220.83333333333334</v>
      </c>
      <c r="T44" s="34">
        <f>S44/R47</f>
        <v>0.22690298826954361</v>
      </c>
    </row>
    <row r="45" spans="6:20" ht="15.75" customHeight="1">
      <c r="F45" s="52">
        <v>12</v>
      </c>
      <c r="G45" s="45">
        <f t="shared" si="1"/>
        <v>62.5</v>
      </c>
      <c r="H45" s="100"/>
      <c r="I45" s="47"/>
      <c r="J45" s="47"/>
      <c r="K45" s="47"/>
      <c r="L45" s="47"/>
      <c r="M45" s="47"/>
      <c r="N45" s="47"/>
      <c r="O45" s="47"/>
      <c r="P45" s="47"/>
      <c r="Q45" s="47"/>
      <c r="R45" s="45">
        <v>12</v>
      </c>
      <c r="S45" s="45">
        <f>G45+J44+M41+P38</f>
        <v>250</v>
      </c>
      <c r="T45" s="34">
        <f>S45/R47</f>
        <v>0.25687130747495501</v>
      </c>
    </row>
    <row r="46" spans="6:20" ht="15.75" customHeight="1">
      <c r="F46" s="52">
        <v>13</v>
      </c>
      <c r="G46" s="59">
        <f t="shared" si="1"/>
        <v>62.5</v>
      </c>
      <c r="H46" s="100"/>
      <c r="I46" s="47"/>
      <c r="J46" s="47"/>
      <c r="K46" s="47"/>
      <c r="L46" s="47"/>
      <c r="M46" s="47"/>
      <c r="N46" s="47"/>
      <c r="O46" s="47"/>
      <c r="P46" s="47"/>
      <c r="Q46" s="47"/>
      <c r="R46" s="45">
        <v>13</v>
      </c>
      <c r="S46" s="45">
        <f>G46+J44+M41+P38</f>
        <v>250</v>
      </c>
      <c r="T46" s="34">
        <f>S46/R47</f>
        <v>0.25687130747495501</v>
      </c>
    </row>
    <row r="47" spans="6:20" ht="15.75" customHeight="1">
      <c r="F47" s="63" t="s">
        <v>112</v>
      </c>
      <c r="G47" s="276">
        <f>SUM(G34:G46)</f>
        <v>282.91666666666669</v>
      </c>
      <c r="H47" s="276"/>
      <c r="I47" s="137">
        <f>SUM(J34:J44)</f>
        <v>277.66666666666669</v>
      </c>
      <c r="J47" s="137"/>
      <c r="K47" s="137"/>
      <c r="L47" s="137">
        <f>SUM(M34:M41)</f>
        <v>234.33333333333334</v>
      </c>
      <c r="M47" s="137"/>
      <c r="N47" s="137"/>
      <c r="O47" s="137">
        <f>SUM(P34:P38)</f>
        <v>178.33333333333334</v>
      </c>
      <c r="P47" s="137"/>
      <c r="Q47" s="137"/>
      <c r="R47" s="138">
        <f>SUM(G47:P47)</f>
        <v>973.25000000000011</v>
      </c>
      <c r="S47" s="138"/>
      <c r="T47" s="138"/>
    </row>
    <row r="48" spans="6:20" ht="15.75" customHeight="1">
      <c r="F48" s="7" t="s">
        <v>69</v>
      </c>
      <c r="G48" s="139">
        <f>G47/R47</f>
        <v>0.29069269629249078</v>
      </c>
      <c r="H48" s="139"/>
      <c r="I48" s="140">
        <f>I47/R47</f>
        <v>0.28529839883551672</v>
      </c>
      <c r="J48" s="140"/>
      <c r="K48" s="140"/>
      <c r="L48" s="140">
        <f>L47/R47</f>
        <v>0.24077403887319118</v>
      </c>
      <c r="M48" s="140"/>
      <c r="N48" s="140"/>
      <c r="O48" s="140">
        <f>O47/R47</f>
        <v>0.18323486599880126</v>
      </c>
      <c r="P48" s="140"/>
      <c r="Q48" s="140"/>
      <c r="R48" s="140">
        <f>R47/R47</f>
        <v>1</v>
      </c>
      <c r="S48" s="140"/>
      <c r="T48" s="14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R47:T47"/>
    <mergeCell ref="G48:H48"/>
    <mergeCell ref="I48:K48"/>
    <mergeCell ref="L48:N48"/>
    <mergeCell ref="O48:Q48"/>
    <mergeCell ref="R48:T48"/>
    <mergeCell ref="F32:H32"/>
    <mergeCell ref="I32:K32"/>
    <mergeCell ref="L32:N32"/>
    <mergeCell ref="O32:Q32"/>
    <mergeCell ref="G47:H47"/>
    <mergeCell ref="I47:K47"/>
    <mergeCell ref="L47:N47"/>
    <mergeCell ref="O47:Q47"/>
    <mergeCell ref="Q17:R17"/>
    <mergeCell ref="S17:U17"/>
    <mergeCell ref="V17:X17"/>
    <mergeCell ref="Y17:AA17"/>
    <mergeCell ref="AB17:AD17"/>
    <mergeCell ref="F31:Q31"/>
    <mergeCell ref="P1:R1"/>
    <mergeCell ref="S1:U1"/>
    <mergeCell ref="V1:X1"/>
    <mergeCell ref="Y1:AA1"/>
    <mergeCell ref="AB1:AD1"/>
    <mergeCell ref="Q16:R16"/>
    <mergeCell ref="S16:U16"/>
    <mergeCell ref="V16:X16"/>
    <mergeCell ref="Y16:AA16"/>
    <mergeCell ref="AB16:AD16"/>
  </mergeCells>
  <pageMargins left="0.7" right="0.7" top="1.1437007874015748" bottom="1.1437007874015748" header="0.75" footer="0.75"/>
  <pageSetup paperSize="0" fitToWidth="0" fitToHeight="0" orientation="landscape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BE2B-3B9D-470D-9C5A-23A80AC9B05F}">
  <dimension ref="A2:Z1000"/>
  <sheetViews>
    <sheetView workbookViewId="0"/>
  </sheetViews>
  <sheetFormatPr defaultRowHeight="15" customHeight="1"/>
  <cols>
    <col min="1" max="4" width="9.140625" customWidth="1"/>
    <col min="5" max="5" width="12.28515625" customWidth="1"/>
    <col min="6" max="9" width="9.140625" customWidth="1"/>
    <col min="10" max="10" width="10.7109375" customWidth="1"/>
    <col min="11" max="11" width="12.28515625" customWidth="1"/>
    <col min="12" max="13" width="9.140625" customWidth="1"/>
    <col min="14" max="14" width="12.28515625" customWidth="1"/>
    <col min="15" max="18" width="9.140625" customWidth="1"/>
    <col min="19" max="19" width="10.7109375" customWidth="1"/>
    <col min="20" max="20" width="12.28515625" customWidth="1"/>
    <col min="21" max="26" width="9.140625" customWidth="1"/>
    <col min="27" max="1024" width="15.28515625" customWidth="1"/>
  </cols>
  <sheetData>
    <row r="2" spans="1:20">
      <c r="A2" s="130" t="s">
        <v>509</v>
      </c>
      <c r="B2" s="130"/>
      <c r="D2" s="131" t="s">
        <v>510</v>
      </c>
      <c r="E2" s="131"/>
      <c r="F2" s="131"/>
      <c r="G2" s="131"/>
      <c r="H2" s="131"/>
      <c r="I2" s="131"/>
      <c r="J2" s="131"/>
      <c r="K2" s="131"/>
      <c r="M2" s="131" t="s">
        <v>511</v>
      </c>
      <c r="N2" s="131"/>
      <c r="O2" s="131"/>
      <c r="P2" s="131"/>
      <c r="Q2" s="131"/>
      <c r="R2" s="131"/>
      <c r="S2" s="131"/>
      <c r="T2" s="131"/>
    </row>
    <row r="3" spans="1:20">
      <c r="A3" t="s">
        <v>0</v>
      </c>
      <c r="B3">
        <v>21</v>
      </c>
      <c r="D3" s="131" t="s">
        <v>512</v>
      </c>
      <c r="E3" s="131" t="s">
        <v>17</v>
      </c>
      <c r="F3" s="131" t="s">
        <v>47</v>
      </c>
      <c r="G3" s="131"/>
      <c r="H3" s="131"/>
      <c r="I3" s="131"/>
      <c r="J3" s="131"/>
      <c r="K3" s="131" t="s">
        <v>231</v>
      </c>
      <c r="M3" s="131" t="s">
        <v>512</v>
      </c>
      <c r="N3" s="131" t="s">
        <v>17</v>
      </c>
      <c r="O3" s="131" t="s">
        <v>47</v>
      </c>
      <c r="P3" s="131"/>
      <c r="Q3" s="131"/>
      <c r="R3" s="131"/>
      <c r="S3" s="131"/>
      <c r="T3" s="131" t="s">
        <v>231</v>
      </c>
    </row>
    <row r="4" spans="1:20">
      <c r="A4" t="s">
        <v>3</v>
      </c>
      <c r="B4">
        <v>15</v>
      </c>
      <c r="D4" s="131"/>
      <c r="E4" s="131"/>
      <c r="F4" s="16" t="s">
        <v>0</v>
      </c>
      <c r="G4" s="16" t="s">
        <v>1</v>
      </c>
      <c r="H4" s="16" t="s">
        <v>2</v>
      </c>
      <c r="I4" s="16" t="s">
        <v>49</v>
      </c>
      <c r="J4" s="16" t="s">
        <v>513</v>
      </c>
      <c r="K4" s="131"/>
      <c r="M4" s="131"/>
      <c r="N4" s="131"/>
      <c r="O4" s="16" t="s">
        <v>0</v>
      </c>
      <c r="P4" s="16" t="s">
        <v>1</v>
      </c>
      <c r="Q4" s="16" t="s">
        <v>2</v>
      </c>
      <c r="R4" s="16" t="s">
        <v>49</v>
      </c>
      <c r="S4" s="16" t="s">
        <v>513</v>
      </c>
      <c r="T4" s="131"/>
    </row>
    <row r="5" spans="1:20">
      <c r="A5" t="s">
        <v>514</v>
      </c>
      <c r="B5">
        <v>2000</v>
      </c>
      <c r="D5" s="27">
        <v>0</v>
      </c>
      <c r="E5" s="90">
        <v>65</v>
      </c>
      <c r="F5" s="12">
        <v>1</v>
      </c>
      <c r="G5" s="84">
        <v>0</v>
      </c>
      <c r="H5" s="84">
        <v>0</v>
      </c>
      <c r="I5" s="278">
        <f t="shared" ref="I5:I17" si="0">((J5*$B$4)/$B$3)*(1/$B$5)</f>
        <v>3.5714285714285714E-4</v>
      </c>
      <c r="J5" s="84">
        <f t="shared" ref="J5:J17" si="1">SUM(F5:H5)</f>
        <v>1</v>
      </c>
      <c r="K5" s="279">
        <f t="shared" ref="K5:K17" si="2">E5+(F5*5)+(50*G5)+(H5*1000)</f>
        <v>70</v>
      </c>
      <c r="M5" s="27">
        <v>0</v>
      </c>
      <c r="N5" s="90">
        <v>700</v>
      </c>
      <c r="O5" s="12">
        <v>9</v>
      </c>
      <c r="P5" s="84">
        <v>1</v>
      </c>
      <c r="Q5" s="84">
        <v>0</v>
      </c>
      <c r="R5" s="280">
        <f t="shared" ref="R5:R17" si="3">((S5*$B$4)/$B$3)*(1/$B$5)</f>
        <v>3.5714285714285718E-3</v>
      </c>
      <c r="S5" s="84">
        <f t="shared" ref="S5:S17" si="4">SUM(O5:Q5)</f>
        <v>10</v>
      </c>
      <c r="T5" s="279">
        <f t="shared" ref="T5:T17" si="5">N5+(O5*5)+(50*P5)+(Q5*1000)</f>
        <v>795</v>
      </c>
    </row>
    <row r="6" spans="1:20">
      <c r="D6" s="33">
        <v>1</v>
      </c>
      <c r="E6" s="80">
        <v>90</v>
      </c>
      <c r="F6" s="18">
        <v>2</v>
      </c>
      <c r="G6" s="3">
        <v>0</v>
      </c>
      <c r="H6" s="3">
        <v>0</v>
      </c>
      <c r="I6" s="71">
        <f t="shared" si="0"/>
        <v>7.1428571428571429E-4</v>
      </c>
      <c r="J6" s="3">
        <f t="shared" si="1"/>
        <v>2</v>
      </c>
      <c r="K6" s="281">
        <f t="shared" si="2"/>
        <v>100</v>
      </c>
      <c r="M6" s="33">
        <v>1</v>
      </c>
      <c r="N6" s="80">
        <v>950</v>
      </c>
      <c r="O6" s="18">
        <v>14</v>
      </c>
      <c r="P6" s="3">
        <v>1</v>
      </c>
      <c r="Q6" s="3">
        <v>0</v>
      </c>
      <c r="R6" s="282">
        <f t="shared" si="3"/>
        <v>5.3571428571428572E-3</v>
      </c>
      <c r="S6" s="3">
        <f t="shared" si="4"/>
        <v>15</v>
      </c>
      <c r="T6" s="281">
        <f t="shared" si="5"/>
        <v>1070</v>
      </c>
    </row>
    <row r="7" spans="1:20">
      <c r="D7" s="33">
        <v>2</v>
      </c>
      <c r="E7" s="80">
        <v>120</v>
      </c>
      <c r="F7" s="18">
        <v>3</v>
      </c>
      <c r="G7" s="3">
        <v>0</v>
      </c>
      <c r="H7" s="3">
        <v>0</v>
      </c>
      <c r="I7" s="71">
        <f t="shared" si="0"/>
        <v>1.0714285714285715E-3</v>
      </c>
      <c r="J7" s="3">
        <f t="shared" si="1"/>
        <v>3</v>
      </c>
      <c r="K7" s="281">
        <f t="shared" si="2"/>
        <v>135</v>
      </c>
      <c r="M7" s="33">
        <v>2</v>
      </c>
      <c r="N7" s="80">
        <v>1250</v>
      </c>
      <c r="O7" s="18">
        <v>23</v>
      </c>
      <c r="P7" s="3">
        <v>2</v>
      </c>
      <c r="Q7" s="3">
        <v>0</v>
      </c>
      <c r="R7" s="282">
        <f t="shared" si="3"/>
        <v>8.9285714285714298E-3</v>
      </c>
      <c r="S7" s="3">
        <f t="shared" si="4"/>
        <v>25</v>
      </c>
      <c r="T7" s="281">
        <f t="shared" si="5"/>
        <v>1465</v>
      </c>
    </row>
    <row r="8" spans="1:20">
      <c r="D8" s="33">
        <v>3</v>
      </c>
      <c r="E8" s="80">
        <v>155</v>
      </c>
      <c r="F8" s="18">
        <v>4</v>
      </c>
      <c r="G8" s="3">
        <v>0</v>
      </c>
      <c r="H8" s="3">
        <v>0</v>
      </c>
      <c r="I8" s="71">
        <f t="shared" si="0"/>
        <v>1.4285714285714286E-3</v>
      </c>
      <c r="J8" s="3">
        <f t="shared" si="1"/>
        <v>4</v>
      </c>
      <c r="K8" s="281">
        <f t="shared" si="2"/>
        <v>175</v>
      </c>
      <c r="M8" s="33">
        <v>3</v>
      </c>
      <c r="N8" s="80">
        <v>1600</v>
      </c>
      <c r="O8" s="18">
        <v>39</v>
      </c>
      <c r="P8" s="3">
        <v>4</v>
      </c>
      <c r="Q8" s="3">
        <v>0</v>
      </c>
      <c r="R8" s="282">
        <f t="shared" si="3"/>
        <v>1.5357142857142857E-2</v>
      </c>
      <c r="S8" s="3">
        <f t="shared" si="4"/>
        <v>43</v>
      </c>
      <c r="T8" s="281">
        <f t="shared" si="5"/>
        <v>1995</v>
      </c>
    </row>
    <row r="9" spans="1:20">
      <c r="D9" s="33">
        <v>4</v>
      </c>
      <c r="E9" s="80">
        <v>195</v>
      </c>
      <c r="F9" s="18">
        <v>6</v>
      </c>
      <c r="G9" s="3">
        <v>0</v>
      </c>
      <c r="H9" s="3">
        <v>0</v>
      </c>
      <c r="I9" s="71">
        <f t="shared" si="0"/>
        <v>2.142857142857143E-3</v>
      </c>
      <c r="J9" s="3">
        <f t="shared" si="1"/>
        <v>6</v>
      </c>
      <c r="K9" s="281">
        <f t="shared" si="2"/>
        <v>225</v>
      </c>
      <c r="M9" s="33">
        <v>4</v>
      </c>
      <c r="N9" s="80">
        <v>2000</v>
      </c>
      <c r="O9" s="18">
        <v>59</v>
      </c>
      <c r="P9" s="3">
        <v>6</v>
      </c>
      <c r="Q9" s="3">
        <v>0</v>
      </c>
      <c r="R9" s="282">
        <f t="shared" si="3"/>
        <v>2.3214285714285715E-2</v>
      </c>
      <c r="S9" s="3">
        <f t="shared" si="4"/>
        <v>65</v>
      </c>
      <c r="T9" s="281">
        <f t="shared" si="5"/>
        <v>2595</v>
      </c>
    </row>
    <row r="10" spans="1:20">
      <c r="D10" s="33">
        <v>5</v>
      </c>
      <c r="E10" s="80">
        <v>240</v>
      </c>
      <c r="F10" s="18">
        <v>9</v>
      </c>
      <c r="G10" s="3">
        <v>0</v>
      </c>
      <c r="H10" s="3">
        <v>0</v>
      </c>
      <c r="I10" s="71">
        <f t="shared" si="0"/>
        <v>3.2142857142857147E-3</v>
      </c>
      <c r="J10" s="3">
        <f t="shared" si="1"/>
        <v>9</v>
      </c>
      <c r="K10" s="281">
        <f t="shared" si="2"/>
        <v>285</v>
      </c>
      <c r="M10" s="33">
        <v>5</v>
      </c>
      <c r="N10" s="80">
        <v>2500</v>
      </c>
      <c r="O10" s="18">
        <v>84</v>
      </c>
      <c r="P10" s="3">
        <v>9</v>
      </c>
      <c r="Q10" s="3">
        <v>0</v>
      </c>
      <c r="R10" s="282">
        <f t="shared" si="3"/>
        <v>3.3214285714285717E-2</v>
      </c>
      <c r="S10" s="3">
        <f t="shared" si="4"/>
        <v>93</v>
      </c>
      <c r="T10" s="281">
        <f t="shared" si="5"/>
        <v>3370</v>
      </c>
    </row>
    <row r="11" spans="1:20">
      <c r="D11" s="33">
        <v>6</v>
      </c>
      <c r="E11" s="80">
        <v>295</v>
      </c>
      <c r="F11" s="18">
        <v>11</v>
      </c>
      <c r="G11" s="3">
        <v>1</v>
      </c>
      <c r="H11" s="3">
        <v>0</v>
      </c>
      <c r="I11" s="71">
        <f t="shared" si="0"/>
        <v>4.2857142857142859E-3</v>
      </c>
      <c r="J11" s="3">
        <f t="shared" si="1"/>
        <v>12</v>
      </c>
      <c r="K11" s="281">
        <f t="shared" si="2"/>
        <v>400</v>
      </c>
      <c r="M11" s="33">
        <v>6</v>
      </c>
      <c r="N11" s="80">
        <v>3100</v>
      </c>
      <c r="O11" s="18">
        <v>112</v>
      </c>
      <c r="P11" s="3">
        <v>12</v>
      </c>
      <c r="Q11" s="3">
        <v>1</v>
      </c>
      <c r="R11" s="282">
        <f t="shared" si="3"/>
        <v>4.4642857142857144E-2</v>
      </c>
      <c r="S11" s="3">
        <f t="shared" si="4"/>
        <v>125</v>
      </c>
      <c r="T11" s="281">
        <f t="shared" si="5"/>
        <v>5260</v>
      </c>
    </row>
    <row r="12" spans="1:20">
      <c r="D12" s="33">
        <v>7</v>
      </c>
      <c r="E12" s="80">
        <v>360</v>
      </c>
      <c r="F12" s="18">
        <v>14</v>
      </c>
      <c r="G12" s="3">
        <v>1</v>
      </c>
      <c r="H12" s="3">
        <v>0</v>
      </c>
      <c r="I12" s="71">
        <f t="shared" si="0"/>
        <v>5.3571428571428572E-3</v>
      </c>
      <c r="J12" s="3">
        <f t="shared" si="1"/>
        <v>15</v>
      </c>
      <c r="K12" s="281">
        <f t="shared" si="2"/>
        <v>480</v>
      </c>
      <c r="M12" s="33">
        <v>7</v>
      </c>
      <c r="N12" s="80">
        <v>3800</v>
      </c>
      <c r="O12" s="18">
        <v>148</v>
      </c>
      <c r="P12" s="3">
        <v>16</v>
      </c>
      <c r="Q12" s="3">
        <v>1</v>
      </c>
      <c r="R12" s="282">
        <f t="shared" si="3"/>
        <v>5.8928571428571434E-2</v>
      </c>
      <c r="S12" s="3">
        <f t="shared" si="4"/>
        <v>165</v>
      </c>
      <c r="T12" s="281">
        <f t="shared" si="5"/>
        <v>6340</v>
      </c>
    </row>
    <row r="13" spans="1:20">
      <c r="D13" s="33">
        <v>8</v>
      </c>
      <c r="E13" s="80">
        <v>440</v>
      </c>
      <c r="F13" s="18">
        <v>18</v>
      </c>
      <c r="G13" s="3">
        <v>1</v>
      </c>
      <c r="H13" s="3">
        <v>0</v>
      </c>
      <c r="I13" s="71">
        <f t="shared" si="0"/>
        <v>6.7857142857142855E-3</v>
      </c>
      <c r="J13" s="3">
        <f t="shared" si="1"/>
        <v>19</v>
      </c>
      <c r="K13" s="281">
        <f t="shared" si="2"/>
        <v>580</v>
      </c>
      <c r="M13" s="33">
        <v>8</v>
      </c>
      <c r="N13" s="80">
        <v>4650</v>
      </c>
      <c r="O13" s="18">
        <v>187</v>
      </c>
      <c r="P13" s="3">
        <v>21</v>
      </c>
      <c r="Q13" s="3">
        <v>2</v>
      </c>
      <c r="R13" s="282">
        <f t="shared" si="3"/>
        <v>7.4999999999999997E-2</v>
      </c>
      <c r="S13" s="3">
        <f t="shared" si="4"/>
        <v>210</v>
      </c>
      <c r="T13" s="281">
        <f t="shared" si="5"/>
        <v>8635</v>
      </c>
    </row>
    <row r="14" spans="1:20">
      <c r="D14" s="33">
        <v>9</v>
      </c>
      <c r="E14" s="80">
        <v>540</v>
      </c>
      <c r="F14" s="18">
        <v>23</v>
      </c>
      <c r="G14" s="3">
        <v>1</v>
      </c>
      <c r="H14" s="3">
        <v>0</v>
      </c>
      <c r="I14" s="71">
        <f t="shared" si="0"/>
        <v>8.5714285714285719E-3</v>
      </c>
      <c r="J14" s="3">
        <f t="shared" si="1"/>
        <v>24</v>
      </c>
      <c r="K14" s="281">
        <f t="shared" si="2"/>
        <v>705</v>
      </c>
      <c r="M14" s="33">
        <v>9</v>
      </c>
      <c r="N14" s="80">
        <v>5750</v>
      </c>
      <c r="O14" s="18">
        <v>237</v>
      </c>
      <c r="P14" s="3">
        <v>26</v>
      </c>
      <c r="Q14" s="3">
        <v>2</v>
      </c>
      <c r="R14" s="282">
        <f t="shared" si="3"/>
        <v>9.464285714285714E-2</v>
      </c>
      <c r="S14" s="3">
        <f t="shared" si="4"/>
        <v>265</v>
      </c>
      <c r="T14" s="281">
        <f t="shared" si="5"/>
        <v>10235</v>
      </c>
    </row>
    <row r="15" spans="1:20">
      <c r="D15" s="33">
        <v>10</v>
      </c>
      <c r="E15" s="80">
        <v>665</v>
      </c>
      <c r="F15" s="18">
        <v>30</v>
      </c>
      <c r="G15" s="3">
        <v>1</v>
      </c>
      <c r="H15" s="3">
        <v>0</v>
      </c>
      <c r="I15" s="71">
        <f t="shared" si="0"/>
        <v>1.1071428571428571E-2</v>
      </c>
      <c r="J15" s="3">
        <f t="shared" si="1"/>
        <v>31</v>
      </c>
      <c r="K15" s="281">
        <f t="shared" si="2"/>
        <v>865</v>
      </c>
      <c r="M15" s="33">
        <v>10</v>
      </c>
      <c r="N15" s="80">
        <v>7100</v>
      </c>
      <c r="O15" s="18">
        <v>299</v>
      </c>
      <c r="P15" s="3">
        <v>33</v>
      </c>
      <c r="Q15" s="3">
        <v>3</v>
      </c>
      <c r="R15" s="282">
        <f t="shared" si="3"/>
        <v>0.11964285714285715</v>
      </c>
      <c r="S15" s="3">
        <f t="shared" si="4"/>
        <v>335</v>
      </c>
      <c r="T15" s="281">
        <f t="shared" si="5"/>
        <v>13245</v>
      </c>
    </row>
    <row r="16" spans="1:20">
      <c r="D16" s="33">
        <v>11</v>
      </c>
      <c r="E16" s="80">
        <v>815</v>
      </c>
      <c r="F16" s="18">
        <v>38</v>
      </c>
      <c r="G16" s="3">
        <v>1</v>
      </c>
      <c r="H16" s="3">
        <v>0</v>
      </c>
      <c r="I16" s="71">
        <f t="shared" si="0"/>
        <v>1.3928571428571429E-2</v>
      </c>
      <c r="J16" s="3">
        <f t="shared" si="1"/>
        <v>39</v>
      </c>
      <c r="K16" s="281">
        <f t="shared" si="2"/>
        <v>1055</v>
      </c>
      <c r="M16" s="33">
        <v>11</v>
      </c>
      <c r="N16" s="80">
        <v>8750</v>
      </c>
      <c r="O16" s="18">
        <v>303</v>
      </c>
      <c r="P16" s="3">
        <v>34</v>
      </c>
      <c r="Q16" s="3">
        <v>3</v>
      </c>
      <c r="R16" s="282">
        <f t="shared" si="3"/>
        <v>0.12142857142857143</v>
      </c>
      <c r="S16" s="3">
        <f t="shared" si="4"/>
        <v>340</v>
      </c>
      <c r="T16" s="281">
        <f t="shared" si="5"/>
        <v>14965</v>
      </c>
    </row>
    <row r="17" spans="4:20">
      <c r="D17" s="33">
        <v>12</v>
      </c>
      <c r="E17" s="80">
        <v>1000</v>
      </c>
      <c r="F17" s="15">
        <v>49</v>
      </c>
      <c r="G17" s="16">
        <v>1</v>
      </c>
      <c r="H17" s="16">
        <v>0</v>
      </c>
      <c r="I17" s="283">
        <f t="shared" si="0"/>
        <v>1.785714285714286E-2</v>
      </c>
      <c r="J17" s="16">
        <f t="shared" si="1"/>
        <v>50</v>
      </c>
      <c r="K17" s="284">
        <f t="shared" si="2"/>
        <v>1295</v>
      </c>
      <c r="M17" s="55">
        <v>12</v>
      </c>
      <c r="N17" s="81">
        <v>11000</v>
      </c>
      <c r="O17" s="15">
        <v>490</v>
      </c>
      <c r="P17" s="16">
        <v>55</v>
      </c>
      <c r="Q17" s="16">
        <v>5</v>
      </c>
      <c r="R17" s="285">
        <f t="shared" si="3"/>
        <v>0.19642857142857142</v>
      </c>
      <c r="S17" s="16">
        <f t="shared" si="4"/>
        <v>550</v>
      </c>
      <c r="T17" s="284">
        <f t="shared" si="5"/>
        <v>21200</v>
      </c>
    </row>
    <row r="18" spans="4:20">
      <c r="D18" s="84"/>
      <c r="E18" s="90"/>
      <c r="F18" s="3"/>
    </row>
    <row r="19" spans="4:20">
      <c r="D19" s="131" t="s">
        <v>515</v>
      </c>
      <c r="E19" s="131"/>
      <c r="F19" s="131"/>
      <c r="G19" s="131"/>
      <c r="H19" s="131"/>
      <c r="I19" s="131"/>
      <c r="J19" s="131"/>
      <c r="K19" s="131"/>
      <c r="M19" s="131" t="s">
        <v>516</v>
      </c>
      <c r="N19" s="131"/>
      <c r="O19" s="131"/>
      <c r="P19" s="131"/>
      <c r="Q19" s="131"/>
      <c r="R19" s="131"/>
      <c r="S19" s="131"/>
      <c r="T19" s="131"/>
    </row>
    <row r="20" spans="4:20">
      <c r="D20" s="131" t="s">
        <v>512</v>
      </c>
      <c r="E20" s="131" t="s">
        <v>17</v>
      </c>
      <c r="F20" s="131" t="s">
        <v>47</v>
      </c>
      <c r="G20" s="131"/>
      <c r="H20" s="131"/>
      <c r="I20" s="131"/>
      <c r="J20" s="131"/>
      <c r="K20" s="131" t="s">
        <v>231</v>
      </c>
      <c r="M20" s="131" t="s">
        <v>512</v>
      </c>
      <c r="N20" s="131" t="s">
        <v>17</v>
      </c>
      <c r="O20" s="131" t="s">
        <v>47</v>
      </c>
      <c r="P20" s="131"/>
      <c r="Q20" s="131"/>
      <c r="R20" s="131"/>
      <c r="S20" s="131"/>
      <c r="T20" s="131" t="s">
        <v>231</v>
      </c>
    </row>
    <row r="21" spans="4:20" ht="15.75" customHeight="1">
      <c r="D21" s="131"/>
      <c r="E21" s="131"/>
      <c r="F21" s="16" t="s">
        <v>0</v>
      </c>
      <c r="G21" s="16" t="s">
        <v>1</v>
      </c>
      <c r="H21" s="16" t="s">
        <v>2</v>
      </c>
      <c r="I21" s="16" t="s">
        <v>49</v>
      </c>
      <c r="J21" s="16" t="s">
        <v>513</v>
      </c>
      <c r="K21" s="131"/>
      <c r="M21" s="131"/>
      <c r="N21" s="131"/>
      <c r="O21" s="16" t="s">
        <v>0</v>
      </c>
      <c r="P21" s="16" t="s">
        <v>1</v>
      </c>
      <c r="Q21" s="16" t="s">
        <v>2</v>
      </c>
      <c r="R21" s="16" t="s">
        <v>49</v>
      </c>
      <c r="S21" s="16" t="s">
        <v>513</v>
      </c>
      <c r="T21" s="131"/>
    </row>
    <row r="22" spans="4:20" ht="15.75" customHeight="1">
      <c r="D22" s="27">
        <v>0</v>
      </c>
      <c r="E22" s="90">
        <v>130</v>
      </c>
      <c r="F22" s="12">
        <v>2</v>
      </c>
      <c r="G22" s="84">
        <v>0</v>
      </c>
      <c r="H22" s="84">
        <v>0</v>
      </c>
      <c r="I22" s="278">
        <f t="shared" ref="I22:I34" si="6">((J22*$B$4)/$B$3)*(1/$B$5)</f>
        <v>7.1428571428571429E-4</v>
      </c>
      <c r="J22" s="84">
        <f t="shared" ref="J22:J34" si="7">SUM(F22:H22)</f>
        <v>2</v>
      </c>
      <c r="K22" s="279">
        <f t="shared" ref="K22:K34" si="8">E22+(F22*5)+(50*G22)+(H22*1000)</f>
        <v>140</v>
      </c>
      <c r="M22" s="27">
        <v>0</v>
      </c>
      <c r="N22" s="90">
        <v>1400</v>
      </c>
      <c r="O22" s="12">
        <v>18</v>
      </c>
      <c r="P22" s="84">
        <v>2</v>
      </c>
      <c r="Q22" s="84">
        <v>0</v>
      </c>
      <c r="R22" s="280">
        <f t="shared" ref="R22:R34" si="9">((S22*$B$4)/$B$3)*(1/$B$5)</f>
        <v>7.1428571428571435E-3</v>
      </c>
      <c r="S22" s="84">
        <f t="shared" ref="S22:S34" si="10">SUM(O22:Q22)</f>
        <v>20</v>
      </c>
      <c r="T22" s="279">
        <f t="shared" ref="T22:T34" si="11">N22+(O22*5)+(50*P22)+(Q22*1000)</f>
        <v>1590</v>
      </c>
    </row>
    <row r="23" spans="4:20" ht="15.75" customHeight="1">
      <c r="D23" s="33">
        <v>1</v>
      </c>
      <c r="E23" s="80">
        <v>180</v>
      </c>
      <c r="F23" s="18">
        <v>3</v>
      </c>
      <c r="G23" s="3">
        <v>0</v>
      </c>
      <c r="H23" s="3">
        <v>0</v>
      </c>
      <c r="I23" s="71">
        <f t="shared" si="6"/>
        <v>1.0714285714285715E-3</v>
      </c>
      <c r="J23" s="3">
        <f t="shared" si="7"/>
        <v>3</v>
      </c>
      <c r="K23" s="281">
        <f t="shared" si="8"/>
        <v>195</v>
      </c>
      <c r="M23" s="33">
        <v>1</v>
      </c>
      <c r="N23" s="80">
        <v>1900</v>
      </c>
      <c r="O23" s="18">
        <v>27</v>
      </c>
      <c r="P23" s="3">
        <v>3</v>
      </c>
      <c r="Q23" s="3">
        <v>0</v>
      </c>
      <c r="R23" s="282">
        <f t="shared" si="9"/>
        <v>1.0714285714285714E-2</v>
      </c>
      <c r="S23" s="3">
        <f t="shared" si="10"/>
        <v>30</v>
      </c>
      <c r="T23" s="281">
        <f t="shared" si="11"/>
        <v>2185</v>
      </c>
    </row>
    <row r="24" spans="4:20" ht="15.75" customHeight="1">
      <c r="D24" s="33">
        <v>2</v>
      </c>
      <c r="E24" s="80">
        <v>240</v>
      </c>
      <c r="F24" s="18">
        <v>5</v>
      </c>
      <c r="G24" s="3">
        <v>0</v>
      </c>
      <c r="H24" s="3">
        <v>0</v>
      </c>
      <c r="I24" s="71">
        <f t="shared" si="6"/>
        <v>1.7857142857142859E-3</v>
      </c>
      <c r="J24" s="3">
        <f t="shared" si="7"/>
        <v>5</v>
      </c>
      <c r="K24" s="281">
        <f t="shared" si="8"/>
        <v>265</v>
      </c>
      <c r="M24" s="33">
        <v>2</v>
      </c>
      <c r="N24" s="80">
        <v>2500</v>
      </c>
      <c r="O24" s="18">
        <v>45</v>
      </c>
      <c r="P24" s="3">
        <v>5</v>
      </c>
      <c r="Q24" s="3">
        <v>0</v>
      </c>
      <c r="R24" s="282">
        <f t="shared" si="9"/>
        <v>1.785714285714286E-2</v>
      </c>
      <c r="S24" s="3">
        <f t="shared" si="10"/>
        <v>50</v>
      </c>
      <c r="T24" s="281">
        <f t="shared" si="11"/>
        <v>2975</v>
      </c>
    </row>
    <row r="25" spans="4:20" ht="15.75" customHeight="1">
      <c r="D25" s="33">
        <v>3</v>
      </c>
      <c r="E25" s="80">
        <v>310</v>
      </c>
      <c r="F25" s="18">
        <v>8</v>
      </c>
      <c r="G25" s="3">
        <v>0</v>
      </c>
      <c r="H25" s="3">
        <v>0</v>
      </c>
      <c r="I25" s="71">
        <f t="shared" si="6"/>
        <v>2.8571428571428571E-3</v>
      </c>
      <c r="J25" s="3">
        <f t="shared" si="7"/>
        <v>8</v>
      </c>
      <c r="K25" s="281">
        <f t="shared" si="8"/>
        <v>350</v>
      </c>
      <c r="M25" s="33">
        <v>3</v>
      </c>
      <c r="N25" s="80">
        <v>3200</v>
      </c>
      <c r="O25" s="18">
        <v>77</v>
      </c>
      <c r="P25" s="3">
        <v>8</v>
      </c>
      <c r="Q25" s="3">
        <v>0</v>
      </c>
      <c r="R25" s="282">
        <f t="shared" si="9"/>
        <v>3.0357142857142857E-2</v>
      </c>
      <c r="S25" s="3">
        <f t="shared" si="10"/>
        <v>85</v>
      </c>
      <c r="T25" s="281">
        <f t="shared" si="11"/>
        <v>3985</v>
      </c>
    </row>
    <row r="26" spans="4:20" ht="15.75" customHeight="1">
      <c r="D26" s="33">
        <v>4</v>
      </c>
      <c r="E26" s="80">
        <v>390</v>
      </c>
      <c r="F26" s="18">
        <v>11</v>
      </c>
      <c r="G26" s="3">
        <v>1</v>
      </c>
      <c r="H26" s="3">
        <v>0</v>
      </c>
      <c r="I26" s="71">
        <f t="shared" si="6"/>
        <v>4.2857142857142859E-3</v>
      </c>
      <c r="J26" s="3">
        <f t="shared" si="7"/>
        <v>12</v>
      </c>
      <c r="K26" s="281">
        <f t="shared" si="8"/>
        <v>495</v>
      </c>
      <c r="M26" s="33">
        <v>4</v>
      </c>
      <c r="N26" s="80">
        <v>4000</v>
      </c>
      <c r="O26" s="18">
        <v>116</v>
      </c>
      <c r="P26" s="3">
        <v>13</v>
      </c>
      <c r="Q26" s="3">
        <v>1</v>
      </c>
      <c r="R26" s="282">
        <f t="shared" si="9"/>
        <v>4.642857142857143E-2</v>
      </c>
      <c r="S26" s="3">
        <f t="shared" si="10"/>
        <v>130</v>
      </c>
      <c r="T26" s="281">
        <f t="shared" si="11"/>
        <v>6230</v>
      </c>
    </row>
    <row r="27" spans="4:20" ht="15.75" customHeight="1">
      <c r="D27" s="33">
        <v>5</v>
      </c>
      <c r="E27" s="80">
        <v>480</v>
      </c>
      <c r="F27" s="18">
        <v>16</v>
      </c>
      <c r="G27" s="3">
        <v>1</v>
      </c>
      <c r="H27" s="3">
        <v>0</v>
      </c>
      <c r="I27" s="71">
        <f t="shared" si="6"/>
        <v>6.0714285714285714E-3</v>
      </c>
      <c r="J27" s="3">
        <f t="shared" si="7"/>
        <v>17</v>
      </c>
      <c r="K27" s="281">
        <f t="shared" si="8"/>
        <v>610</v>
      </c>
      <c r="M27" s="33">
        <v>5</v>
      </c>
      <c r="N27" s="80">
        <v>5000</v>
      </c>
      <c r="O27" s="18">
        <v>166</v>
      </c>
      <c r="P27" s="3">
        <v>18</v>
      </c>
      <c r="Q27" s="3">
        <v>1</v>
      </c>
      <c r="R27" s="282">
        <f t="shared" si="9"/>
        <v>6.6071428571428573E-2</v>
      </c>
      <c r="S27" s="3">
        <f t="shared" si="10"/>
        <v>185</v>
      </c>
      <c r="T27" s="281">
        <f t="shared" si="11"/>
        <v>7730</v>
      </c>
    </row>
    <row r="28" spans="4:20" ht="15.75" customHeight="1">
      <c r="D28" s="33">
        <v>6</v>
      </c>
      <c r="E28" s="80">
        <v>590</v>
      </c>
      <c r="F28" s="18">
        <v>21</v>
      </c>
      <c r="G28" s="3">
        <v>2</v>
      </c>
      <c r="H28" s="3">
        <v>0</v>
      </c>
      <c r="I28" s="71">
        <f t="shared" si="6"/>
        <v>8.2142857142857139E-3</v>
      </c>
      <c r="J28" s="3">
        <f t="shared" si="7"/>
        <v>23</v>
      </c>
      <c r="K28" s="281">
        <f t="shared" si="8"/>
        <v>795</v>
      </c>
      <c r="M28" s="33">
        <v>6</v>
      </c>
      <c r="N28" s="80">
        <v>6200</v>
      </c>
      <c r="O28" s="18">
        <v>223</v>
      </c>
      <c r="P28" s="3">
        <v>25</v>
      </c>
      <c r="Q28" s="3">
        <v>2</v>
      </c>
      <c r="R28" s="282">
        <f t="shared" si="9"/>
        <v>8.9285714285714288E-2</v>
      </c>
      <c r="S28" s="3">
        <f t="shared" si="10"/>
        <v>250</v>
      </c>
      <c r="T28" s="281">
        <f t="shared" si="11"/>
        <v>10565</v>
      </c>
    </row>
    <row r="29" spans="4:20" ht="15.75" customHeight="1">
      <c r="D29" s="33">
        <v>7</v>
      </c>
      <c r="E29" s="80">
        <v>720</v>
      </c>
      <c r="F29" s="18">
        <v>27</v>
      </c>
      <c r="G29" s="3">
        <v>3</v>
      </c>
      <c r="H29" s="3">
        <v>0</v>
      </c>
      <c r="I29" s="71">
        <f t="shared" si="6"/>
        <v>1.0714285714285714E-2</v>
      </c>
      <c r="J29" s="3">
        <f t="shared" si="7"/>
        <v>30</v>
      </c>
      <c r="K29" s="281">
        <f t="shared" si="8"/>
        <v>1005</v>
      </c>
      <c r="M29" s="33">
        <v>7</v>
      </c>
      <c r="N29" s="80">
        <v>7600</v>
      </c>
      <c r="O29" s="18">
        <v>294</v>
      </c>
      <c r="P29" s="3">
        <v>33</v>
      </c>
      <c r="Q29" s="3">
        <v>3</v>
      </c>
      <c r="R29" s="282">
        <f t="shared" si="9"/>
        <v>0.11785714285714287</v>
      </c>
      <c r="S29" s="3">
        <f t="shared" si="10"/>
        <v>330</v>
      </c>
      <c r="T29" s="281">
        <f t="shared" si="11"/>
        <v>13720</v>
      </c>
    </row>
    <row r="30" spans="4:20" ht="15.75" customHeight="1">
      <c r="D30" s="33">
        <v>8</v>
      </c>
      <c r="E30" s="80">
        <v>880</v>
      </c>
      <c r="F30" s="18">
        <v>35</v>
      </c>
      <c r="G30" s="3">
        <v>3</v>
      </c>
      <c r="H30" s="3">
        <v>0</v>
      </c>
      <c r="I30" s="71">
        <f t="shared" si="6"/>
        <v>1.3571428571428571E-2</v>
      </c>
      <c r="J30" s="3">
        <f t="shared" si="7"/>
        <v>38</v>
      </c>
      <c r="K30" s="281">
        <f t="shared" si="8"/>
        <v>1205</v>
      </c>
      <c r="M30" s="33">
        <v>8</v>
      </c>
      <c r="N30" s="80">
        <v>9300</v>
      </c>
      <c r="O30" s="18">
        <v>374</v>
      </c>
      <c r="P30" s="3">
        <v>42</v>
      </c>
      <c r="Q30" s="3">
        <v>4</v>
      </c>
      <c r="R30" s="282">
        <f t="shared" si="9"/>
        <v>0.15</v>
      </c>
      <c r="S30" s="3">
        <f t="shared" si="10"/>
        <v>420</v>
      </c>
      <c r="T30" s="281">
        <f t="shared" si="11"/>
        <v>17270</v>
      </c>
    </row>
    <row r="31" spans="4:20" ht="15.75" customHeight="1">
      <c r="D31" s="33">
        <v>9</v>
      </c>
      <c r="E31" s="80">
        <v>1080</v>
      </c>
      <c r="F31" s="18">
        <v>44</v>
      </c>
      <c r="G31" s="3">
        <v>4</v>
      </c>
      <c r="H31" s="3">
        <v>0</v>
      </c>
      <c r="I31" s="71">
        <f t="shared" si="6"/>
        <v>1.7142857142857144E-2</v>
      </c>
      <c r="J31" s="3">
        <f t="shared" si="7"/>
        <v>48</v>
      </c>
      <c r="K31" s="281">
        <f t="shared" si="8"/>
        <v>1500</v>
      </c>
      <c r="M31" s="33">
        <v>9</v>
      </c>
      <c r="N31" s="80">
        <v>11500</v>
      </c>
      <c r="O31" s="18">
        <v>472</v>
      </c>
      <c r="P31" s="3">
        <v>53</v>
      </c>
      <c r="Q31" s="3">
        <v>5</v>
      </c>
      <c r="R31" s="282">
        <f t="shared" si="9"/>
        <v>0.18928571428571428</v>
      </c>
      <c r="S31" s="3">
        <f t="shared" si="10"/>
        <v>530</v>
      </c>
      <c r="T31" s="281">
        <f t="shared" si="11"/>
        <v>21510</v>
      </c>
    </row>
    <row r="32" spans="4:20" ht="15.75" customHeight="1">
      <c r="D32" s="33">
        <v>10</v>
      </c>
      <c r="E32" s="80">
        <v>1330</v>
      </c>
      <c r="F32" s="18">
        <v>55</v>
      </c>
      <c r="G32" s="3">
        <v>6</v>
      </c>
      <c r="H32" s="3">
        <v>0</v>
      </c>
      <c r="I32" s="71">
        <f t="shared" si="6"/>
        <v>2.1785714285714287E-2</v>
      </c>
      <c r="J32" s="3">
        <f t="shared" si="7"/>
        <v>61</v>
      </c>
      <c r="K32" s="281">
        <f t="shared" si="8"/>
        <v>1905</v>
      </c>
      <c r="M32" s="33">
        <v>10</v>
      </c>
      <c r="N32" s="80">
        <v>14200</v>
      </c>
      <c r="O32" s="18">
        <v>597</v>
      </c>
      <c r="P32" s="3">
        <v>67</v>
      </c>
      <c r="Q32" s="3">
        <v>6</v>
      </c>
      <c r="R32" s="282">
        <f t="shared" si="9"/>
        <v>0.2392857142857143</v>
      </c>
      <c r="S32" s="3">
        <f t="shared" si="10"/>
        <v>670</v>
      </c>
      <c r="T32" s="281">
        <f t="shared" si="11"/>
        <v>26535</v>
      </c>
    </row>
    <row r="33" spans="4:26" ht="15.75" customHeight="1">
      <c r="D33" s="33">
        <v>11</v>
      </c>
      <c r="E33" s="80">
        <v>1630</v>
      </c>
      <c r="F33" s="18">
        <v>71</v>
      </c>
      <c r="G33" s="3">
        <v>7</v>
      </c>
      <c r="H33" s="3">
        <v>0</v>
      </c>
      <c r="I33" s="71">
        <f t="shared" si="6"/>
        <v>2.7857142857142858E-2</v>
      </c>
      <c r="J33" s="3">
        <f t="shared" si="7"/>
        <v>78</v>
      </c>
      <c r="K33" s="281">
        <f t="shared" si="8"/>
        <v>2335</v>
      </c>
      <c r="M33" s="33">
        <v>11</v>
      </c>
      <c r="N33" s="80">
        <v>17500</v>
      </c>
      <c r="O33" s="18">
        <v>766</v>
      </c>
      <c r="P33" s="3">
        <v>86</v>
      </c>
      <c r="Q33" s="3">
        <v>8</v>
      </c>
      <c r="R33" s="282">
        <f t="shared" si="9"/>
        <v>0.30714285714285716</v>
      </c>
      <c r="S33" s="3">
        <f t="shared" si="10"/>
        <v>860</v>
      </c>
      <c r="T33" s="281">
        <f t="shared" si="11"/>
        <v>33630</v>
      </c>
    </row>
    <row r="34" spans="4:26" ht="15.75" customHeight="1">
      <c r="D34" s="55">
        <v>12</v>
      </c>
      <c r="E34" s="54">
        <v>2000</v>
      </c>
      <c r="F34" s="15">
        <v>89</v>
      </c>
      <c r="G34" s="16">
        <v>10</v>
      </c>
      <c r="H34" s="16">
        <v>1</v>
      </c>
      <c r="I34" s="283">
        <f t="shared" si="6"/>
        <v>3.5714285714285719E-2</v>
      </c>
      <c r="J34" s="16">
        <f t="shared" si="7"/>
        <v>100</v>
      </c>
      <c r="K34" s="284">
        <f t="shared" si="8"/>
        <v>3945</v>
      </c>
      <c r="M34" s="55">
        <v>12</v>
      </c>
      <c r="N34" s="81">
        <v>22000</v>
      </c>
      <c r="O34" s="15">
        <v>980</v>
      </c>
      <c r="P34" s="16">
        <v>110</v>
      </c>
      <c r="Q34" s="16">
        <v>10</v>
      </c>
      <c r="R34" s="285">
        <f t="shared" si="9"/>
        <v>0.39285714285714285</v>
      </c>
      <c r="S34" s="16">
        <f t="shared" si="10"/>
        <v>1100</v>
      </c>
      <c r="T34" s="284">
        <f t="shared" si="11"/>
        <v>42400</v>
      </c>
    </row>
    <row r="35" spans="4:26" ht="15.75" customHeight="1"/>
    <row r="36" spans="4:26" ht="15.75" customHeight="1">
      <c r="D36" s="294" t="s">
        <v>517</v>
      </c>
      <c r="E36" s="294"/>
      <c r="F36" s="294"/>
      <c r="G36" s="294"/>
      <c r="H36" s="294"/>
      <c r="I36" s="294"/>
      <c r="J36" s="286">
        <f>S36*10</f>
        <v>7000</v>
      </c>
      <c r="K36" s="286"/>
      <c r="M36" s="294" t="s">
        <v>517</v>
      </c>
      <c r="N36" s="294"/>
      <c r="O36" s="294"/>
      <c r="P36" s="294"/>
      <c r="Q36" s="294"/>
      <c r="R36" s="294"/>
      <c r="S36" s="286">
        <v>700</v>
      </c>
      <c r="T36" s="286"/>
    </row>
    <row r="37" spans="4:26" ht="15.75" customHeight="1">
      <c r="D37" s="287"/>
      <c r="E37" s="287"/>
      <c r="F37" s="287"/>
      <c r="G37" s="287"/>
      <c r="H37" s="287"/>
      <c r="I37" s="287"/>
      <c r="J37" s="288"/>
      <c r="K37" s="288"/>
      <c r="M37" s="287"/>
      <c r="N37" s="287"/>
      <c r="O37" s="287"/>
      <c r="P37" s="287"/>
      <c r="Q37" s="287"/>
      <c r="R37" s="287"/>
      <c r="S37" s="288"/>
      <c r="T37" s="288"/>
    </row>
    <row r="38" spans="4:26" ht="15.75" customHeight="1">
      <c r="D38" s="131" t="s">
        <v>515</v>
      </c>
      <c r="E38" s="131"/>
      <c r="F38" s="131"/>
      <c r="G38" s="131"/>
      <c r="H38" s="131"/>
      <c r="I38" s="131"/>
      <c r="J38" s="131"/>
      <c r="K38" s="131"/>
      <c r="M38" s="131" t="s">
        <v>516</v>
      </c>
      <c r="N38" s="131"/>
      <c r="O38" s="131"/>
      <c r="P38" s="131"/>
      <c r="Q38" s="131"/>
      <c r="R38" s="131"/>
      <c r="S38" s="131"/>
      <c r="T38" s="131"/>
    </row>
    <row r="39" spans="4:26" ht="15.75" customHeight="1">
      <c r="D39" s="131" t="s">
        <v>512</v>
      </c>
      <c r="E39" s="131" t="s">
        <v>17</v>
      </c>
      <c r="F39" s="131" t="s">
        <v>47</v>
      </c>
      <c r="G39" s="131"/>
      <c r="H39" s="131"/>
      <c r="I39" s="131"/>
      <c r="J39" s="131"/>
      <c r="K39" s="131" t="s">
        <v>231</v>
      </c>
      <c r="M39" s="131" t="s">
        <v>512</v>
      </c>
      <c r="N39" s="131" t="s">
        <v>17</v>
      </c>
      <c r="O39" s="131" t="s">
        <v>47</v>
      </c>
      <c r="P39" s="131"/>
      <c r="Q39" s="131"/>
      <c r="R39" s="131"/>
      <c r="S39" s="131"/>
      <c r="T39" s="131" t="s">
        <v>231</v>
      </c>
    </row>
    <row r="40" spans="4:26" ht="15.75" customHeight="1">
      <c r="D40" s="131"/>
      <c r="E40" s="131"/>
      <c r="F40" s="16" t="s">
        <v>0</v>
      </c>
      <c r="G40" s="16" t="s">
        <v>1</v>
      </c>
      <c r="H40" s="16" t="s">
        <v>2</v>
      </c>
      <c r="I40" s="16" t="s">
        <v>49</v>
      </c>
      <c r="J40" s="16" t="s">
        <v>513</v>
      </c>
      <c r="K40" s="131"/>
      <c r="M40" s="131"/>
      <c r="N40" s="131"/>
      <c r="O40" s="16" t="s">
        <v>0</v>
      </c>
      <c r="P40" s="16" t="s">
        <v>1</v>
      </c>
      <c r="Q40" s="16" t="s">
        <v>2</v>
      </c>
      <c r="R40" s="16" t="s">
        <v>49</v>
      </c>
      <c r="S40" s="16" t="s">
        <v>513</v>
      </c>
      <c r="T40" s="131"/>
    </row>
    <row r="41" spans="4:26" ht="15.75" customHeight="1">
      <c r="D41" s="27">
        <v>0</v>
      </c>
      <c r="E41" s="90">
        <f>E22*$J$36</f>
        <v>910000</v>
      </c>
      <c r="F41" s="91">
        <f>F22*$J$36</f>
        <v>14000</v>
      </c>
      <c r="G41" s="90">
        <f>G22*$J$36</f>
        <v>0</v>
      </c>
      <c r="H41" s="90">
        <f>H22*$J$36</f>
        <v>0</v>
      </c>
      <c r="I41" s="289">
        <f>I22*J36</f>
        <v>5</v>
      </c>
      <c r="J41" s="90">
        <f t="shared" ref="J41:J53" si="12">SUM(F41:H41)</f>
        <v>14000</v>
      </c>
      <c r="K41" s="279">
        <f t="shared" ref="K41:K53" si="13">E41+(F41*5)+(50*G41)+(H41*1000)</f>
        <v>980000</v>
      </c>
      <c r="M41" s="27">
        <v>0</v>
      </c>
      <c r="N41" s="90">
        <f t="shared" ref="N41:Q53" si="14">N22*$S$36</f>
        <v>980000</v>
      </c>
      <c r="O41" s="91">
        <f t="shared" si="14"/>
        <v>12600</v>
      </c>
      <c r="P41" s="90">
        <f t="shared" si="14"/>
        <v>1400</v>
      </c>
      <c r="Q41" s="90">
        <f t="shared" si="14"/>
        <v>0</v>
      </c>
      <c r="R41" s="290">
        <f>R22*S36</f>
        <v>5.0000000000000009</v>
      </c>
      <c r="S41" s="90">
        <f t="shared" ref="S41:S53" si="15">SUM(O41:Q41)</f>
        <v>14000</v>
      </c>
      <c r="T41" s="279">
        <f t="shared" ref="T41:T53" si="16">N41+(O41*5)+(50*P41)+(Q41*1000)</f>
        <v>1113000</v>
      </c>
      <c r="U41">
        <f t="shared" ref="U41:U53" si="17">E41/N41</f>
        <v>0.9285714285714286</v>
      </c>
    </row>
    <row r="42" spans="4:26" ht="15.75" customHeight="1">
      <c r="D42" s="33">
        <v>1</v>
      </c>
      <c r="E42" s="80">
        <f t="shared" ref="E42:G52" si="18">E23*$J$36</f>
        <v>1260000</v>
      </c>
      <c r="F42" s="29">
        <f t="shared" si="18"/>
        <v>21000</v>
      </c>
      <c r="G42" s="80">
        <f t="shared" si="18"/>
        <v>0</v>
      </c>
      <c r="H42" s="80">
        <f t="shared" ref="H42:H52" si="19">H22*$J$36</f>
        <v>0</v>
      </c>
      <c r="I42" s="94">
        <f t="shared" ref="I42:I53" si="20">I23*J$36</f>
        <v>7.5</v>
      </c>
      <c r="J42" s="80">
        <f t="shared" si="12"/>
        <v>21000</v>
      </c>
      <c r="K42" s="281">
        <f t="shared" si="13"/>
        <v>1365000</v>
      </c>
      <c r="M42" s="33">
        <v>1</v>
      </c>
      <c r="N42" s="80">
        <f t="shared" si="14"/>
        <v>1330000</v>
      </c>
      <c r="O42" s="29">
        <f t="shared" si="14"/>
        <v>18900</v>
      </c>
      <c r="P42" s="80">
        <f t="shared" si="14"/>
        <v>2100</v>
      </c>
      <c r="Q42" s="80">
        <f t="shared" si="14"/>
        <v>0</v>
      </c>
      <c r="R42" s="291">
        <f t="shared" ref="R42:R53" si="21">R23*S$36</f>
        <v>7.5</v>
      </c>
      <c r="S42" s="80">
        <f t="shared" si="15"/>
        <v>21000</v>
      </c>
      <c r="T42" s="281">
        <f t="shared" si="16"/>
        <v>1529500</v>
      </c>
      <c r="U42">
        <f t="shared" si="17"/>
        <v>0.94736842105263153</v>
      </c>
    </row>
    <row r="43" spans="4:26" ht="15.75" customHeight="1">
      <c r="D43" s="33">
        <v>2</v>
      </c>
      <c r="E43" s="80">
        <f t="shared" si="18"/>
        <v>1680000</v>
      </c>
      <c r="F43" s="29">
        <f t="shared" si="18"/>
        <v>35000</v>
      </c>
      <c r="G43" s="80">
        <f t="shared" si="18"/>
        <v>0</v>
      </c>
      <c r="H43" s="80">
        <f t="shared" si="19"/>
        <v>0</v>
      </c>
      <c r="I43" s="94">
        <f t="shared" si="20"/>
        <v>12.500000000000002</v>
      </c>
      <c r="J43" s="80">
        <f t="shared" si="12"/>
        <v>35000</v>
      </c>
      <c r="K43" s="281">
        <f t="shared" si="13"/>
        <v>1855000</v>
      </c>
      <c r="M43" s="33">
        <v>2</v>
      </c>
      <c r="N43" s="80">
        <f t="shared" si="14"/>
        <v>1750000</v>
      </c>
      <c r="O43" s="29">
        <f t="shared" si="14"/>
        <v>31500</v>
      </c>
      <c r="P43" s="80">
        <f t="shared" si="14"/>
        <v>3500</v>
      </c>
      <c r="Q43" s="80">
        <f t="shared" si="14"/>
        <v>0</v>
      </c>
      <c r="R43" s="291">
        <f t="shared" si="21"/>
        <v>12.500000000000002</v>
      </c>
      <c r="S43" s="80">
        <f t="shared" si="15"/>
        <v>35000</v>
      </c>
      <c r="T43" s="281">
        <f t="shared" si="16"/>
        <v>2082500</v>
      </c>
      <c r="U43">
        <f t="shared" si="17"/>
        <v>0.96</v>
      </c>
    </row>
    <row r="44" spans="4:26" ht="15.75" customHeight="1">
      <c r="D44" s="33">
        <v>3</v>
      </c>
      <c r="E44" s="80">
        <f t="shared" si="18"/>
        <v>2170000</v>
      </c>
      <c r="F44" s="29">
        <f t="shared" si="18"/>
        <v>56000</v>
      </c>
      <c r="G44" s="80">
        <f t="shared" si="18"/>
        <v>0</v>
      </c>
      <c r="H44" s="80">
        <f t="shared" si="19"/>
        <v>0</v>
      </c>
      <c r="I44" s="94">
        <f t="shared" si="20"/>
        <v>20</v>
      </c>
      <c r="J44" s="80">
        <f t="shared" si="12"/>
        <v>56000</v>
      </c>
      <c r="K44" s="281">
        <f t="shared" si="13"/>
        <v>2450000</v>
      </c>
      <c r="M44" s="33">
        <v>3</v>
      </c>
      <c r="N44" s="80">
        <f t="shared" si="14"/>
        <v>2240000</v>
      </c>
      <c r="O44" s="29">
        <f t="shared" si="14"/>
        <v>53900</v>
      </c>
      <c r="P44" s="80">
        <f t="shared" si="14"/>
        <v>5600</v>
      </c>
      <c r="Q44" s="80">
        <f t="shared" si="14"/>
        <v>0</v>
      </c>
      <c r="R44" s="291">
        <f t="shared" si="21"/>
        <v>21.25</v>
      </c>
      <c r="S44" s="80">
        <f t="shared" si="15"/>
        <v>59500</v>
      </c>
      <c r="T44" s="281">
        <f t="shared" si="16"/>
        <v>2789500</v>
      </c>
      <c r="U44">
        <f t="shared" si="17"/>
        <v>0.96875</v>
      </c>
    </row>
    <row r="45" spans="4:26" ht="15.75" customHeight="1">
      <c r="D45" s="33">
        <v>4</v>
      </c>
      <c r="E45" s="80">
        <f t="shared" si="18"/>
        <v>2730000</v>
      </c>
      <c r="F45" s="29">
        <f t="shared" si="18"/>
        <v>77000</v>
      </c>
      <c r="G45" s="80">
        <f t="shared" si="18"/>
        <v>7000</v>
      </c>
      <c r="H45" s="80">
        <f t="shared" si="19"/>
        <v>0</v>
      </c>
      <c r="I45" s="94">
        <f t="shared" si="20"/>
        <v>30</v>
      </c>
      <c r="J45" s="80">
        <f t="shared" si="12"/>
        <v>84000</v>
      </c>
      <c r="K45" s="281">
        <f t="shared" si="13"/>
        <v>3465000</v>
      </c>
      <c r="M45" s="33">
        <v>4</v>
      </c>
      <c r="N45" s="80">
        <f t="shared" si="14"/>
        <v>2800000</v>
      </c>
      <c r="O45" s="29">
        <f t="shared" si="14"/>
        <v>81200</v>
      </c>
      <c r="P45" s="80">
        <f t="shared" si="14"/>
        <v>9100</v>
      </c>
      <c r="Q45" s="80">
        <f t="shared" si="14"/>
        <v>700</v>
      </c>
      <c r="R45" s="291">
        <f t="shared" si="21"/>
        <v>32.5</v>
      </c>
      <c r="S45" s="80">
        <f t="shared" si="15"/>
        <v>91000</v>
      </c>
      <c r="T45" s="281">
        <f t="shared" si="16"/>
        <v>4361000</v>
      </c>
      <c r="U45">
        <f t="shared" si="17"/>
        <v>0.97499999999999998</v>
      </c>
    </row>
    <row r="46" spans="4:26" ht="15.75" customHeight="1">
      <c r="D46" s="33">
        <v>5</v>
      </c>
      <c r="E46" s="80">
        <f t="shared" si="18"/>
        <v>3360000</v>
      </c>
      <c r="F46" s="29">
        <f t="shared" si="18"/>
        <v>112000</v>
      </c>
      <c r="G46" s="80">
        <f t="shared" si="18"/>
        <v>7000</v>
      </c>
      <c r="H46" s="80">
        <f t="shared" si="19"/>
        <v>0</v>
      </c>
      <c r="I46" s="94">
        <f t="shared" si="20"/>
        <v>42.5</v>
      </c>
      <c r="J46" s="80">
        <f t="shared" si="12"/>
        <v>119000</v>
      </c>
      <c r="K46" s="281">
        <f t="shared" si="13"/>
        <v>4270000</v>
      </c>
      <c r="M46" s="33">
        <v>5</v>
      </c>
      <c r="N46" s="80">
        <f t="shared" si="14"/>
        <v>3500000</v>
      </c>
      <c r="O46" s="29">
        <f t="shared" si="14"/>
        <v>116200</v>
      </c>
      <c r="P46" s="80">
        <f t="shared" si="14"/>
        <v>12600</v>
      </c>
      <c r="Q46" s="80">
        <f t="shared" si="14"/>
        <v>700</v>
      </c>
      <c r="R46" s="291">
        <f t="shared" si="21"/>
        <v>46.25</v>
      </c>
      <c r="S46" s="80">
        <f t="shared" si="15"/>
        <v>129500</v>
      </c>
      <c r="T46" s="281">
        <f t="shared" si="16"/>
        <v>5411000</v>
      </c>
      <c r="U46">
        <f t="shared" si="17"/>
        <v>0.96</v>
      </c>
    </row>
    <row r="47" spans="4:26" ht="15.75" customHeight="1">
      <c r="D47" s="33">
        <v>6</v>
      </c>
      <c r="E47" s="80">
        <f t="shared" si="18"/>
        <v>4130000</v>
      </c>
      <c r="F47" s="29">
        <f t="shared" si="18"/>
        <v>147000</v>
      </c>
      <c r="G47" s="80">
        <f t="shared" si="18"/>
        <v>14000</v>
      </c>
      <c r="H47" s="80">
        <f t="shared" si="19"/>
        <v>0</v>
      </c>
      <c r="I47" s="94">
        <f t="shared" si="20"/>
        <v>57.5</v>
      </c>
      <c r="J47" s="80">
        <f t="shared" si="12"/>
        <v>161000</v>
      </c>
      <c r="K47" s="281">
        <f t="shared" si="13"/>
        <v>5565000</v>
      </c>
      <c r="M47" s="33">
        <v>6</v>
      </c>
      <c r="N47" s="80">
        <f t="shared" si="14"/>
        <v>4340000</v>
      </c>
      <c r="O47" s="29">
        <f t="shared" si="14"/>
        <v>156100</v>
      </c>
      <c r="P47" s="80">
        <f t="shared" si="14"/>
        <v>17500</v>
      </c>
      <c r="Q47" s="80">
        <f t="shared" si="14"/>
        <v>1400</v>
      </c>
      <c r="R47" s="291">
        <f t="shared" si="21"/>
        <v>62.5</v>
      </c>
      <c r="S47" s="80">
        <f t="shared" si="15"/>
        <v>175000</v>
      </c>
      <c r="T47" s="281">
        <f t="shared" si="16"/>
        <v>7395500</v>
      </c>
      <c r="U47">
        <f t="shared" si="17"/>
        <v>0.95161290322580649</v>
      </c>
      <c r="X47" s="1"/>
      <c r="Y47" s="3"/>
      <c r="Z47" s="3"/>
    </row>
    <row r="48" spans="4:26" ht="15.75" customHeight="1">
      <c r="D48" s="33">
        <v>7</v>
      </c>
      <c r="E48" s="80">
        <f t="shared" si="18"/>
        <v>5040000</v>
      </c>
      <c r="F48" s="29">
        <f t="shared" si="18"/>
        <v>189000</v>
      </c>
      <c r="G48" s="80">
        <f t="shared" si="18"/>
        <v>21000</v>
      </c>
      <c r="H48" s="80">
        <f t="shared" si="19"/>
        <v>0</v>
      </c>
      <c r="I48" s="94">
        <f t="shared" si="20"/>
        <v>75</v>
      </c>
      <c r="J48" s="80">
        <f t="shared" si="12"/>
        <v>210000</v>
      </c>
      <c r="K48" s="281">
        <f t="shared" si="13"/>
        <v>7035000</v>
      </c>
      <c r="M48" s="33">
        <v>7</v>
      </c>
      <c r="N48" s="80">
        <f t="shared" si="14"/>
        <v>5320000</v>
      </c>
      <c r="O48" s="29">
        <f t="shared" si="14"/>
        <v>205800</v>
      </c>
      <c r="P48" s="80">
        <f t="shared" si="14"/>
        <v>23100</v>
      </c>
      <c r="Q48" s="80">
        <f t="shared" si="14"/>
        <v>2100</v>
      </c>
      <c r="R48" s="291">
        <f t="shared" si="21"/>
        <v>82.500000000000014</v>
      </c>
      <c r="S48" s="80">
        <f t="shared" si="15"/>
        <v>231000</v>
      </c>
      <c r="T48" s="281">
        <f t="shared" si="16"/>
        <v>9604000</v>
      </c>
      <c r="U48">
        <f t="shared" si="17"/>
        <v>0.94736842105263153</v>
      </c>
      <c r="X48" s="1"/>
      <c r="Y48" s="3"/>
      <c r="Z48" s="3"/>
    </row>
    <row r="49" spans="4:21" ht="15.75" customHeight="1">
      <c r="D49" s="33">
        <v>8</v>
      </c>
      <c r="E49" s="80">
        <f t="shared" si="18"/>
        <v>6160000</v>
      </c>
      <c r="F49" s="29">
        <f t="shared" si="18"/>
        <v>245000</v>
      </c>
      <c r="G49" s="80">
        <f t="shared" si="18"/>
        <v>21000</v>
      </c>
      <c r="H49" s="80">
        <f t="shared" si="19"/>
        <v>0</v>
      </c>
      <c r="I49" s="94">
        <f t="shared" si="20"/>
        <v>95</v>
      </c>
      <c r="J49" s="80">
        <f t="shared" si="12"/>
        <v>266000</v>
      </c>
      <c r="K49" s="281">
        <f t="shared" si="13"/>
        <v>8435000</v>
      </c>
      <c r="M49" s="33">
        <v>8</v>
      </c>
      <c r="N49" s="80">
        <f t="shared" si="14"/>
        <v>6510000</v>
      </c>
      <c r="O49" s="29">
        <f t="shared" si="14"/>
        <v>261800</v>
      </c>
      <c r="P49" s="80">
        <f t="shared" si="14"/>
        <v>29400</v>
      </c>
      <c r="Q49" s="80">
        <f t="shared" si="14"/>
        <v>2800</v>
      </c>
      <c r="R49" s="291">
        <f t="shared" si="21"/>
        <v>105</v>
      </c>
      <c r="S49" s="80">
        <f t="shared" si="15"/>
        <v>294000</v>
      </c>
      <c r="T49" s="281">
        <f t="shared" si="16"/>
        <v>12089000</v>
      </c>
      <c r="U49">
        <f t="shared" si="17"/>
        <v>0.94623655913978499</v>
      </c>
    </row>
    <row r="50" spans="4:21" ht="15.75" customHeight="1">
      <c r="D50" s="33">
        <v>9</v>
      </c>
      <c r="E50" s="80">
        <f t="shared" si="18"/>
        <v>7560000</v>
      </c>
      <c r="F50" s="29">
        <f t="shared" si="18"/>
        <v>308000</v>
      </c>
      <c r="G50" s="80">
        <f t="shared" si="18"/>
        <v>28000</v>
      </c>
      <c r="H50" s="80">
        <f t="shared" si="19"/>
        <v>0</v>
      </c>
      <c r="I50" s="94">
        <f t="shared" si="20"/>
        <v>120</v>
      </c>
      <c r="J50" s="80">
        <f t="shared" si="12"/>
        <v>336000</v>
      </c>
      <c r="K50" s="281">
        <f t="shared" si="13"/>
        <v>10500000</v>
      </c>
      <c r="M50" s="33">
        <v>9</v>
      </c>
      <c r="N50" s="80">
        <f t="shared" si="14"/>
        <v>8050000</v>
      </c>
      <c r="O50" s="29">
        <f t="shared" si="14"/>
        <v>330400</v>
      </c>
      <c r="P50" s="80">
        <f t="shared" si="14"/>
        <v>37100</v>
      </c>
      <c r="Q50" s="80">
        <f t="shared" si="14"/>
        <v>3500</v>
      </c>
      <c r="R50" s="291">
        <f t="shared" si="21"/>
        <v>132.5</v>
      </c>
      <c r="S50" s="80">
        <f t="shared" si="15"/>
        <v>371000</v>
      </c>
      <c r="T50" s="281">
        <f t="shared" si="16"/>
        <v>15057000</v>
      </c>
      <c r="U50">
        <f t="shared" si="17"/>
        <v>0.93913043478260871</v>
      </c>
    </row>
    <row r="51" spans="4:21" ht="15.75" customHeight="1">
      <c r="D51" s="33">
        <v>10</v>
      </c>
      <c r="E51" s="80">
        <f t="shared" si="18"/>
        <v>9310000</v>
      </c>
      <c r="F51" s="29">
        <f t="shared" si="18"/>
        <v>385000</v>
      </c>
      <c r="G51" s="80">
        <f t="shared" si="18"/>
        <v>42000</v>
      </c>
      <c r="H51" s="80">
        <f t="shared" si="19"/>
        <v>0</v>
      </c>
      <c r="I51" s="94">
        <f t="shared" si="20"/>
        <v>152.5</v>
      </c>
      <c r="J51" s="80">
        <f t="shared" si="12"/>
        <v>427000</v>
      </c>
      <c r="K51" s="281">
        <f t="shared" si="13"/>
        <v>13335000</v>
      </c>
      <c r="M51" s="33">
        <v>10</v>
      </c>
      <c r="N51" s="80">
        <f t="shared" si="14"/>
        <v>9940000</v>
      </c>
      <c r="O51" s="29">
        <f t="shared" si="14"/>
        <v>417900</v>
      </c>
      <c r="P51" s="80">
        <f t="shared" si="14"/>
        <v>46900</v>
      </c>
      <c r="Q51" s="80">
        <f t="shared" si="14"/>
        <v>4200</v>
      </c>
      <c r="R51" s="291">
        <f t="shared" si="21"/>
        <v>167.5</v>
      </c>
      <c r="S51" s="80">
        <f t="shared" si="15"/>
        <v>469000</v>
      </c>
      <c r="T51" s="281">
        <f t="shared" si="16"/>
        <v>18574500</v>
      </c>
      <c r="U51">
        <f t="shared" si="17"/>
        <v>0.93661971830985913</v>
      </c>
    </row>
    <row r="52" spans="4:21" ht="15.75" customHeight="1">
      <c r="D52" s="33">
        <v>11</v>
      </c>
      <c r="E52" s="80">
        <f t="shared" si="18"/>
        <v>11410000</v>
      </c>
      <c r="F52" s="29">
        <f t="shared" si="18"/>
        <v>497000</v>
      </c>
      <c r="G52" s="80">
        <f t="shared" si="18"/>
        <v>49000</v>
      </c>
      <c r="H52" s="80">
        <f t="shared" si="19"/>
        <v>0</v>
      </c>
      <c r="I52" s="94">
        <f t="shared" si="20"/>
        <v>195</v>
      </c>
      <c r="J52" s="80">
        <f t="shared" si="12"/>
        <v>546000</v>
      </c>
      <c r="K52" s="281">
        <f t="shared" si="13"/>
        <v>16345000</v>
      </c>
      <c r="M52" s="33">
        <v>11</v>
      </c>
      <c r="N52" s="80">
        <f t="shared" si="14"/>
        <v>12250000</v>
      </c>
      <c r="O52" s="29">
        <f t="shared" si="14"/>
        <v>536200</v>
      </c>
      <c r="P52" s="80">
        <f t="shared" si="14"/>
        <v>60200</v>
      </c>
      <c r="Q52" s="80">
        <f t="shared" si="14"/>
        <v>5600</v>
      </c>
      <c r="R52" s="291">
        <f t="shared" si="21"/>
        <v>215</v>
      </c>
      <c r="S52" s="80">
        <f t="shared" si="15"/>
        <v>602000</v>
      </c>
      <c r="T52" s="281">
        <f t="shared" si="16"/>
        <v>23541000</v>
      </c>
      <c r="U52">
        <f t="shared" si="17"/>
        <v>0.93142857142857138</v>
      </c>
    </row>
    <row r="53" spans="4:21" ht="15.75" customHeight="1">
      <c r="D53" s="55">
        <v>12</v>
      </c>
      <c r="E53" s="54">
        <f>E34*J36</f>
        <v>14000000</v>
      </c>
      <c r="F53" s="57">
        <f>F34*$J$36</f>
        <v>623000</v>
      </c>
      <c r="G53" s="81">
        <f>G34*$J$36</f>
        <v>70000</v>
      </c>
      <c r="H53" s="81">
        <f>H34*$J$36</f>
        <v>7000</v>
      </c>
      <c r="I53" s="292">
        <f t="shared" si="20"/>
        <v>250.00000000000003</v>
      </c>
      <c r="J53" s="81">
        <f t="shared" si="12"/>
        <v>700000</v>
      </c>
      <c r="K53" s="284">
        <f t="shared" si="13"/>
        <v>27615000</v>
      </c>
      <c r="M53" s="55">
        <v>12</v>
      </c>
      <c r="N53" s="81">
        <f t="shared" si="14"/>
        <v>15400000</v>
      </c>
      <c r="O53" s="57">
        <f t="shared" si="14"/>
        <v>686000</v>
      </c>
      <c r="P53" s="81">
        <f t="shared" si="14"/>
        <v>77000</v>
      </c>
      <c r="Q53" s="81">
        <f t="shared" si="14"/>
        <v>7000</v>
      </c>
      <c r="R53" s="293">
        <f t="shared" si="21"/>
        <v>275</v>
      </c>
      <c r="S53" s="81">
        <f t="shared" si="15"/>
        <v>770000</v>
      </c>
      <c r="T53" s="284">
        <f t="shared" si="16"/>
        <v>29680000</v>
      </c>
      <c r="U53">
        <f t="shared" si="17"/>
        <v>0.90909090909090906</v>
      </c>
    </row>
    <row r="54" spans="4:21" ht="15.75" customHeight="1">
      <c r="D54" t="s">
        <v>0</v>
      </c>
      <c r="F54" t="s">
        <v>10</v>
      </c>
      <c r="I54" t="s">
        <v>230</v>
      </c>
      <c r="M54" t="s">
        <v>0</v>
      </c>
      <c r="O54" t="s">
        <v>10</v>
      </c>
      <c r="R54" t="s">
        <v>230</v>
      </c>
    </row>
    <row r="55" spans="4:21" ht="15.75" customHeight="1">
      <c r="D55" s="80">
        <v>201327</v>
      </c>
      <c r="E55" s="80"/>
      <c r="F55" s="80">
        <v>56914</v>
      </c>
      <c r="G55" s="80"/>
      <c r="H55" s="80"/>
      <c r="I55" s="80">
        <v>8901</v>
      </c>
      <c r="J55" s="80"/>
      <c r="K55" s="80"/>
      <c r="L55" s="80">
        <v>444</v>
      </c>
      <c r="M55" s="80">
        <v>201327</v>
      </c>
      <c r="N55" s="80"/>
      <c r="O55" s="80">
        <v>56914</v>
      </c>
      <c r="P55" s="80"/>
      <c r="Q55" s="80"/>
      <c r="R55" s="80">
        <v>8901</v>
      </c>
    </row>
    <row r="56" spans="4:21" ht="15.75" customHeight="1">
      <c r="D56" s="80">
        <f>D55-F53*-5</f>
        <v>3316327</v>
      </c>
      <c r="F56" s="80">
        <f>F55-G53*-50</f>
        <v>3556914</v>
      </c>
      <c r="I56" s="80">
        <f>I55-H53</f>
        <v>1901</v>
      </c>
      <c r="M56" s="80">
        <f>M55-O53*-5</f>
        <v>3631327</v>
      </c>
      <c r="O56" s="80">
        <f>O55-P53*-50</f>
        <v>3906914</v>
      </c>
      <c r="R56" s="80">
        <f>R55-Q53</f>
        <v>1901</v>
      </c>
    </row>
    <row r="57" spans="4:21" ht="15.75" customHeight="1"/>
    <row r="58" spans="4:21" ht="15.75" customHeight="1"/>
    <row r="59" spans="4:21" ht="15.75" customHeight="1"/>
    <row r="60" spans="4:21" ht="15.75" customHeight="1"/>
    <row r="61" spans="4:21" ht="15.75" customHeight="1"/>
    <row r="62" spans="4:21" ht="15.75" customHeight="1"/>
    <row r="63" spans="4:21" ht="15.75" customHeight="1"/>
    <row r="64" spans="4:2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N39:N40"/>
    <mergeCell ref="O39:S39"/>
    <mergeCell ref="T39:T40"/>
    <mergeCell ref="T20:T21"/>
    <mergeCell ref="D36:I36"/>
    <mergeCell ref="M36:R36"/>
    <mergeCell ref="D38:K38"/>
    <mergeCell ref="M38:T38"/>
    <mergeCell ref="D39:D40"/>
    <mergeCell ref="E39:E40"/>
    <mergeCell ref="F39:J39"/>
    <mergeCell ref="K39:K40"/>
    <mergeCell ref="M39:M40"/>
    <mergeCell ref="T3:T4"/>
    <mergeCell ref="D19:K19"/>
    <mergeCell ref="M19:T19"/>
    <mergeCell ref="D20:D21"/>
    <mergeCell ref="E20:E21"/>
    <mergeCell ref="F20:J20"/>
    <mergeCell ref="K20:K21"/>
    <mergeCell ref="M20:M21"/>
    <mergeCell ref="N20:N21"/>
    <mergeCell ref="O20:S20"/>
    <mergeCell ref="A2:B2"/>
    <mergeCell ref="D2:K2"/>
    <mergeCell ref="M2:T2"/>
    <mergeCell ref="D3:D4"/>
    <mergeCell ref="E3:E4"/>
    <mergeCell ref="F3:J3"/>
    <mergeCell ref="K3:K4"/>
    <mergeCell ref="M3:M4"/>
    <mergeCell ref="N3:N4"/>
    <mergeCell ref="O3:S3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 Progress</vt:lpstr>
      <vt:lpstr>Generic Info</vt:lpstr>
      <vt:lpstr>Card Progress data</vt:lpstr>
      <vt:lpstr>Tempory</vt:lpstr>
      <vt:lpstr>Challenge 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Lashyn, Daniel</cp:lastModifiedBy>
  <cp:revision>3</cp:revision>
  <dcterms:created xsi:type="dcterms:W3CDTF">2025-03-20T18:27:31Z</dcterms:created>
  <dcterms:modified xsi:type="dcterms:W3CDTF">2025-03-20T18:38:32Z</dcterms:modified>
</cp:coreProperties>
</file>