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sd\Desktop\Edis\Studiengang\Semestar III\Hochsprachenprogramierung\Labor\Workspace\HSP-SoSe-2021\Schrauben\"/>
    </mc:Choice>
  </mc:AlternateContent>
  <xr:revisionPtr revIDLastSave="0" documentId="13_ncr:1_{1C76223E-3647-4829-9949-5803F6695C24}" xr6:coauthVersionLast="46" xr6:coauthVersionMax="46" xr10:uidLastSave="{00000000-0000-0000-0000-000000000000}"/>
  <bookViews>
    <workbookView xWindow="-120" yWindow="-120" windowWidth="20730" windowHeight="11160" xr2:uid="{EC6E8927-7B9C-45F5-9187-D380C00F69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21" i="1" l="1"/>
  <c r="AX42" i="1" s="1"/>
  <c r="BC21" i="1"/>
  <c r="BC22" i="1" s="1"/>
  <c r="BC25" i="1" s="1"/>
  <c r="BB21" i="1"/>
  <c r="BB24" i="1" s="1"/>
  <c r="BA21" i="1"/>
  <c r="BA26" i="1" s="1"/>
  <c r="AZ21" i="1"/>
  <c r="AZ41" i="1" s="1"/>
  <c r="AY21" i="1"/>
  <c r="AY39" i="1" s="1"/>
  <c r="AY40" i="1" s="1"/>
  <c r="AW21" i="1"/>
  <c r="AW41" i="1" s="1"/>
  <c r="AU21" i="1"/>
  <c r="AU22" i="1" s="1"/>
  <c r="AS21" i="1"/>
  <c r="AS22" i="1" s="1"/>
  <c r="AS24" i="1" s="1"/>
  <c r="AQ21" i="1"/>
  <c r="AQ22" i="1" s="1"/>
  <c r="AO21" i="1"/>
  <c r="AO22" i="1" s="1"/>
  <c r="AN21" i="1"/>
  <c r="AN22" i="1" s="1"/>
  <c r="AL21" i="1"/>
  <c r="AL22" i="1" s="1"/>
  <c r="AL23" i="1" s="1"/>
  <c r="AJ21" i="1"/>
  <c r="AJ22" i="1" s="1"/>
  <c r="AH21" i="1"/>
  <c r="AH22" i="1" s="1"/>
  <c r="AG21" i="1"/>
  <c r="AG22" i="1" s="1"/>
  <c r="AG23" i="1" s="1"/>
  <c r="AE21" i="1"/>
  <c r="AE22" i="1" s="1"/>
  <c r="AD21" i="1"/>
  <c r="AD22" i="1" s="1"/>
  <c r="AB21" i="1"/>
  <c r="AB22" i="1" s="1"/>
  <c r="AA21" i="1"/>
  <c r="AA22" i="1" s="1"/>
  <c r="Z21" i="1"/>
  <c r="Z22" i="1" s="1"/>
  <c r="Z24" i="1" s="1"/>
  <c r="Y21" i="1"/>
  <c r="Y22" i="1" s="1"/>
  <c r="X21" i="1"/>
  <c r="X22" i="1" s="1"/>
  <c r="W21" i="1"/>
  <c r="W22" i="1" s="1"/>
  <c r="V21" i="1"/>
  <c r="V42" i="1" s="1"/>
  <c r="U21" i="1"/>
  <c r="U39" i="1" s="1"/>
  <c r="U40" i="1" s="1"/>
  <c r="T21" i="1"/>
  <c r="T39" i="1" s="1"/>
  <c r="S21" i="1"/>
  <c r="S34" i="1" s="1"/>
  <c r="R21" i="1"/>
  <c r="R22" i="1" s="1"/>
  <c r="D21" i="1"/>
  <c r="D42" i="1" s="1"/>
  <c r="B21" i="1"/>
  <c r="B22" i="1" s="1"/>
  <c r="B24" i="1" s="1"/>
  <c r="B58" i="1"/>
  <c r="C58" i="1" s="1"/>
  <c r="B57" i="1"/>
  <c r="C57" i="1" s="1"/>
  <c r="AV21" i="1"/>
  <c r="AV26" i="1" s="1"/>
  <c r="AT21" i="1"/>
  <c r="AT34" i="1" s="1"/>
  <c r="AT35" i="1" s="1"/>
  <c r="AR21" i="1"/>
  <c r="AP21" i="1"/>
  <c r="AP34" i="1" s="1"/>
  <c r="AP35" i="1" s="1"/>
  <c r="AM21" i="1"/>
  <c r="AM30" i="1" s="1"/>
  <c r="AM31" i="1" s="1"/>
  <c r="AK21" i="1"/>
  <c r="AK41" i="1" s="1"/>
  <c r="AI21" i="1"/>
  <c r="AF21" i="1"/>
  <c r="AF22" i="1" s="1"/>
  <c r="AF23" i="1" s="1"/>
  <c r="AC21" i="1"/>
  <c r="AC30" i="1" s="1"/>
  <c r="AC31" i="1" s="1"/>
  <c r="Q21" i="1"/>
  <c r="Q34" i="1" s="1"/>
  <c r="Q35" i="1" s="1"/>
  <c r="P21" i="1"/>
  <c r="P26" i="1" s="1"/>
  <c r="O21" i="1"/>
  <c r="O22" i="1" s="1"/>
  <c r="N21" i="1"/>
  <c r="N39" i="1" s="1"/>
  <c r="N40" i="1" s="1"/>
  <c r="M21" i="1"/>
  <c r="M26" i="1" s="1"/>
  <c r="L21" i="1"/>
  <c r="K21" i="1"/>
  <c r="K34" i="1" s="1"/>
  <c r="K35" i="1" s="1"/>
  <c r="J21" i="1"/>
  <c r="J34" i="1" s="1"/>
  <c r="J35" i="1" s="1"/>
  <c r="I21" i="1"/>
  <c r="I22" i="1" s="1"/>
  <c r="H21" i="1"/>
  <c r="G21" i="1"/>
  <c r="G42" i="1" s="1"/>
  <c r="G43" i="1" s="1"/>
  <c r="G44" i="1" s="1"/>
  <c r="F21" i="1"/>
  <c r="F39" i="1" s="1"/>
  <c r="E21" i="1"/>
  <c r="E34" i="1" s="1"/>
  <c r="C21" i="1"/>
  <c r="G3" i="1"/>
  <c r="F3" i="1"/>
  <c r="E3" i="1"/>
  <c r="D3" i="1"/>
  <c r="C3" i="1"/>
  <c r="B3" i="1"/>
  <c r="AY42" i="1" l="1"/>
  <c r="AZ42" i="1"/>
  <c r="BA42" i="1"/>
  <c r="BA43" i="1" s="1"/>
  <c r="BA44" i="1" s="1"/>
  <c r="BB42" i="1"/>
  <c r="BC42" i="1"/>
  <c r="AX43" i="1"/>
  <c r="AX44" i="1" s="1"/>
  <c r="AW42" i="1"/>
  <c r="AL30" i="1"/>
  <c r="AL31" i="1" s="1"/>
  <c r="AE42" i="1"/>
  <c r="AE43" i="1" s="1"/>
  <c r="AE44" i="1" s="1"/>
  <c r="AQ42" i="1"/>
  <c r="AK26" i="1"/>
  <c r="AK30" i="1"/>
  <c r="AK31" i="1" s="1"/>
  <c r="E39" i="1"/>
  <c r="AW22" i="1"/>
  <c r="AW25" i="1" s="1"/>
  <c r="BA23" i="1"/>
  <c r="BA24" i="1"/>
  <c r="BA34" i="1"/>
  <c r="BA35" i="1" s="1"/>
  <c r="AW39" i="1"/>
  <c r="AW40" i="1" s="1"/>
  <c r="BA41" i="1"/>
  <c r="AL39" i="1"/>
  <c r="AL40" i="1" s="1"/>
  <c r="BC24" i="1"/>
  <c r="AX34" i="1"/>
  <c r="AX35" i="1" s="1"/>
  <c r="AX22" i="1"/>
  <c r="AX25" i="1" s="1"/>
  <c r="S22" i="1"/>
  <c r="S23" i="1" s="1"/>
  <c r="BC26" i="1"/>
  <c r="AW30" i="1"/>
  <c r="AW31" i="1" s="1"/>
  <c r="AZ26" i="1"/>
  <c r="AX30" i="1"/>
  <c r="AX31" i="1" s="1"/>
  <c r="T26" i="1"/>
  <c r="AX26" i="1"/>
  <c r="Y26" i="1"/>
  <c r="AW26" i="1"/>
  <c r="AX39" i="1"/>
  <c r="AX40" i="1" s="1"/>
  <c r="AX23" i="1"/>
  <c r="AZ23" i="1"/>
  <c r="AX41" i="1"/>
  <c r="BC23" i="1"/>
  <c r="BC43" i="1"/>
  <c r="BC44" i="1" s="1"/>
  <c r="AY34" i="1"/>
  <c r="AY35" i="1" s="1"/>
  <c r="BB43" i="1"/>
  <c r="BB44" i="1" s="1"/>
  <c r="F22" i="1"/>
  <c r="AY22" i="1"/>
  <c r="AY25" i="1" s="1"/>
  <c r="BB23" i="1"/>
  <c r="AZ34" i="1"/>
  <c r="AZ35" i="1" s="1"/>
  <c r="G22" i="1"/>
  <c r="G24" i="1" s="1"/>
  <c r="AZ22" i="1"/>
  <c r="AZ25" i="1" s="1"/>
  <c r="AY30" i="1"/>
  <c r="AY31" i="1" s="1"/>
  <c r="AZ43" i="1"/>
  <c r="AZ44" i="1" s="1"/>
  <c r="AU34" i="1"/>
  <c r="AU35" i="1" s="1"/>
  <c r="G34" i="1"/>
  <c r="G35" i="1" s="1"/>
  <c r="BA22" i="1"/>
  <c r="BA25" i="1" s="1"/>
  <c r="AW24" i="1"/>
  <c r="BB34" i="1"/>
  <c r="BB35" i="1" s="1"/>
  <c r="AZ30" i="1"/>
  <c r="AZ31" i="1" s="1"/>
  <c r="AY43" i="1"/>
  <c r="AY44" i="1" s="1"/>
  <c r="AB26" i="1"/>
  <c r="P34" i="1"/>
  <c r="P35" i="1" s="1"/>
  <c r="K22" i="1"/>
  <c r="K23" i="1" s="1"/>
  <c r="BB22" i="1"/>
  <c r="BB25" i="1" s="1"/>
  <c r="AX24" i="1"/>
  <c r="BC34" i="1"/>
  <c r="BC35" i="1" s="1"/>
  <c r="BA30" i="1"/>
  <c r="BA31" i="1" s="1"/>
  <c r="BC41" i="1"/>
  <c r="B26" i="1"/>
  <c r="AY24" i="1"/>
  <c r="BB41" i="1"/>
  <c r="AW43" i="1"/>
  <c r="AW44" i="1" s="1"/>
  <c r="AZ24" i="1"/>
  <c r="BB26" i="1"/>
  <c r="I24" i="1"/>
  <c r="U26" i="1"/>
  <c r="V26" i="1"/>
  <c r="B41" i="1"/>
  <c r="AW23" i="1"/>
  <c r="AY41" i="1"/>
  <c r="B50" i="1"/>
  <c r="C50" i="1" s="1"/>
  <c r="M41" i="1"/>
  <c r="Z26" i="1"/>
  <c r="AL41" i="1"/>
  <c r="AY26" i="1"/>
  <c r="AY23" i="1"/>
  <c r="AW34" i="1"/>
  <c r="AW35" i="1" s="1"/>
  <c r="M22" i="1"/>
  <c r="M25" i="1" s="1"/>
  <c r="J22" i="1"/>
  <c r="M34" i="1"/>
  <c r="M35" i="1" s="1"/>
  <c r="AJ42" i="1"/>
  <c r="AJ43" i="1" s="1"/>
  <c r="AJ44" i="1" s="1"/>
  <c r="P22" i="1"/>
  <c r="P25" i="1" s="1"/>
  <c r="AL42" i="1"/>
  <c r="AL43" i="1" s="1"/>
  <c r="AL44" i="1" s="1"/>
  <c r="Q22" i="1"/>
  <c r="Q23" i="1" s="1"/>
  <c r="AH34" i="1"/>
  <c r="AH35" i="1" s="1"/>
  <c r="N34" i="1"/>
  <c r="N35" i="1" s="1"/>
  <c r="M42" i="1"/>
  <c r="M43" i="1" s="1"/>
  <c r="M44" i="1" s="1"/>
  <c r="N42" i="1"/>
  <c r="N43" i="1" s="1"/>
  <c r="N44" i="1" s="1"/>
  <c r="M30" i="1"/>
  <c r="M31" i="1" s="1"/>
  <c r="Y34" i="1"/>
  <c r="Y35" i="1" s="1"/>
  <c r="S41" i="1"/>
  <c r="AN26" i="1"/>
  <c r="N30" i="1"/>
  <c r="N31" i="1" s="1"/>
  <c r="Z34" i="1"/>
  <c r="Z35" i="1" s="1"/>
  <c r="T22" i="1"/>
  <c r="T23" i="1" s="1"/>
  <c r="AL26" i="1"/>
  <c r="V34" i="1"/>
  <c r="V35" i="1" s="1"/>
  <c r="AO34" i="1"/>
  <c r="AO35" i="1" s="1"/>
  <c r="AH23" i="1"/>
  <c r="Y30" i="1"/>
  <c r="Y31" i="1" s="1"/>
  <c r="C22" i="1"/>
  <c r="C25" i="1" s="1"/>
  <c r="X39" i="1"/>
  <c r="X40" i="1" s="1"/>
  <c r="AK22" i="1"/>
  <c r="AK23" i="1" s="1"/>
  <c r="Z30" i="1"/>
  <c r="Z31" i="1" s="1"/>
  <c r="E22" i="1"/>
  <c r="E23" i="1" s="1"/>
  <c r="I25" i="1"/>
  <c r="C30" i="1"/>
  <c r="C31" i="1" s="1"/>
  <c r="E30" i="1"/>
  <c r="E31" i="1" s="1"/>
  <c r="D22" i="1"/>
  <c r="D25" i="1" s="1"/>
  <c r="R30" i="1"/>
  <c r="R31" i="1" s="1"/>
  <c r="U22" i="1"/>
  <c r="U25" i="1" s="1"/>
  <c r="S30" i="1"/>
  <c r="S31" i="1" s="1"/>
  <c r="V22" i="1"/>
  <c r="V23" i="1" s="1"/>
  <c r="B34" i="1"/>
  <c r="D34" i="1"/>
  <c r="D35" i="1" s="1"/>
  <c r="B30" i="1"/>
  <c r="B31" i="1" s="1"/>
  <c r="B42" i="1"/>
  <c r="B43" i="1" s="1"/>
  <c r="B44" i="1" s="1"/>
  <c r="D30" i="1"/>
  <c r="D31" i="1" s="1"/>
  <c r="T42" i="1"/>
  <c r="T43" i="1" s="1"/>
  <c r="T44" i="1" s="1"/>
  <c r="AG25" i="1"/>
  <c r="H39" i="1"/>
  <c r="H40" i="1" s="1"/>
  <c r="AT22" i="1"/>
  <c r="AT23" i="1" s="1"/>
  <c r="M39" i="1"/>
  <c r="M40" i="1" s="1"/>
  <c r="N41" i="1"/>
  <c r="Y42" i="1"/>
  <c r="Y43" i="1" s="1"/>
  <c r="Y44" i="1" s="1"/>
  <c r="S35" i="1"/>
  <c r="J41" i="1"/>
  <c r="AS26" i="1"/>
  <c r="AJ34" i="1"/>
  <c r="AJ35" i="1" s="1"/>
  <c r="Y39" i="1"/>
  <c r="Y40" i="1" s="1"/>
  <c r="Y41" i="1"/>
  <c r="Z42" i="1"/>
  <c r="Z43" i="1" s="1"/>
  <c r="Z44" i="1" s="1"/>
  <c r="AG24" i="1"/>
  <c r="I39" i="1"/>
  <c r="I40" i="1" s="1"/>
  <c r="AT30" i="1"/>
  <c r="AT31" i="1" s="1"/>
  <c r="I26" i="1"/>
  <c r="F23" i="1"/>
  <c r="AK34" i="1"/>
  <c r="AK35" i="1" s="1"/>
  <c r="Z39" i="1"/>
  <c r="Z40" i="1" s="1"/>
  <c r="Z41" i="1"/>
  <c r="AK42" i="1"/>
  <c r="AK43" i="1" s="1"/>
  <c r="AK44" i="1" s="1"/>
  <c r="AF24" i="1"/>
  <c r="AS25" i="1"/>
  <c r="AH25" i="1"/>
  <c r="R23" i="1"/>
  <c r="AQ24" i="1"/>
  <c r="AR22" i="1"/>
  <c r="AR24" i="1" s="1"/>
  <c r="AH26" i="1"/>
  <c r="H26" i="1"/>
  <c r="G25" i="1"/>
  <c r="AD23" i="1"/>
  <c r="Z23" i="1"/>
  <c r="N26" i="1"/>
  <c r="AL34" i="1"/>
  <c r="AL35" i="1" s="1"/>
  <c r="AG39" i="1"/>
  <c r="AG40" i="1" s="1"/>
  <c r="AD41" i="1"/>
  <c r="H22" i="1"/>
  <c r="H24" i="1" s="1"/>
  <c r="AE24" i="1"/>
  <c r="AQ34" i="1"/>
  <c r="AQ35" i="1" s="1"/>
  <c r="AK39" i="1"/>
  <c r="AK40" i="1" s="1"/>
  <c r="AT41" i="1"/>
  <c r="W39" i="1"/>
  <c r="W40" i="1" s="1"/>
  <c r="W34" i="1"/>
  <c r="W35" i="1" s="1"/>
  <c r="E40" i="1"/>
  <c r="AL24" i="1"/>
  <c r="C26" i="1"/>
  <c r="AJ26" i="1"/>
  <c r="AN30" i="1"/>
  <c r="AN31" i="1" s="1"/>
  <c r="R34" i="1"/>
  <c r="R35" i="1" s="1"/>
  <c r="F40" i="1"/>
  <c r="AA39" i="1"/>
  <c r="AA40" i="1" s="1"/>
  <c r="L41" i="1"/>
  <c r="AE41" i="1"/>
  <c r="AV41" i="1"/>
  <c r="W42" i="1"/>
  <c r="W43" i="1" s="1"/>
  <c r="W44" i="1" s="1"/>
  <c r="AR42" i="1"/>
  <c r="AR43" i="1" s="1"/>
  <c r="AR44" i="1" s="1"/>
  <c r="D26" i="1"/>
  <c r="J30" i="1"/>
  <c r="J31" i="1" s="1"/>
  <c r="AO30" i="1"/>
  <c r="AO31" i="1" s="1"/>
  <c r="C34" i="1"/>
  <c r="C35" i="1" s="1"/>
  <c r="AM34" i="1"/>
  <c r="AM35" i="1" s="1"/>
  <c r="AB39" i="1"/>
  <c r="AB40" i="1" s="1"/>
  <c r="AG41" i="1"/>
  <c r="X42" i="1"/>
  <c r="X43" i="1" s="1"/>
  <c r="X44" i="1" s="1"/>
  <c r="AT42" i="1"/>
  <c r="AT43" i="1" s="1"/>
  <c r="AT44" i="1" s="1"/>
  <c r="AQ43" i="1"/>
  <c r="AQ44" i="1" s="1"/>
  <c r="AE23" i="1"/>
  <c r="X34" i="1"/>
  <c r="X35" i="1" s="1"/>
  <c r="AN34" i="1"/>
  <c r="AN35" i="1" s="1"/>
  <c r="AH41" i="1"/>
  <c r="AU42" i="1"/>
  <c r="AU43" i="1" s="1"/>
  <c r="AU44" i="1" s="1"/>
  <c r="AU41" i="1"/>
  <c r="B23" i="1"/>
  <c r="AL25" i="1"/>
  <c r="X26" i="1"/>
  <c r="AM26" i="1"/>
  <c r="L30" i="1"/>
  <c r="L31" i="1" s="1"/>
  <c r="AB30" i="1"/>
  <c r="AB31" i="1" s="1"/>
  <c r="AU30" i="1"/>
  <c r="AU31" i="1" s="1"/>
  <c r="E35" i="1"/>
  <c r="J39" i="1"/>
  <c r="J40" i="1" s="1"/>
  <c r="AH39" i="1"/>
  <c r="AH40" i="1" s="1"/>
  <c r="R41" i="1"/>
  <c r="AI41" i="1"/>
  <c r="AV42" i="1"/>
  <c r="AV43" i="1" s="1"/>
  <c r="AV44" i="1" s="1"/>
  <c r="AA23" i="1"/>
  <c r="AA41" i="1"/>
  <c r="AA42" i="1"/>
  <c r="AA43" i="1" s="1"/>
  <c r="AA44" i="1" s="1"/>
  <c r="W26" i="1"/>
  <c r="P41" i="1"/>
  <c r="P42" i="1"/>
  <c r="P43" i="1" s="1"/>
  <c r="P44" i="1" s="1"/>
  <c r="AU23" i="1"/>
  <c r="J26" i="1"/>
  <c r="AV30" i="1"/>
  <c r="AV31" i="1" s="1"/>
  <c r="F34" i="1"/>
  <c r="F35" i="1" s="1"/>
  <c r="K39" i="1"/>
  <c r="K40" i="1" s="1"/>
  <c r="AJ39" i="1"/>
  <c r="AJ40" i="1" s="1"/>
  <c r="AJ41" i="1"/>
  <c r="J42" i="1"/>
  <c r="J43" i="1" s="1"/>
  <c r="J44" i="1" s="1"/>
  <c r="AC41" i="1"/>
  <c r="AC26" i="1"/>
  <c r="AC39" i="1"/>
  <c r="AC40" i="1" s="1"/>
  <c r="AC42" i="1" s="1"/>
  <c r="AC43" i="1" s="1"/>
  <c r="AC44" i="1" s="1"/>
  <c r="AD42" i="1"/>
  <c r="AD43" i="1" s="1"/>
  <c r="AD44" i="1" s="1"/>
  <c r="AD25" i="1"/>
  <c r="AD39" i="1"/>
  <c r="AD40" i="1" s="1"/>
  <c r="AD26" i="1"/>
  <c r="W24" i="1"/>
  <c r="Z25" i="1"/>
  <c r="AA34" i="1"/>
  <c r="AA35" i="1" s="1"/>
  <c r="U41" i="1"/>
  <c r="AF42" i="1"/>
  <c r="AF43" i="1" s="1"/>
  <c r="AF44" i="1" s="1"/>
  <c r="AI26" i="1"/>
  <c r="O23" i="1"/>
  <c r="O42" i="1"/>
  <c r="O43" i="1" s="1"/>
  <c r="O44" i="1" s="1"/>
  <c r="O41" i="1"/>
  <c r="K30" i="1"/>
  <c r="K31" i="1" s="1"/>
  <c r="AN41" i="1"/>
  <c r="AN42" i="1"/>
  <c r="AN43" i="1" s="1"/>
  <c r="AN44" i="1" s="1"/>
  <c r="E41" i="1"/>
  <c r="E42" i="1"/>
  <c r="E43" i="1" s="1"/>
  <c r="E44" i="1" s="1"/>
  <c r="E26" i="1"/>
  <c r="AO41" i="1"/>
  <c r="AO42" i="1"/>
  <c r="AO43" i="1" s="1"/>
  <c r="AO44" i="1" s="1"/>
  <c r="AO39" i="1"/>
  <c r="AO40" i="1" s="1"/>
  <c r="AO26" i="1"/>
  <c r="F42" i="1"/>
  <c r="F43" i="1" s="1"/>
  <c r="F44" i="1" s="1"/>
  <c r="F25" i="1"/>
  <c r="F26" i="1"/>
  <c r="F30" i="1"/>
  <c r="F31" i="1" s="1"/>
  <c r="AP42" i="1"/>
  <c r="AP43" i="1" s="1"/>
  <c r="AP44" i="1" s="1"/>
  <c r="AP30" i="1"/>
  <c r="AP31" i="1" s="1"/>
  <c r="AP39" i="1"/>
  <c r="AP40" i="1" s="1"/>
  <c r="AP26" i="1"/>
  <c r="K26" i="1"/>
  <c r="L39" i="1"/>
  <c r="L40" i="1" s="1"/>
  <c r="G39" i="1"/>
  <c r="G40" i="1" s="1"/>
  <c r="G26" i="1"/>
  <c r="G30" i="1"/>
  <c r="G31" i="1" s="1"/>
  <c r="S39" i="1"/>
  <c r="S40" i="1" s="1"/>
  <c r="S26" i="1"/>
  <c r="AE39" i="1"/>
  <c r="AE40" i="1" s="1"/>
  <c r="AE26" i="1"/>
  <c r="AE30" i="1"/>
  <c r="AE31" i="1" s="1"/>
  <c r="AQ26" i="1"/>
  <c r="AQ30" i="1"/>
  <c r="AQ31" i="1" s="1"/>
  <c r="J24" i="1"/>
  <c r="X24" i="1"/>
  <c r="AN23" i="1"/>
  <c r="G23" i="1"/>
  <c r="U23" i="1"/>
  <c r="L26" i="1"/>
  <c r="AA26" i="1"/>
  <c r="AT26" i="1"/>
  <c r="O30" i="1"/>
  <c r="O31" i="1" s="1"/>
  <c r="AH30" i="1"/>
  <c r="AH31" i="1" s="1"/>
  <c r="L34" i="1"/>
  <c r="L35" i="1" s="1"/>
  <c r="AB34" i="1"/>
  <c r="AB35" i="1" s="1"/>
  <c r="AV34" i="1"/>
  <c r="AV35" i="1" s="1"/>
  <c r="V41" i="1"/>
  <c r="L42" i="1"/>
  <c r="L43" i="1" s="1"/>
  <c r="L44" i="1" s="1"/>
  <c r="AH42" i="1"/>
  <c r="AH43" i="1" s="1"/>
  <c r="AH44" i="1" s="1"/>
  <c r="AI39" i="1"/>
  <c r="AI40" i="1" s="1"/>
  <c r="AI34" i="1"/>
  <c r="AI35" i="1" s="1"/>
  <c r="V43" i="1"/>
  <c r="V44" i="1" s="1"/>
  <c r="AM22" i="1"/>
  <c r="AM25" i="1" s="1"/>
  <c r="AM41" i="1"/>
  <c r="AM42" i="1"/>
  <c r="AM43" i="1" s="1"/>
  <c r="AM44" i="1" s="1"/>
  <c r="D41" i="1"/>
  <c r="D43" i="1"/>
  <c r="D44" i="1" s="1"/>
  <c r="AI22" i="1"/>
  <c r="AI23" i="1" s="1"/>
  <c r="R42" i="1"/>
  <c r="R43" i="1" s="1"/>
  <c r="R44" i="1" s="1"/>
  <c r="R25" i="1"/>
  <c r="R26" i="1"/>
  <c r="AD30" i="1"/>
  <c r="AD31" i="1" s="1"/>
  <c r="H41" i="1"/>
  <c r="H42" i="1" s="1"/>
  <c r="H43" i="1" s="1"/>
  <c r="H44" i="1" s="1"/>
  <c r="H30" i="1"/>
  <c r="H31" i="1" s="1"/>
  <c r="H34" i="1"/>
  <c r="H35" i="1" s="1"/>
  <c r="T41" i="1"/>
  <c r="T40" i="1"/>
  <c r="T30" i="1"/>
  <c r="T31" i="1" s="1"/>
  <c r="T34" i="1"/>
  <c r="T35" i="1" s="1"/>
  <c r="AF41" i="1"/>
  <c r="AF39" i="1"/>
  <c r="AF40" i="1" s="1"/>
  <c r="AF30" i="1"/>
  <c r="AF31" i="1" s="1"/>
  <c r="AF34" i="1"/>
  <c r="AF35" i="1" s="1"/>
  <c r="AR41" i="1"/>
  <c r="AR26" i="1"/>
  <c r="AR30" i="1"/>
  <c r="AR31" i="1" s="1"/>
  <c r="AR34" i="1"/>
  <c r="AR35" i="1" s="1"/>
  <c r="AO23" i="1"/>
  <c r="AU24" i="1"/>
  <c r="AU26" i="1"/>
  <c r="P30" i="1"/>
  <c r="P31" i="1" s="1"/>
  <c r="AI30" i="1"/>
  <c r="AI31" i="1" s="1"/>
  <c r="AC34" i="1"/>
  <c r="AC35" i="1" s="1"/>
  <c r="AM39" i="1"/>
  <c r="AM40" i="1" s="1"/>
  <c r="F41" i="1"/>
  <c r="W41" i="1"/>
  <c r="AP41" i="1"/>
  <c r="AI42" i="1"/>
  <c r="AI43" i="1" s="1"/>
  <c r="AI44" i="1" s="1"/>
  <c r="K41" i="1"/>
  <c r="K42" i="1" s="1"/>
  <c r="K43" i="1" s="1"/>
  <c r="K44" i="1" s="1"/>
  <c r="C41" i="1"/>
  <c r="C42" i="1"/>
  <c r="C43" i="1" s="1"/>
  <c r="C44" i="1" s="1"/>
  <c r="AV22" i="1"/>
  <c r="AV25" i="1" s="1"/>
  <c r="AS23" i="1"/>
  <c r="AA30" i="1"/>
  <c r="AA31" i="1" s="1"/>
  <c r="AB41" i="1"/>
  <c r="AB42" i="1"/>
  <c r="AB43" i="1" s="1"/>
  <c r="AB44" i="1" s="1"/>
  <c r="Q41" i="1"/>
  <c r="Q42" i="1"/>
  <c r="Q43" i="1" s="1"/>
  <c r="Q44" i="1" s="1"/>
  <c r="Q26" i="1"/>
  <c r="AJ24" i="1"/>
  <c r="I42" i="1"/>
  <c r="I43" i="1" s="1"/>
  <c r="I44" i="1" s="1"/>
  <c r="I30" i="1"/>
  <c r="I31" i="1" s="1"/>
  <c r="I34" i="1"/>
  <c r="I35" i="1" s="1"/>
  <c r="U42" i="1"/>
  <c r="U43" i="1" s="1"/>
  <c r="U44" i="1" s="1"/>
  <c r="U30" i="1"/>
  <c r="U31" i="1" s="1"/>
  <c r="U34" i="1"/>
  <c r="U35" i="1" s="1"/>
  <c r="AG42" i="1"/>
  <c r="AG43" i="1" s="1"/>
  <c r="AG44" i="1" s="1"/>
  <c r="AG30" i="1"/>
  <c r="AG31" i="1" s="1"/>
  <c r="AG34" i="1"/>
  <c r="AG35" i="1" s="1"/>
  <c r="AS30" i="1"/>
  <c r="AS31" i="1" s="1"/>
  <c r="AS34" i="1"/>
  <c r="AS35" i="1" s="1"/>
  <c r="L22" i="1"/>
  <c r="L23" i="1" s="1"/>
  <c r="AB23" i="1"/>
  <c r="AP22" i="1"/>
  <c r="I23" i="1"/>
  <c r="W23" i="1"/>
  <c r="F24" i="1"/>
  <c r="AH24" i="1"/>
  <c r="O25" i="1"/>
  <c r="AE25" i="1"/>
  <c r="AF26" i="1"/>
  <c r="Q30" i="1"/>
  <c r="Q31" i="1" s="1"/>
  <c r="AJ30" i="1"/>
  <c r="AJ31" i="1" s="1"/>
  <c r="AD34" i="1"/>
  <c r="AD35" i="1" s="1"/>
  <c r="V39" i="1"/>
  <c r="V40" i="1" s="1"/>
  <c r="AN39" i="1"/>
  <c r="AN40" i="1" s="1"/>
  <c r="G41" i="1"/>
  <c r="X41" i="1"/>
  <c r="AQ41" i="1"/>
  <c r="W30" i="1"/>
  <c r="W31" i="1" s="1"/>
  <c r="X30" i="1"/>
  <c r="X31" i="1" s="1"/>
  <c r="AC22" i="1"/>
  <c r="AC23" i="1" s="1"/>
  <c r="J23" i="1"/>
  <c r="X23" i="1"/>
  <c r="B25" i="1"/>
  <c r="AF25" i="1"/>
  <c r="AU25" i="1"/>
  <c r="O26" i="1"/>
  <c r="AG26" i="1"/>
  <c r="V30" i="1"/>
  <c r="V31" i="1" s="1"/>
  <c r="O34" i="1"/>
  <c r="O35" i="1" s="1"/>
  <c r="AE34" i="1"/>
  <c r="AE35" i="1" s="1"/>
  <c r="I41" i="1"/>
  <c r="AS41" i="1"/>
  <c r="AS42" i="1" s="1"/>
  <c r="AS43" i="1" s="1"/>
  <c r="AS44" i="1" s="1"/>
  <c r="S42" i="1"/>
  <c r="S43" i="1" s="1"/>
  <c r="S44" i="1" s="1"/>
  <c r="N22" i="1"/>
  <c r="H23" i="1" l="1"/>
  <c r="U24" i="1"/>
  <c r="M23" i="1"/>
  <c r="M24" i="1"/>
  <c r="B60" i="1"/>
  <c r="C60" i="1" s="1"/>
  <c r="B55" i="1"/>
  <c r="B35" i="1"/>
  <c r="B56" i="1"/>
  <c r="C56" i="1" s="1"/>
  <c r="Q25" i="1"/>
  <c r="Q24" i="1"/>
  <c r="D24" i="1"/>
  <c r="D23" i="1"/>
  <c r="T24" i="1"/>
  <c r="S24" i="1"/>
  <c r="P24" i="1"/>
  <c r="AK25" i="1"/>
  <c r="P23" i="1"/>
  <c r="E25" i="1"/>
  <c r="E24" i="1"/>
  <c r="AT24" i="1"/>
  <c r="B51" i="1"/>
  <c r="C51" i="1" s="1"/>
  <c r="AV24" i="1"/>
  <c r="AT25" i="1"/>
  <c r="AI24" i="1"/>
  <c r="AK24" i="1"/>
  <c r="X25" i="1"/>
  <c r="Y25" i="1"/>
  <c r="Y24" i="1"/>
  <c r="AQ25" i="1"/>
  <c r="S25" i="1"/>
  <c r="H25" i="1"/>
  <c r="AR25" i="1"/>
  <c r="AM24" i="1"/>
  <c r="V24" i="1"/>
  <c r="V25" i="1"/>
  <c r="R24" i="1"/>
  <c r="AA25" i="1"/>
  <c r="AR23" i="1"/>
  <c r="AQ23" i="1"/>
  <c r="AD24" i="1"/>
  <c r="T25" i="1"/>
  <c r="C23" i="1"/>
  <c r="Y23" i="1"/>
  <c r="W25" i="1"/>
  <c r="AJ25" i="1"/>
  <c r="AC25" i="1"/>
  <c r="K25" i="1"/>
  <c r="J25" i="1"/>
  <c r="K24" i="1"/>
  <c r="AN24" i="1"/>
  <c r="AC24" i="1"/>
  <c r="AN25" i="1"/>
  <c r="AI25" i="1"/>
  <c r="L24" i="1"/>
  <c r="AP24" i="1"/>
  <c r="AP23" i="1"/>
  <c r="AB25" i="1"/>
  <c r="L25" i="1"/>
  <c r="AM23" i="1"/>
  <c r="AO25" i="1"/>
  <c r="N25" i="1"/>
  <c r="N24" i="1"/>
  <c r="N23" i="1"/>
  <c r="AV23" i="1"/>
  <c r="AO24" i="1"/>
  <c r="AA24" i="1"/>
  <c r="AB24" i="1"/>
  <c r="O24" i="1"/>
  <c r="AJ23" i="1"/>
  <c r="C24" i="1"/>
  <c r="AP25" i="1"/>
  <c r="B53" i="1" l="1"/>
  <c r="B52" i="1"/>
  <c r="B54" i="1"/>
  <c r="C52" i="1"/>
  <c r="B59" i="1"/>
  <c r="C59" i="1" s="1"/>
  <c r="C55" i="1"/>
  <c r="C54" i="1"/>
  <c r="C53" i="1"/>
</calcChain>
</file>

<file path=xl/sharedStrings.xml><?xml version="1.0" encoding="utf-8"?>
<sst xmlns="http://schemas.openxmlformats.org/spreadsheetml/2006/main" count="126" uniqueCount="114">
  <si>
    <t>Test1</t>
  </si>
  <si>
    <t>getDichte</t>
  </si>
  <si>
    <t>Material</t>
  </si>
  <si>
    <t>Stahl</t>
  </si>
  <si>
    <t>Aluminium</t>
  </si>
  <si>
    <t>Titan</t>
  </si>
  <si>
    <t>Messing</t>
  </si>
  <si>
    <t>Kupfer</t>
  </si>
  <si>
    <t>Bronze</t>
  </si>
  <si>
    <t>Dichte g/mm3</t>
  </si>
  <si>
    <t>Preis pro kg</t>
  </si>
  <si>
    <t>Festigkeitsklasse</t>
  </si>
  <si>
    <t>EINGABEN</t>
  </si>
  <si>
    <t>Schraubenlänge</t>
  </si>
  <si>
    <t>Gewindelänge</t>
  </si>
  <si>
    <t>relevant für die Übertragung</t>
  </si>
  <si>
    <t>Kopf</t>
  </si>
  <si>
    <t>Eingabe: (z.B. Metrisch)</t>
  </si>
  <si>
    <t>Metrisch</t>
  </si>
  <si>
    <t>Gewinde (M8)</t>
  </si>
  <si>
    <t>M8x1</t>
  </si>
  <si>
    <t>Menge</t>
  </si>
  <si>
    <t>Gewinderichtung</t>
  </si>
  <si>
    <t>rechts</t>
  </si>
  <si>
    <t>4.6</t>
  </si>
  <si>
    <t>Metrisch Fein</t>
  </si>
  <si>
    <t>M2</t>
  </si>
  <si>
    <t>M3</t>
  </si>
  <si>
    <t>M4</t>
  </si>
  <si>
    <t>M5</t>
  </si>
  <si>
    <t>M6</t>
  </si>
  <si>
    <t>M8</t>
  </si>
  <si>
    <t>M10</t>
  </si>
  <si>
    <t>M12</t>
  </si>
  <si>
    <t>M16</t>
  </si>
  <si>
    <t>M20</t>
  </si>
  <si>
    <t>M24</t>
  </si>
  <si>
    <t>M30</t>
  </si>
  <si>
    <t>M36</t>
  </si>
  <si>
    <t>M42</t>
  </si>
  <si>
    <t>M10x1</t>
  </si>
  <si>
    <t>M12x1</t>
  </si>
  <si>
    <t>M16x1</t>
  </si>
  <si>
    <t>M20x1</t>
  </si>
  <si>
    <t>M24x2</t>
  </si>
  <si>
    <t>M30x2</t>
  </si>
  <si>
    <t>M36x2</t>
  </si>
  <si>
    <t>M42x2</t>
  </si>
  <si>
    <t>Durchmesser</t>
  </si>
  <si>
    <t>Steigung</t>
  </si>
  <si>
    <t>Flankendurchmesser</t>
  </si>
  <si>
    <t>Kerndurchmesser</t>
  </si>
  <si>
    <t>Kernlochdurchmesser</t>
  </si>
  <si>
    <t>Flächenträgheitsmoment</t>
  </si>
  <si>
    <t>Zylinderkopf Höhe</t>
  </si>
  <si>
    <t>Zylinderkopf Durchmesser</t>
  </si>
  <si>
    <t>Zylinderkopf SW</t>
  </si>
  <si>
    <t>Zylinderkopf Volumen</t>
  </si>
  <si>
    <t>Sechskant Höhe</t>
  </si>
  <si>
    <t>Sechskant SW</t>
  </si>
  <si>
    <t>Sechskant Volumen</t>
  </si>
  <si>
    <t>Senkkopf Höhe</t>
  </si>
  <si>
    <t>Senkkopf Durchmesser</t>
  </si>
  <si>
    <t>Senkkopf SW</t>
  </si>
  <si>
    <t>Senkkopf Volumen</t>
  </si>
  <si>
    <t>Volumen Schaft und Gew.</t>
  </si>
  <si>
    <t>Gesamtvolumen mm3</t>
  </si>
  <si>
    <t>Masse in g</t>
  </si>
  <si>
    <t>Gesamtmasse in kg</t>
  </si>
  <si>
    <t>AUSGABEN</t>
  </si>
  <si>
    <t>Gesamtmasse</t>
  </si>
  <si>
    <t>Schlüsselweite</t>
  </si>
  <si>
    <t>Streckgrenze</t>
  </si>
  <si>
    <t>Zugfestigkeit</t>
  </si>
  <si>
    <t>Preis in €</t>
  </si>
  <si>
    <t>€/kg</t>
  </si>
  <si>
    <t>20% arbeit</t>
  </si>
  <si>
    <t>5% spedizion</t>
  </si>
  <si>
    <t>400% weil kein Schrott</t>
  </si>
  <si>
    <t>Alle Ausgaben werden richtig berechnet!!</t>
  </si>
  <si>
    <t>M1.6</t>
  </si>
  <si>
    <t>M2.5</t>
  </si>
  <si>
    <t>M2x0.25</t>
  </si>
  <si>
    <t>M3x0.25</t>
  </si>
  <si>
    <t>M4x0.2</t>
  </si>
  <si>
    <t>M4x0.35</t>
  </si>
  <si>
    <t>M5x0.25</t>
  </si>
  <si>
    <t>M5x0.5</t>
  </si>
  <si>
    <t>M6x0.25</t>
  </si>
  <si>
    <t>M6x0.5</t>
  </si>
  <si>
    <t>M6x0.75</t>
  </si>
  <si>
    <t>M8x0.25</t>
  </si>
  <si>
    <t>M8x0.5</t>
  </si>
  <si>
    <t>M10x0.25</t>
  </si>
  <si>
    <t>M10x0.5</t>
  </si>
  <si>
    <t>M12x0.35</t>
  </si>
  <si>
    <t>M12x0.5</t>
  </si>
  <si>
    <t>M16x0.5</t>
  </si>
  <si>
    <t>M16x1.5</t>
  </si>
  <si>
    <t>M20x1.5</t>
  </si>
  <si>
    <t>M24x1.5</t>
  </si>
  <si>
    <t>M30x1.5</t>
  </si>
  <si>
    <t>M36x1.5</t>
  </si>
  <si>
    <t>M42x1.5</t>
  </si>
  <si>
    <t>Wenn Excel einbinden geht. kann alles ausgelesen werden!</t>
  </si>
  <si>
    <t>1/4"</t>
  </si>
  <si>
    <t>3/8"</t>
  </si>
  <si>
    <t>1/2"</t>
  </si>
  <si>
    <t>3/4"</t>
  </si>
  <si>
    <t>1"</t>
  </si>
  <si>
    <t>1 1/4"</t>
  </si>
  <si>
    <t>1 1/2"</t>
  </si>
  <si>
    <t>Zoll</t>
  </si>
  <si>
    <t>Sechskant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</si>
</sst>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1" fillId="2" borderId="0" xfId="0" applyFont="1" applyFill="1"/>
    <xf numFmtId="0" fontId="0" fillId="3" borderId="0" xfId="0" applyFill="1"/>
    <xf numFmtId="49" fontId="0" fillId="0" borderId="0" xfId="0" applyNumberFormat="1"/>
    <xf numFmtId="0" fontId="0" fillId="0" borderId="3" xfId="0" applyBorder="1"/>
    <xf numFmtId="0" fontId="0" fillId="0" borderId="4" xfId="0" applyBorder="1"/>
    <xf numFmtId="0" fontId="0" fillId="4" borderId="2" xfId="0" applyFill="1" applyBorder="1"/>
    <xf numFmtId="0" fontId="0" fillId="4" borderId="4" xfId="0" applyFill="1" applyBorder="1"/>
    <xf numFmtId="0" fontId="2" fillId="2" borderId="0" xfId="0" applyFont="1" applyFill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2" fontId="0" fillId="4" borderId="0" xfId="0" applyNumberFormat="1" applyFill="1" applyAlignment="1">
      <alignment horizontal="right"/>
    </xf>
    <xf numFmtId="0" fontId="0" fillId="0" borderId="5" xfId="0" applyBorder="1"/>
    <xf numFmtId="0" fontId="0" fillId="0" borderId="2" xfId="0" applyFill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3EF1-61C1-43B8-92FA-015A68CF7169}">
  <dimension ref="A1:BC66"/>
  <sheetViews>
    <sheetView tabSelected="1" topLeftCell="A28" workbookViewId="0">
      <selection activeCell="C56" sqref="C56"/>
    </sheetView>
  </sheetViews>
  <sheetFormatPr baseColWidth="10" defaultRowHeight="15" x14ac:dyDescent="0.25"/>
  <cols>
    <col min="3" max="3" width="15.5703125" bestFit="1" customWidth="1"/>
    <col min="50" max="50" width="17.28515625" customWidth="1"/>
  </cols>
  <sheetData>
    <row r="1" spans="1:10" x14ac:dyDescent="0.25">
      <c r="A1" t="s">
        <v>0</v>
      </c>
      <c r="B1" s="23" t="s">
        <v>1</v>
      </c>
      <c r="C1" s="23"/>
      <c r="D1" s="23"/>
      <c r="E1" s="23"/>
      <c r="F1" s="23"/>
      <c r="G1" s="23"/>
    </row>
    <row r="2" spans="1:10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10" x14ac:dyDescent="0.25">
      <c r="A3" s="1" t="s">
        <v>9</v>
      </c>
      <c r="B3" s="1">
        <f>7.85/1000</f>
        <v>7.8499999999999993E-3</v>
      </c>
      <c r="C3" s="1">
        <f>2.7/1000</f>
        <v>2.7000000000000001E-3</v>
      </c>
      <c r="D3" s="1">
        <f>4.507/1000</f>
        <v>4.5069999999999997E-3</v>
      </c>
      <c r="E3" s="1">
        <f>8.73/1000</f>
        <v>8.7299999999999999E-3</v>
      </c>
      <c r="F3" s="1">
        <f>8.96/1000</f>
        <v>8.9600000000000009E-3</v>
      </c>
      <c r="G3" s="1">
        <f>8.9/1000</f>
        <v>8.8999999999999999E-3</v>
      </c>
    </row>
    <row r="4" spans="1:10" x14ac:dyDescent="0.25">
      <c r="A4" t="s">
        <v>10</v>
      </c>
      <c r="B4">
        <v>0.5</v>
      </c>
      <c r="C4">
        <v>2</v>
      </c>
      <c r="D4">
        <v>5</v>
      </c>
      <c r="E4">
        <v>8</v>
      </c>
      <c r="F4">
        <v>9.9</v>
      </c>
      <c r="G4">
        <v>11.5</v>
      </c>
    </row>
    <row r="5" spans="1:10" x14ac:dyDescent="0.25">
      <c r="A5" s="1" t="s">
        <v>11</v>
      </c>
      <c r="B5" s="1">
        <v>3.6</v>
      </c>
      <c r="C5" s="1">
        <v>4.5999999999999996</v>
      </c>
      <c r="D5" s="1">
        <v>4.8</v>
      </c>
      <c r="E5" s="1">
        <v>5.8</v>
      </c>
      <c r="F5" s="1">
        <v>6.8</v>
      </c>
      <c r="G5" s="1">
        <v>8.8000000000000007</v>
      </c>
      <c r="H5" s="1">
        <v>9.8000000000000007</v>
      </c>
      <c r="I5" s="1">
        <v>10.9</v>
      </c>
      <c r="J5" s="1">
        <v>12.9</v>
      </c>
    </row>
    <row r="7" spans="1:10" x14ac:dyDescent="0.25">
      <c r="A7" s="2" t="s">
        <v>12</v>
      </c>
    </row>
    <row r="8" spans="1:10" x14ac:dyDescent="0.25">
      <c r="A8" s="3" t="s">
        <v>2</v>
      </c>
      <c r="B8" t="s">
        <v>7</v>
      </c>
    </row>
    <row r="9" spans="1:10" x14ac:dyDescent="0.25">
      <c r="A9" s="3" t="s">
        <v>13</v>
      </c>
      <c r="B9">
        <v>150</v>
      </c>
    </row>
    <row r="10" spans="1:10" x14ac:dyDescent="0.25">
      <c r="A10" t="s">
        <v>14</v>
      </c>
      <c r="B10">
        <v>50</v>
      </c>
      <c r="F10" s="24" t="s">
        <v>15</v>
      </c>
      <c r="G10" s="24"/>
      <c r="H10" s="24"/>
    </row>
    <row r="11" spans="1:10" x14ac:dyDescent="0.25">
      <c r="A11" s="3" t="s">
        <v>16</v>
      </c>
      <c r="B11" t="s">
        <v>113</v>
      </c>
    </row>
    <row r="12" spans="1:10" x14ac:dyDescent="0.25">
      <c r="A12" t="s">
        <v>17</v>
      </c>
      <c r="B12" t="s">
        <v>18</v>
      </c>
    </row>
    <row r="13" spans="1:10" x14ac:dyDescent="0.25">
      <c r="A13" s="3" t="s">
        <v>19</v>
      </c>
      <c r="B13" s="4" t="s">
        <v>33</v>
      </c>
    </row>
    <row r="14" spans="1:10" x14ac:dyDescent="0.25">
      <c r="A14" s="3" t="s">
        <v>21</v>
      </c>
      <c r="B14">
        <v>15</v>
      </c>
    </row>
    <row r="15" spans="1:10" x14ac:dyDescent="0.25">
      <c r="A15" t="s">
        <v>22</v>
      </c>
      <c r="B15" t="s">
        <v>23</v>
      </c>
    </row>
    <row r="16" spans="1:10" x14ac:dyDescent="0.25">
      <c r="A16" s="3" t="s">
        <v>11</v>
      </c>
      <c r="B16" s="4" t="s">
        <v>24</v>
      </c>
    </row>
    <row r="19" spans="1:55" x14ac:dyDescent="0.25">
      <c r="A19" s="21" t="s">
        <v>18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5"/>
      <c r="R19" s="26" t="s">
        <v>25</v>
      </c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7"/>
      <c r="AW19" s="20" t="s">
        <v>112</v>
      </c>
      <c r="AX19" s="21"/>
      <c r="AY19" s="21"/>
      <c r="AZ19" s="21"/>
      <c r="BA19" s="21"/>
      <c r="BB19" s="21"/>
      <c r="BC19" s="21"/>
    </row>
    <row r="20" spans="1:55" x14ac:dyDescent="0.25">
      <c r="A20" s="1" t="s">
        <v>18</v>
      </c>
      <c r="B20" s="1" t="s">
        <v>80</v>
      </c>
      <c r="C20" s="1" t="s">
        <v>26</v>
      </c>
      <c r="D20" s="1" t="s">
        <v>81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O20" s="1" t="s">
        <v>37</v>
      </c>
      <c r="P20" s="1" t="s">
        <v>38</v>
      </c>
      <c r="Q20" s="14" t="s">
        <v>39</v>
      </c>
      <c r="R20" s="16" t="s">
        <v>82</v>
      </c>
      <c r="S20" s="1" t="s">
        <v>83</v>
      </c>
      <c r="T20" s="1" t="s">
        <v>84</v>
      </c>
      <c r="U20" s="1" t="s">
        <v>85</v>
      </c>
      <c r="V20" s="1" t="s">
        <v>86</v>
      </c>
      <c r="W20" s="1" t="s">
        <v>87</v>
      </c>
      <c r="X20" s="1" t="s">
        <v>88</v>
      </c>
      <c r="Y20" s="1" t="s">
        <v>89</v>
      </c>
      <c r="Z20" s="1" t="s">
        <v>90</v>
      </c>
      <c r="AA20" s="1" t="s">
        <v>91</v>
      </c>
      <c r="AB20" s="1" t="s">
        <v>92</v>
      </c>
      <c r="AC20" s="1" t="s">
        <v>20</v>
      </c>
      <c r="AD20" s="1" t="s">
        <v>93</v>
      </c>
      <c r="AE20" s="1" t="s">
        <v>94</v>
      </c>
      <c r="AF20" s="1" t="s">
        <v>40</v>
      </c>
      <c r="AG20" s="1" t="s">
        <v>95</v>
      </c>
      <c r="AH20" s="1" t="s">
        <v>96</v>
      </c>
      <c r="AI20" s="1" t="s">
        <v>41</v>
      </c>
      <c r="AJ20" s="1" t="s">
        <v>97</v>
      </c>
      <c r="AK20" s="1" t="s">
        <v>42</v>
      </c>
      <c r="AL20" s="1" t="s">
        <v>98</v>
      </c>
      <c r="AM20" s="1" t="s">
        <v>43</v>
      </c>
      <c r="AN20" s="1" t="s">
        <v>99</v>
      </c>
      <c r="AO20" s="1" t="s">
        <v>100</v>
      </c>
      <c r="AP20" s="1" t="s">
        <v>44</v>
      </c>
      <c r="AQ20" s="1" t="s">
        <v>101</v>
      </c>
      <c r="AR20" s="1" t="s">
        <v>45</v>
      </c>
      <c r="AS20" s="1" t="s">
        <v>102</v>
      </c>
      <c r="AT20" s="1" t="s">
        <v>46</v>
      </c>
      <c r="AU20" s="1" t="s">
        <v>103</v>
      </c>
      <c r="AV20" s="5" t="s">
        <v>47</v>
      </c>
      <c r="AW20" s="6" t="s">
        <v>105</v>
      </c>
      <c r="AX20" s="1" t="s">
        <v>106</v>
      </c>
      <c r="AY20" s="1" t="s">
        <v>107</v>
      </c>
      <c r="AZ20" s="1" t="s">
        <v>108</v>
      </c>
      <c r="BA20" s="15" t="s">
        <v>109</v>
      </c>
      <c r="BB20" s="15" t="s">
        <v>110</v>
      </c>
      <c r="BC20" s="15" t="s">
        <v>111</v>
      </c>
    </row>
    <row r="21" spans="1:55" x14ac:dyDescent="0.25">
      <c r="A21" s="1" t="s">
        <v>48</v>
      </c>
      <c r="B21" s="1" t="str">
        <f>IF($B13 = "M1.6","1.6","0")</f>
        <v>0</v>
      </c>
      <c r="C21" s="1" t="str">
        <f>IF($B13 = "M2","2","0")</f>
        <v>0</v>
      </c>
      <c r="D21" s="1" t="str">
        <f>IF($B13 = "M2.5","2.5","0")</f>
        <v>0</v>
      </c>
      <c r="E21" s="1" t="str">
        <f>IF($B13 = "M3","3","0")</f>
        <v>0</v>
      </c>
      <c r="F21" s="1" t="str">
        <f>IF($B13 = "M4","4","0")</f>
        <v>0</v>
      </c>
      <c r="G21" s="1" t="str">
        <f>IF($B13 = "M5","5","0")</f>
        <v>0</v>
      </c>
      <c r="H21" s="1" t="str">
        <f>IF($B13 = "M6","6","0")</f>
        <v>0</v>
      </c>
      <c r="I21" s="1" t="str">
        <f>IF($B13 = "M8","8","0")</f>
        <v>0</v>
      </c>
      <c r="J21" s="1" t="str">
        <f>IF($B13 = "M10","10","0")</f>
        <v>0</v>
      </c>
      <c r="K21" s="1" t="str">
        <f>IF($B13 = "M12","12","0")</f>
        <v>12</v>
      </c>
      <c r="L21" s="1" t="str">
        <f>IF($B13 = "M16","16","0")</f>
        <v>0</v>
      </c>
      <c r="M21" s="1" t="str">
        <f>IF($B13 = "M20","20","0")</f>
        <v>0</v>
      </c>
      <c r="N21" s="1" t="str">
        <f>IF($B13 = "M24","24","0")</f>
        <v>0</v>
      </c>
      <c r="O21" s="1" t="str">
        <f>IF($B13 = "M30","30","0")</f>
        <v>0</v>
      </c>
      <c r="P21" s="1" t="str">
        <f>IF($B13 = "M36","36","0")</f>
        <v>0</v>
      </c>
      <c r="Q21" s="14" t="str">
        <f>IF($B13 = "M42","42","0")</f>
        <v>0</v>
      </c>
      <c r="R21" s="16" t="str">
        <f>IF($B13 = "M2x0.25","2","0")</f>
        <v>0</v>
      </c>
      <c r="S21" s="1" t="str">
        <f>IF($B13 = "M3x0.25","3","0")</f>
        <v>0</v>
      </c>
      <c r="T21" s="1" t="str">
        <f>IF($B13 = "M4x0.2","4","0")</f>
        <v>0</v>
      </c>
      <c r="U21" s="1" t="str">
        <f>IF($B13 = "M4x0.35","4","0")</f>
        <v>0</v>
      </c>
      <c r="V21" s="1" t="str">
        <f>IF($B13 = "M5x0.25","5","0")</f>
        <v>0</v>
      </c>
      <c r="W21" s="1" t="str">
        <f>IF($B13 = "M5x0.5","5","0")</f>
        <v>0</v>
      </c>
      <c r="X21" s="1" t="str">
        <f>IF($B13 = "M6x0.25","6","0")</f>
        <v>0</v>
      </c>
      <c r="Y21" s="1" t="str">
        <f>IF($B13 = "M6x0.5","6","0")</f>
        <v>0</v>
      </c>
      <c r="Z21" s="1" t="str">
        <f>IF($B13 = "M6x0.75","6","0")</f>
        <v>0</v>
      </c>
      <c r="AA21" s="1" t="str">
        <f>IF($B13 = "M8x0.25","8","0")</f>
        <v>0</v>
      </c>
      <c r="AB21" s="1" t="str">
        <f>IF($B13 = "M8x0.5","8","0")</f>
        <v>0</v>
      </c>
      <c r="AC21" s="1" t="str">
        <f>IF($B13 = "M8x1","8","0")</f>
        <v>0</v>
      </c>
      <c r="AD21" s="1" t="str">
        <f>IF($B13 = "M10x0.25","10","0")</f>
        <v>0</v>
      </c>
      <c r="AE21" s="1" t="str">
        <f>IF($B13 = "M10x0.5","10","0")</f>
        <v>0</v>
      </c>
      <c r="AF21" s="1" t="str">
        <f>IF($B13 = "M10x1","10","0")</f>
        <v>0</v>
      </c>
      <c r="AG21" s="1" t="str">
        <f>IF($B13 = "M12x0.35","12","0")</f>
        <v>0</v>
      </c>
      <c r="AH21" s="1" t="str">
        <f>IF($B13 = "M12x0.5","12","0")</f>
        <v>0</v>
      </c>
      <c r="AI21" s="1" t="str">
        <f>IF($B13 = "M12x1","12","0")</f>
        <v>0</v>
      </c>
      <c r="AJ21" s="1" t="str">
        <f>IF($B13 = "M16x0.5","16","0")</f>
        <v>0</v>
      </c>
      <c r="AK21" s="1" t="str">
        <f>IF($B13 = "M16x1","16","0")</f>
        <v>0</v>
      </c>
      <c r="AL21" s="1" t="str">
        <f>IF($B13 = "M16x1.5","16","0")</f>
        <v>0</v>
      </c>
      <c r="AM21" s="1" t="str">
        <f>IF($B13 = "M20x1","20","0")</f>
        <v>0</v>
      </c>
      <c r="AN21" s="1" t="str">
        <f>IF($B13 = "M20x1.5","20","0")</f>
        <v>0</v>
      </c>
      <c r="AO21" s="1" t="str">
        <f>IF($B13 = "M24x1.5","24","0")</f>
        <v>0</v>
      </c>
      <c r="AP21" s="1" t="str">
        <f>IF($B13 = "M24x2","24","0")</f>
        <v>0</v>
      </c>
      <c r="AQ21" s="1" t="str">
        <f>IF($B13 = "M30x1.5","30","0")</f>
        <v>0</v>
      </c>
      <c r="AR21" s="1" t="str">
        <f>IF($B13 = "M30x2","30","0")</f>
        <v>0</v>
      </c>
      <c r="AS21" s="1" t="str">
        <f>IF($B13 = "M36x1.5","36","0")</f>
        <v>0</v>
      </c>
      <c r="AT21" s="1" t="str">
        <f>IF($B13 = "M36x2","36","0")</f>
        <v>0</v>
      </c>
      <c r="AU21" s="1" t="str">
        <f>IF($B13 = "M42x1.5","42","0")</f>
        <v>0</v>
      </c>
      <c r="AV21" s="5" t="str">
        <f>IF($B13 = "M42x2","42","0")</f>
        <v>0</v>
      </c>
      <c r="AW21" s="6" t="str">
        <f>IF($B13 = "1/4","6.35","0")</f>
        <v>0</v>
      </c>
      <c r="AX21" s="1" t="str">
        <f>IF($B13 = "3/8","9.53","0")</f>
        <v>0</v>
      </c>
      <c r="AY21" s="1" t="str">
        <f>IF($B13 = "1/2","12.7","0")</f>
        <v>0</v>
      </c>
      <c r="AZ21" s="1" t="str">
        <f>IF($B13 = "3/4","19.05","0")</f>
        <v>0</v>
      </c>
      <c r="BA21" s="1" t="str">
        <f>IF($B13 = "1","25.4","0")</f>
        <v>0</v>
      </c>
      <c r="BB21" s="1" t="str">
        <f>IF($B13 = "1 1/4","31.75","0")</f>
        <v>0</v>
      </c>
      <c r="BC21" s="1" t="str">
        <f>IF($B13 = "1 1/2","38.1","0")</f>
        <v>0</v>
      </c>
    </row>
    <row r="22" spans="1:55" x14ac:dyDescent="0.25">
      <c r="A22" s="1" t="s">
        <v>49</v>
      </c>
      <c r="B22" s="1" t="str">
        <f>IF(B21="0","0","0.35")</f>
        <v>0</v>
      </c>
      <c r="C22" s="1" t="str">
        <f>IF(C21="0","0","0.4")</f>
        <v>0</v>
      </c>
      <c r="D22" s="1" t="str">
        <f>IF(D21="0","0","0.45")</f>
        <v>0</v>
      </c>
      <c r="E22" s="1" t="str">
        <f>IF(E21="0","0","0.5")</f>
        <v>0</v>
      </c>
      <c r="F22" s="1" t="str">
        <f>IF(F21="0","0","0.7")</f>
        <v>0</v>
      </c>
      <c r="G22" s="1" t="str">
        <f>IF(G21="0","0","0.8")</f>
        <v>0</v>
      </c>
      <c r="H22" s="1" t="str">
        <f>IF(H21="0","0","1")</f>
        <v>0</v>
      </c>
      <c r="I22" s="1" t="str">
        <f>IF(I21="0","0","1.25")</f>
        <v>0</v>
      </c>
      <c r="J22" s="1" t="str">
        <f>IF(J21="0","0","1.5")</f>
        <v>0</v>
      </c>
      <c r="K22" s="1" t="str">
        <f>IF(K21="0","0","1.75")</f>
        <v>1.75</v>
      </c>
      <c r="L22" s="1" t="str">
        <f>IF(L21="0","0","2")</f>
        <v>0</v>
      </c>
      <c r="M22" s="1" t="str">
        <f>IF(M21="0","0","2.5")</f>
        <v>0</v>
      </c>
      <c r="N22" s="1" t="str">
        <f>IF(N21="0","0","3")</f>
        <v>0</v>
      </c>
      <c r="O22" s="1" t="str">
        <f>IF(O21="0","0","3.5")</f>
        <v>0</v>
      </c>
      <c r="P22" s="1" t="str">
        <f>IF(P21="0","0","4")</f>
        <v>0</v>
      </c>
      <c r="Q22" s="14" t="str">
        <f>IF(Q21="0","0","4.5")</f>
        <v>0</v>
      </c>
      <c r="R22" s="16" t="str">
        <f>IF(R21="0","0","0.25")</f>
        <v>0</v>
      </c>
      <c r="S22" s="1" t="str">
        <f>IF(S21="0","0","0.25")</f>
        <v>0</v>
      </c>
      <c r="T22" s="1" t="str">
        <f>IF(T21="0","0","0.2")</f>
        <v>0</v>
      </c>
      <c r="U22" s="1" t="str">
        <f>IF(U21="0","0","0.35")</f>
        <v>0</v>
      </c>
      <c r="V22" s="1" t="str">
        <f>IF(V21="0","0","0.25")</f>
        <v>0</v>
      </c>
      <c r="W22" s="1" t="str">
        <f>IF(W21="0","0","0.5")</f>
        <v>0</v>
      </c>
      <c r="X22" s="1" t="str">
        <f>IF(X21="0","0","0.25")</f>
        <v>0</v>
      </c>
      <c r="Y22" s="1" t="str">
        <f>IF(Y21="0","0","0.5")</f>
        <v>0</v>
      </c>
      <c r="Z22" s="1" t="str">
        <f>IF(Z21="0","0","0.75")</f>
        <v>0</v>
      </c>
      <c r="AA22" s="1" t="str">
        <f>IF(AA21="0","0","0.25")</f>
        <v>0</v>
      </c>
      <c r="AB22" s="1" t="str">
        <f>IF(AB21="0","0","0.5")</f>
        <v>0</v>
      </c>
      <c r="AC22" s="1" t="str">
        <f>IF(AC21="0","0","1")</f>
        <v>0</v>
      </c>
      <c r="AD22" s="1" t="str">
        <f>IF(AD21="0","0","0.25")</f>
        <v>0</v>
      </c>
      <c r="AE22" s="1" t="str">
        <f>IF(AE21="0","0","0.5")</f>
        <v>0</v>
      </c>
      <c r="AF22" s="1" t="str">
        <f>IF(AF21="0","0","1")</f>
        <v>0</v>
      </c>
      <c r="AG22" s="1" t="str">
        <f>IF(AG21="0","0","0.35")</f>
        <v>0</v>
      </c>
      <c r="AH22" s="1" t="str">
        <f>IF(AH21="0","0","0.5")</f>
        <v>0</v>
      </c>
      <c r="AI22" s="1" t="str">
        <f>IF(AI21="0","0","1")</f>
        <v>0</v>
      </c>
      <c r="AJ22" s="1" t="str">
        <f>IF(AJ21="0","0","0.5")</f>
        <v>0</v>
      </c>
      <c r="AK22" s="1" t="str">
        <f>IF(AK21="0","0","1")</f>
        <v>0</v>
      </c>
      <c r="AL22" s="1" t="str">
        <f>IF(AL21="0","0","1.5")</f>
        <v>0</v>
      </c>
      <c r="AM22" s="1" t="str">
        <f>IF(AM21="0","0","1")</f>
        <v>0</v>
      </c>
      <c r="AN22" s="1" t="str">
        <f>IF(AN21="0","0","1.5")</f>
        <v>0</v>
      </c>
      <c r="AO22" s="1" t="str">
        <f>IF(AO21="0","0","1.5")</f>
        <v>0</v>
      </c>
      <c r="AP22" s="1" t="str">
        <f>IF(AP21="0","0","2")</f>
        <v>0</v>
      </c>
      <c r="AQ22" s="1" t="str">
        <f>IF(AQ21="0","0","1.5")</f>
        <v>0</v>
      </c>
      <c r="AR22" s="1" t="str">
        <f>IF(AR21="0","0","2")</f>
        <v>0</v>
      </c>
      <c r="AS22" s="1" t="str">
        <f>IF(AS21="0","0","1.5")</f>
        <v>0</v>
      </c>
      <c r="AT22" s="1" t="str">
        <f>IF(AT21="0","0","2")</f>
        <v>0</v>
      </c>
      <c r="AU22" s="1" t="str">
        <f>IF(AU21="0","0","1.5")</f>
        <v>0</v>
      </c>
      <c r="AV22" s="5" t="str">
        <f>IF(AV21="0","0","2")</f>
        <v>0</v>
      </c>
      <c r="AW22" s="8" t="str">
        <f>IF(AW21 = "0","0",0.907)</f>
        <v>0</v>
      </c>
      <c r="AX22" s="7" t="str">
        <f>IF(AX21 = "0","0",1.058)</f>
        <v>0</v>
      </c>
      <c r="AY22" s="7" t="str">
        <f>IF(AY21 = "0","0",1.27)</f>
        <v>0</v>
      </c>
      <c r="AZ22" s="7" t="str">
        <f>IF(AZ21 = "0","0",1.587)</f>
        <v>0</v>
      </c>
      <c r="BA22" s="7" t="str">
        <f>IF(BA21 = "0","0",2.117)</f>
        <v>0</v>
      </c>
      <c r="BB22" s="7" t="str">
        <f>IF(BB21 = "0","0",3.629)</f>
        <v>0</v>
      </c>
      <c r="BC22" s="7" t="str">
        <f>IF(BC21 = "0","0",4.23)</f>
        <v>0</v>
      </c>
    </row>
    <row r="23" spans="1:55" x14ac:dyDescent="0.25">
      <c r="A23" s="1" t="s">
        <v>50</v>
      </c>
      <c r="B23" s="1">
        <f>B21-(0.6495*B22)</f>
        <v>0</v>
      </c>
      <c r="C23" s="1">
        <f t="shared" ref="C23:Q23" si="0">C21-(0.6495*C22)</f>
        <v>0</v>
      </c>
      <c r="D23" s="1">
        <f t="shared" si="0"/>
        <v>0</v>
      </c>
      <c r="E23" s="1">
        <f t="shared" si="0"/>
        <v>0</v>
      </c>
      <c r="F23" s="1">
        <f t="shared" si="0"/>
        <v>0</v>
      </c>
      <c r="G23" s="1">
        <f t="shared" si="0"/>
        <v>0</v>
      </c>
      <c r="H23" s="1">
        <f t="shared" si="0"/>
        <v>0</v>
      </c>
      <c r="I23" s="1">
        <f t="shared" si="0"/>
        <v>0</v>
      </c>
      <c r="J23" s="1">
        <f t="shared" si="0"/>
        <v>0</v>
      </c>
      <c r="K23" s="1">
        <f t="shared" si="0"/>
        <v>10.863375</v>
      </c>
      <c r="L23" s="1">
        <f t="shared" si="0"/>
        <v>0</v>
      </c>
      <c r="M23" s="1">
        <f t="shared" si="0"/>
        <v>0</v>
      </c>
      <c r="N23" s="1">
        <f t="shared" si="0"/>
        <v>0</v>
      </c>
      <c r="O23" s="1">
        <f t="shared" si="0"/>
        <v>0</v>
      </c>
      <c r="P23" s="1">
        <f t="shared" si="0"/>
        <v>0</v>
      </c>
      <c r="Q23" s="14">
        <f t="shared" si="0"/>
        <v>0</v>
      </c>
      <c r="R23" s="16">
        <f>R21-(0.6495*R22)</f>
        <v>0</v>
      </c>
      <c r="S23" s="1">
        <f t="shared" ref="S23:AV23" si="1">S21-(0.6495*S22)</f>
        <v>0</v>
      </c>
      <c r="T23" s="1">
        <f t="shared" si="1"/>
        <v>0</v>
      </c>
      <c r="U23" s="1">
        <f t="shared" si="1"/>
        <v>0</v>
      </c>
      <c r="V23" s="1">
        <f t="shared" si="1"/>
        <v>0</v>
      </c>
      <c r="W23" s="1">
        <f t="shared" si="1"/>
        <v>0</v>
      </c>
      <c r="X23" s="1">
        <f t="shared" si="1"/>
        <v>0</v>
      </c>
      <c r="Y23" s="1">
        <f t="shared" si="1"/>
        <v>0</v>
      </c>
      <c r="Z23" s="1">
        <f t="shared" si="1"/>
        <v>0</v>
      </c>
      <c r="AA23" s="1">
        <f t="shared" si="1"/>
        <v>0</v>
      </c>
      <c r="AB23" s="1">
        <f t="shared" si="1"/>
        <v>0</v>
      </c>
      <c r="AC23" s="1">
        <f t="shared" si="1"/>
        <v>0</v>
      </c>
      <c r="AD23" s="1">
        <f t="shared" si="1"/>
        <v>0</v>
      </c>
      <c r="AE23" s="1">
        <f t="shared" si="1"/>
        <v>0</v>
      </c>
      <c r="AF23" s="1">
        <f t="shared" si="1"/>
        <v>0</v>
      </c>
      <c r="AG23" s="1">
        <f t="shared" si="1"/>
        <v>0</v>
      </c>
      <c r="AH23" s="1">
        <f t="shared" si="1"/>
        <v>0</v>
      </c>
      <c r="AI23" s="1">
        <f t="shared" si="1"/>
        <v>0</v>
      </c>
      <c r="AJ23" s="1">
        <f t="shared" si="1"/>
        <v>0</v>
      </c>
      <c r="AK23" s="1">
        <f t="shared" si="1"/>
        <v>0</v>
      </c>
      <c r="AL23" s="1">
        <f t="shared" si="1"/>
        <v>0</v>
      </c>
      <c r="AM23" s="1">
        <f t="shared" si="1"/>
        <v>0</v>
      </c>
      <c r="AN23" s="1">
        <f t="shared" si="1"/>
        <v>0</v>
      </c>
      <c r="AO23" s="1">
        <f t="shared" si="1"/>
        <v>0</v>
      </c>
      <c r="AP23" s="1">
        <f t="shared" si="1"/>
        <v>0</v>
      </c>
      <c r="AQ23" s="1">
        <f t="shared" si="1"/>
        <v>0</v>
      </c>
      <c r="AR23" s="1">
        <f t="shared" si="1"/>
        <v>0</v>
      </c>
      <c r="AS23" s="1">
        <f t="shared" si="1"/>
        <v>0</v>
      </c>
      <c r="AT23" s="1">
        <f t="shared" si="1"/>
        <v>0</v>
      </c>
      <c r="AU23" s="1">
        <f t="shared" si="1"/>
        <v>0</v>
      </c>
      <c r="AV23" s="5">
        <f t="shared" si="1"/>
        <v>0</v>
      </c>
      <c r="AW23" s="6" t="str">
        <f>IF(AW21 = "0","0","5.54")</f>
        <v>0</v>
      </c>
      <c r="AX23" s="1" t="str">
        <f>IF(AX21 = "0","0","8.51")</f>
        <v>0</v>
      </c>
      <c r="AY23" s="1" t="str">
        <f>IF(AY21 = "0","0","11.35")</f>
        <v>0</v>
      </c>
      <c r="AZ23" s="1" t="str">
        <f>IF(AZ21 = "0","0","17.42")</f>
        <v>0</v>
      </c>
      <c r="BA23" s="1" t="str">
        <f>IF(BA21 = "0","0","17.42")</f>
        <v>0</v>
      </c>
      <c r="BB23" s="1" t="str">
        <f>IF(BB21 = "0","0","29.43")</f>
        <v>0</v>
      </c>
      <c r="BC23" s="1" t="str">
        <f>IF(BC21 = "0","0","35.39")</f>
        <v>0</v>
      </c>
    </row>
    <row r="24" spans="1:55" x14ac:dyDescent="0.25">
      <c r="A24" s="1" t="s">
        <v>51</v>
      </c>
      <c r="B24" s="1">
        <f>B21 -(1.2269 * B22)</f>
        <v>0</v>
      </c>
      <c r="C24" s="1">
        <f t="shared" ref="C24:Q24" si="2">C21 -(1.2269 * C22)</f>
        <v>0</v>
      </c>
      <c r="D24" s="1">
        <f t="shared" si="2"/>
        <v>0</v>
      </c>
      <c r="E24" s="1">
        <f t="shared" si="2"/>
        <v>0</v>
      </c>
      <c r="F24" s="1">
        <f t="shared" si="2"/>
        <v>0</v>
      </c>
      <c r="G24" s="1">
        <f t="shared" si="2"/>
        <v>0</v>
      </c>
      <c r="H24" s="1">
        <f t="shared" si="2"/>
        <v>0</v>
      </c>
      <c r="I24" s="1">
        <f t="shared" si="2"/>
        <v>0</v>
      </c>
      <c r="J24" s="1">
        <f t="shared" si="2"/>
        <v>0</v>
      </c>
      <c r="K24" s="1">
        <f t="shared" si="2"/>
        <v>9.852924999999999</v>
      </c>
      <c r="L24" s="1">
        <f t="shared" si="2"/>
        <v>0</v>
      </c>
      <c r="M24" s="1">
        <f t="shared" si="2"/>
        <v>0</v>
      </c>
      <c r="N24" s="1">
        <f t="shared" si="2"/>
        <v>0</v>
      </c>
      <c r="O24" s="1">
        <f t="shared" si="2"/>
        <v>0</v>
      </c>
      <c r="P24" s="1">
        <f t="shared" si="2"/>
        <v>0</v>
      </c>
      <c r="Q24" s="14">
        <f t="shared" si="2"/>
        <v>0</v>
      </c>
      <c r="R24" s="16">
        <f>R21 -(1.2269 * R22)</f>
        <v>0</v>
      </c>
      <c r="S24" s="1">
        <f t="shared" ref="S24:AV24" si="3">S21 -(1.2269 * S22)</f>
        <v>0</v>
      </c>
      <c r="T24" s="1">
        <f t="shared" si="3"/>
        <v>0</v>
      </c>
      <c r="U24" s="1">
        <f t="shared" si="3"/>
        <v>0</v>
      </c>
      <c r="V24" s="1">
        <f t="shared" si="3"/>
        <v>0</v>
      </c>
      <c r="W24" s="1">
        <f t="shared" si="3"/>
        <v>0</v>
      </c>
      <c r="X24" s="1">
        <f t="shared" si="3"/>
        <v>0</v>
      </c>
      <c r="Y24" s="1">
        <f t="shared" si="3"/>
        <v>0</v>
      </c>
      <c r="Z24" s="1">
        <f t="shared" si="3"/>
        <v>0</v>
      </c>
      <c r="AA24" s="1">
        <f t="shared" si="3"/>
        <v>0</v>
      </c>
      <c r="AB24" s="1">
        <f t="shared" si="3"/>
        <v>0</v>
      </c>
      <c r="AC24" s="1">
        <f t="shared" si="3"/>
        <v>0</v>
      </c>
      <c r="AD24" s="1">
        <f t="shared" si="3"/>
        <v>0</v>
      </c>
      <c r="AE24" s="1">
        <f t="shared" si="3"/>
        <v>0</v>
      </c>
      <c r="AF24" s="1">
        <f t="shared" si="3"/>
        <v>0</v>
      </c>
      <c r="AG24" s="1">
        <f t="shared" si="3"/>
        <v>0</v>
      </c>
      <c r="AH24" s="1">
        <f t="shared" si="3"/>
        <v>0</v>
      </c>
      <c r="AI24" s="1">
        <f t="shared" si="3"/>
        <v>0</v>
      </c>
      <c r="AJ24" s="1">
        <f t="shared" si="3"/>
        <v>0</v>
      </c>
      <c r="AK24" s="1">
        <f t="shared" si="3"/>
        <v>0</v>
      </c>
      <c r="AL24" s="1">
        <f t="shared" si="3"/>
        <v>0</v>
      </c>
      <c r="AM24" s="1">
        <f t="shared" si="3"/>
        <v>0</v>
      </c>
      <c r="AN24" s="1">
        <f t="shared" si="3"/>
        <v>0</v>
      </c>
      <c r="AO24" s="1">
        <f t="shared" si="3"/>
        <v>0</v>
      </c>
      <c r="AP24" s="1">
        <f t="shared" si="3"/>
        <v>0</v>
      </c>
      <c r="AQ24" s="1">
        <f t="shared" si="3"/>
        <v>0</v>
      </c>
      <c r="AR24" s="1">
        <f t="shared" si="3"/>
        <v>0</v>
      </c>
      <c r="AS24" s="1">
        <f t="shared" si="3"/>
        <v>0</v>
      </c>
      <c r="AT24" s="1">
        <f t="shared" si="3"/>
        <v>0</v>
      </c>
      <c r="AU24" s="1">
        <f t="shared" si="3"/>
        <v>0</v>
      </c>
      <c r="AV24" s="5">
        <f t="shared" si="3"/>
        <v>0</v>
      </c>
      <c r="AW24" s="6" t="str">
        <f>IF(AW21 = "0","0","4.72")</f>
        <v>0</v>
      </c>
      <c r="AX24" s="1" t="str">
        <f>IF(AX21 = "0","0","7.49")</f>
        <v>0</v>
      </c>
      <c r="AY24" s="1" t="str">
        <f>IF(AY21 = "0","0","9.99")</f>
        <v>0</v>
      </c>
      <c r="AZ24" s="1" t="str">
        <f>IF(AZ21 = "0","0","15.8")</f>
        <v>0</v>
      </c>
      <c r="BA24" s="1" t="str">
        <f>IF(BA21 = "0","0","21.34")</f>
        <v>0</v>
      </c>
      <c r="BB24" s="1" t="str">
        <f>IF(BB21 = "0","0","27.1")</f>
        <v>0</v>
      </c>
      <c r="BC24" s="1" t="str">
        <f>IF(BC21 = "0","0","32.68")</f>
        <v>0</v>
      </c>
    </row>
    <row r="25" spans="1:55" x14ac:dyDescent="0.25">
      <c r="A25" s="1" t="s">
        <v>52</v>
      </c>
      <c r="B25" s="1">
        <f>B21-B22</f>
        <v>0</v>
      </c>
      <c r="C25" s="1">
        <f t="shared" ref="C25:Q25" si="4">C21-C22</f>
        <v>0</v>
      </c>
      <c r="D25" s="1">
        <f t="shared" si="4"/>
        <v>0</v>
      </c>
      <c r="E25" s="1">
        <f t="shared" si="4"/>
        <v>0</v>
      </c>
      <c r="F25" s="1">
        <f t="shared" si="4"/>
        <v>0</v>
      </c>
      <c r="G25" s="1">
        <f t="shared" si="4"/>
        <v>0</v>
      </c>
      <c r="H25" s="1">
        <f t="shared" si="4"/>
        <v>0</v>
      </c>
      <c r="I25" s="1">
        <f t="shared" si="4"/>
        <v>0</v>
      </c>
      <c r="J25" s="1">
        <f t="shared" si="4"/>
        <v>0</v>
      </c>
      <c r="K25" s="1">
        <f t="shared" si="4"/>
        <v>10.25</v>
      </c>
      <c r="L25" s="1">
        <f t="shared" si="4"/>
        <v>0</v>
      </c>
      <c r="M25" s="1">
        <f t="shared" si="4"/>
        <v>0</v>
      </c>
      <c r="N25" s="1">
        <f t="shared" si="4"/>
        <v>0</v>
      </c>
      <c r="O25" s="1">
        <f t="shared" si="4"/>
        <v>0</v>
      </c>
      <c r="P25" s="1">
        <f t="shared" si="4"/>
        <v>0</v>
      </c>
      <c r="Q25" s="14">
        <f t="shared" si="4"/>
        <v>0</v>
      </c>
      <c r="R25" s="16">
        <f>R21-R22</f>
        <v>0</v>
      </c>
      <c r="S25" s="1">
        <f t="shared" ref="S25:BC25" si="5">S21-S22</f>
        <v>0</v>
      </c>
      <c r="T25" s="1">
        <f t="shared" si="5"/>
        <v>0</v>
      </c>
      <c r="U25" s="1">
        <f t="shared" si="5"/>
        <v>0</v>
      </c>
      <c r="V25" s="1">
        <f t="shared" si="5"/>
        <v>0</v>
      </c>
      <c r="W25" s="1">
        <f t="shared" si="5"/>
        <v>0</v>
      </c>
      <c r="X25" s="1">
        <f t="shared" si="5"/>
        <v>0</v>
      </c>
      <c r="Y25" s="1">
        <f t="shared" si="5"/>
        <v>0</v>
      </c>
      <c r="Z25" s="1">
        <f t="shared" si="5"/>
        <v>0</v>
      </c>
      <c r="AA25" s="1">
        <f t="shared" si="5"/>
        <v>0</v>
      </c>
      <c r="AB25" s="1">
        <f t="shared" si="5"/>
        <v>0</v>
      </c>
      <c r="AC25" s="1">
        <f t="shared" si="5"/>
        <v>0</v>
      </c>
      <c r="AD25" s="1">
        <f t="shared" si="5"/>
        <v>0</v>
      </c>
      <c r="AE25" s="1">
        <f t="shared" si="5"/>
        <v>0</v>
      </c>
      <c r="AF25" s="1">
        <f t="shared" si="5"/>
        <v>0</v>
      </c>
      <c r="AG25" s="1">
        <f t="shared" si="5"/>
        <v>0</v>
      </c>
      <c r="AH25" s="1">
        <f t="shared" si="5"/>
        <v>0</v>
      </c>
      <c r="AI25" s="1">
        <f t="shared" si="5"/>
        <v>0</v>
      </c>
      <c r="AJ25" s="1">
        <f t="shared" si="5"/>
        <v>0</v>
      </c>
      <c r="AK25" s="1">
        <f t="shared" si="5"/>
        <v>0</v>
      </c>
      <c r="AL25" s="1">
        <f t="shared" si="5"/>
        <v>0</v>
      </c>
      <c r="AM25" s="1">
        <f t="shared" si="5"/>
        <v>0</v>
      </c>
      <c r="AN25" s="1">
        <f t="shared" si="5"/>
        <v>0</v>
      </c>
      <c r="AO25" s="1">
        <f t="shared" si="5"/>
        <v>0</v>
      </c>
      <c r="AP25" s="1">
        <f t="shared" si="5"/>
        <v>0</v>
      </c>
      <c r="AQ25" s="1">
        <f t="shared" si="5"/>
        <v>0</v>
      </c>
      <c r="AR25" s="1">
        <f t="shared" si="5"/>
        <v>0</v>
      </c>
      <c r="AS25" s="1">
        <f t="shared" si="5"/>
        <v>0</v>
      </c>
      <c r="AT25" s="1">
        <f t="shared" si="5"/>
        <v>0</v>
      </c>
      <c r="AU25" s="1">
        <f t="shared" si="5"/>
        <v>0</v>
      </c>
      <c r="AV25" s="5">
        <f t="shared" si="5"/>
        <v>0</v>
      </c>
      <c r="AW25" s="6">
        <f t="shared" si="5"/>
        <v>0</v>
      </c>
      <c r="AX25" s="1">
        <f t="shared" si="5"/>
        <v>0</v>
      </c>
      <c r="AY25" s="1">
        <f t="shared" si="5"/>
        <v>0</v>
      </c>
      <c r="AZ25" s="1">
        <f t="shared" si="5"/>
        <v>0</v>
      </c>
      <c r="BA25" s="1">
        <f t="shared" si="5"/>
        <v>0</v>
      </c>
      <c r="BB25" s="1">
        <f t="shared" si="5"/>
        <v>0</v>
      </c>
      <c r="BC25" s="1">
        <f t="shared" si="5"/>
        <v>0</v>
      </c>
    </row>
    <row r="26" spans="1:55" x14ac:dyDescent="0.25">
      <c r="A26" s="1" t="s">
        <v>53</v>
      </c>
      <c r="B26">
        <f>(PI()*(B21*B21*B21*B21))/64</f>
        <v>0</v>
      </c>
      <c r="C26">
        <f t="shared" ref="C26:BC26" si="6">(PI()*(C21*C21*C21*C21))/64</f>
        <v>0</v>
      </c>
      <c r="D26">
        <f t="shared" si="6"/>
        <v>0</v>
      </c>
      <c r="E26">
        <f t="shared" si="6"/>
        <v>0</v>
      </c>
      <c r="F26">
        <f t="shared" si="6"/>
        <v>0</v>
      </c>
      <c r="G26">
        <f t="shared" si="6"/>
        <v>0</v>
      </c>
      <c r="H26">
        <f t="shared" si="6"/>
        <v>0</v>
      </c>
      <c r="I26">
        <f t="shared" si="6"/>
        <v>0</v>
      </c>
      <c r="J26">
        <f t="shared" si="6"/>
        <v>0</v>
      </c>
      <c r="K26">
        <f t="shared" si="6"/>
        <v>1017.8760197630929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0</v>
      </c>
      <c r="R26" s="17">
        <f t="shared" si="6"/>
        <v>0</v>
      </c>
      <c r="S26" s="18">
        <f t="shared" si="6"/>
        <v>0</v>
      </c>
      <c r="T26" s="18">
        <f t="shared" si="6"/>
        <v>0</v>
      </c>
      <c r="U26" s="18">
        <f t="shared" si="6"/>
        <v>0</v>
      </c>
      <c r="V26" s="18">
        <f t="shared" si="6"/>
        <v>0</v>
      </c>
      <c r="W26" s="18">
        <f t="shared" si="6"/>
        <v>0</v>
      </c>
      <c r="X26" s="18">
        <f t="shared" si="6"/>
        <v>0</v>
      </c>
      <c r="Y26" s="18">
        <f t="shared" si="6"/>
        <v>0</v>
      </c>
      <c r="Z26" s="18">
        <f t="shared" si="6"/>
        <v>0</v>
      </c>
      <c r="AA26" s="18">
        <f t="shared" si="6"/>
        <v>0</v>
      </c>
      <c r="AB26" s="18">
        <f t="shared" si="6"/>
        <v>0</v>
      </c>
      <c r="AC26" s="18">
        <f t="shared" si="6"/>
        <v>0</v>
      </c>
      <c r="AD26" s="18">
        <f t="shared" si="6"/>
        <v>0</v>
      </c>
      <c r="AE26" s="18">
        <f t="shared" si="6"/>
        <v>0</v>
      </c>
      <c r="AF26" s="18">
        <f t="shared" si="6"/>
        <v>0</v>
      </c>
      <c r="AG26" s="18">
        <f t="shared" si="6"/>
        <v>0</v>
      </c>
      <c r="AH26" s="18">
        <f t="shared" si="6"/>
        <v>0</v>
      </c>
      <c r="AI26" s="18">
        <f t="shared" si="6"/>
        <v>0</v>
      </c>
      <c r="AJ26" s="18">
        <f t="shared" si="6"/>
        <v>0</v>
      </c>
      <c r="AK26" s="18">
        <f t="shared" si="6"/>
        <v>0</v>
      </c>
      <c r="AL26" s="18">
        <f t="shared" si="6"/>
        <v>0</v>
      </c>
      <c r="AM26" s="18">
        <f t="shared" si="6"/>
        <v>0</v>
      </c>
      <c r="AN26" s="18">
        <f t="shared" si="6"/>
        <v>0</v>
      </c>
      <c r="AO26" s="18">
        <f t="shared" si="6"/>
        <v>0</v>
      </c>
      <c r="AP26" s="18">
        <f t="shared" si="6"/>
        <v>0</v>
      </c>
      <c r="AQ26" s="18">
        <f t="shared" si="6"/>
        <v>0</v>
      </c>
      <c r="AR26" s="18">
        <f t="shared" si="6"/>
        <v>0</v>
      </c>
      <c r="AS26" s="18">
        <f t="shared" si="6"/>
        <v>0</v>
      </c>
      <c r="AT26" s="18">
        <f t="shared" si="6"/>
        <v>0</v>
      </c>
      <c r="AU26" s="18">
        <f t="shared" si="6"/>
        <v>0</v>
      </c>
      <c r="AV26" s="19">
        <f t="shared" si="6"/>
        <v>0</v>
      </c>
      <c r="AW26" s="6">
        <f t="shared" si="6"/>
        <v>0</v>
      </c>
      <c r="AX26" s="1">
        <f t="shared" si="6"/>
        <v>0</v>
      </c>
      <c r="AY26" s="1">
        <f t="shared" si="6"/>
        <v>0</v>
      </c>
      <c r="AZ26" s="1">
        <f t="shared" si="6"/>
        <v>0</v>
      </c>
      <c r="BA26" s="1">
        <f t="shared" si="6"/>
        <v>0</v>
      </c>
      <c r="BB26" s="1">
        <f t="shared" si="6"/>
        <v>0</v>
      </c>
      <c r="BC26" s="1">
        <f t="shared" si="6"/>
        <v>0</v>
      </c>
    </row>
    <row r="27" spans="1:5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4"/>
      <c r="R27" s="16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5"/>
      <c r="AW27" s="8"/>
      <c r="AX27" s="1"/>
      <c r="AY27" s="1"/>
      <c r="AZ27" s="1"/>
      <c r="BA27" s="1"/>
      <c r="BB27" s="1"/>
      <c r="BC27" s="1"/>
    </row>
    <row r="28" spans="1:55" x14ac:dyDescent="0.25">
      <c r="A28" s="1" t="s">
        <v>54</v>
      </c>
      <c r="B28" s="1">
        <v>1.6</v>
      </c>
      <c r="C28" s="1">
        <v>2</v>
      </c>
      <c r="D28" s="1">
        <v>2.5</v>
      </c>
      <c r="E28" s="1">
        <v>3</v>
      </c>
      <c r="F28" s="1">
        <v>4</v>
      </c>
      <c r="G28" s="1">
        <v>5</v>
      </c>
      <c r="H28" s="1">
        <v>6</v>
      </c>
      <c r="I28" s="1">
        <v>8</v>
      </c>
      <c r="J28" s="1">
        <v>10</v>
      </c>
      <c r="K28" s="1">
        <v>12</v>
      </c>
      <c r="L28" s="1">
        <v>16</v>
      </c>
      <c r="M28" s="1">
        <v>20</v>
      </c>
      <c r="N28" s="1">
        <v>24</v>
      </c>
      <c r="O28" s="1">
        <v>30</v>
      </c>
      <c r="P28" s="1">
        <v>36</v>
      </c>
      <c r="Q28" s="14">
        <v>42</v>
      </c>
      <c r="R28" s="16">
        <v>2</v>
      </c>
      <c r="S28" s="1">
        <v>3</v>
      </c>
      <c r="T28" s="1">
        <v>4</v>
      </c>
      <c r="U28" s="1">
        <v>4</v>
      </c>
      <c r="V28" s="1">
        <v>5</v>
      </c>
      <c r="W28" s="1">
        <v>5</v>
      </c>
      <c r="X28" s="1">
        <v>6</v>
      </c>
      <c r="Y28" s="1">
        <v>6</v>
      </c>
      <c r="Z28" s="1">
        <v>6</v>
      </c>
      <c r="AA28" s="1">
        <v>8</v>
      </c>
      <c r="AB28" s="1">
        <v>8</v>
      </c>
      <c r="AC28" s="1">
        <v>8</v>
      </c>
      <c r="AD28" s="1">
        <v>10</v>
      </c>
      <c r="AE28" s="1">
        <v>10</v>
      </c>
      <c r="AF28" s="1">
        <v>10</v>
      </c>
      <c r="AG28" s="1">
        <v>12</v>
      </c>
      <c r="AH28" s="1">
        <v>12</v>
      </c>
      <c r="AI28" s="1">
        <v>12</v>
      </c>
      <c r="AJ28" s="1">
        <v>16</v>
      </c>
      <c r="AK28" s="1">
        <v>16</v>
      </c>
      <c r="AL28" s="1">
        <v>16</v>
      </c>
      <c r="AM28" s="1">
        <v>20</v>
      </c>
      <c r="AN28" s="1">
        <v>20</v>
      </c>
      <c r="AO28" s="1">
        <v>24</v>
      </c>
      <c r="AP28" s="1">
        <v>24</v>
      </c>
      <c r="AQ28" s="1">
        <v>30</v>
      </c>
      <c r="AR28" s="1">
        <v>30</v>
      </c>
      <c r="AS28" s="1">
        <v>36</v>
      </c>
      <c r="AT28" s="1">
        <v>36</v>
      </c>
      <c r="AU28" s="1">
        <v>42</v>
      </c>
      <c r="AV28" s="5">
        <v>42</v>
      </c>
      <c r="AW28" s="8">
        <v>6.4</v>
      </c>
      <c r="AX28" s="1">
        <v>7.95</v>
      </c>
      <c r="AY28" s="1">
        <v>12.7</v>
      </c>
      <c r="AZ28" s="1">
        <v>19</v>
      </c>
      <c r="BA28" s="15">
        <v>25.4</v>
      </c>
      <c r="BB28" s="1"/>
      <c r="BC28" s="1"/>
    </row>
    <row r="29" spans="1:55" x14ac:dyDescent="0.25">
      <c r="A29" s="1" t="s">
        <v>55</v>
      </c>
      <c r="B29" s="1">
        <v>3</v>
      </c>
      <c r="C29" s="1">
        <v>3.8</v>
      </c>
      <c r="D29" s="1">
        <v>4.5</v>
      </c>
      <c r="E29" s="1">
        <v>5.5</v>
      </c>
      <c r="F29" s="1">
        <v>7</v>
      </c>
      <c r="G29" s="1">
        <v>8.5</v>
      </c>
      <c r="H29" s="1">
        <v>10</v>
      </c>
      <c r="I29" s="1">
        <v>13</v>
      </c>
      <c r="J29" s="1">
        <v>16</v>
      </c>
      <c r="K29" s="1">
        <v>18</v>
      </c>
      <c r="L29" s="1">
        <v>24</v>
      </c>
      <c r="M29" s="1">
        <v>30</v>
      </c>
      <c r="N29" s="1">
        <v>36</v>
      </c>
      <c r="O29" s="1">
        <v>45</v>
      </c>
      <c r="P29" s="1">
        <v>54</v>
      </c>
      <c r="Q29" s="14">
        <v>63</v>
      </c>
      <c r="R29" s="16">
        <v>3.8</v>
      </c>
      <c r="S29" s="1">
        <v>5.5</v>
      </c>
      <c r="T29" s="1">
        <v>7</v>
      </c>
      <c r="U29" s="1">
        <v>7</v>
      </c>
      <c r="V29" s="1">
        <v>8.5</v>
      </c>
      <c r="W29" s="1">
        <v>8.5</v>
      </c>
      <c r="X29" s="1">
        <v>10</v>
      </c>
      <c r="Y29" s="1">
        <v>10</v>
      </c>
      <c r="Z29" s="1">
        <v>10</v>
      </c>
      <c r="AA29" s="1">
        <v>13</v>
      </c>
      <c r="AB29" s="1">
        <v>13</v>
      </c>
      <c r="AC29" s="1">
        <v>13</v>
      </c>
      <c r="AD29" s="1">
        <v>16</v>
      </c>
      <c r="AE29" s="1">
        <v>16</v>
      </c>
      <c r="AF29" s="1">
        <v>16</v>
      </c>
      <c r="AG29" s="1">
        <v>18</v>
      </c>
      <c r="AH29" s="1">
        <v>18</v>
      </c>
      <c r="AI29" s="1">
        <v>18</v>
      </c>
      <c r="AJ29" s="1">
        <v>24</v>
      </c>
      <c r="AK29" s="1">
        <v>24</v>
      </c>
      <c r="AL29" s="1">
        <v>24</v>
      </c>
      <c r="AM29" s="1">
        <v>30</v>
      </c>
      <c r="AN29" s="1">
        <v>30</v>
      </c>
      <c r="AO29" s="1">
        <v>36</v>
      </c>
      <c r="AP29" s="1">
        <v>36</v>
      </c>
      <c r="AQ29" s="1">
        <v>45</v>
      </c>
      <c r="AR29" s="1">
        <v>45</v>
      </c>
      <c r="AS29" s="1">
        <v>54</v>
      </c>
      <c r="AT29" s="1">
        <v>54</v>
      </c>
      <c r="AU29" s="1">
        <v>63</v>
      </c>
      <c r="AV29" s="5">
        <v>63</v>
      </c>
      <c r="AW29" s="8">
        <v>7.95</v>
      </c>
      <c r="AX29" s="1">
        <v>12.7</v>
      </c>
      <c r="AY29" s="1">
        <v>19</v>
      </c>
      <c r="AZ29" s="1">
        <v>25.4</v>
      </c>
      <c r="BA29" s="15">
        <v>31.75</v>
      </c>
      <c r="BB29" s="1"/>
      <c r="BC29" s="1"/>
    </row>
    <row r="30" spans="1:55" x14ac:dyDescent="0.25">
      <c r="A30" s="1" t="s">
        <v>56</v>
      </c>
      <c r="B30" s="1">
        <f>IF(B21 ="1.6","1.5",0)</f>
        <v>0</v>
      </c>
      <c r="C30" s="1">
        <f>IF(C21 ="1.6","1.5",0)</f>
        <v>0</v>
      </c>
      <c r="D30" s="1">
        <f>IF(D21 ="2.5","2",0)</f>
        <v>0</v>
      </c>
      <c r="E30" s="1">
        <f>IF(E21 ="3","2.5",0)</f>
        <v>0</v>
      </c>
      <c r="F30" s="1">
        <f>IF(F21 ="4","3",0)</f>
        <v>0</v>
      </c>
      <c r="G30" s="1">
        <f>IF(G21 ="5","4",0)</f>
        <v>0</v>
      </c>
      <c r="H30" s="1">
        <f>IF(H21 ="6","5",0)</f>
        <v>0</v>
      </c>
      <c r="I30" s="1">
        <f>IF(I21 ="8","6",0)</f>
        <v>0</v>
      </c>
      <c r="J30" s="1">
        <f>IF(J21 ="10","8",0)</f>
        <v>0</v>
      </c>
      <c r="K30" s="1" t="str">
        <f>IF(K21 ="12","10",0)</f>
        <v>10</v>
      </c>
      <c r="L30" s="1">
        <f>IF(L21 ="16","14",0)</f>
        <v>0</v>
      </c>
      <c r="M30" s="1">
        <f>IF(M21 ="20","17",0)</f>
        <v>0</v>
      </c>
      <c r="N30" s="1">
        <f>IF(N21 ="24","19",0)</f>
        <v>0</v>
      </c>
      <c r="O30" s="1">
        <f>IF(O21 ="30","22",0)</f>
        <v>0</v>
      </c>
      <c r="P30" s="1">
        <f>IF(P21 ="36","27",0)</f>
        <v>0</v>
      </c>
      <c r="Q30" s="14">
        <f>IF(Q21 ="42","32",0)</f>
        <v>0</v>
      </c>
      <c r="R30" s="16">
        <f>IF(R21 ="2","1.5",0)</f>
        <v>0</v>
      </c>
      <c r="S30" s="1">
        <f>IF(S21 ="3","2.5",0)</f>
        <v>0</v>
      </c>
      <c r="T30" s="1">
        <f>IF(T21 ="4","3",0)</f>
        <v>0</v>
      </c>
      <c r="U30" s="1">
        <f>IF(U21 ="4","3",0)</f>
        <v>0</v>
      </c>
      <c r="V30" s="1">
        <f>IF(V21 ="5","4",0)</f>
        <v>0</v>
      </c>
      <c r="W30" s="1">
        <f>IF(W21 ="5","4",0)</f>
        <v>0</v>
      </c>
      <c r="X30" s="1">
        <f>IF(X21 ="6","5",0)</f>
        <v>0</v>
      </c>
      <c r="Y30" s="1">
        <f>IF(Y21 ="6","5",0)</f>
        <v>0</v>
      </c>
      <c r="Z30" s="1">
        <f>IF(Z21 ="6","5",0)</f>
        <v>0</v>
      </c>
      <c r="AA30" s="1">
        <f>IF(AA21 ="8","6",0)</f>
        <v>0</v>
      </c>
      <c r="AB30" s="1">
        <f>IF(AB21 ="8","6",0)</f>
        <v>0</v>
      </c>
      <c r="AC30" s="1">
        <f>IF(AC21 ="8","6",0)</f>
        <v>0</v>
      </c>
      <c r="AD30" s="1">
        <f>IF(AD21 ="10","8",0)</f>
        <v>0</v>
      </c>
      <c r="AE30" s="1">
        <f>IF(AE21 ="10","8",0)</f>
        <v>0</v>
      </c>
      <c r="AF30" s="1">
        <f>IF(AF21 ="10","8",0)</f>
        <v>0</v>
      </c>
      <c r="AG30" s="1">
        <f>IF(AG21 ="12","10",0)</f>
        <v>0</v>
      </c>
      <c r="AH30" s="1">
        <f>IF(AH21 ="12","10",0)</f>
        <v>0</v>
      </c>
      <c r="AI30" s="1">
        <f>IF(AI21 ="12","10",0)</f>
        <v>0</v>
      </c>
      <c r="AJ30" s="1">
        <f>IF(AJ21 ="16","14",0)</f>
        <v>0</v>
      </c>
      <c r="AK30" s="1">
        <f>IF(AK21 ="16","14",0)</f>
        <v>0</v>
      </c>
      <c r="AL30" s="1">
        <f>IF(AL21 ="16","14",0)</f>
        <v>0</v>
      </c>
      <c r="AM30" s="1">
        <f>IF(AM21 ="20","17",0)</f>
        <v>0</v>
      </c>
      <c r="AN30" s="1">
        <f>IF(AN21 ="20","17",0)</f>
        <v>0</v>
      </c>
      <c r="AO30" s="1">
        <f>IF(AO21 ="24","19",0)</f>
        <v>0</v>
      </c>
      <c r="AP30" s="1">
        <f>IF(AP21 ="24","19",0)</f>
        <v>0</v>
      </c>
      <c r="AQ30" s="1">
        <f>IF(AQ21 ="30","22",0)</f>
        <v>0</v>
      </c>
      <c r="AR30" s="1">
        <f>IF(AR21 ="30","22",0)</f>
        <v>0</v>
      </c>
      <c r="AS30" s="1">
        <f>IF(AS21 ="36","27",0)</f>
        <v>0</v>
      </c>
      <c r="AT30" s="1">
        <f>IF(AT21 ="36","27",0)</f>
        <v>0</v>
      </c>
      <c r="AU30" s="1">
        <f>IF(AU21 ="42","32",0)</f>
        <v>0</v>
      </c>
      <c r="AV30" s="5">
        <f>IF(AV21 ="42","32",0)</f>
        <v>0</v>
      </c>
      <c r="AW30" s="6" t="str">
        <f>IF(AW21 ="0","0","4.76")</f>
        <v>0</v>
      </c>
      <c r="AX30" s="1" t="str">
        <f>IF(AX21 ="0","0","7.95")</f>
        <v>0</v>
      </c>
      <c r="AY30" s="1" t="str">
        <f>IF(AY21 ="0","0","12.7")</f>
        <v>0</v>
      </c>
      <c r="AZ30" s="1" t="str">
        <f>IF(AZ21 ="0","0","19")</f>
        <v>0</v>
      </c>
      <c r="BA30" s="1" t="str">
        <f>IF(BA21 ="0","0","25.4")</f>
        <v>0</v>
      </c>
      <c r="BB30" s="1"/>
      <c r="BC30" s="1"/>
    </row>
    <row r="31" spans="1:55" x14ac:dyDescent="0.25">
      <c r="A31" s="1" t="s">
        <v>57</v>
      </c>
      <c r="B31" s="1">
        <f>PI()/4*B29*B29 * B28 - ((6*(B30/COS(RADIANS(30)))*SIN(RADIANS(180/6))*B30)/4 * B28 *2/3)</f>
        <v>11.309733552923255</v>
      </c>
      <c r="C31" s="1">
        <f t="shared" ref="C31:BA31" si="7">PI()/4*C29*C29 * C28 - ((6*(C30/COS(RADIANS(30)))*SIN(RADIANS(180/6))*C30)/4 * C28 *2/3)</f>
        <v>22.682298958918306</v>
      </c>
      <c r="D31" s="1">
        <f t="shared" si="7"/>
        <v>39.760782021995816</v>
      </c>
      <c r="E31" s="1">
        <f t="shared" si="7"/>
        <v>71.274883328318424</v>
      </c>
      <c r="F31" s="1">
        <f t="shared" si="7"/>
        <v>153.93804002589985</v>
      </c>
      <c r="G31" s="1">
        <f t="shared" si="7"/>
        <v>283.72508652732824</v>
      </c>
      <c r="H31" s="1">
        <f t="shared" si="7"/>
        <v>471.23889803846896</v>
      </c>
      <c r="I31" s="1">
        <f t="shared" si="7"/>
        <v>1061.8583169133501</v>
      </c>
      <c r="J31" s="1">
        <f t="shared" si="7"/>
        <v>2010.6192982974676</v>
      </c>
      <c r="K31" s="1">
        <f t="shared" si="7"/>
        <v>2360.8077362617282</v>
      </c>
      <c r="L31" s="1">
        <f t="shared" si="7"/>
        <v>7238.2294738708833</v>
      </c>
      <c r="M31" s="1">
        <f t="shared" si="7"/>
        <v>14137.166941154068</v>
      </c>
      <c r="N31" s="1">
        <f t="shared" si="7"/>
        <v>24429.024474314232</v>
      </c>
      <c r="O31" s="1">
        <f t="shared" si="7"/>
        <v>47712.938426394991</v>
      </c>
      <c r="P31" s="1">
        <f t="shared" si="7"/>
        <v>82447.957600810521</v>
      </c>
      <c r="Q31" s="14">
        <f t="shared" si="7"/>
        <v>130924.30304202784</v>
      </c>
      <c r="R31" s="16">
        <f t="shared" si="7"/>
        <v>22.682298958918306</v>
      </c>
      <c r="S31" s="1">
        <f t="shared" si="7"/>
        <v>71.274883328318424</v>
      </c>
      <c r="T31" s="1">
        <f t="shared" si="7"/>
        <v>153.93804002589985</v>
      </c>
      <c r="U31" s="1">
        <f t="shared" si="7"/>
        <v>153.93804002589985</v>
      </c>
      <c r="V31" s="1">
        <f t="shared" si="7"/>
        <v>283.72508652732824</v>
      </c>
      <c r="W31" s="1">
        <f t="shared" si="7"/>
        <v>283.72508652732824</v>
      </c>
      <c r="X31" s="1">
        <f t="shared" si="7"/>
        <v>471.23889803846896</v>
      </c>
      <c r="Y31" s="1">
        <f t="shared" si="7"/>
        <v>471.23889803846896</v>
      </c>
      <c r="Z31" s="1">
        <f t="shared" si="7"/>
        <v>471.23889803846896</v>
      </c>
      <c r="AA31" s="1">
        <f t="shared" si="7"/>
        <v>1061.8583169133501</v>
      </c>
      <c r="AB31" s="1">
        <f t="shared" si="7"/>
        <v>1061.8583169133501</v>
      </c>
      <c r="AC31" s="1">
        <f t="shared" si="7"/>
        <v>1061.8583169133501</v>
      </c>
      <c r="AD31" s="1">
        <f t="shared" si="7"/>
        <v>2010.6192982974676</v>
      </c>
      <c r="AE31" s="1">
        <f t="shared" si="7"/>
        <v>2010.6192982974676</v>
      </c>
      <c r="AF31" s="1">
        <f t="shared" si="7"/>
        <v>2010.6192982974676</v>
      </c>
      <c r="AG31" s="1">
        <f t="shared" si="7"/>
        <v>3053.628059289279</v>
      </c>
      <c r="AH31" s="1">
        <f t="shared" si="7"/>
        <v>3053.628059289279</v>
      </c>
      <c r="AI31" s="1">
        <f t="shared" si="7"/>
        <v>3053.628059289279</v>
      </c>
      <c r="AJ31" s="1">
        <f t="shared" si="7"/>
        <v>7238.2294738708833</v>
      </c>
      <c r="AK31" s="1">
        <f t="shared" si="7"/>
        <v>7238.2294738708833</v>
      </c>
      <c r="AL31" s="1">
        <f t="shared" si="7"/>
        <v>7238.2294738708833</v>
      </c>
      <c r="AM31" s="1">
        <f t="shared" si="7"/>
        <v>14137.166941154068</v>
      </c>
      <c r="AN31" s="1">
        <f t="shared" si="7"/>
        <v>14137.166941154068</v>
      </c>
      <c r="AO31" s="1">
        <f t="shared" si="7"/>
        <v>24429.024474314232</v>
      </c>
      <c r="AP31" s="1">
        <f t="shared" si="7"/>
        <v>24429.024474314232</v>
      </c>
      <c r="AQ31" s="1">
        <f t="shared" si="7"/>
        <v>47712.938426394991</v>
      </c>
      <c r="AR31" s="1">
        <f t="shared" si="7"/>
        <v>47712.938426394991</v>
      </c>
      <c r="AS31" s="1">
        <f t="shared" si="7"/>
        <v>82447.957600810521</v>
      </c>
      <c r="AT31" s="1">
        <f t="shared" si="7"/>
        <v>82447.957600810521</v>
      </c>
      <c r="AU31" s="1">
        <f t="shared" si="7"/>
        <v>130924.30304202784</v>
      </c>
      <c r="AV31" s="5">
        <f t="shared" si="7"/>
        <v>130924.30304202784</v>
      </c>
      <c r="AW31" s="6">
        <f t="shared" si="7"/>
        <v>317.69041550161427</v>
      </c>
      <c r="AX31" s="1">
        <f t="shared" si="7"/>
        <v>1007.0811147062767</v>
      </c>
      <c r="AY31" s="1">
        <f t="shared" si="7"/>
        <v>3600.8149597282804</v>
      </c>
      <c r="AZ31" s="1">
        <f t="shared" si="7"/>
        <v>9627.4421028524557</v>
      </c>
      <c r="BA31" s="1">
        <f t="shared" si="7"/>
        <v>20109.953076681941</v>
      </c>
      <c r="BB31" s="1"/>
      <c r="BC31" s="1"/>
    </row>
    <row r="32" spans="1:5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4"/>
      <c r="R32" s="16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5"/>
      <c r="AW32" s="8"/>
      <c r="AX32" s="1"/>
      <c r="AY32" s="1"/>
      <c r="AZ32" s="1"/>
      <c r="BA32" s="1"/>
      <c r="BB32" s="1"/>
      <c r="BC32" s="1"/>
    </row>
    <row r="33" spans="1:55" x14ac:dyDescent="0.25">
      <c r="A33" s="1" t="s">
        <v>58</v>
      </c>
      <c r="B33" s="1">
        <v>1.1000000000000001</v>
      </c>
      <c r="C33" s="1">
        <v>1.4</v>
      </c>
      <c r="D33" s="1">
        <v>1.7</v>
      </c>
      <c r="E33" s="1">
        <v>2</v>
      </c>
      <c r="F33" s="1">
        <v>2.8</v>
      </c>
      <c r="G33" s="1">
        <v>3.5</v>
      </c>
      <c r="H33" s="1">
        <v>4</v>
      </c>
      <c r="I33" s="1">
        <v>5.3</v>
      </c>
      <c r="J33" s="1">
        <v>6.4</v>
      </c>
      <c r="K33" s="1">
        <v>7.5</v>
      </c>
      <c r="L33" s="1">
        <v>10</v>
      </c>
      <c r="M33" s="1">
        <v>12.5</v>
      </c>
      <c r="N33" s="1">
        <v>15</v>
      </c>
      <c r="O33" s="1">
        <v>18.7</v>
      </c>
      <c r="P33" s="1">
        <v>22.5</v>
      </c>
      <c r="Q33" s="14">
        <v>26</v>
      </c>
      <c r="R33" s="16">
        <v>1.4</v>
      </c>
      <c r="S33" s="1">
        <v>2</v>
      </c>
      <c r="T33" s="1">
        <v>2.8</v>
      </c>
      <c r="U33" s="1">
        <v>2.8</v>
      </c>
      <c r="V33" s="1">
        <v>3.5</v>
      </c>
      <c r="W33" s="1">
        <v>3.5</v>
      </c>
      <c r="X33" s="1">
        <v>4</v>
      </c>
      <c r="Y33" s="1">
        <v>4</v>
      </c>
      <c r="Z33" s="1">
        <v>4</v>
      </c>
      <c r="AA33" s="1">
        <v>5.3</v>
      </c>
      <c r="AB33" s="1">
        <v>5.3</v>
      </c>
      <c r="AC33" s="1">
        <v>5.3</v>
      </c>
      <c r="AD33" s="1">
        <v>6.4</v>
      </c>
      <c r="AE33" s="1">
        <v>6.4</v>
      </c>
      <c r="AF33" s="1">
        <v>6.4</v>
      </c>
      <c r="AG33" s="1">
        <v>7.5</v>
      </c>
      <c r="AH33" s="1">
        <v>7.5</v>
      </c>
      <c r="AI33" s="1">
        <v>7.5</v>
      </c>
      <c r="AJ33" s="1">
        <v>10</v>
      </c>
      <c r="AK33" s="1">
        <v>10</v>
      </c>
      <c r="AL33" s="1">
        <v>10</v>
      </c>
      <c r="AM33" s="1">
        <v>12.5</v>
      </c>
      <c r="AN33" s="1">
        <v>12.5</v>
      </c>
      <c r="AO33" s="1">
        <v>15</v>
      </c>
      <c r="AP33" s="1">
        <v>15</v>
      </c>
      <c r="AQ33" s="1">
        <v>18.7</v>
      </c>
      <c r="AR33" s="1">
        <v>18.7</v>
      </c>
      <c r="AS33" s="1">
        <v>22.5</v>
      </c>
      <c r="AT33" s="1">
        <v>22.5</v>
      </c>
      <c r="AU33" s="1">
        <v>26</v>
      </c>
      <c r="AV33" s="5">
        <v>26</v>
      </c>
      <c r="AW33" s="8">
        <v>4</v>
      </c>
      <c r="AX33" s="1">
        <v>6</v>
      </c>
      <c r="AY33" s="1">
        <v>7.9</v>
      </c>
      <c r="AZ33" s="1">
        <v>11.9</v>
      </c>
      <c r="BA33" s="15">
        <v>15.5</v>
      </c>
      <c r="BB33" s="15">
        <v>19.8</v>
      </c>
      <c r="BC33" s="15">
        <v>23.8</v>
      </c>
    </row>
    <row r="34" spans="1:55" x14ac:dyDescent="0.25">
      <c r="A34" s="1" t="s">
        <v>59</v>
      </c>
      <c r="B34" s="1">
        <f>IF(B21 ="1.6","3.2",0)</f>
        <v>0</v>
      </c>
      <c r="C34" s="1">
        <f>IF(C21 ="2","4",0)</f>
        <v>0</v>
      </c>
      <c r="D34" s="1">
        <f>IF(D21 ="2.5","5",0)</f>
        <v>0</v>
      </c>
      <c r="E34" s="1">
        <f>IF(E21 ="3","5.5",0)</f>
        <v>0</v>
      </c>
      <c r="F34" s="1">
        <f>IF(F21 ="4","7",0)</f>
        <v>0</v>
      </c>
      <c r="G34" s="1">
        <f>IF(G21 ="5","8",0)</f>
        <v>0</v>
      </c>
      <c r="H34" s="1">
        <f>IF(H21 ="6","10",0)</f>
        <v>0</v>
      </c>
      <c r="I34" s="1">
        <f>IF(I21 ="8","13",0)</f>
        <v>0</v>
      </c>
      <c r="J34" s="1">
        <f>IF(J21 ="10","17",0)</f>
        <v>0</v>
      </c>
      <c r="K34" s="1" t="str">
        <f>IF(K21 ="12","19",0)</f>
        <v>19</v>
      </c>
      <c r="L34" s="1">
        <f>IF(L21 ="16","24",0)</f>
        <v>0</v>
      </c>
      <c r="M34" s="1">
        <f>IF(M21 ="20","30",0)</f>
        <v>0</v>
      </c>
      <c r="N34" s="1">
        <f>IF(N21 ="24","36",0)</f>
        <v>0</v>
      </c>
      <c r="O34" s="1">
        <f>IF(O21 ="30","46",0)</f>
        <v>0</v>
      </c>
      <c r="P34" s="1">
        <f>IF(P21 ="36","55",0)</f>
        <v>0</v>
      </c>
      <c r="Q34" s="14">
        <f>IF(Q21 ="42","65",0)</f>
        <v>0</v>
      </c>
      <c r="R34" s="16">
        <f>IF(R21 ="2","4",0)</f>
        <v>0</v>
      </c>
      <c r="S34" s="1">
        <f>IF(S21 ="3","5.5",0)</f>
        <v>0</v>
      </c>
      <c r="T34" s="1">
        <f>IF(T21 ="4","7",0)</f>
        <v>0</v>
      </c>
      <c r="U34" s="1">
        <f>IF(U21 ="4","7",0)</f>
        <v>0</v>
      </c>
      <c r="V34" s="1">
        <f>IF(V21 ="5","8",0)</f>
        <v>0</v>
      </c>
      <c r="W34" s="1">
        <f>IF(W21 ="5","8",0)</f>
        <v>0</v>
      </c>
      <c r="X34" s="1">
        <f>IF(X21 ="6","10",0)</f>
        <v>0</v>
      </c>
      <c r="Y34" s="1">
        <f>IF(Y21 ="6","10",0)</f>
        <v>0</v>
      </c>
      <c r="Z34" s="1">
        <f>IF(Z21 ="6","10",0)</f>
        <v>0</v>
      </c>
      <c r="AA34" s="1">
        <f>IF(AA21 ="8","13",0)</f>
        <v>0</v>
      </c>
      <c r="AB34" s="1">
        <f>IF(AB21 ="8","13",0)</f>
        <v>0</v>
      </c>
      <c r="AC34" s="1">
        <f>IF(AC21 ="8","13",0)</f>
        <v>0</v>
      </c>
      <c r="AD34" s="1">
        <f>IF(AD21 ="10","17",0)</f>
        <v>0</v>
      </c>
      <c r="AE34" s="1">
        <f>IF(AE21 ="10","17",0)</f>
        <v>0</v>
      </c>
      <c r="AF34" s="1">
        <f>IF(AF21 ="10","17",0)</f>
        <v>0</v>
      </c>
      <c r="AG34" s="1">
        <f>IF(AG21 ="12","19",0)</f>
        <v>0</v>
      </c>
      <c r="AH34" s="1">
        <f>IF(AH21 ="12","19",0)</f>
        <v>0</v>
      </c>
      <c r="AI34" s="1">
        <f>IF(AI21 ="12","19",0)</f>
        <v>0</v>
      </c>
      <c r="AJ34" s="1">
        <f>IF(AJ21 ="16","24",0)</f>
        <v>0</v>
      </c>
      <c r="AK34" s="1">
        <f>IF(AK21 ="16","24",0)</f>
        <v>0</v>
      </c>
      <c r="AL34" s="1">
        <f>IF(AL21 ="16","24",0)</f>
        <v>0</v>
      </c>
      <c r="AM34" s="1">
        <f>IF(AM21 ="20","30",0)</f>
        <v>0</v>
      </c>
      <c r="AN34" s="1">
        <f>IF(AN21 ="20","30",0)</f>
        <v>0</v>
      </c>
      <c r="AO34" s="1">
        <f>IF(AO21 ="24","36",0)</f>
        <v>0</v>
      </c>
      <c r="AP34" s="1">
        <f>IF(AP21 ="24","36",0)</f>
        <v>0</v>
      </c>
      <c r="AQ34" s="1">
        <f>IF(AQ21 ="30","46",0)</f>
        <v>0</v>
      </c>
      <c r="AR34" s="1">
        <f>IF(AR21 ="30","46",0)</f>
        <v>0</v>
      </c>
      <c r="AS34" s="1">
        <f>IF(AS21 ="36","55",0)</f>
        <v>0</v>
      </c>
      <c r="AT34" s="1">
        <f>IF(AT21 ="36","55",0)</f>
        <v>0</v>
      </c>
      <c r="AU34" s="1">
        <f>IF(AU21 ="42","65",0)</f>
        <v>0</v>
      </c>
      <c r="AV34" s="5">
        <f>IF(AV21 ="42","65",0)</f>
        <v>0</v>
      </c>
      <c r="AW34" s="8" t="str">
        <f>IF(AW21="0","0","11.1")</f>
        <v>0</v>
      </c>
      <c r="AX34" s="7" t="str">
        <f>IF(AX21="0","0","14.3")</f>
        <v>0</v>
      </c>
      <c r="AY34" s="7" t="str">
        <f>IF(AY21="0","0","19.05")</f>
        <v>0</v>
      </c>
      <c r="AZ34" s="7" t="str">
        <f>IF(AZ21="0","0","28.6")</f>
        <v>0</v>
      </c>
      <c r="BA34" s="7" t="str">
        <f>IF(BA21="0","0","38.1")</f>
        <v>0</v>
      </c>
      <c r="BB34" s="7" t="str">
        <f>IF(BB21="0","0","47.6")</f>
        <v>0</v>
      </c>
      <c r="BC34" s="7" t="str">
        <f>IF(BC21="0","0","57.2")</f>
        <v>0</v>
      </c>
    </row>
    <row r="35" spans="1:55" x14ac:dyDescent="0.25">
      <c r="A35" s="1" t="s">
        <v>60</v>
      </c>
      <c r="B35" s="1">
        <f t="shared" ref="B35:D35" si="8">((6*(B34/COS(RADIANS(30)))*SIN(RADIANS(180/6))*B34)/4) *B33</f>
        <v>0</v>
      </c>
      <c r="C35" s="1">
        <f t="shared" si="8"/>
        <v>0</v>
      </c>
      <c r="D35" s="1">
        <f t="shared" si="8"/>
        <v>0</v>
      </c>
      <c r="E35" s="1">
        <f>((6*(E34/COS(RADIANS(30)))*SIN(RADIANS(180/6))*E34)/4) *E33</f>
        <v>0</v>
      </c>
      <c r="F35" s="1">
        <f t="shared" ref="F35:BC35" si="9">((6*(F34/COS(RADIANS(30)))*SIN(RADIANS(180/6))*F34)/4) *F33</f>
        <v>0</v>
      </c>
      <c r="G35" s="1">
        <f t="shared" si="9"/>
        <v>0</v>
      </c>
      <c r="H35" s="1">
        <f t="shared" si="9"/>
        <v>0</v>
      </c>
      <c r="I35" s="1">
        <f t="shared" si="9"/>
        <v>0</v>
      </c>
      <c r="J35" s="1">
        <f t="shared" si="9"/>
        <v>0</v>
      </c>
      <c r="K35" s="1">
        <f t="shared" si="9"/>
        <v>2344.763780746367</v>
      </c>
      <c r="L35" s="1">
        <f t="shared" si="9"/>
        <v>0</v>
      </c>
      <c r="M35" s="1">
        <f t="shared" si="9"/>
        <v>0</v>
      </c>
      <c r="N35" s="1">
        <f t="shared" si="9"/>
        <v>0</v>
      </c>
      <c r="O35" s="1">
        <f t="shared" si="9"/>
        <v>0</v>
      </c>
      <c r="P35" s="1">
        <f t="shared" si="9"/>
        <v>0</v>
      </c>
      <c r="Q35" s="14">
        <f t="shared" si="9"/>
        <v>0</v>
      </c>
      <c r="R35" s="16">
        <f t="shared" si="9"/>
        <v>0</v>
      </c>
      <c r="S35" s="1">
        <f t="shared" si="9"/>
        <v>0</v>
      </c>
      <c r="T35" s="1">
        <f t="shared" si="9"/>
        <v>0</v>
      </c>
      <c r="U35" s="1">
        <f t="shared" si="9"/>
        <v>0</v>
      </c>
      <c r="V35" s="1">
        <f t="shared" si="9"/>
        <v>0</v>
      </c>
      <c r="W35" s="1">
        <f t="shared" si="9"/>
        <v>0</v>
      </c>
      <c r="X35" s="1">
        <f t="shared" si="9"/>
        <v>0</v>
      </c>
      <c r="Y35" s="1">
        <f t="shared" si="9"/>
        <v>0</v>
      </c>
      <c r="Z35" s="1">
        <f t="shared" si="9"/>
        <v>0</v>
      </c>
      <c r="AA35" s="1">
        <f t="shared" si="9"/>
        <v>0</v>
      </c>
      <c r="AB35" s="1">
        <f t="shared" si="9"/>
        <v>0</v>
      </c>
      <c r="AC35" s="1">
        <f t="shared" si="9"/>
        <v>0</v>
      </c>
      <c r="AD35" s="1">
        <f t="shared" si="9"/>
        <v>0</v>
      </c>
      <c r="AE35" s="1">
        <f t="shared" si="9"/>
        <v>0</v>
      </c>
      <c r="AF35" s="1">
        <f t="shared" si="9"/>
        <v>0</v>
      </c>
      <c r="AG35" s="1">
        <f t="shared" si="9"/>
        <v>0</v>
      </c>
      <c r="AH35" s="1">
        <f t="shared" si="9"/>
        <v>0</v>
      </c>
      <c r="AI35" s="1">
        <f t="shared" si="9"/>
        <v>0</v>
      </c>
      <c r="AJ35" s="1">
        <f t="shared" si="9"/>
        <v>0</v>
      </c>
      <c r="AK35" s="1">
        <f t="shared" si="9"/>
        <v>0</v>
      </c>
      <c r="AL35" s="1">
        <f t="shared" si="9"/>
        <v>0</v>
      </c>
      <c r="AM35" s="1">
        <f t="shared" si="9"/>
        <v>0</v>
      </c>
      <c r="AN35" s="1">
        <f t="shared" si="9"/>
        <v>0</v>
      </c>
      <c r="AO35" s="1">
        <f t="shared" si="9"/>
        <v>0</v>
      </c>
      <c r="AP35" s="1">
        <f t="shared" si="9"/>
        <v>0</v>
      </c>
      <c r="AQ35" s="1">
        <f t="shared" si="9"/>
        <v>0</v>
      </c>
      <c r="AR35" s="1">
        <f t="shared" si="9"/>
        <v>0</v>
      </c>
      <c r="AS35" s="1">
        <f t="shared" si="9"/>
        <v>0</v>
      </c>
      <c r="AT35" s="1">
        <f t="shared" si="9"/>
        <v>0</v>
      </c>
      <c r="AU35" s="1">
        <f t="shared" si="9"/>
        <v>0</v>
      </c>
      <c r="AV35" s="5">
        <f t="shared" si="9"/>
        <v>0</v>
      </c>
      <c r="AW35" s="6">
        <f t="shared" si="9"/>
        <v>0</v>
      </c>
      <c r="AX35" s="1">
        <f t="shared" si="9"/>
        <v>0</v>
      </c>
      <c r="AY35" s="1">
        <f t="shared" si="9"/>
        <v>0</v>
      </c>
      <c r="AZ35" s="1">
        <f t="shared" si="9"/>
        <v>0</v>
      </c>
      <c r="BA35" s="1">
        <f t="shared" si="9"/>
        <v>0</v>
      </c>
      <c r="BB35" s="1">
        <f t="shared" si="9"/>
        <v>0</v>
      </c>
      <c r="BC35" s="1">
        <f t="shared" si="9"/>
        <v>0</v>
      </c>
    </row>
    <row r="36" spans="1:5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4"/>
      <c r="R36" s="16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5"/>
      <c r="AW36" s="8"/>
      <c r="AX36" s="1"/>
      <c r="AY36" s="1"/>
      <c r="AZ36" s="1"/>
      <c r="BA36" s="1"/>
      <c r="BB36" s="1"/>
      <c r="BC36" s="1"/>
    </row>
    <row r="37" spans="1:55" x14ac:dyDescent="0.25">
      <c r="A37" s="1" t="s">
        <v>61</v>
      </c>
      <c r="B37" s="1"/>
      <c r="C37" s="1"/>
      <c r="D37" s="1"/>
      <c r="E37" s="1">
        <v>1.9</v>
      </c>
      <c r="F37" s="1">
        <v>2.5</v>
      </c>
      <c r="G37" s="1">
        <v>3.1</v>
      </c>
      <c r="H37" s="1">
        <v>3.7</v>
      </c>
      <c r="I37" s="1">
        <v>5</v>
      </c>
      <c r="J37" s="1">
        <v>6.2</v>
      </c>
      <c r="K37" s="1">
        <v>7.4</v>
      </c>
      <c r="L37" s="1">
        <v>8.8000000000000007</v>
      </c>
      <c r="M37" s="1">
        <v>10.199999999999999</v>
      </c>
      <c r="N37" s="1">
        <v>14</v>
      </c>
      <c r="O37" s="1"/>
      <c r="P37" s="1"/>
      <c r="Q37" s="14"/>
      <c r="R37" s="16"/>
      <c r="S37" s="1">
        <v>1.9</v>
      </c>
      <c r="T37" s="1">
        <v>2.5</v>
      </c>
      <c r="U37" s="1">
        <v>2.5</v>
      </c>
      <c r="V37" s="1">
        <v>3.1</v>
      </c>
      <c r="W37" s="1">
        <v>3.1</v>
      </c>
      <c r="X37" s="1">
        <v>3.7</v>
      </c>
      <c r="Y37" s="1">
        <v>3.7</v>
      </c>
      <c r="Z37" s="1">
        <v>5</v>
      </c>
      <c r="AA37" s="1">
        <v>5</v>
      </c>
      <c r="AB37" s="1">
        <v>5</v>
      </c>
      <c r="AC37" s="1">
        <v>5</v>
      </c>
      <c r="AD37" s="1">
        <v>6.2</v>
      </c>
      <c r="AE37" s="1">
        <v>6.2</v>
      </c>
      <c r="AF37" s="1">
        <v>6.2</v>
      </c>
      <c r="AG37" s="1">
        <v>7.4</v>
      </c>
      <c r="AH37" s="1">
        <v>7.4</v>
      </c>
      <c r="AI37" s="1">
        <v>7.4</v>
      </c>
      <c r="AJ37" s="1">
        <v>8.8000000000000007</v>
      </c>
      <c r="AK37" s="1">
        <v>8.8000000000000007</v>
      </c>
      <c r="AL37" s="1">
        <v>8.8000000000000007</v>
      </c>
      <c r="AM37" s="1">
        <v>10.199999999999999</v>
      </c>
      <c r="AN37" s="1">
        <v>10.199999999999999</v>
      </c>
      <c r="AO37" s="1">
        <v>14</v>
      </c>
      <c r="AP37" s="1">
        <v>14</v>
      </c>
      <c r="AQ37" s="1"/>
      <c r="AR37" s="1"/>
      <c r="AS37" s="1"/>
      <c r="AT37" s="1"/>
      <c r="AU37" s="1"/>
      <c r="AV37" s="5"/>
      <c r="AW37" s="8">
        <v>4.0999999999999996</v>
      </c>
      <c r="AX37" s="1">
        <v>5.9</v>
      </c>
      <c r="AY37" s="1">
        <v>6.4</v>
      </c>
      <c r="AZ37" s="1"/>
      <c r="BA37" s="1"/>
      <c r="BB37" s="1"/>
      <c r="BC37" s="1"/>
    </row>
    <row r="38" spans="1:55" x14ac:dyDescent="0.25">
      <c r="A38" s="1" t="s">
        <v>62</v>
      </c>
      <c r="B38" s="1"/>
      <c r="C38" s="1"/>
      <c r="D38" s="1"/>
      <c r="E38" s="1">
        <v>5.5</v>
      </c>
      <c r="F38" s="1">
        <v>7.5</v>
      </c>
      <c r="G38" s="1">
        <v>9.4</v>
      </c>
      <c r="H38" s="1">
        <v>11.3</v>
      </c>
      <c r="I38" s="1">
        <v>15.2</v>
      </c>
      <c r="J38" s="1">
        <v>19.2</v>
      </c>
      <c r="K38" s="1">
        <v>23.1</v>
      </c>
      <c r="L38" s="1">
        <v>29</v>
      </c>
      <c r="M38" s="1">
        <v>36</v>
      </c>
      <c r="N38" s="1">
        <v>39</v>
      </c>
      <c r="O38" s="1"/>
      <c r="P38" s="1"/>
      <c r="Q38" s="14"/>
      <c r="R38" s="16"/>
      <c r="S38" s="1">
        <v>5.5</v>
      </c>
      <c r="T38" s="1">
        <v>7.5</v>
      </c>
      <c r="U38" s="1">
        <v>7.5</v>
      </c>
      <c r="V38" s="1">
        <v>9.4</v>
      </c>
      <c r="W38" s="1">
        <v>9.4</v>
      </c>
      <c r="X38" s="1">
        <v>11.3</v>
      </c>
      <c r="Y38" s="1">
        <v>11.3</v>
      </c>
      <c r="Z38" s="1">
        <v>15.2</v>
      </c>
      <c r="AA38" s="1">
        <v>15.2</v>
      </c>
      <c r="AB38" s="1">
        <v>15.2</v>
      </c>
      <c r="AC38" s="1">
        <v>15.2</v>
      </c>
      <c r="AD38" s="1">
        <v>19.2</v>
      </c>
      <c r="AE38" s="1">
        <v>19.2</v>
      </c>
      <c r="AF38" s="1">
        <v>19.2</v>
      </c>
      <c r="AG38" s="1">
        <v>23.1</v>
      </c>
      <c r="AH38" s="1">
        <v>23.1</v>
      </c>
      <c r="AI38" s="1">
        <v>23.1</v>
      </c>
      <c r="AJ38" s="1">
        <v>29</v>
      </c>
      <c r="AK38" s="1">
        <v>29</v>
      </c>
      <c r="AL38" s="1">
        <v>29</v>
      </c>
      <c r="AM38" s="1">
        <v>36</v>
      </c>
      <c r="AN38" s="1">
        <v>36</v>
      </c>
      <c r="AO38" s="1">
        <v>39</v>
      </c>
      <c r="AP38" s="1">
        <v>39</v>
      </c>
      <c r="AQ38" s="1"/>
      <c r="AR38" s="1"/>
      <c r="AS38" s="1"/>
      <c r="AT38" s="1"/>
      <c r="AU38" s="1"/>
      <c r="AV38" s="5"/>
      <c r="AW38" s="8">
        <v>12.7</v>
      </c>
      <c r="AX38" s="1">
        <v>19</v>
      </c>
      <c r="AY38" s="1">
        <v>25.4</v>
      </c>
      <c r="AZ38" s="1"/>
      <c r="BA38" s="1"/>
      <c r="BB38" s="1"/>
      <c r="BC38" s="1"/>
    </row>
    <row r="39" spans="1:55" x14ac:dyDescent="0.25">
      <c r="A39" s="1" t="s">
        <v>63</v>
      </c>
      <c r="B39" s="1"/>
      <c r="C39" s="1"/>
      <c r="D39" s="1"/>
      <c r="E39" s="1">
        <f>IF(E21 ="3","2",0)</f>
        <v>0</v>
      </c>
      <c r="F39" s="1">
        <f>IF(F21 ="4","2.5",0)</f>
        <v>0</v>
      </c>
      <c r="G39" s="1">
        <f>IF(G21 ="5","3",0)</f>
        <v>0</v>
      </c>
      <c r="H39" s="1">
        <f>IF(H21 ="6","4",0)</f>
        <v>0</v>
      </c>
      <c r="I39" s="1">
        <f>IF(I21 ="8","5",0)</f>
        <v>0</v>
      </c>
      <c r="J39" s="1">
        <f>IF(J21 ="10","6",0)</f>
        <v>0</v>
      </c>
      <c r="K39" s="1" t="str">
        <f>IF(K21 ="12","8",0)</f>
        <v>8</v>
      </c>
      <c r="L39" s="1">
        <f>IF(L21 ="16","10",0)</f>
        <v>0</v>
      </c>
      <c r="M39" s="1">
        <f>IF(M21 ="20","12",0)</f>
        <v>0</v>
      </c>
      <c r="N39" s="1">
        <f>IF(N21 ="24","14",0)</f>
        <v>0</v>
      </c>
      <c r="O39" s="1"/>
      <c r="P39" s="1"/>
      <c r="Q39" s="14"/>
      <c r="R39" s="16"/>
      <c r="S39" s="1">
        <f>IF(S21 ="3","2",0)</f>
        <v>0</v>
      </c>
      <c r="T39" s="1">
        <f>IF(T21 ="4","2.5",0)</f>
        <v>0</v>
      </c>
      <c r="U39" s="1">
        <f>IF(U21 ="4","2.5",0)</f>
        <v>0</v>
      </c>
      <c r="V39" s="1">
        <f>IF(V21 ="5","3",0)</f>
        <v>0</v>
      </c>
      <c r="W39" s="1">
        <f>IF(W21 ="5","3",0)</f>
        <v>0</v>
      </c>
      <c r="X39" s="1">
        <f>IF(X21 ="6","4",0)</f>
        <v>0</v>
      </c>
      <c r="Y39" s="1">
        <f>IF(Y21 ="6","4",0)</f>
        <v>0</v>
      </c>
      <c r="Z39" s="1">
        <f>IF(Z21 ="6","4",0)</f>
        <v>0</v>
      </c>
      <c r="AA39" s="1">
        <f>IF(AA21 ="8","5",0)</f>
        <v>0</v>
      </c>
      <c r="AB39" s="1">
        <f>IF(AB21 ="8","5",0)</f>
        <v>0</v>
      </c>
      <c r="AC39" s="1">
        <f>IF(AC21 ="8","5",0)</f>
        <v>0</v>
      </c>
      <c r="AD39" s="1">
        <f>IF(AD21 ="10","6",0)</f>
        <v>0</v>
      </c>
      <c r="AE39" s="1">
        <f>IF(AE21 ="10","6",0)</f>
        <v>0</v>
      </c>
      <c r="AF39" s="1">
        <f>IF(AF21 ="10","6",0)</f>
        <v>0</v>
      </c>
      <c r="AG39" s="1">
        <f>IF(AG21 ="12","8",0)</f>
        <v>0</v>
      </c>
      <c r="AH39" s="1">
        <f>IF(AH21 ="12","8",0)</f>
        <v>0</v>
      </c>
      <c r="AI39" s="1">
        <f>IF(AI21 ="12","8",0)</f>
        <v>0</v>
      </c>
      <c r="AJ39" s="1">
        <f>IF(AJ21 ="16","10",0)</f>
        <v>0</v>
      </c>
      <c r="AK39" s="1">
        <f>IF(AK21 ="16","10",0)</f>
        <v>0</v>
      </c>
      <c r="AL39" s="1">
        <f>IF(AL21 ="16","10",0)</f>
        <v>0</v>
      </c>
      <c r="AM39" s="1">
        <f>IF(AM21 ="20","12",0)</f>
        <v>0</v>
      </c>
      <c r="AN39" s="1">
        <f>IF(AN21 ="20","12",0)</f>
        <v>0</v>
      </c>
      <c r="AO39" s="1">
        <f>IF(AO21 ="24","14",0)</f>
        <v>0</v>
      </c>
      <c r="AP39" s="1">
        <f>IF(AP21 ="24","14",0)</f>
        <v>0</v>
      </c>
      <c r="AQ39" s="1"/>
      <c r="AR39" s="1"/>
      <c r="AS39" s="1"/>
      <c r="AT39" s="1"/>
      <c r="AU39" s="1"/>
      <c r="AV39" s="5"/>
      <c r="AW39" s="6" t="str">
        <f>IF(AW21="0","0","3.97")</f>
        <v>0</v>
      </c>
      <c r="AX39" s="1" t="str">
        <f>IF(AX21="0","0","5.56")</f>
        <v>0</v>
      </c>
      <c r="AY39" s="1" t="str">
        <f t="shared" ref="AY39" si="10">IF(AY21="0","0","7.95")</f>
        <v>0</v>
      </c>
      <c r="AZ39" s="1"/>
      <c r="BA39" s="1"/>
      <c r="BB39" s="1"/>
      <c r="BC39" s="1"/>
    </row>
    <row r="40" spans="1:55" x14ac:dyDescent="0.25">
      <c r="A40" s="1" t="s">
        <v>64</v>
      </c>
      <c r="B40" s="1"/>
      <c r="C40" s="1"/>
      <c r="D40" s="1"/>
      <c r="E40" s="1">
        <f>PI()/4*E38*E38 * E37 * 0.5  - ((6*(E39/COS(RADIANS(30)))*SIN(RADIANS(180/6))*E39)/4 * E37 *2/3)</f>
        <v>22.570379720634168</v>
      </c>
      <c r="F40" s="1">
        <f t="shared" ref="F40:N40" si="11">PI()/4*F38*F38 * F37 * 0.5  - ((6*(F39/COS(RADIANS(30)))*SIN(RADIANS(180/6))*F39)/4 * F37 *2/3)</f>
        <v>55.223308363883078</v>
      </c>
      <c r="G40" s="1">
        <f t="shared" si="11"/>
        <v>107.56656166258773</v>
      </c>
      <c r="H40" s="1">
        <f t="shared" si="11"/>
        <v>185.53185924580734</v>
      </c>
      <c r="I40" s="1">
        <f t="shared" si="11"/>
        <v>453.64597917836613</v>
      </c>
      <c r="J40" s="1">
        <f t="shared" si="11"/>
        <v>897.54045475998964</v>
      </c>
      <c r="K40" s="1">
        <f t="shared" si="11"/>
        <v>1277.2232742026893</v>
      </c>
      <c r="L40" s="1">
        <f t="shared" si="11"/>
        <v>2906.2873638359179</v>
      </c>
      <c r="M40" s="1">
        <f t="shared" si="11"/>
        <v>5191.1677007917733</v>
      </c>
      <c r="N40" s="1">
        <f t="shared" si="11"/>
        <v>8362.1342456926304</v>
      </c>
      <c r="O40" s="1"/>
      <c r="P40" s="1"/>
      <c r="Q40" s="14"/>
      <c r="R40" s="16"/>
      <c r="S40" s="1">
        <f t="shared" ref="S40:AP40" si="12">PI()/4*S38*S38 * S37 * 0.5  - ((6*(S39/COS(RADIANS(30)))*SIN(RADIANS(180/6))*S39)/4 * S37 *2/3)</f>
        <v>22.570379720634168</v>
      </c>
      <c r="T40" s="1">
        <f t="shared" si="12"/>
        <v>55.223308363883078</v>
      </c>
      <c r="U40" s="1">
        <f t="shared" si="12"/>
        <v>55.223308363883078</v>
      </c>
      <c r="V40" s="1">
        <f t="shared" si="12"/>
        <v>107.56656166258773</v>
      </c>
      <c r="W40" s="1">
        <f t="shared" si="12"/>
        <v>107.56656166258773</v>
      </c>
      <c r="X40" s="1">
        <f t="shared" si="12"/>
        <v>185.53185924580734</v>
      </c>
      <c r="Y40" s="1">
        <f t="shared" si="12"/>
        <v>185.53185924580734</v>
      </c>
      <c r="Z40" s="1">
        <f t="shared" si="12"/>
        <v>453.64597917836613</v>
      </c>
      <c r="AA40" s="1">
        <f t="shared" si="12"/>
        <v>453.64597917836613</v>
      </c>
      <c r="AB40" s="1">
        <f t="shared" si="12"/>
        <v>453.64597917836613</v>
      </c>
      <c r="AC40" s="1">
        <f t="shared" si="12"/>
        <v>453.64597917836613</v>
      </c>
      <c r="AD40" s="1">
        <f t="shared" si="12"/>
        <v>897.54045475998964</v>
      </c>
      <c r="AE40" s="1">
        <f t="shared" si="12"/>
        <v>897.54045475998964</v>
      </c>
      <c r="AF40" s="1">
        <f t="shared" si="12"/>
        <v>897.54045475998964</v>
      </c>
      <c r="AG40" s="1">
        <f t="shared" si="12"/>
        <v>1550.6563616908959</v>
      </c>
      <c r="AH40" s="1">
        <f t="shared" si="12"/>
        <v>1550.6563616908959</v>
      </c>
      <c r="AI40" s="1">
        <f t="shared" si="12"/>
        <v>1550.6563616908959</v>
      </c>
      <c r="AJ40" s="1">
        <f t="shared" si="12"/>
        <v>2906.2873638359179</v>
      </c>
      <c r="AK40" s="1">
        <f t="shared" si="12"/>
        <v>2906.2873638359179</v>
      </c>
      <c r="AL40" s="1">
        <f t="shared" si="12"/>
        <v>2906.2873638359179</v>
      </c>
      <c r="AM40" s="1">
        <f t="shared" si="12"/>
        <v>5191.1677007917733</v>
      </c>
      <c r="AN40" s="1">
        <f t="shared" si="12"/>
        <v>5191.1677007917733</v>
      </c>
      <c r="AO40" s="1">
        <f t="shared" si="12"/>
        <v>8362.1342456926304</v>
      </c>
      <c r="AP40" s="1">
        <f t="shared" si="12"/>
        <v>8362.1342456926304</v>
      </c>
      <c r="AQ40" s="1"/>
      <c r="AR40" s="1"/>
      <c r="AS40" s="1"/>
      <c r="AT40" s="1"/>
      <c r="AU40" s="1"/>
      <c r="AV40" s="5"/>
      <c r="AW40" s="6">
        <f t="shared" ref="AW40:AY40" si="13">PI()/4*AW38*AW38 * AW37 * 0.5  - ((6*(AW39/COS(RADIANS(30)))*SIN(RADIANS(180/6))*AW39)/4 * AW37 *2/3)</f>
        <v>259.68758303746756</v>
      </c>
      <c r="AX40" s="1">
        <f t="shared" si="13"/>
        <v>836.40977411011249</v>
      </c>
      <c r="AY40" s="1">
        <f t="shared" si="13"/>
        <v>1621.4639331119927</v>
      </c>
      <c r="AZ40" s="1"/>
      <c r="BA40" s="1"/>
      <c r="BB40" s="1"/>
      <c r="BC40" s="1"/>
    </row>
    <row r="41" spans="1:55" x14ac:dyDescent="0.25">
      <c r="A41" s="1" t="s">
        <v>65</v>
      </c>
      <c r="B41" s="1">
        <f t="shared" ref="B41:BC41" si="14">PI()/4*B21*B21*$B9</f>
        <v>0</v>
      </c>
      <c r="C41" s="1">
        <f t="shared" si="14"/>
        <v>0</v>
      </c>
      <c r="D41" s="1">
        <f t="shared" si="14"/>
        <v>0</v>
      </c>
      <c r="E41" s="1">
        <f t="shared" si="14"/>
        <v>0</v>
      </c>
      <c r="F41" s="1">
        <f t="shared" si="14"/>
        <v>0</v>
      </c>
      <c r="G41" s="1">
        <f t="shared" si="14"/>
        <v>0</v>
      </c>
      <c r="H41" s="1">
        <f t="shared" si="14"/>
        <v>0</v>
      </c>
      <c r="I41" s="1">
        <f t="shared" si="14"/>
        <v>0</v>
      </c>
      <c r="J41" s="1">
        <f t="shared" si="14"/>
        <v>0</v>
      </c>
      <c r="K41" s="1">
        <f t="shared" si="14"/>
        <v>16964.600329384884</v>
      </c>
      <c r="L41" s="1">
        <f t="shared" si="14"/>
        <v>0</v>
      </c>
      <c r="M41" s="1">
        <f t="shared" si="14"/>
        <v>0</v>
      </c>
      <c r="N41" s="1">
        <f t="shared" si="14"/>
        <v>0</v>
      </c>
      <c r="O41" s="1">
        <f t="shared" si="14"/>
        <v>0</v>
      </c>
      <c r="P41" s="1">
        <f t="shared" si="14"/>
        <v>0</v>
      </c>
      <c r="Q41" s="14">
        <f t="shared" si="14"/>
        <v>0</v>
      </c>
      <c r="R41" s="16">
        <f t="shared" si="14"/>
        <v>0</v>
      </c>
      <c r="S41" s="1">
        <f t="shared" si="14"/>
        <v>0</v>
      </c>
      <c r="T41" s="1">
        <f t="shared" si="14"/>
        <v>0</v>
      </c>
      <c r="U41" s="1">
        <f t="shared" si="14"/>
        <v>0</v>
      </c>
      <c r="V41" s="1">
        <f t="shared" si="14"/>
        <v>0</v>
      </c>
      <c r="W41" s="1">
        <f t="shared" si="14"/>
        <v>0</v>
      </c>
      <c r="X41" s="1">
        <f t="shared" si="14"/>
        <v>0</v>
      </c>
      <c r="Y41" s="1">
        <f t="shared" si="14"/>
        <v>0</v>
      </c>
      <c r="Z41" s="1">
        <f t="shared" si="14"/>
        <v>0</v>
      </c>
      <c r="AA41" s="1">
        <f t="shared" si="14"/>
        <v>0</v>
      </c>
      <c r="AB41" s="1">
        <f t="shared" si="14"/>
        <v>0</v>
      </c>
      <c r="AC41" s="1">
        <f t="shared" si="14"/>
        <v>0</v>
      </c>
      <c r="AD41" s="1">
        <f t="shared" si="14"/>
        <v>0</v>
      </c>
      <c r="AE41" s="1">
        <f t="shared" si="14"/>
        <v>0</v>
      </c>
      <c r="AF41" s="1">
        <f t="shared" si="14"/>
        <v>0</v>
      </c>
      <c r="AG41" s="1">
        <f t="shared" si="14"/>
        <v>0</v>
      </c>
      <c r="AH41" s="1">
        <f t="shared" si="14"/>
        <v>0</v>
      </c>
      <c r="AI41" s="1">
        <f t="shared" si="14"/>
        <v>0</v>
      </c>
      <c r="AJ41" s="1">
        <f t="shared" si="14"/>
        <v>0</v>
      </c>
      <c r="AK41" s="1">
        <f t="shared" si="14"/>
        <v>0</v>
      </c>
      <c r="AL41" s="1">
        <f t="shared" si="14"/>
        <v>0</v>
      </c>
      <c r="AM41" s="1">
        <f t="shared" si="14"/>
        <v>0</v>
      </c>
      <c r="AN41" s="1">
        <f t="shared" si="14"/>
        <v>0</v>
      </c>
      <c r="AO41" s="1">
        <f t="shared" si="14"/>
        <v>0</v>
      </c>
      <c r="AP41" s="1">
        <f t="shared" si="14"/>
        <v>0</v>
      </c>
      <c r="AQ41" s="1">
        <f t="shared" si="14"/>
        <v>0</v>
      </c>
      <c r="AR41" s="1">
        <f t="shared" si="14"/>
        <v>0</v>
      </c>
      <c r="AS41" s="1">
        <f t="shared" si="14"/>
        <v>0</v>
      </c>
      <c r="AT41" s="1">
        <f t="shared" si="14"/>
        <v>0</v>
      </c>
      <c r="AU41" s="1">
        <f t="shared" si="14"/>
        <v>0</v>
      </c>
      <c r="AV41" s="5">
        <f t="shared" si="14"/>
        <v>0</v>
      </c>
      <c r="AW41" s="6">
        <f t="shared" si="14"/>
        <v>0</v>
      </c>
      <c r="AX41" s="1">
        <f t="shared" si="14"/>
        <v>0</v>
      </c>
      <c r="AY41" s="1">
        <f t="shared" si="14"/>
        <v>0</v>
      </c>
      <c r="AZ41" s="1">
        <f t="shared" si="14"/>
        <v>0</v>
      </c>
      <c r="BA41" s="1">
        <f t="shared" si="14"/>
        <v>0</v>
      </c>
      <c r="BB41" s="1">
        <f t="shared" si="14"/>
        <v>0</v>
      </c>
      <c r="BC41" s="1">
        <f t="shared" si="14"/>
        <v>0</v>
      </c>
    </row>
    <row r="42" spans="1:55" x14ac:dyDescent="0.25">
      <c r="A42" s="1" t="s">
        <v>66</v>
      </c>
      <c r="B42" s="1" t="str">
        <f>IF(B21="1.6",IF($B11 ="Sechskant",B41+B35,IF($B11="Zylinderkopf",B31+B41,IF($B11="Senkkopf",B40+B41,"0"))),"0")</f>
        <v>0</v>
      </c>
      <c r="C42" s="1" t="str">
        <f>IF(C21="2",IF($B11 ="Sechskant",C41+C35,IF($B11="Zylinderkopf",C31+C41,IF($B11="Senkkopf",C40+C41,"0"))),"0")</f>
        <v>0</v>
      </c>
      <c r="D42" s="1" t="str">
        <f>IF(D21="2.5",IF($B11 ="Sechskant",D41+D35,IF($B11="Zylinderkopf",D31+D41,IF($B11="Senkkopf",D40+D41,"0"))),"0")</f>
        <v>0</v>
      </c>
      <c r="E42" s="1" t="str">
        <f>IF(E21="3",IF($B11 ="Sechskant",E41+E35,IF($B11="Zylinderkopf",E31+E41,IF($B11="Senkkopf",E40+E41,"0"))),"0")</f>
        <v>0</v>
      </c>
      <c r="F42" s="1" t="str">
        <f>IF(F21="4",IF($B11 ="Sechskant",F41+F35,IF($B11="Zylinderkopf",F31+F41,IF($B11="Senkkopf",F40+F41,"0"))),"0")</f>
        <v>0</v>
      </c>
      <c r="G42" s="1" t="str">
        <f>IF(G21="5",IF($B11 ="Sechskant",G41+G35,IF($B11="Zylinderkopf",G31+G41,IF($B11="Senkkopf",G40+G41,"0"))),"0")</f>
        <v>0</v>
      </c>
      <c r="H42" s="1" t="str">
        <f>IF(H21="6",IF($B11 ="Sechskant",H41+H35,IF($B11="Zylinderkopf",H31+H41,IF($B11="Senkkopf",H40+H41,"0"))),"0")</f>
        <v>0</v>
      </c>
      <c r="I42" s="1" t="str">
        <f>IF(I21="8",IF($B11 ="Sechskant",I41+I35,IF($B11="Zylinderkopf",I31+I41,IF($B11="Senkkopf",I40+I41,"0"))),"0")</f>
        <v>0</v>
      </c>
      <c r="J42" s="1" t="str">
        <f>IF(J21="10",IF($B11 ="Sechskant",J41+J35,IF($B11="Zylinderkopf",J31+J41,IF($B11="Senkkopf",J40+J41,"0"))),"0")</f>
        <v>0</v>
      </c>
      <c r="K42" s="1">
        <f>IF(K21="12",IF($B11 ="Sechskant",K41+K35,IF($B11="Zylinderkopf",K31+K41,IF($B11="Senkkopf",K40+K41,"0"))),"0")</f>
        <v>19309.364110131253</v>
      </c>
      <c r="L42" s="1" t="str">
        <f>IF(L21="16",IF($B11 ="Sechskant",L41+L35,IF($B11="Zylinderkopf",L31+L41,IF($B11="Senkkopf",L40+L41,"0"))),"0")</f>
        <v>0</v>
      </c>
      <c r="M42" s="1" t="str">
        <f>IF(M21="20",IF($B11 ="Sechskant",M41+M35,IF($B11="Zylinderkopf",M31+M41,IF($B11="Senkkopf",M40+M41,"0"))),"0")</f>
        <v>0</v>
      </c>
      <c r="N42" s="1" t="str">
        <f>IF(N21="24",IF($B11 ="Sechskant",N41+N35,IF($B11="Zylinderkopf",N31+N41,IF($B11="Senkkopf",N40+N41,"0"))),"0")</f>
        <v>0</v>
      </c>
      <c r="O42" s="1" t="str">
        <f>IF(O21="30",IF($B11 ="Sechskant",O41+O35,IF($B11="Zylinderkopf",O31+O41,IF($B11="Senkkopf",O40+O41,"0"))),"0")</f>
        <v>0</v>
      </c>
      <c r="P42" s="1" t="str">
        <f>IF(P21="36",IF($B11 ="Sechskant",P41+P35,IF($B11="Zylinderkopf",P31+P41,IF($B11="Senkkopf",P40+P41,"0"))),"0")</f>
        <v>0</v>
      </c>
      <c r="Q42" s="14" t="str">
        <f>IF(Q21="42",IF($B11 ="Sechskant",Q41+Q35,IF($B11="Zylinderkopf",Q31+Q41,IF($B11="Senkkopf",Q40+Q41,"0"))),"0")</f>
        <v>0</v>
      </c>
      <c r="R42" s="16" t="str">
        <f>IF(R21="2",IF($B11 ="Sechskant",R41+R35,IF($B11="Zylinderkopf",R31+R41,IF($B11="Senkkopf",R40+R41,"0"))),"0")</f>
        <v>0</v>
      </c>
      <c r="S42" s="1" t="str">
        <f>IF(S21="3",IF($B11 ="Sechskant",S41+S35,IF($B11="Zylinderkopf",S31+S41,IF($B11="Senkkopf",S40+S41,"0"))),"0")</f>
        <v>0</v>
      </c>
      <c r="T42" s="1" t="str">
        <f>IF(T21="4",IF($B11 ="Sechskant",T41+T35,IF($B11="Zylinderkopf",T31+T41,IF($B11="Senkkopf",T40+T41,"0"))),"0")</f>
        <v>0</v>
      </c>
      <c r="U42" s="1" t="str">
        <f>IF(U21="4",IF($B11 ="Sechskant",U41+U35,IF($B11="Zylinderkopf",U31+U41,IF($B11="Senkkopf",U40+U41,"0"))),"0")</f>
        <v>0</v>
      </c>
      <c r="V42" s="1" t="str">
        <f>IF(V21="5",IF($B11 ="Sechskant",V41+V35,IF($B11="Zylinderkopf",V31+V41,IF($B11="Senkkopf",V40+V41,"0"))),"0")</f>
        <v>0</v>
      </c>
      <c r="W42" s="1" t="str">
        <f>IF(W21="5",IF($B11 ="Sechskant",W41+W35,IF($B11="Zylinderkopf",W31+W41,IF($B11="Senkkopf",W40+W41,"0"))),"0")</f>
        <v>0</v>
      </c>
      <c r="X42" s="1" t="str">
        <f>IF(X21="6",IF($B11 ="Sechskant",X41+X35,IF($B11="Zylinderkopf",X31+X41,IF($B11="Senkkopf",X40+X41,"0"))),"0")</f>
        <v>0</v>
      </c>
      <c r="Y42" s="1" t="str">
        <f>IF(Y21="6",IF($B11 ="Sechskant",Y41+Y35,IF($B11="Zylinderkopf",Y31+Y41,IF($B11="Senkkopf",Y40+Y41,"0"))),"0")</f>
        <v>0</v>
      </c>
      <c r="Z42" s="1" t="str">
        <f>IF(Z21="6",IF($B11 ="Sechskant",Z41+Z35,IF($B11="Zylinderkopf",Z31+Z41,IF($B11="Senkkopf",Z40+Z41,"0"))),"0")</f>
        <v>0</v>
      </c>
      <c r="AA42" s="1" t="str">
        <f>IF(AA21="8",IF($B11 ="Sechskant",AA41+AA35,IF($B11="Zylinderkopf",AA31+AA41,IF($B11="Senkkopf",AA40+AA41,"0"))),"0")</f>
        <v>0</v>
      </c>
      <c r="AB42" s="1" t="str">
        <f>IF(AB21="8",IF($B11 ="Sechskant",AB41+AB35,IF($B11="Zylinderkopf",AB31+AB41,IF($B11="Senkkopf",AB40+AB41,"0"))),"0")</f>
        <v>0</v>
      </c>
      <c r="AC42" s="1" t="str">
        <f>IF(AC21="8",IF($B11 ="Sechskant",AC41+AC35,IF($B11="Zylinderkopf",AC31+AC41,IF($B11="Senkkopf",AC40+AC41,"0"))),"0")</f>
        <v>0</v>
      </c>
      <c r="AD42" s="1" t="str">
        <f>IF(AD21="10",IF($B11 ="Sechskant",AD41+AD35,IF($B11="Zylinderkopf",AD31+AD41,IF($B11="Senkkopf",AD40+AD41,"0"))),"0")</f>
        <v>0</v>
      </c>
      <c r="AE42" s="1" t="str">
        <f>IF(AE21="10",IF($B11 ="Sechskant",AE41+AE35,IF($B11="Zylinderkopf",AE31+AE41,IF($B11="Senkkopf",AE40+AE41,"0"))),"0")</f>
        <v>0</v>
      </c>
      <c r="AF42" s="1" t="str">
        <f>IF(AF21="10",IF($B11 ="Sechskant",AF41+AF35,IF($B11="Zylinderkopf",AF31+AF41,IF($B11="Senkkopf",AF40+AF41,"0"))),"0")</f>
        <v>0</v>
      </c>
      <c r="AG42" s="1" t="str">
        <f>IF(AG21="12",IF($B11 ="Sechskant",AG41+AG35,IF($B11="Zylinderkopf",AG31+AG41,IF($B11="Senkkopf",AG40+AG41,"0"))),"0")</f>
        <v>0</v>
      </c>
      <c r="AH42" s="1" t="str">
        <f>IF(AH21="12",IF($B11 ="Sechskant",AH41+AH35,IF($B11="Zylinderkopf",AH31+AH41,IF($B11="Senkkopf",AH40+AH41,"0"))),"0")</f>
        <v>0</v>
      </c>
      <c r="AI42" s="1" t="str">
        <f>IF(AI21="12",IF($B11 ="Sechskant",AI41+AI35,IF($B11="Zylinderkopf",AI31+AI41,IF($B11="Senkkopf",AI40+AI41,"0"))),"0")</f>
        <v>0</v>
      </c>
      <c r="AJ42" s="1" t="str">
        <f>IF(AJ21="16",IF($B11 ="Sechskant",AJ41+AJ35,IF($B11="Zylinderkopf",AJ31+AJ41,IF($B11="Senkkopf",AJ40+AJ41,"0"))),"0")</f>
        <v>0</v>
      </c>
      <c r="AK42" s="1" t="str">
        <f>IF(AK21="16",IF($B11 ="Sechskant",AK41+AK35,IF($B11="Zylinderkopf",AK31+AK41,IF($B11="Senkkopf",AK40+AK41,"0"))),"0")</f>
        <v>0</v>
      </c>
      <c r="AL42" s="1" t="str">
        <f>IF(AL21="16",IF($B11 ="Sechskant",AL41+AL35,IF($B11="Zylinderkopf",AL31+AL41,IF($B11="Senkkopf",AL40+AL41,"0"))),"0")</f>
        <v>0</v>
      </c>
      <c r="AM42" s="1" t="str">
        <f>IF(AM21="20",IF($B11 ="Sechskant",AM41+AM35,IF($B11="Zylinderkopf",AM31+AM41,IF($B11="Senkkopf",AM40+AM41,"0"))),"0")</f>
        <v>0</v>
      </c>
      <c r="AN42" s="1" t="str">
        <f>IF(AN21="20",IF($B11 ="Sechskant",AN41+AN35,IF($B11="Zylinderkopf",AN31+AN41,IF($B11="Senkkopf",AN40+AN41,"0"))),"0")</f>
        <v>0</v>
      </c>
      <c r="AO42" s="1" t="str">
        <f>IF(AO21="24",IF($B11 ="Sechskant",AO41+AO35,IF($B11="Zylinderkopf",AO31+AO41,IF($B11="Senkkopf",AO40+AO41,"0"))),"0")</f>
        <v>0</v>
      </c>
      <c r="AP42" s="1" t="str">
        <f>IF(AP21="24",IF($B11 ="Sechskant",AP41+AP35,IF($B11="Zylinderkopf",AP31+AP41,IF($B11="Senkkopf",AP40+AP41,"0"))),"0")</f>
        <v>0</v>
      </c>
      <c r="AQ42" s="1" t="str">
        <f>IF(AQ21="30",IF($B11 ="Sechskant",AQ41+AQ35,IF($B11="Zylinderkopf",AQ31+AQ41,IF($B11="Senkkopf",AQ40+AQ41,"0"))),"0")</f>
        <v>0</v>
      </c>
      <c r="AR42" s="1" t="str">
        <f>IF(AR21="30",IF($B11 ="Sechskant",AR41+AR35,IF($B11="Zylinderkopf",AR31+AR41,IF($B11="Senkkopf",AR40+AR41,"0"))),"0")</f>
        <v>0</v>
      </c>
      <c r="AS42" s="1" t="str">
        <f>IF(AS21="36",IF($B11 ="Sechskant",AS41+AS35,IF($B11="Zylinderkopf",AS31+AS41,IF($B11="Senkkopf",AS40+AS41,"0"))),"0")</f>
        <v>0</v>
      </c>
      <c r="AT42" s="1" t="str">
        <f>IF(AT21="36",IF($B11 ="Sechskant",AT41+AT35,IF($B11="Zylinderkopf",AT31+AT41,IF($B11="Senkkopf",AT40+AT41,"0"))),"0")</f>
        <v>0</v>
      </c>
      <c r="AU42" s="1" t="str">
        <f>IF(AU21="42",IF($B11 ="Sechskant",AU41+AU35,IF($B11="Zylinderkopf",AU31+AU41,IF($B11="Senkkopf",AU40+AU41,"0"))),"0")</f>
        <v>0</v>
      </c>
      <c r="AV42" s="5" t="str">
        <f>IF(AV21="42",IF($B11 ="Sechskant",AV41+AV35,IF($B11="Zylinderkopf",AV31+AV41,IF($B11="Senkkopf",AV40+AV41,"0"))),"0")</f>
        <v>0</v>
      </c>
      <c r="AW42" s="6" t="str">
        <f>IF(AW21="6.35",IF($B11 ="Sechskant",AW41+AW35,IF($B11="Zylinderkopf",AW31+AW41,IF($B11="Senkkopf",AW40+AW41,"0"))),"0")</f>
        <v>0</v>
      </c>
      <c r="AX42" s="1" t="str">
        <f>IF(AX21="9.53",IF($B11 ="Sechskant",AX41+AX35,IF($B11="Zylinderkopf",AX31+AX41,IF($B11="Senkkopf",AX40+AX41,"0"))),"0")</f>
        <v>0</v>
      </c>
      <c r="AY42" s="1" t="str">
        <f>IF(AY21="12.7",IF($B11 ="Sechskant",AY41+AY35,IF($B11="Zylinderkopf",AY31+AY41,IF($B11="Senkkopf",AY40+AY41,"0"))),"0")</f>
        <v>0</v>
      </c>
      <c r="AZ42" s="1" t="str">
        <f>IF(AZ21="19.05",IF($B11 ="Sechskant",AZ41+AZ35,IF($B11="Zylinderkopf",AZ31+AZ41,IF($B11="Senkkopf",AZ40+AZ41,"0"))),"0")</f>
        <v>0</v>
      </c>
      <c r="BA42" s="1" t="str">
        <f>IF(BA21="25.4",IF($B11 ="Sechskant",BA41+BA35,IF($B11="Zylinderkopf",BA31+BA41,IF($B11="Senkkopf",BA40+BA41,"0"))),"0")</f>
        <v>0</v>
      </c>
      <c r="BB42" s="1" t="str">
        <f>IF(BB21="31.75",IF($B11 ="Sechskant",BB41+BB35,IF($B11="Zylinderkopf",BB31+BB41,IF($B11="Senkkopf",BB40+BB41,"0"))),"0")</f>
        <v>0</v>
      </c>
      <c r="BC42" s="1" t="str">
        <f>IF(BC21="38.1",IF($B11 ="Sechskant",BC41+BC35,IF($B11="Zylinderkopf",BC31+BC41,IF($B11="Senkkopf",BC40+BC41,"0"))),"0")</f>
        <v>0</v>
      </c>
    </row>
    <row r="43" spans="1:55" x14ac:dyDescent="0.25">
      <c r="A43" s="1" t="s">
        <v>67</v>
      </c>
      <c r="B43" s="1">
        <f t="shared" ref="B43:BC43" si="15">IF($B8="Stahl",$B3,IF($B8="Aluminium",$C3,IF($B8="Titan",$D3,IF($B8="Messing",$E3,IF($B8="Kupfer",$F3,IF($B8="Bronze",$G3,"0"))))))*B42</f>
        <v>0</v>
      </c>
      <c r="C43" s="1">
        <f t="shared" si="15"/>
        <v>0</v>
      </c>
      <c r="D43" s="1">
        <f t="shared" si="15"/>
        <v>0</v>
      </c>
      <c r="E43" s="1">
        <f t="shared" si="15"/>
        <v>0</v>
      </c>
      <c r="F43" s="1">
        <f t="shared" si="15"/>
        <v>0</v>
      </c>
      <c r="G43" s="1">
        <f t="shared" si="15"/>
        <v>0</v>
      </c>
      <c r="H43" s="1">
        <f t="shared" si="15"/>
        <v>0</v>
      </c>
      <c r="I43" s="1">
        <f t="shared" si="15"/>
        <v>0</v>
      </c>
      <c r="J43" s="1">
        <f t="shared" si="15"/>
        <v>0</v>
      </c>
      <c r="K43" s="1">
        <f t="shared" si="15"/>
        <v>173.01190242677606</v>
      </c>
      <c r="L43" s="1">
        <f t="shared" si="15"/>
        <v>0</v>
      </c>
      <c r="M43" s="1">
        <f t="shared" si="15"/>
        <v>0</v>
      </c>
      <c r="N43" s="1">
        <f t="shared" si="15"/>
        <v>0</v>
      </c>
      <c r="O43" s="1">
        <f t="shared" si="15"/>
        <v>0</v>
      </c>
      <c r="P43" s="1">
        <f t="shared" si="15"/>
        <v>0</v>
      </c>
      <c r="Q43" s="14">
        <f t="shared" si="15"/>
        <v>0</v>
      </c>
      <c r="R43" s="16">
        <f t="shared" si="15"/>
        <v>0</v>
      </c>
      <c r="S43" s="1">
        <f t="shared" si="15"/>
        <v>0</v>
      </c>
      <c r="T43" s="1">
        <f t="shared" si="15"/>
        <v>0</v>
      </c>
      <c r="U43" s="1">
        <f t="shared" si="15"/>
        <v>0</v>
      </c>
      <c r="V43" s="1">
        <f t="shared" si="15"/>
        <v>0</v>
      </c>
      <c r="W43" s="1">
        <f t="shared" si="15"/>
        <v>0</v>
      </c>
      <c r="X43" s="1">
        <f t="shared" si="15"/>
        <v>0</v>
      </c>
      <c r="Y43" s="1">
        <f t="shared" si="15"/>
        <v>0</v>
      </c>
      <c r="Z43" s="1">
        <f t="shared" si="15"/>
        <v>0</v>
      </c>
      <c r="AA43" s="1">
        <f t="shared" si="15"/>
        <v>0</v>
      </c>
      <c r="AB43" s="1">
        <f t="shared" si="15"/>
        <v>0</v>
      </c>
      <c r="AC43" s="1">
        <f t="shared" si="15"/>
        <v>0</v>
      </c>
      <c r="AD43" s="1">
        <f t="shared" si="15"/>
        <v>0</v>
      </c>
      <c r="AE43" s="1">
        <f t="shared" si="15"/>
        <v>0</v>
      </c>
      <c r="AF43" s="1">
        <f t="shared" si="15"/>
        <v>0</v>
      </c>
      <c r="AG43" s="1">
        <f t="shared" si="15"/>
        <v>0</v>
      </c>
      <c r="AH43" s="1">
        <f t="shared" si="15"/>
        <v>0</v>
      </c>
      <c r="AI43" s="1">
        <f t="shared" si="15"/>
        <v>0</v>
      </c>
      <c r="AJ43" s="1">
        <f t="shared" si="15"/>
        <v>0</v>
      </c>
      <c r="AK43" s="1">
        <f t="shared" si="15"/>
        <v>0</v>
      </c>
      <c r="AL43" s="1">
        <f t="shared" si="15"/>
        <v>0</v>
      </c>
      <c r="AM43" s="1">
        <f t="shared" si="15"/>
        <v>0</v>
      </c>
      <c r="AN43" s="1">
        <f t="shared" si="15"/>
        <v>0</v>
      </c>
      <c r="AO43" s="1">
        <f t="shared" si="15"/>
        <v>0</v>
      </c>
      <c r="AP43" s="1">
        <f t="shared" si="15"/>
        <v>0</v>
      </c>
      <c r="AQ43" s="1">
        <f t="shared" si="15"/>
        <v>0</v>
      </c>
      <c r="AR43" s="1">
        <f t="shared" si="15"/>
        <v>0</v>
      </c>
      <c r="AS43" s="1">
        <f t="shared" si="15"/>
        <v>0</v>
      </c>
      <c r="AT43" s="1">
        <f t="shared" si="15"/>
        <v>0</v>
      </c>
      <c r="AU43" s="1">
        <f t="shared" si="15"/>
        <v>0</v>
      </c>
      <c r="AV43" s="5">
        <f t="shared" si="15"/>
        <v>0</v>
      </c>
      <c r="AW43" s="6">
        <f t="shared" si="15"/>
        <v>0</v>
      </c>
      <c r="AX43" s="1">
        <f t="shared" si="15"/>
        <v>0</v>
      </c>
      <c r="AY43" s="1">
        <f t="shared" si="15"/>
        <v>0</v>
      </c>
      <c r="AZ43" s="1">
        <f t="shared" si="15"/>
        <v>0</v>
      </c>
      <c r="BA43" s="1">
        <f t="shared" si="15"/>
        <v>0</v>
      </c>
      <c r="BB43" s="1">
        <f t="shared" si="15"/>
        <v>0</v>
      </c>
      <c r="BC43" s="1">
        <f t="shared" si="15"/>
        <v>0</v>
      </c>
    </row>
    <row r="44" spans="1:55" x14ac:dyDescent="0.25">
      <c r="A44" s="1" t="s">
        <v>68</v>
      </c>
      <c r="B44" s="1">
        <f t="shared" ref="B44:BC44" si="16">($B14*B43)/1000</f>
        <v>0</v>
      </c>
      <c r="C44" s="1">
        <f t="shared" si="16"/>
        <v>0</v>
      </c>
      <c r="D44" s="1">
        <f t="shared" si="16"/>
        <v>0</v>
      </c>
      <c r="E44" s="1">
        <f t="shared" si="16"/>
        <v>0</v>
      </c>
      <c r="F44" s="1">
        <f t="shared" si="16"/>
        <v>0</v>
      </c>
      <c r="G44" s="1">
        <f t="shared" si="16"/>
        <v>0</v>
      </c>
      <c r="H44" s="1">
        <f t="shared" si="16"/>
        <v>0</v>
      </c>
      <c r="I44" s="1">
        <f t="shared" si="16"/>
        <v>0</v>
      </c>
      <c r="J44" s="1">
        <f t="shared" si="16"/>
        <v>0</v>
      </c>
      <c r="K44" s="1">
        <f t="shared" si="16"/>
        <v>2.5951785364016411</v>
      </c>
      <c r="L44" s="1">
        <f t="shared" si="16"/>
        <v>0</v>
      </c>
      <c r="M44" s="1">
        <f t="shared" si="16"/>
        <v>0</v>
      </c>
      <c r="N44" s="1">
        <f t="shared" si="16"/>
        <v>0</v>
      </c>
      <c r="O44" s="1">
        <f t="shared" si="16"/>
        <v>0</v>
      </c>
      <c r="P44" s="1">
        <f t="shared" si="16"/>
        <v>0</v>
      </c>
      <c r="Q44" s="14">
        <f t="shared" si="16"/>
        <v>0</v>
      </c>
      <c r="R44" s="16">
        <f t="shared" si="16"/>
        <v>0</v>
      </c>
      <c r="S44" s="1">
        <f t="shared" si="16"/>
        <v>0</v>
      </c>
      <c r="T44" s="1">
        <f t="shared" si="16"/>
        <v>0</v>
      </c>
      <c r="U44" s="1">
        <f t="shared" si="16"/>
        <v>0</v>
      </c>
      <c r="V44" s="1">
        <f t="shared" si="16"/>
        <v>0</v>
      </c>
      <c r="W44" s="1">
        <f t="shared" si="16"/>
        <v>0</v>
      </c>
      <c r="X44" s="1">
        <f t="shared" si="16"/>
        <v>0</v>
      </c>
      <c r="Y44" s="1">
        <f t="shared" si="16"/>
        <v>0</v>
      </c>
      <c r="Z44" s="1">
        <f t="shared" si="16"/>
        <v>0</v>
      </c>
      <c r="AA44" s="1">
        <f t="shared" si="16"/>
        <v>0</v>
      </c>
      <c r="AB44" s="1">
        <f t="shared" si="16"/>
        <v>0</v>
      </c>
      <c r="AC44" s="1">
        <f t="shared" si="16"/>
        <v>0</v>
      </c>
      <c r="AD44" s="1">
        <f t="shared" si="16"/>
        <v>0</v>
      </c>
      <c r="AE44" s="1">
        <f t="shared" si="16"/>
        <v>0</v>
      </c>
      <c r="AF44" s="1">
        <f t="shared" si="16"/>
        <v>0</v>
      </c>
      <c r="AG44" s="1">
        <f t="shared" si="16"/>
        <v>0</v>
      </c>
      <c r="AH44" s="1">
        <f t="shared" si="16"/>
        <v>0</v>
      </c>
      <c r="AI44" s="1">
        <f t="shared" si="16"/>
        <v>0</v>
      </c>
      <c r="AJ44" s="1">
        <f t="shared" si="16"/>
        <v>0</v>
      </c>
      <c r="AK44" s="1">
        <f t="shared" si="16"/>
        <v>0</v>
      </c>
      <c r="AL44" s="1">
        <f t="shared" si="16"/>
        <v>0</v>
      </c>
      <c r="AM44" s="1">
        <f t="shared" si="16"/>
        <v>0</v>
      </c>
      <c r="AN44" s="1">
        <f t="shared" si="16"/>
        <v>0</v>
      </c>
      <c r="AO44" s="1">
        <f t="shared" si="16"/>
        <v>0</v>
      </c>
      <c r="AP44" s="1">
        <f t="shared" si="16"/>
        <v>0</v>
      </c>
      <c r="AQ44" s="1">
        <f t="shared" si="16"/>
        <v>0</v>
      </c>
      <c r="AR44" s="1">
        <f t="shared" si="16"/>
        <v>0</v>
      </c>
      <c r="AS44" s="1">
        <f t="shared" si="16"/>
        <v>0</v>
      </c>
      <c r="AT44" s="1">
        <f t="shared" si="16"/>
        <v>0</v>
      </c>
      <c r="AU44" s="1">
        <f t="shared" si="16"/>
        <v>0</v>
      </c>
      <c r="AV44" s="5">
        <f t="shared" si="16"/>
        <v>0</v>
      </c>
      <c r="AW44" s="6">
        <f t="shared" si="16"/>
        <v>0</v>
      </c>
      <c r="AX44" s="1">
        <f t="shared" si="16"/>
        <v>0</v>
      </c>
      <c r="AY44" s="1">
        <f t="shared" si="16"/>
        <v>0</v>
      </c>
      <c r="AZ44" s="1">
        <f t="shared" si="16"/>
        <v>0</v>
      </c>
      <c r="BA44" s="1">
        <f t="shared" si="16"/>
        <v>0</v>
      </c>
      <c r="BB44" s="1">
        <f t="shared" si="16"/>
        <v>0</v>
      </c>
      <c r="BC44" s="1">
        <f t="shared" si="16"/>
        <v>0</v>
      </c>
    </row>
    <row r="49" spans="1:8" x14ac:dyDescent="0.25">
      <c r="A49" s="9" t="s">
        <v>69</v>
      </c>
    </row>
    <row r="50" spans="1:8" x14ac:dyDescent="0.25">
      <c r="A50" t="s">
        <v>48</v>
      </c>
      <c r="B50" s="10">
        <f>B21+C21+D21+E21+F21+G21+H21+I21+J21+K21+L21+M21+N21+O21+P21+Q21+R21+S21+T21+U21+V21+W21+X21+Y21+Z21+AA21+AB21+AC21+AD21+AE21+AF21+AG21+AI21+AH21+AJ21+AK21+AL21+AM21+AN21+AO21+AP21+AQ21+AR21+AS21+AT21+AU21+AV21+AW21+AX21+AY21+AZ21+BA21+BB21+BC21</f>
        <v>12</v>
      </c>
      <c r="C50" s="12">
        <f t="shared" ref="C50:C59" si="17">B50</f>
        <v>12</v>
      </c>
    </row>
    <row r="51" spans="1:8" x14ac:dyDescent="0.25">
      <c r="A51" t="s">
        <v>49</v>
      </c>
      <c r="B51" s="10">
        <f>B22+C22+D22+E22+F22+G22+H22+I22+J22+K22+L22+M22+N22+O22+P22+Q22+R22+S22+T22+U22+V22+W22+X22+Y22+Z22+AA22+AB22+AC22+AD22+AE22+AF22+AG22+AH22+AI22+AJ22+AK22+AL22+AM22+AN22+AO22+AP22+AQ22+AR22+AS22+AT22+AU22+AV22+AW22+AX22+AY22+AZ22+BA22+BB22+BC22</f>
        <v>1.75</v>
      </c>
      <c r="C51" s="12">
        <f t="shared" si="17"/>
        <v>1.75</v>
      </c>
    </row>
    <row r="52" spans="1:8" x14ac:dyDescent="0.25">
      <c r="A52" t="s">
        <v>50</v>
      </c>
      <c r="B52" s="10">
        <f>MAX(B23:AV23)+AW23+AX23+AY23+AZ23+BA23+BB23+BC23</f>
        <v>10.863375</v>
      </c>
      <c r="C52" s="12">
        <f t="shared" si="17"/>
        <v>10.863375</v>
      </c>
    </row>
    <row r="53" spans="1:8" x14ac:dyDescent="0.25">
      <c r="A53" t="s">
        <v>51</v>
      </c>
      <c r="B53" s="10">
        <f>MAX(B24:AV24)+AW24+AX24+AY24+AZ24+BA24+BB24+BC24</f>
        <v>9.852924999999999</v>
      </c>
      <c r="C53" s="12">
        <f t="shared" si="17"/>
        <v>9.852924999999999</v>
      </c>
    </row>
    <row r="54" spans="1:8" x14ac:dyDescent="0.25">
      <c r="A54" t="s">
        <v>52</v>
      </c>
      <c r="B54" s="10">
        <f>MAX(B25:AV25)+AW25+AX25+AY25+AZ25+BA25+BB25+BC25</f>
        <v>10.25</v>
      </c>
      <c r="C54" s="12">
        <f t="shared" si="17"/>
        <v>10.25</v>
      </c>
    </row>
    <row r="55" spans="1:8" x14ac:dyDescent="0.25">
      <c r="A55" t="s">
        <v>70</v>
      </c>
      <c r="B55" s="10">
        <f>B44+C44+D44+E44+F44+G44+H44+I44+J44+K44+L44+M44+N44+O44+P44+Q44+R44+S44+T44+U44+V44+W44+X44+Y44+Z44+AA44+AB44+AC44+AD44+AE44+AF44+AG44+AH44+AI44+AJ44+AK44+AL44+AM44+AN44+AO44+AP44+AQ44+AR44+AS44+AT44+AU44+AV44+AW44+AX44+AY44+AZ44+BA44+BB44+BC44</f>
        <v>2.5951785364016411</v>
      </c>
      <c r="C55" s="12">
        <f t="shared" si="17"/>
        <v>2.5951785364016411</v>
      </c>
    </row>
    <row r="56" spans="1:8" x14ac:dyDescent="0.25">
      <c r="A56" t="s">
        <v>71</v>
      </c>
      <c r="B56" s="10">
        <f>IF($B11 = "Sechskant",B34+C34+D34+E34+F34+G34+H34+I34+J34+K34+L34+M34+N34+O34+P34+Q34+R34+T34+S34+U34+V34+W34+X34+Y34+Z34+AA34+AB34+AC34+AD34+AE34+AF34+AG34+AH34+AI34+AJ34+AK34+AL34+AM34+AN34+AO34+AP34+AQ34+AR34+AS34+AT34+AU34+AV34+AW34+AX34+AY34+AZ34+BA34+BB34+BC34,IF($B11="Zylinderkopf",AW30+AX30+AY30+AZ30+BA30+B30+C30+D30+E30+F30+G30+H30+I30+J30+K30+L30+M30+N30+O30+P30+Q30+R30+S30+T30+U30+V30+W30+X30+Y30+AA30+Z30+AB30+AC30+AD30+AE30+AF30+AG30+AH30+AI30+AJ30+AK30+AL30+AM30+AN30+AO30+AP30+AQ30+AR30+AS30+AT30+AU30+AV30,IF(B11="Senkkopf",AW39+AX39+AY39+E39+F39+G39+H39+I39+J39+K39+L39+M39+N39+S39+T39+U39+V39+W39+X39+Y39+Z39+AA39+AB39+AC39+AD39+AE39+AF39+AG39+AH39+AI39+AJ39+AK39+AL39+AM39+AN39+AO39+AP39,"0")))</f>
        <v>19</v>
      </c>
      <c r="C56" s="12">
        <f t="shared" si="17"/>
        <v>19</v>
      </c>
    </row>
    <row r="57" spans="1:8" x14ac:dyDescent="0.25">
      <c r="A57" t="s">
        <v>72</v>
      </c>
      <c r="B57" s="11" t="str">
        <f>IF(B16="3.6","180",IF(B16="4.6","240",IF(B16="4.8","320",IF(B16="5.8","400",IF(B16="6.8","480",IF(B16="8.8","640",IF(B16="9.8","720",IF(B16="10.9","900",IF(B16="12.9","1080","0")))))))))</f>
        <v>240</v>
      </c>
      <c r="C57" s="13" t="str">
        <f>B57</f>
        <v>240</v>
      </c>
    </row>
    <row r="58" spans="1:8" x14ac:dyDescent="0.25">
      <c r="A58" t="s">
        <v>73</v>
      </c>
      <c r="B58" s="11" t="str">
        <f>IF(B16="3.6","300",IF(B16="4.6","400",IF(B16="4.8","400",IF(B16="5.8","500",IF(B16="6.8","600",IF(B16="8.8","800",IF(B16="9.8","900",IF(B16="10.9","1000",IF(B16="12.9","1200","0")))))))))</f>
        <v>400</v>
      </c>
      <c r="C58" s="13" t="str">
        <f t="shared" si="17"/>
        <v>400</v>
      </c>
    </row>
    <row r="59" spans="1:8" x14ac:dyDescent="0.25">
      <c r="A59" t="s">
        <v>74</v>
      </c>
      <c r="B59" s="10">
        <f>IF(B8="Stahl",B55*B4*4.25,IF(B8="Aluminium",B55*C4*4.25,IF(B8="Titan",B55*D4*4.25,IF(B8="Messing",B55*E4*4.25,IF(B8="Kupfer",B55*F4*4.25,IF(B8="Bronze",B55*G4*4.25,"0"))))))</f>
        <v>109.19213691909906</v>
      </c>
      <c r="C59" s="12">
        <f t="shared" si="17"/>
        <v>109.19213691909906</v>
      </c>
      <c r="E59" t="s">
        <v>75</v>
      </c>
      <c r="F59" t="s">
        <v>76</v>
      </c>
      <c r="G59" t="s">
        <v>77</v>
      </c>
      <c r="H59" t="s">
        <v>78</v>
      </c>
    </row>
    <row r="60" spans="1:8" x14ac:dyDescent="0.25">
      <c r="A60" t="s">
        <v>53</v>
      </c>
      <c r="B60" s="10">
        <f>MAX(B26:BC26)</f>
        <v>1017.8760197630929</v>
      </c>
      <c r="C60" s="12">
        <f>B60</f>
        <v>1017.8760197630929</v>
      </c>
    </row>
    <row r="65" spans="3:7" x14ac:dyDescent="0.25">
      <c r="C65" s="22" t="s">
        <v>79</v>
      </c>
      <c r="D65" s="22"/>
      <c r="E65" s="22"/>
      <c r="F65" s="22"/>
      <c r="G65" s="22"/>
    </row>
    <row r="66" spans="3:7" x14ac:dyDescent="0.25">
      <c r="C66" s="22" t="s">
        <v>104</v>
      </c>
      <c r="D66" s="22"/>
      <c r="E66" s="22"/>
      <c r="F66" s="22"/>
      <c r="G66" s="22"/>
    </row>
  </sheetData>
  <mergeCells count="7">
    <mergeCell ref="AW19:BC19"/>
    <mergeCell ref="C66:G66"/>
    <mergeCell ref="B1:G1"/>
    <mergeCell ref="F10:H10"/>
    <mergeCell ref="A19:Q19"/>
    <mergeCell ref="R19:AV19"/>
    <mergeCell ref="C65:G65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Müller</dc:creator>
  <cp:lastModifiedBy>Edis Duvnjak</cp:lastModifiedBy>
  <dcterms:created xsi:type="dcterms:W3CDTF">2021-05-10T11:14:26Z</dcterms:created>
  <dcterms:modified xsi:type="dcterms:W3CDTF">2021-05-11T13:44:46Z</dcterms:modified>
</cp:coreProperties>
</file>