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vi\Desktop\Hochsprachenprogrammierung\Sprint\HSP-SoSe-2021\"/>
    </mc:Choice>
  </mc:AlternateContent>
  <xr:revisionPtr revIDLastSave="0" documentId="13_ncr:1_{FF52D0F2-DB34-4902-BECE-C989AFCD808C}" xr6:coauthVersionLast="46" xr6:coauthVersionMax="46" xr10:uidLastSave="{00000000-0000-0000-0000-000000000000}"/>
  <bookViews>
    <workbookView xWindow="-120" yWindow="-120" windowWidth="29040" windowHeight="15840" xr2:uid="{BCA7EF73-EA4B-48ED-AA2D-05ECA064157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0" i="1" l="1"/>
  <c r="I40" i="1"/>
  <c r="E40" i="1"/>
  <c r="N39" i="1"/>
  <c r="M39" i="1"/>
  <c r="L39" i="1"/>
  <c r="K39" i="1"/>
  <c r="J39" i="1"/>
  <c r="I39" i="1"/>
  <c r="H39" i="1"/>
  <c r="G39" i="1"/>
  <c r="F39" i="1"/>
  <c r="E39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P22" i="1"/>
  <c r="P25" i="1" s="1"/>
  <c r="M22" i="1"/>
  <c r="M25" i="1" s="1"/>
  <c r="Q21" i="1"/>
  <c r="Q40" i="1" s="1"/>
  <c r="P21" i="1"/>
  <c r="P40" i="1" s="1"/>
  <c r="O21" i="1"/>
  <c r="O41" i="1" s="1"/>
  <c r="O42" i="1" s="1"/>
  <c r="O43" i="1" s="1"/>
  <c r="N21" i="1"/>
  <c r="N41" i="1" s="1"/>
  <c r="N42" i="1" s="1"/>
  <c r="N43" i="1" s="1"/>
  <c r="M21" i="1"/>
  <c r="L21" i="1"/>
  <c r="K21" i="1"/>
  <c r="K41" i="1" s="1"/>
  <c r="K42" i="1" s="1"/>
  <c r="K43" i="1" s="1"/>
  <c r="J21" i="1"/>
  <c r="I21" i="1"/>
  <c r="H21" i="1"/>
  <c r="G21" i="1"/>
  <c r="G40" i="1" s="1"/>
  <c r="F21" i="1"/>
  <c r="F40" i="1" s="1"/>
  <c r="E21" i="1"/>
  <c r="D21" i="1"/>
  <c r="C21" i="1"/>
  <c r="C41" i="1" s="1"/>
  <c r="C42" i="1" s="1"/>
  <c r="C43" i="1" s="1"/>
  <c r="B21" i="1"/>
  <c r="B41" i="1" s="1"/>
  <c r="B42" i="1" s="1"/>
  <c r="B43" i="1" s="1"/>
  <c r="G3" i="1"/>
  <c r="F3" i="1"/>
  <c r="E3" i="1"/>
  <c r="D3" i="1"/>
  <c r="C3" i="1"/>
  <c r="B3" i="1"/>
  <c r="C22" i="1" l="1"/>
  <c r="C23" i="1" s="1"/>
  <c r="D22" i="1"/>
  <c r="D25" i="1" s="1"/>
  <c r="D41" i="1"/>
  <c r="D42" i="1" s="1"/>
  <c r="D43" i="1" s="1"/>
  <c r="P24" i="1"/>
  <c r="B22" i="1"/>
  <c r="B24" i="1" s="1"/>
  <c r="I24" i="1"/>
  <c r="H22" i="1"/>
  <c r="H25" i="1" s="1"/>
  <c r="H41" i="1"/>
  <c r="H42" i="1" s="1"/>
  <c r="H43" i="1" s="1"/>
  <c r="P23" i="1"/>
  <c r="I22" i="1"/>
  <c r="I41" i="1"/>
  <c r="I42" i="1" s="1"/>
  <c r="I43" i="1" s="1"/>
  <c r="N22" i="1"/>
  <c r="N25" i="1" s="1"/>
  <c r="C40" i="1"/>
  <c r="P41" i="1"/>
  <c r="P42" i="1" s="1"/>
  <c r="P43" i="1" s="1"/>
  <c r="M23" i="1"/>
  <c r="O22" i="1"/>
  <c r="O25" i="1" s="1"/>
  <c r="D40" i="1"/>
  <c r="D23" i="1"/>
  <c r="H40" i="1"/>
  <c r="B49" i="1"/>
  <c r="C25" i="1"/>
  <c r="G22" i="1"/>
  <c r="G24" i="1" s="1"/>
  <c r="Q41" i="1"/>
  <c r="Q42" i="1" s="1"/>
  <c r="Q43" i="1" s="1"/>
  <c r="F41" i="1"/>
  <c r="F42" i="1" s="1"/>
  <c r="F43" i="1" s="1"/>
  <c r="M24" i="1"/>
  <c r="K40" i="1"/>
  <c r="E41" i="1"/>
  <c r="E42" i="1" s="1"/>
  <c r="E43" i="1" s="1"/>
  <c r="J40" i="1"/>
  <c r="G41" i="1"/>
  <c r="G42" i="1" s="1"/>
  <c r="G43" i="1" s="1"/>
  <c r="J22" i="1"/>
  <c r="J23" i="1" s="1"/>
  <c r="F23" i="1"/>
  <c r="N24" i="1"/>
  <c r="L40" i="1"/>
  <c r="L41" i="1" s="1"/>
  <c r="L42" i="1" s="1"/>
  <c r="L43" i="1" s="1"/>
  <c r="K22" i="1"/>
  <c r="K23" i="1" s="1"/>
  <c r="C24" i="1"/>
  <c r="O24" i="1"/>
  <c r="K25" i="1"/>
  <c r="M40" i="1"/>
  <c r="M41" i="1" s="1"/>
  <c r="M42" i="1" s="1"/>
  <c r="M43" i="1" s="1"/>
  <c r="L22" i="1"/>
  <c r="L25" i="1" s="1"/>
  <c r="H23" i="1"/>
  <c r="B40" i="1"/>
  <c r="N40" i="1"/>
  <c r="J41" i="1"/>
  <c r="J42" i="1" s="1"/>
  <c r="J43" i="1" s="1"/>
  <c r="F22" i="1"/>
  <c r="B23" i="1"/>
  <c r="N23" i="1"/>
  <c r="F25" i="1"/>
  <c r="F24" i="1"/>
  <c r="B25" i="1"/>
  <c r="E22" i="1"/>
  <c r="B50" i="1" s="1"/>
  <c r="Q22" i="1"/>
  <c r="Q25" i="1" s="1"/>
  <c r="Q23" i="1" l="1"/>
  <c r="Q24" i="1"/>
  <c r="B54" i="1"/>
  <c r="E24" i="1"/>
  <c r="H24" i="1"/>
  <c r="D24" i="1"/>
  <c r="O23" i="1"/>
  <c r="I25" i="1"/>
  <c r="I23" i="1"/>
  <c r="L24" i="1"/>
  <c r="G23" i="1"/>
  <c r="G25" i="1"/>
  <c r="L23" i="1"/>
  <c r="K24" i="1"/>
  <c r="J24" i="1"/>
  <c r="J25" i="1"/>
  <c r="E25" i="1"/>
  <c r="E23" i="1"/>
  <c r="B53" i="1" l="1"/>
  <c r="B51" i="1"/>
  <c r="B52" i="1"/>
</calcChain>
</file>

<file path=xl/sharedStrings.xml><?xml version="1.0" encoding="utf-8"?>
<sst xmlns="http://schemas.openxmlformats.org/spreadsheetml/2006/main" count="69" uniqueCount="59">
  <si>
    <t>getDichte</t>
  </si>
  <si>
    <t>Material</t>
  </si>
  <si>
    <t>Stahl</t>
  </si>
  <si>
    <t>Aluminium</t>
  </si>
  <si>
    <t>Titan</t>
  </si>
  <si>
    <t>Messing</t>
  </si>
  <si>
    <t>Kupfer</t>
  </si>
  <si>
    <t>Bronze</t>
  </si>
  <si>
    <t>Festigkeitsklasse</t>
  </si>
  <si>
    <t>Metrisch</t>
  </si>
  <si>
    <t>M1,6</t>
  </si>
  <si>
    <t>M2</t>
  </si>
  <si>
    <t>M2,5</t>
  </si>
  <si>
    <t>M3</t>
  </si>
  <si>
    <t>M4</t>
  </si>
  <si>
    <t>M5</t>
  </si>
  <si>
    <t>M6</t>
  </si>
  <si>
    <t>M8</t>
  </si>
  <si>
    <t>M10</t>
  </si>
  <si>
    <t>M12</t>
  </si>
  <si>
    <t>M16</t>
  </si>
  <si>
    <t>M20</t>
  </si>
  <si>
    <t>M24</t>
  </si>
  <si>
    <t>M30</t>
  </si>
  <si>
    <t>M36</t>
  </si>
  <si>
    <t>M42</t>
  </si>
  <si>
    <t>Durchmesser</t>
  </si>
  <si>
    <t>Steigung</t>
  </si>
  <si>
    <t>Flankendurchmesser</t>
  </si>
  <si>
    <t>Kerndurchmesser</t>
  </si>
  <si>
    <t>Kernlochdurchmesser</t>
  </si>
  <si>
    <t>Zylinderkopf Höhe</t>
  </si>
  <si>
    <t>Zylinderkopf Durchmesser</t>
  </si>
  <si>
    <t>Zylinderkopf SW</t>
  </si>
  <si>
    <t>Zylinderkopf Volumen</t>
  </si>
  <si>
    <t>Sechskant Höhe</t>
  </si>
  <si>
    <t>Sechskant SW</t>
  </si>
  <si>
    <t>Sechskant Volumen</t>
  </si>
  <si>
    <t>Senkkopf Höhe</t>
  </si>
  <si>
    <t>Senkkopf Durchmesser</t>
  </si>
  <si>
    <t>Senkkopf SW</t>
  </si>
  <si>
    <t>Senkkopf Volumen</t>
  </si>
  <si>
    <t>Schraubenlänge</t>
  </si>
  <si>
    <t>Gewindelänge</t>
  </si>
  <si>
    <t>Dichte g/mm3</t>
  </si>
  <si>
    <t>EINGABEN</t>
  </si>
  <si>
    <t>Kopf</t>
  </si>
  <si>
    <t>Senkkopf</t>
  </si>
  <si>
    <t>Eingabe: (z.B. Metrisch)</t>
  </si>
  <si>
    <t>Gewinde (M8)</t>
  </si>
  <si>
    <t>Menge</t>
  </si>
  <si>
    <t>Gewinderichtung</t>
  </si>
  <si>
    <t>rechts</t>
  </si>
  <si>
    <t>Volumen Schaft und Gew.</t>
  </si>
  <si>
    <t>Gesamtvolumen mm3</t>
  </si>
  <si>
    <t>Masse in g</t>
  </si>
  <si>
    <t>Gesamtmasse in kg</t>
  </si>
  <si>
    <t>AUSGABEN</t>
  </si>
  <si>
    <t>Gesamtmasse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</si>
</sst>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1" fillId="2" borderId="0" xfId="0" applyFont="1" applyFill="1"/>
    <xf numFmtId="0" fontId="2" fillId="2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38E15-73F3-4FF6-80D2-D823E0AC1EDB}">
  <dimension ref="A1:R54"/>
  <sheetViews>
    <sheetView tabSelected="1" workbookViewId="0">
      <selection activeCell="G16" sqref="G16"/>
    </sheetView>
  </sheetViews>
  <sheetFormatPr baseColWidth="10" defaultRowHeight="15" x14ac:dyDescent="0.25"/>
  <cols>
    <col min="1" max="1" width="23.85546875" customWidth="1"/>
  </cols>
  <sheetData>
    <row r="1" spans="1:18" x14ac:dyDescent="0.25">
      <c r="A1" s="2" t="s">
        <v>0</v>
      </c>
      <c r="B1" s="2"/>
      <c r="C1" s="2"/>
      <c r="D1" s="2"/>
      <c r="E1" s="2"/>
      <c r="F1" s="2"/>
      <c r="G1" s="2"/>
      <c r="R1" s="4"/>
    </row>
    <row r="2" spans="1:18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R2" s="4"/>
    </row>
    <row r="3" spans="1:18" x14ac:dyDescent="0.25">
      <c r="A3" s="1" t="s">
        <v>44</v>
      </c>
      <c r="B3" s="1">
        <f>7.85/1000</f>
        <v>7.8499999999999993E-3</v>
      </c>
      <c r="C3" s="1">
        <f>2.7/1000</f>
        <v>2.7000000000000001E-3</v>
      </c>
      <c r="D3" s="1">
        <f>4.507/1000</f>
        <v>4.5069999999999997E-3</v>
      </c>
      <c r="E3" s="1">
        <f>8.73/1000</f>
        <v>8.7299999999999999E-3</v>
      </c>
      <c r="F3" s="1">
        <f>8.96/1000</f>
        <v>8.9600000000000009E-3</v>
      </c>
      <c r="G3" s="1">
        <f>8.9/1000</f>
        <v>8.8999999999999999E-3</v>
      </c>
      <c r="R3" s="4"/>
    </row>
    <row r="4" spans="1:18" x14ac:dyDescent="0.25">
      <c r="R4" s="4"/>
    </row>
    <row r="5" spans="1:18" x14ac:dyDescent="0.25">
      <c r="A5" s="1" t="s">
        <v>8</v>
      </c>
      <c r="B5" s="1">
        <v>3.6</v>
      </c>
      <c r="C5" s="1">
        <v>4.5999999999999996</v>
      </c>
      <c r="D5" s="1">
        <v>4.8</v>
      </c>
      <c r="E5" s="1">
        <v>5.8</v>
      </c>
      <c r="F5" s="1">
        <v>6.8</v>
      </c>
      <c r="G5" s="1">
        <v>8.8000000000000007</v>
      </c>
      <c r="H5" s="1">
        <v>9.8000000000000007</v>
      </c>
      <c r="I5" s="1">
        <v>10.9</v>
      </c>
      <c r="J5" s="1">
        <v>12.9</v>
      </c>
      <c r="R5" s="4"/>
    </row>
    <row r="6" spans="1:18" x14ac:dyDescent="0.25">
      <c r="R6" s="4"/>
    </row>
    <row r="7" spans="1:18" x14ac:dyDescent="0.25">
      <c r="A7" s="5" t="s">
        <v>45</v>
      </c>
      <c r="R7" s="4"/>
    </row>
    <row r="8" spans="1:18" x14ac:dyDescent="0.25">
      <c r="A8" t="s">
        <v>1</v>
      </c>
      <c r="B8" t="s">
        <v>2</v>
      </c>
      <c r="R8" s="4"/>
    </row>
    <row r="9" spans="1:18" x14ac:dyDescent="0.25">
      <c r="A9" t="s">
        <v>42</v>
      </c>
      <c r="B9">
        <v>150</v>
      </c>
      <c r="R9" s="4"/>
    </row>
    <row r="10" spans="1:18" x14ac:dyDescent="0.25">
      <c r="A10" t="s">
        <v>43</v>
      </c>
      <c r="B10">
        <v>50</v>
      </c>
      <c r="R10" s="4"/>
    </row>
    <row r="11" spans="1:18" x14ac:dyDescent="0.25">
      <c r="A11" t="s">
        <v>46</v>
      </c>
      <c r="B11" t="s">
        <v>47</v>
      </c>
      <c r="R11" s="4"/>
    </row>
    <row r="12" spans="1:18" x14ac:dyDescent="0.25">
      <c r="A12" t="s">
        <v>48</v>
      </c>
      <c r="B12" t="s">
        <v>9</v>
      </c>
      <c r="R12" s="4"/>
    </row>
    <row r="13" spans="1:18" x14ac:dyDescent="0.25">
      <c r="A13" t="s">
        <v>49</v>
      </c>
      <c r="B13" t="s">
        <v>20</v>
      </c>
      <c r="R13" s="4"/>
    </row>
    <row r="14" spans="1:18" x14ac:dyDescent="0.25">
      <c r="A14" t="s">
        <v>50</v>
      </c>
      <c r="B14">
        <v>15</v>
      </c>
      <c r="R14" s="4"/>
    </row>
    <row r="15" spans="1:18" x14ac:dyDescent="0.25">
      <c r="A15" t="s">
        <v>51</v>
      </c>
      <c r="B15" t="s">
        <v>52</v>
      </c>
      <c r="R15" s="4"/>
    </row>
    <row r="16" spans="1:18" x14ac:dyDescent="0.25">
      <c r="R16" s="4"/>
    </row>
    <row r="17" spans="1:18" x14ac:dyDescent="0.25">
      <c r="R17" s="4"/>
    </row>
    <row r="18" spans="1:18" x14ac:dyDescent="0.25">
      <c r="R18" s="4"/>
    </row>
    <row r="19" spans="1:18" x14ac:dyDescent="0.25">
      <c r="A19" s="3" t="s">
        <v>9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4"/>
    </row>
    <row r="20" spans="1:18" x14ac:dyDescent="0.25">
      <c r="A20" s="1" t="s">
        <v>9</v>
      </c>
      <c r="B20" s="1" t="s">
        <v>10</v>
      </c>
      <c r="C20" s="1" t="s">
        <v>11</v>
      </c>
      <c r="D20" s="1" t="s">
        <v>12</v>
      </c>
      <c r="E20" s="1" t="s">
        <v>13</v>
      </c>
      <c r="F20" s="1" t="s">
        <v>14</v>
      </c>
      <c r="G20" s="1" t="s">
        <v>15</v>
      </c>
      <c r="H20" s="1" t="s">
        <v>16</v>
      </c>
      <c r="I20" s="1" t="s">
        <v>17</v>
      </c>
      <c r="J20" s="1" t="s">
        <v>18</v>
      </c>
      <c r="K20" s="1" t="s">
        <v>19</v>
      </c>
      <c r="L20" s="1" t="s">
        <v>20</v>
      </c>
      <c r="M20" s="1" t="s">
        <v>21</v>
      </c>
      <c r="N20" s="1" t="s">
        <v>22</v>
      </c>
      <c r="O20" s="1" t="s">
        <v>23</v>
      </c>
      <c r="P20" s="1" t="s">
        <v>24</v>
      </c>
      <c r="Q20" s="1" t="s">
        <v>25</v>
      </c>
      <c r="R20" s="4"/>
    </row>
    <row r="21" spans="1:18" x14ac:dyDescent="0.25">
      <c r="A21" s="1" t="s">
        <v>26</v>
      </c>
      <c r="B21" s="1" t="str">
        <f>IF($B13 = "M1,6","1,6","0")</f>
        <v>0</v>
      </c>
      <c r="C21" s="1" t="str">
        <f>IF($B13 = "M2","2","0")</f>
        <v>0</v>
      </c>
      <c r="D21" s="1" t="str">
        <f>IF($B13 = "M2,5","2,5","0")</f>
        <v>0</v>
      </c>
      <c r="E21" s="1" t="str">
        <f>IF($B13 = "M3","3","0")</f>
        <v>0</v>
      </c>
      <c r="F21" s="1" t="str">
        <f>IF($B13 = "M4","4","0")</f>
        <v>0</v>
      </c>
      <c r="G21" s="1" t="str">
        <f>IF($B13 = "M5","5","0")</f>
        <v>0</v>
      </c>
      <c r="H21" s="1" t="str">
        <f>IF($B13 = "M6","6","0")</f>
        <v>0</v>
      </c>
      <c r="I21" s="1" t="str">
        <f>IF($B13 = "M8","8","0")</f>
        <v>0</v>
      </c>
      <c r="J21" s="1" t="str">
        <f>IF($B13 = "M10","10","0")</f>
        <v>0</v>
      </c>
      <c r="K21" s="1" t="str">
        <f>IF($B13 = "M12","12","0")</f>
        <v>0</v>
      </c>
      <c r="L21" s="1" t="str">
        <f>IF($B13 = "M16","16","0")</f>
        <v>16</v>
      </c>
      <c r="M21" s="1" t="str">
        <f>IF($B13 = "M20","20","0")</f>
        <v>0</v>
      </c>
      <c r="N21" s="1" t="str">
        <f>IF($B13 = "M24","24","0")</f>
        <v>0</v>
      </c>
      <c r="O21" s="1" t="str">
        <f>IF($B13 = "M30","30","0")</f>
        <v>0</v>
      </c>
      <c r="P21" s="1" t="str">
        <f>IF($B13 = "M36","36","0")</f>
        <v>0</v>
      </c>
      <c r="Q21" s="1" t="str">
        <f>IF($B13 = "M42","42","0")</f>
        <v>0</v>
      </c>
      <c r="R21" s="4"/>
    </row>
    <row r="22" spans="1:18" x14ac:dyDescent="0.25">
      <c r="A22" s="1" t="s">
        <v>27</v>
      </c>
      <c r="B22" s="1" t="str">
        <f>IF(B21="0","0","0,35")</f>
        <v>0</v>
      </c>
      <c r="C22" s="1" t="str">
        <f>IF(C21="0","0","0,4")</f>
        <v>0</v>
      </c>
      <c r="D22" s="1" t="str">
        <f>IF(D21="0","0","0,45")</f>
        <v>0</v>
      </c>
      <c r="E22" s="1" t="str">
        <f>IF(E21="0","0","0,5")</f>
        <v>0</v>
      </c>
      <c r="F22" s="1" t="str">
        <f>IF(F21="0","0","0,7")</f>
        <v>0</v>
      </c>
      <c r="G22" s="1" t="str">
        <f>IF(G21="0","0","0,8")</f>
        <v>0</v>
      </c>
      <c r="H22" s="1" t="str">
        <f>IF(H21="0","0","1")</f>
        <v>0</v>
      </c>
      <c r="I22" s="1" t="str">
        <f>IF(I21="0","0","1,25")</f>
        <v>0</v>
      </c>
      <c r="J22" s="1" t="str">
        <f>IF(J21="0","0","1,5")</f>
        <v>0</v>
      </c>
      <c r="K22" s="1" t="str">
        <f>IF(K21="0","0","1,75")</f>
        <v>0</v>
      </c>
      <c r="L22" s="1" t="str">
        <f>IF(L21="0","0","2")</f>
        <v>2</v>
      </c>
      <c r="M22" s="1" t="str">
        <f>IF(M21="0","0","2,5")</f>
        <v>0</v>
      </c>
      <c r="N22" s="1" t="str">
        <f>IF(N21="0","0","3")</f>
        <v>0</v>
      </c>
      <c r="O22" s="1" t="str">
        <f>IF(O21="0","0","3,5")</f>
        <v>0</v>
      </c>
      <c r="P22" s="1" t="str">
        <f>IF(P21="0","0","4")</f>
        <v>0</v>
      </c>
      <c r="Q22" s="1" t="str">
        <f>IF(Q21="0","0","4,5")</f>
        <v>0</v>
      </c>
      <c r="R22" s="4"/>
    </row>
    <row r="23" spans="1:18" x14ac:dyDescent="0.25">
      <c r="A23" s="1" t="s">
        <v>28</v>
      </c>
      <c r="B23" s="1">
        <f>B21-(0.6495*B22)</f>
        <v>0</v>
      </c>
      <c r="C23" s="1">
        <f t="shared" ref="C23:Q23" si="0">C21-(0.6495*C22)</f>
        <v>0</v>
      </c>
      <c r="D23" s="1">
        <f t="shared" si="0"/>
        <v>0</v>
      </c>
      <c r="E23" s="1">
        <f t="shared" si="0"/>
        <v>0</v>
      </c>
      <c r="F23" s="1">
        <f t="shared" si="0"/>
        <v>0</v>
      </c>
      <c r="G23" s="1">
        <f t="shared" si="0"/>
        <v>0</v>
      </c>
      <c r="H23" s="1">
        <f t="shared" si="0"/>
        <v>0</v>
      </c>
      <c r="I23" s="1">
        <f t="shared" si="0"/>
        <v>0</v>
      </c>
      <c r="J23" s="1">
        <f t="shared" si="0"/>
        <v>0</v>
      </c>
      <c r="K23" s="1">
        <f t="shared" si="0"/>
        <v>0</v>
      </c>
      <c r="L23" s="1">
        <f t="shared" si="0"/>
        <v>14.701000000000001</v>
      </c>
      <c r="M23" s="1">
        <f t="shared" si="0"/>
        <v>0</v>
      </c>
      <c r="N23" s="1">
        <f t="shared" si="0"/>
        <v>0</v>
      </c>
      <c r="O23" s="1">
        <f t="shared" si="0"/>
        <v>0</v>
      </c>
      <c r="P23" s="1">
        <f t="shared" si="0"/>
        <v>0</v>
      </c>
      <c r="Q23" s="1">
        <f t="shared" si="0"/>
        <v>0</v>
      </c>
      <c r="R23" s="4"/>
    </row>
    <row r="24" spans="1:18" x14ac:dyDescent="0.25">
      <c r="A24" s="1" t="s">
        <v>29</v>
      </c>
      <c r="B24" s="1">
        <f>B21 -(1.2269 * B22)</f>
        <v>0</v>
      </c>
      <c r="C24" s="1">
        <f t="shared" ref="C24:Q24" si="1">C21 -(1.2269 * C22)</f>
        <v>0</v>
      </c>
      <c r="D24" s="1">
        <f t="shared" si="1"/>
        <v>0</v>
      </c>
      <c r="E24" s="1">
        <f t="shared" si="1"/>
        <v>0</v>
      </c>
      <c r="F24" s="1">
        <f t="shared" si="1"/>
        <v>0</v>
      </c>
      <c r="G24" s="1">
        <f t="shared" si="1"/>
        <v>0</v>
      </c>
      <c r="H24" s="1">
        <f t="shared" si="1"/>
        <v>0</v>
      </c>
      <c r="I24" s="1">
        <f t="shared" si="1"/>
        <v>0</v>
      </c>
      <c r="J24" s="1">
        <f t="shared" si="1"/>
        <v>0</v>
      </c>
      <c r="K24" s="1">
        <f t="shared" si="1"/>
        <v>0</v>
      </c>
      <c r="L24" s="1">
        <f t="shared" si="1"/>
        <v>13.546199999999999</v>
      </c>
      <c r="M24" s="1">
        <f t="shared" si="1"/>
        <v>0</v>
      </c>
      <c r="N24" s="1">
        <f t="shared" si="1"/>
        <v>0</v>
      </c>
      <c r="O24" s="1">
        <f t="shared" si="1"/>
        <v>0</v>
      </c>
      <c r="P24" s="1">
        <f t="shared" si="1"/>
        <v>0</v>
      </c>
      <c r="Q24" s="1">
        <f t="shared" si="1"/>
        <v>0</v>
      </c>
      <c r="R24" s="4"/>
    </row>
    <row r="25" spans="1:18" x14ac:dyDescent="0.25">
      <c r="A25" s="1" t="s">
        <v>30</v>
      </c>
      <c r="B25" s="1">
        <f>B21-B22</f>
        <v>0</v>
      </c>
      <c r="C25" s="1">
        <f t="shared" ref="C25:Q25" si="2">C21-C22</f>
        <v>0</v>
      </c>
      <c r="D25" s="1">
        <f t="shared" si="2"/>
        <v>0</v>
      </c>
      <c r="E25" s="1">
        <f t="shared" si="2"/>
        <v>0</v>
      </c>
      <c r="F25" s="1">
        <f t="shared" si="2"/>
        <v>0</v>
      </c>
      <c r="G25" s="1">
        <f t="shared" si="2"/>
        <v>0</v>
      </c>
      <c r="H25" s="1">
        <f t="shared" si="2"/>
        <v>0</v>
      </c>
      <c r="I25" s="1">
        <f t="shared" si="2"/>
        <v>0</v>
      </c>
      <c r="J25" s="1">
        <f t="shared" si="2"/>
        <v>0</v>
      </c>
      <c r="K25" s="1">
        <f t="shared" si="2"/>
        <v>0</v>
      </c>
      <c r="L25" s="1">
        <f t="shared" si="2"/>
        <v>14</v>
      </c>
      <c r="M25" s="1">
        <f t="shared" si="2"/>
        <v>0</v>
      </c>
      <c r="N25" s="1">
        <f t="shared" si="2"/>
        <v>0</v>
      </c>
      <c r="O25" s="1">
        <f t="shared" si="2"/>
        <v>0</v>
      </c>
      <c r="P25" s="1">
        <f t="shared" si="2"/>
        <v>0</v>
      </c>
      <c r="Q25" s="1">
        <f t="shared" si="2"/>
        <v>0</v>
      </c>
      <c r="R25" s="4"/>
    </row>
    <row r="26" spans="1:18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4"/>
    </row>
    <row r="27" spans="1:18" x14ac:dyDescent="0.25">
      <c r="A27" s="1" t="s">
        <v>31</v>
      </c>
      <c r="B27" s="1">
        <v>1.6</v>
      </c>
      <c r="C27" s="1">
        <v>2</v>
      </c>
      <c r="D27" s="1">
        <v>2.5</v>
      </c>
      <c r="E27" s="1">
        <v>3</v>
      </c>
      <c r="F27" s="1">
        <v>4</v>
      </c>
      <c r="G27" s="1">
        <v>5</v>
      </c>
      <c r="H27" s="1">
        <v>6</v>
      </c>
      <c r="I27" s="1">
        <v>8</v>
      </c>
      <c r="J27" s="1">
        <v>10</v>
      </c>
      <c r="K27" s="1">
        <v>12</v>
      </c>
      <c r="L27" s="1">
        <v>16</v>
      </c>
      <c r="M27" s="1">
        <v>20</v>
      </c>
      <c r="N27" s="1">
        <v>24</v>
      </c>
      <c r="O27" s="1">
        <v>30</v>
      </c>
      <c r="P27" s="1">
        <v>36</v>
      </c>
      <c r="Q27" s="1">
        <v>42</v>
      </c>
      <c r="R27" s="4"/>
    </row>
    <row r="28" spans="1:18" x14ac:dyDescent="0.25">
      <c r="A28" s="1" t="s">
        <v>32</v>
      </c>
      <c r="B28" s="1">
        <v>3</v>
      </c>
      <c r="C28" s="1">
        <v>3.8</v>
      </c>
      <c r="D28" s="1">
        <v>4.5</v>
      </c>
      <c r="E28" s="1">
        <v>5.5</v>
      </c>
      <c r="F28" s="1">
        <v>7</v>
      </c>
      <c r="G28" s="1">
        <v>8.5</v>
      </c>
      <c r="H28" s="1">
        <v>10</v>
      </c>
      <c r="I28" s="1">
        <v>13</v>
      </c>
      <c r="J28" s="1">
        <v>16</v>
      </c>
      <c r="K28" s="1">
        <v>18</v>
      </c>
      <c r="L28" s="1">
        <v>24</v>
      </c>
      <c r="M28" s="1">
        <v>30</v>
      </c>
      <c r="N28" s="1">
        <v>36</v>
      </c>
      <c r="O28" s="1">
        <v>45</v>
      </c>
      <c r="P28" s="1">
        <v>54</v>
      </c>
      <c r="Q28" s="1">
        <v>63</v>
      </c>
      <c r="R28" s="4"/>
    </row>
    <row r="29" spans="1:18" x14ac:dyDescent="0.25">
      <c r="A29" s="1" t="s">
        <v>33</v>
      </c>
      <c r="B29" s="1">
        <v>1.5</v>
      </c>
      <c r="C29" s="1">
        <v>1.5</v>
      </c>
      <c r="D29" s="1">
        <v>2</v>
      </c>
      <c r="E29" s="1">
        <v>2.5</v>
      </c>
      <c r="F29" s="1">
        <v>3</v>
      </c>
      <c r="G29" s="1">
        <v>4</v>
      </c>
      <c r="H29" s="1">
        <v>5</v>
      </c>
      <c r="I29" s="1">
        <v>6</v>
      </c>
      <c r="J29" s="1">
        <v>8</v>
      </c>
      <c r="K29" s="1">
        <v>10</v>
      </c>
      <c r="L29" s="1">
        <v>14</v>
      </c>
      <c r="M29" s="1">
        <v>17</v>
      </c>
      <c r="N29" s="1">
        <v>19</v>
      </c>
      <c r="O29" s="1">
        <v>22</v>
      </c>
      <c r="P29" s="1">
        <v>27</v>
      </c>
      <c r="Q29" s="1">
        <v>32</v>
      </c>
      <c r="R29" s="4"/>
    </row>
    <row r="30" spans="1:18" x14ac:dyDescent="0.25">
      <c r="A30" s="1" t="s">
        <v>34</v>
      </c>
      <c r="B30" s="1">
        <f>PI()/4*B28*B28 * B27 - ((6*(B29/COS(RADIANS(30)))*SIN(RADIANS(180/6))*B29)/4 * B27 *2/3)</f>
        <v>9.2312725838406031</v>
      </c>
      <c r="C30" s="1">
        <f t="shared" ref="C30:Q30" si="3">PI()/4*C28*C28 * C27 - ((6*(C29/COS(RADIANS(30)))*SIN(RADIANS(180/6))*C29)/4 * C27 *2/3)</f>
        <v>20.08422274756499</v>
      </c>
      <c r="D30" s="1">
        <f t="shared" si="3"/>
        <v>33.987279330099561</v>
      </c>
      <c r="E30" s="1">
        <f t="shared" si="3"/>
        <v>60.449565781012943</v>
      </c>
      <c r="F30" s="1">
        <f t="shared" si="3"/>
        <v>133.15343033507332</v>
      </c>
      <c r="G30" s="1">
        <f t="shared" si="3"/>
        <v>237.53706499215818</v>
      </c>
      <c r="H30" s="1">
        <f t="shared" si="3"/>
        <v>384.63635766002511</v>
      </c>
      <c r="I30" s="1">
        <f t="shared" si="3"/>
        <v>895.58143938673788</v>
      </c>
      <c r="J30" s="1">
        <f t="shared" si="3"/>
        <v>1641.1151260161071</v>
      </c>
      <c r="K30" s="1">
        <f t="shared" si="3"/>
        <v>2360.8077362617282</v>
      </c>
      <c r="L30" s="1">
        <f t="shared" si="3"/>
        <v>5427.6590296922177</v>
      </c>
      <c r="M30" s="1">
        <f t="shared" si="3"/>
        <v>10800.082385238031</v>
      </c>
      <c r="N30" s="1">
        <f t="shared" si="3"/>
        <v>19426.861742055316</v>
      </c>
      <c r="O30" s="1">
        <f t="shared" si="3"/>
        <v>39329.812517761631</v>
      </c>
      <c r="P30" s="1">
        <f t="shared" si="3"/>
        <v>67295.977136197995</v>
      </c>
      <c r="Q30" s="1">
        <f t="shared" si="3"/>
        <v>106093.62266472042</v>
      </c>
      <c r="R30" s="4"/>
    </row>
    <row r="31" spans="1:18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4"/>
    </row>
    <row r="32" spans="1:18" x14ac:dyDescent="0.25">
      <c r="A32" s="1" t="s">
        <v>35</v>
      </c>
      <c r="B32" s="1">
        <v>1.1000000000000001</v>
      </c>
      <c r="C32" s="1">
        <v>1.4</v>
      </c>
      <c r="D32" s="1">
        <v>1.7</v>
      </c>
      <c r="E32" s="1">
        <v>2</v>
      </c>
      <c r="F32" s="1">
        <v>2.8</v>
      </c>
      <c r="G32" s="1">
        <v>3.5</v>
      </c>
      <c r="H32" s="1">
        <v>4</v>
      </c>
      <c r="I32" s="1">
        <v>5.3</v>
      </c>
      <c r="J32" s="1">
        <v>6.4</v>
      </c>
      <c r="K32" s="1">
        <v>7.5</v>
      </c>
      <c r="L32" s="1">
        <v>10</v>
      </c>
      <c r="M32" s="1">
        <v>12.5</v>
      </c>
      <c r="N32" s="1">
        <v>15</v>
      </c>
      <c r="O32" s="1">
        <v>18.7</v>
      </c>
      <c r="P32" s="1">
        <v>22.5</v>
      </c>
      <c r="Q32" s="1">
        <v>26</v>
      </c>
      <c r="R32" s="4"/>
    </row>
    <row r="33" spans="1:18" x14ac:dyDescent="0.25">
      <c r="A33" s="1" t="s">
        <v>36</v>
      </c>
      <c r="B33" s="1">
        <v>3.2</v>
      </c>
      <c r="C33" s="1">
        <v>4</v>
      </c>
      <c r="D33" s="1">
        <v>5</v>
      </c>
      <c r="E33" s="1">
        <v>5.5</v>
      </c>
      <c r="F33" s="1">
        <v>7</v>
      </c>
      <c r="G33" s="1">
        <v>8</v>
      </c>
      <c r="H33" s="1">
        <v>10</v>
      </c>
      <c r="I33" s="1">
        <v>13</v>
      </c>
      <c r="J33" s="1">
        <v>17</v>
      </c>
      <c r="K33" s="1">
        <v>19</v>
      </c>
      <c r="L33" s="1">
        <v>24</v>
      </c>
      <c r="M33" s="1">
        <v>30</v>
      </c>
      <c r="N33" s="1">
        <v>36</v>
      </c>
      <c r="O33" s="1">
        <v>46</v>
      </c>
      <c r="P33" s="1">
        <v>55</v>
      </c>
      <c r="Q33" s="1">
        <v>65</v>
      </c>
      <c r="R33" s="4"/>
    </row>
    <row r="34" spans="1:18" x14ac:dyDescent="0.25">
      <c r="A34" s="1" t="s">
        <v>37</v>
      </c>
      <c r="B34" s="1">
        <f t="shared" ref="B34:D34" si="4">((6*(B33/COS(RADIANS(30)))*SIN(RADIANS(180/6))*B33)/4) *B32</f>
        <v>9.7549101482279159</v>
      </c>
      <c r="C34" s="1">
        <f t="shared" si="4"/>
        <v>19.39896904477142</v>
      </c>
      <c r="D34" s="1">
        <f t="shared" si="4"/>
        <v>36.806079660838627</v>
      </c>
      <c r="E34" s="1">
        <f>((6*(E33/COS(RADIANS(30)))*SIN(RADIANS(180/6))*E33)/4) *E32</f>
        <v>52.394536928958516</v>
      </c>
      <c r="F34" s="1">
        <f t="shared" ref="F34:Q34" si="5">((6*(F33/COS(RADIANS(30)))*SIN(RADIANS(180/6))*F33)/4) *F32</f>
        <v>118.81868539922495</v>
      </c>
      <c r="G34" s="1">
        <f t="shared" si="5"/>
        <v>193.98969044771422</v>
      </c>
      <c r="H34" s="1">
        <f t="shared" si="5"/>
        <v>346.41016151377534</v>
      </c>
      <c r="I34" s="1">
        <f t="shared" si="5"/>
        <v>775.69895416972145</v>
      </c>
      <c r="J34" s="1">
        <f t="shared" si="5"/>
        <v>1601.8005868396976</v>
      </c>
      <c r="K34" s="1">
        <f t="shared" si="5"/>
        <v>2344.763780746367</v>
      </c>
      <c r="L34" s="1">
        <f t="shared" si="5"/>
        <v>4988.3063257983658</v>
      </c>
      <c r="M34" s="1">
        <f t="shared" si="5"/>
        <v>9742.7857925749322</v>
      </c>
      <c r="N34" s="1">
        <f t="shared" si="5"/>
        <v>16835.533849569481</v>
      </c>
      <c r="O34" s="1">
        <f t="shared" si="5"/>
        <v>34267.932407427201</v>
      </c>
      <c r="P34" s="1">
        <f t="shared" si="5"/>
        <v>58943.85404507834</v>
      </c>
      <c r="Q34" s="1">
        <f t="shared" si="5"/>
        <v>95132.89060572056</v>
      </c>
      <c r="R34" s="4"/>
    </row>
    <row r="35" spans="1:18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8" x14ac:dyDescent="0.25">
      <c r="A36" s="1" t="s">
        <v>38</v>
      </c>
      <c r="B36" s="1"/>
      <c r="C36" s="1"/>
      <c r="D36" s="1"/>
      <c r="E36" s="1">
        <v>1.9</v>
      </c>
      <c r="F36" s="1">
        <v>2.5</v>
      </c>
      <c r="G36" s="1">
        <v>3.1</v>
      </c>
      <c r="H36" s="1">
        <v>3.7</v>
      </c>
      <c r="I36" s="1">
        <v>5</v>
      </c>
      <c r="J36" s="1">
        <v>6.2</v>
      </c>
      <c r="K36" s="1">
        <v>7.4</v>
      </c>
      <c r="L36" s="1">
        <v>8.8000000000000007</v>
      </c>
      <c r="M36" s="1">
        <v>10.199999999999999</v>
      </c>
      <c r="N36" s="1">
        <v>14</v>
      </c>
      <c r="O36" s="1"/>
      <c r="P36" s="1"/>
      <c r="Q36" s="1"/>
    </row>
    <row r="37" spans="1:18" x14ac:dyDescent="0.25">
      <c r="A37" s="1" t="s">
        <v>39</v>
      </c>
      <c r="B37" s="1"/>
      <c r="C37" s="1"/>
      <c r="D37" s="1"/>
      <c r="E37" s="1">
        <v>5.5</v>
      </c>
      <c r="F37" s="1">
        <v>7.5</v>
      </c>
      <c r="G37" s="1">
        <v>9.4</v>
      </c>
      <c r="H37" s="1">
        <v>11.3</v>
      </c>
      <c r="I37" s="1">
        <v>15.2</v>
      </c>
      <c r="J37" s="1">
        <v>19.2</v>
      </c>
      <c r="K37" s="1">
        <v>23.1</v>
      </c>
      <c r="L37" s="1">
        <v>29</v>
      </c>
      <c r="M37" s="1">
        <v>36</v>
      </c>
      <c r="N37" s="1">
        <v>39</v>
      </c>
      <c r="O37" s="1"/>
      <c r="P37" s="1"/>
      <c r="Q37" s="1"/>
    </row>
    <row r="38" spans="1:18" x14ac:dyDescent="0.25">
      <c r="A38" s="1" t="s">
        <v>40</v>
      </c>
      <c r="B38" s="1"/>
      <c r="C38" s="1"/>
      <c r="D38" s="1"/>
      <c r="E38" s="1">
        <v>2</v>
      </c>
      <c r="F38" s="1">
        <v>2.5</v>
      </c>
      <c r="G38" s="1">
        <v>3</v>
      </c>
      <c r="H38" s="1">
        <v>4</v>
      </c>
      <c r="I38" s="1">
        <v>5</v>
      </c>
      <c r="J38" s="1">
        <v>6</v>
      </c>
      <c r="K38" s="1">
        <v>8</v>
      </c>
      <c r="L38" s="1">
        <v>10</v>
      </c>
      <c r="M38" s="1">
        <v>12</v>
      </c>
      <c r="N38" s="1">
        <v>14</v>
      </c>
      <c r="O38" s="1"/>
      <c r="P38" s="1"/>
      <c r="Q38" s="1"/>
    </row>
    <row r="39" spans="1:18" x14ac:dyDescent="0.25">
      <c r="A39" s="1" t="s">
        <v>41</v>
      </c>
      <c r="B39" s="1"/>
      <c r="C39" s="1"/>
      <c r="D39" s="1"/>
      <c r="E39" s="1">
        <f>PI()/4*E37*E37 * E36 * 0.5  - ((6*(E38/COS(RADIANS(30)))*SIN(RADIANS(180/6))*E38)/4 * E36 *2/3)</f>
        <v>18.182517674793012</v>
      </c>
      <c r="F39" s="1">
        <f t="shared" ref="F39:N39" si="6">PI()/4*F37*F37 * F36 * 0.5  - ((6*(F38/COS(RADIANS(30)))*SIN(RADIANS(180/6))*F38)/4 * F36 *2/3)</f>
        <v>46.202210407795178</v>
      </c>
      <c r="G39" s="1">
        <f t="shared" si="6"/>
        <v>91.458489152197174</v>
      </c>
      <c r="H39" s="1">
        <f t="shared" si="6"/>
        <v>151.35272330978151</v>
      </c>
      <c r="I39" s="1">
        <f t="shared" si="6"/>
        <v>381.47719552966294</v>
      </c>
      <c r="J39" s="1">
        <f t="shared" si="6"/>
        <v>768.67587467686519</v>
      </c>
      <c r="K39" s="1">
        <f t="shared" si="6"/>
        <v>1277.2232742026893</v>
      </c>
      <c r="L39" s="1">
        <f t="shared" si="6"/>
        <v>2398.2191269490472</v>
      </c>
      <c r="M39" s="1">
        <f t="shared" si="6"/>
        <v>4343.1556254060515</v>
      </c>
      <c r="N39" s="1">
        <f t="shared" si="6"/>
        <v>6777.885107036298</v>
      </c>
      <c r="O39" s="1"/>
      <c r="P39" s="1"/>
      <c r="Q39" s="1"/>
    </row>
    <row r="40" spans="1:18" x14ac:dyDescent="0.25">
      <c r="A40" s="1" t="s">
        <v>53</v>
      </c>
      <c r="B40" s="1">
        <f t="shared" ref="B40:Q40" si="7">PI()/4*B21*B21*$B9</f>
        <v>0</v>
      </c>
      <c r="C40" s="1">
        <f t="shared" si="7"/>
        <v>0</v>
      </c>
      <c r="D40" s="1">
        <f t="shared" si="7"/>
        <v>0</v>
      </c>
      <c r="E40" s="1">
        <f t="shared" si="7"/>
        <v>0</v>
      </c>
      <c r="F40" s="1">
        <f t="shared" si="7"/>
        <v>0</v>
      </c>
      <c r="G40" s="1">
        <f t="shared" si="7"/>
        <v>0</v>
      </c>
      <c r="H40" s="1">
        <f t="shared" si="7"/>
        <v>0</v>
      </c>
      <c r="I40" s="1">
        <f t="shared" si="7"/>
        <v>0</v>
      </c>
      <c r="J40" s="1">
        <f t="shared" si="7"/>
        <v>0</v>
      </c>
      <c r="K40" s="1">
        <f t="shared" si="7"/>
        <v>0</v>
      </c>
      <c r="L40" s="1">
        <f t="shared" si="7"/>
        <v>30159.289474462013</v>
      </c>
      <c r="M40" s="1">
        <f t="shared" si="7"/>
        <v>0</v>
      </c>
      <c r="N40" s="1">
        <f t="shared" si="7"/>
        <v>0</v>
      </c>
      <c r="O40" s="1">
        <f t="shared" si="7"/>
        <v>0</v>
      </c>
      <c r="P40" s="1">
        <f t="shared" si="7"/>
        <v>0</v>
      </c>
      <c r="Q40" s="1">
        <f t="shared" si="7"/>
        <v>0</v>
      </c>
    </row>
    <row r="41" spans="1:18" x14ac:dyDescent="0.25">
      <c r="A41" s="1" t="s">
        <v>54</v>
      </c>
      <c r="B41" s="1" t="str">
        <f>IF(B21="1,6",IF($B11 ="Sechskant",B40+B34,IF($B11="Zylinderkopf",B30+B40,IF($B11="Senkkopf",B39+B40,"0"))),"0")</f>
        <v>0</v>
      </c>
      <c r="C41" s="1" t="str">
        <f>IF(C21="2",IF($B11 ="Sechskant",C40+C34,IF($B11="Zylinderkopf",C30+C40,IF($B11="Senkkopf",C39+C40,"0"))),"0")</f>
        <v>0</v>
      </c>
      <c r="D41" s="1" t="str">
        <f>IF(D21="2,5",IF($B11 ="Sechskant",D40+D34,IF($B11="Zylinderkopf",D30+D40,IF($B11="Senkkopf",D39+D40,"0"))),"0")</f>
        <v>0</v>
      </c>
      <c r="E41" s="1" t="str">
        <f>IF(E21="3",IF($B11 ="Sechskant",E40+E34,IF($B11="Zylinderkopf",E30+E40,IF($B11="Senkkopf",E39+E40,"0"))),"0")</f>
        <v>0</v>
      </c>
      <c r="F41" s="1" t="str">
        <f>IF(F21="4",IF($B11 ="Sechskant",F40+F34,IF($B11="Zylinderkopf",F30+F40,IF($B11="Senkkopf",F39+F40,"0"))),"0")</f>
        <v>0</v>
      </c>
      <c r="G41" s="1" t="str">
        <f>IF(G21="5",IF($B11 ="Sechskant",G40+G34,IF($B11="Zylinderkopf",G30+G40,IF($B11="Senkkopf",G39+G40,"0"))),"0")</f>
        <v>0</v>
      </c>
      <c r="H41" s="1" t="str">
        <f>IF(H21="6",IF($B11 ="Sechskant",H40+H34,IF($B11="Zylinderkopf",H30+H40,IF($B11="Senkkopf",H39+H40,"0"))),"0")</f>
        <v>0</v>
      </c>
      <c r="I41" s="1" t="str">
        <f>IF(I21="8",IF($B11 ="Sechskant",I40+I34,IF($B11="Zylinderkopf",I30+I40,IF($B11="Senkkopf",I39+I40,"0"))),"0")</f>
        <v>0</v>
      </c>
      <c r="J41" s="1" t="str">
        <f>IF(J21="10",IF($B11 ="Sechskant",J40+J34,IF($B11="Zylinderkopf",J30+J40,IF($B11="Senkkopf",J39+J40,"0"))),"0")</f>
        <v>0</v>
      </c>
      <c r="K41" s="1" t="str">
        <f>IF(K21="12",IF($B11 ="Sechskant",K40+K34,IF($B11="Zylinderkopf",K30+K40,IF($B11="Senkkopf",K39+K40,"0"))),"0")</f>
        <v>0</v>
      </c>
      <c r="L41" s="1">
        <f>IF(L21="16",IF($B11 ="Sechskant",L40+L34,IF($B11="Zylinderkopf",L30+L40,IF($B11="Senkkopf",L39+L40,"0"))),"0")</f>
        <v>32557.50860141106</v>
      </c>
      <c r="M41" s="1" t="str">
        <f>IF(M21="20",IF($B11 ="Sechskant",M40+M34,IF($B11="Zylinderkopf",M30+M40,IF($B11="Senkkopf",M39+M40,"0"))),"0")</f>
        <v>0</v>
      </c>
      <c r="N41" s="1" t="str">
        <f>IF(N21="24",IF($B11 ="Sechskant",N40+N34,IF($B11="Zylinderkopf",N30+N40,IF($B11="Senkkopf",N39+N40,"0"))),"0")</f>
        <v>0</v>
      </c>
      <c r="O41" s="1" t="str">
        <f>IF(O21="30",IF($B11 ="Sechskant",O40+O34,IF($B11="Zylinderkopf",O30+O40,IF($B11="Senkkopf",O39+O40,"0"))),"0")</f>
        <v>0</v>
      </c>
      <c r="P41" s="1" t="str">
        <f>IF(P21="36",IF($B11 ="Sechskant",P40+P34,IF($B11="Zylinderkopf",P30+P40,IF($B11="Senkkopf",P39+P40,"0"))),"0")</f>
        <v>0</v>
      </c>
      <c r="Q41" s="1" t="str">
        <f>IF(Q21="42",IF($B11 ="Sechskant",Q40+Q34,IF($B11="Zylinderkopf",Q30+Q40,IF($B11="Senkkopf",Q39+Q40,"0"))),"0")</f>
        <v>0</v>
      </c>
    </row>
    <row r="42" spans="1:18" x14ac:dyDescent="0.25">
      <c r="A42" s="1" t="s">
        <v>55</v>
      </c>
      <c r="B42" s="1">
        <f t="shared" ref="B42:Q42" si="8">IF($B8="Stahl",$B3,IF($B8="Aluminium",$C3,IF($B8="Titan",$D3,IF($B8="Messing",$E3,IF($B8="Kupfer",$F3,IF($B8="Bronze",$G3,"0"))))))*B41</f>
        <v>0</v>
      </c>
      <c r="C42" s="1">
        <f t="shared" si="8"/>
        <v>0</v>
      </c>
      <c r="D42" s="1">
        <f t="shared" si="8"/>
        <v>0</v>
      </c>
      <c r="E42" s="1">
        <f t="shared" si="8"/>
        <v>0</v>
      </c>
      <c r="F42" s="1">
        <f t="shared" si="8"/>
        <v>0</v>
      </c>
      <c r="G42" s="1">
        <f t="shared" si="8"/>
        <v>0</v>
      </c>
      <c r="H42" s="1">
        <f t="shared" si="8"/>
        <v>0</v>
      </c>
      <c r="I42" s="1">
        <f t="shared" si="8"/>
        <v>0</v>
      </c>
      <c r="J42" s="1">
        <f t="shared" si="8"/>
        <v>0</v>
      </c>
      <c r="K42" s="1">
        <f t="shared" si="8"/>
        <v>0</v>
      </c>
      <c r="L42" s="1">
        <f t="shared" si="8"/>
        <v>255.57644252107681</v>
      </c>
      <c r="M42" s="1">
        <f t="shared" si="8"/>
        <v>0</v>
      </c>
      <c r="N42" s="1">
        <f t="shared" si="8"/>
        <v>0</v>
      </c>
      <c r="O42" s="1">
        <f t="shared" si="8"/>
        <v>0</v>
      </c>
      <c r="P42" s="1">
        <f t="shared" si="8"/>
        <v>0</v>
      </c>
      <c r="Q42" s="1">
        <f t="shared" si="8"/>
        <v>0</v>
      </c>
    </row>
    <row r="43" spans="1:18" x14ac:dyDescent="0.25">
      <c r="A43" s="1" t="s">
        <v>56</v>
      </c>
      <c r="B43" s="1">
        <f t="shared" ref="B43:Q43" si="9">($B14*B42)/1000</f>
        <v>0</v>
      </c>
      <c r="C43" s="1">
        <f t="shared" si="9"/>
        <v>0</v>
      </c>
      <c r="D43" s="1">
        <f t="shared" si="9"/>
        <v>0</v>
      </c>
      <c r="E43" s="1">
        <f t="shared" si="9"/>
        <v>0</v>
      </c>
      <c r="F43" s="1">
        <f t="shared" si="9"/>
        <v>0</v>
      </c>
      <c r="G43" s="1">
        <f t="shared" si="9"/>
        <v>0</v>
      </c>
      <c r="H43" s="1">
        <f t="shared" si="9"/>
        <v>0</v>
      </c>
      <c r="I43" s="1">
        <f t="shared" si="9"/>
        <v>0</v>
      </c>
      <c r="J43" s="1">
        <f t="shared" si="9"/>
        <v>0</v>
      </c>
      <c r="K43" s="1">
        <f t="shared" si="9"/>
        <v>0</v>
      </c>
      <c r="L43" s="1">
        <f t="shared" si="9"/>
        <v>3.8336466378161522</v>
      </c>
      <c r="M43" s="1">
        <f t="shared" si="9"/>
        <v>0</v>
      </c>
      <c r="N43" s="1">
        <f t="shared" si="9"/>
        <v>0</v>
      </c>
      <c r="O43" s="1">
        <f t="shared" si="9"/>
        <v>0</v>
      </c>
      <c r="P43" s="1">
        <f t="shared" si="9"/>
        <v>0</v>
      </c>
      <c r="Q43" s="1">
        <f t="shared" si="9"/>
        <v>0</v>
      </c>
    </row>
    <row r="48" spans="1:18" x14ac:dyDescent="0.25">
      <c r="A48" s="6" t="s">
        <v>57</v>
      </c>
    </row>
    <row r="49" spans="1:2" x14ac:dyDescent="0.25">
      <c r="A49" t="s">
        <v>26</v>
      </c>
      <c r="B49">
        <f>B21+C21+D21+E21+F21+G21+H21+I21+J21+K21+L21+M21+N21+O21+P21+Q21</f>
        <v>16</v>
      </c>
    </row>
    <row r="50" spans="1:2" x14ac:dyDescent="0.25">
      <c r="A50" t="s">
        <v>27</v>
      </c>
      <c r="B50">
        <f>B22+C22+D22+E22+F22+G22+H22+I22+J22+K22+L22+M22+N22+O22+P22+Q22</f>
        <v>2</v>
      </c>
    </row>
    <row r="51" spans="1:2" x14ac:dyDescent="0.25">
      <c r="A51" t="s">
        <v>28</v>
      </c>
      <c r="B51">
        <f>MAX(B23:Q23)</f>
        <v>14.701000000000001</v>
      </c>
    </row>
    <row r="52" spans="1:2" x14ac:dyDescent="0.25">
      <c r="A52" t="s">
        <v>29</v>
      </c>
      <c r="B52">
        <f t="shared" ref="B52:B53" si="10">MAX(B24:Q24)</f>
        <v>13.546199999999999</v>
      </c>
    </row>
    <row r="53" spans="1:2" x14ac:dyDescent="0.25">
      <c r="A53" t="s">
        <v>30</v>
      </c>
      <c r="B53">
        <f t="shared" si="10"/>
        <v>14</v>
      </c>
    </row>
    <row r="54" spans="1:2" x14ac:dyDescent="0.25">
      <c r="A54" t="s">
        <v>58</v>
      </c>
      <c r="B54">
        <f>B43+C43+D43+E43+F43+G43+H43+I43+J43+K43+L43+M43+N43+O43+P43+Q43</f>
        <v>3.8336466378161522</v>
      </c>
    </row>
  </sheetData>
  <mergeCells count="2">
    <mergeCell ref="A1:G1"/>
    <mergeCell ref="A19:Q19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 Müller</dc:creator>
  <cp:lastModifiedBy>Marvin Müller</cp:lastModifiedBy>
  <dcterms:created xsi:type="dcterms:W3CDTF">2021-04-26T13:09:36Z</dcterms:created>
  <dcterms:modified xsi:type="dcterms:W3CDTF">2021-05-03T19:05:16Z</dcterms:modified>
</cp:coreProperties>
</file>