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"/>
    </mc:Choice>
  </mc:AlternateContent>
  <xr:revisionPtr revIDLastSave="0" documentId="13_ncr:1_{5D3EFBD4-8C38-4333-8D86-CC508124E8DE}" xr6:coauthVersionLast="46" xr6:coauthVersionMax="46" xr10:uidLastSave="{00000000-0000-0000-0000-000000000000}"/>
  <bookViews>
    <workbookView xWindow="-120" yWindow="-120" windowWidth="29040" windowHeight="15840" xr2:uid="{BCA7EF73-EA4B-48ED-AA2D-05ECA0641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0" i="1"/>
  <c r="B49" i="1"/>
  <c r="B53" i="1"/>
  <c r="B52" i="1"/>
  <c r="B51" i="1"/>
  <c r="AV33" i="1"/>
  <c r="AV34" i="1" s="1"/>
  <c r="AU33" i="1"/>
  <c r="AU34" i="1" s="1"/>
  <c r="AT33" i="1"/>
  <c r="AT34" i="1" s="1"/>
  <c r="AS33" i="1"/>
  <c r="AR33" i="1"/>
  <c r="AQ33" i="1"/>
  <c r="AP33" i="1"/>
  <c r="AO33" i="1"/>
  <c r="AN33" i="1"/>
  <c r="AM33" i="1"/>
  <c r="AL33" i="1"/>
  <c r="AK33" i="1"/>
  <c r="AJ33" i="1"/>
  <c r="AJ34" i="1" s="1"/>
  <c r="AI33" i="1"/>
  <c r="AH33" i="1"/>
  <c r="AG33" i="1"/>
  <c r="AF33" i="1"/>
  <c r="AE33" i="1"/>
  <c r="AD33" i="1"/>
  <c r="AD34" i="1" s="1"/>
  <c r="AC33" i="1"/>
  <c r="AB33" i="1"/>
  <c r="AB34" i="1" s="1"/>
  <c r="AA33" i="1"/>
  <c r="Z33" i="1"/>
  <c r="Y33" i="1"/>
  <c r="X33" i="1"/>
  <c r="W33" i="1"/>
  <c r="V33" i="1"/>
  <c r="V34" i="1" s="1"/>
  <c r="U33" i="1"/>
  <c r="T33" i="1"/>
  <c r="T34" i="1" s="1"/>
  <c r="S33" i="1"/>
  <c r="S34" i="1" s="1"/>
  <c r="R33" i="1"/>
  <c r="Q33" i="1"/>
  <c r="Q34" i="1" s="1"/>
  <c r="P33" i="1"/>
  <c r="O33" i="1"/>
  <c r="N33" i="1"/>
  <c r="N34" i="1" s="1"/>
  <c r="M33" i="1"/>
  <c r="M34" i="1" s="1"/>
  <c r="L33" i="1"/>
  <c r="K33" i="1"/>
  <c r="J33" i="1"/>
  <c r="I33" i="1"/>
  <c r="H33" i="1"/>
  <c r="G33" i="1"/>
  <c r="F33" i="1"/>
  <c r="E33" i="1"/>
  <c r="E34" i="1" s="1"/>
  <c r="D33" i="1"/>
  <c r="C33" i="1"/>
  <c r="F34" i="1"/>
  <c r="I34" i="1"/>
  <c r="B33" i="1"/>
  <c r="AV41" i="1"/>
  <c r="AU41" i="1"/>
  <c r="AT41" i="1"/>
  <c r="AS41" i="1"/>
  <c r="AR41" i="1"/>
  <c r="AQ41" i="1"/>
  <c r="AP41" i="1"/>
  <c r="AO41" i="1"/>
  <c r="AN41" i="1"/>
  <c r="AM41" i="1"/>
  <c r="AK41" i="1"/>
  <c r="AL41" i="1"/>
  <c r="AJ41" i="1"/>
  <c r="AH41" i="1"/>
  <c r="AI41" i="1"/>
  <c r="AG41" i="1"/>
  <c r="AE41" i="1"/>
  <c r="AF41" i="1"/>
  <c r="AD41" i="1"/>
  <c r="AB41" i="1"/>
  <c r="AC41" i="1"/>
  <c r="AA41" i="1"/>
  <c r="Y41" i="1"/>
  <c r="Z41" i="1"/>
  <c r="V41" i="1"/>
  <c r="U41" i="1"/>
  <c r="T41" i="1"/>
  <c r="S41" i="1"/>
  <c r="R41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V39" i="1"/>
  <c r="T39" i="1"/>
  <c r="U39" i="1"/>
  <c r="S3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V30" i="1"/>
  <c r="T30" i="1"/>
  <c r="U30" i="1"/>
  <c r="S30" i="1"/>
  <c r="R30" i="1"/>
  <c r="AS34" i="1"/>
  <c r="AR34" i="1"/>
  <c r="AQ34" i="1"/>
  <c r="AP34" i="1"/>
  <c r="AO34" i="1"/>
  <c r="AN34" i="1"/>
  <c r="AM34" i="1"/>
  <c r="AK34" i="1"/>
  <c r="AL34" i="1"/>
  <c r="AH34" i="1"/>
  <c r="AI34" i="1"/>
  <c r="AG34" i="1"/>
  <c r="AE34" i="1"/>
  <c r="AF34" i="1"/>
  <c r="AC34" i="1"/>
  <c r="AA34" i="1"/>
  <c r="Y34" i="1"/>
  <c r="Z34" i="1"/>
  <c r="U34" i="1"/>
  <c r="R34" i="1"/>
  <c r="AV21" i="1"/>
  <c r="AV42" i="1" s="1"/>
  <c r="AV43" i="1" s="1"/>
  <c r="AU21" i="1"/>
  <c r="AT21" i="1"/>
  <c r="AT40" i="1" s="1"/>
  <c r="AS21" i="1"/>
  <c r="AS40" i="1" s="1"/>
  <c r="AR21" i="1"/>
  <c r="AR22" i="1" s="1"/>
  <c r="AQ21" i="1"/>
  <c r="AP21" i="1"/>
  <c r="AP22" i="1" s="1"/>
  <c r="AO21" i="1"/>
  <c r="AO22" i="1" s="1"/>
  <c r="AN21" i="1"/>
  <c r="AN22" i="1" s="1"/>
  <c r="AM21" i="1"/>
  <c r="AM22" i="1" s="1"/>
  <c r="AL21" i="1"/>
  <c r="AL42" i="1" s="1"/>
  <c r="AL43" i="1" s="1"/>
  <c r="AK21" i="1"/>
  <c r="AJ21" i="1"/>
  <c r="AJ22" i="1" s="1"/>
  <c r="AI21" i="1"/>
  <c r="AI22" i="1" s="1"/>
  <c r="AH21" i="1"/>
  <c r="AH22" i="1" s="1"/>
  <c r="AG21" i="1"/>
  <c r="AG40" i="1" s="1"/>
  <c r="AF21" i="1"/>
  <c r="AF40" i="1" s="1"/>
  <c r="AE21" i="1"/>
  <c r="AE22" i="1" s="1"/>
  <c r="AD21" i="1"/>
  <c r="AD22" i="1" s="1"/>
  <c r="AC21" i="1"/>
  <c r="AB21" i="1"/>
  <c r="AA21" i="1"/>
  <c r="AA22" i="1" s="1"/>
  <c r="Z21" i="1"/>
  <c r="Z22" i="1" s="1"/>
  <c r="Y21" i="1"/>
  <c r="Y22" i="1" s="1"/>
  <c r="X21" i="1"/>
  <c r="X22" i="1" s="1"/>
  <c r="W21" i="1"/>
  <c r="W22" i="1" s="1"/>
  <c r="V21" i="1"/>
  <c r="V22" i="1" s="1"/>
  <c r="U21" i="1"/>
  <c r="U22" i="1" s="1"/>
  <c r="T21" i="1"/>
  <c r="T40" i="1" s="1"/>
  <c r="S21" i="1"/>
  <c r="S22" i="1" s="1"/>
  <c r="R21" i="1"/>
  <c r="R22" i="1" s="1"/>
  <c r="AH42" i="1"/>
  <c r="AH43" i="1" s="1"/>
  <c r="X39" i="1"/>
  <c r="W39" i="1"/>
  <c r="X34" i="1"/>
  <c r="W34" i="1"/>
  <c r="X30" i="1"/>
  <c r="W30" i="1"/>
  <c r="N39" i="1"/>
  <c r="M39" i="1"/>
  <c r="L39" i="1"/>
  <c r="K39" i="1"/>
  <c r="J39" i="1"/>
  <c r="I39" i="1"/>
  <c r="H39" i="1"/>
  <c r="G39" i="1"/>
  <c r="F39" i="1"/>
  <c r="E39" i="1"/>
  <c r="P34" i="1"/>
  <c r="O34" i="1"/>
  <c r="L34" i="1"/>
  <c r="K34" i="1"/>
  <c r="J34" i="1"/>
  <c r="H34" i="1"/>
  <c r="G34" i="1"/>
  <c r="D34" i="1"/>
  <c r="C34" i="1"/>
  <c r="B34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1" i="1"/>
  <c r="Q41" i="1" s="1"/>
  <c r="Q42" i="1" s="1"/>
  <c r="Q43" i="1" s="1"/>
  <c r="P21" i="1"/>
  <c r="O21" i="1"/>
  <c r="O41" i="1" s="1"/>
  <c r="O42" i="1" s="1"/>
  <c r="O43" i="1" s="1"/>
  <c r="N21" i="1"/>
  <c r="M21" i="1"/>
  <c r="L21" i="1"/>
  <c r="L40" i="1" s="1"/>
  <c r="K21" i="1"/>
  <c r="K40" i="1" s="1"/>
  <c r="J21" i="1"/>
  <c r="J40" i="1" s="1"/>
  <c r="I21" i="1"/>
  <c r="H21" i="1"/>
  <c r="H41" i="1" s="1"/>
  <c r="H42" i="1" s="1"/>
  <c r="H43" i="1" s="1"/>
  <c r="G21" i="1"/>
  <c r="G40" i="1" s="1"/>
  <c r="F21" i="1"/>
  <c r="F41" i="1" s="1"/>
  <c r="F42" i="1" s="1"/>
  <c r="F43" i="1" s="1"/>
  <c r="E21" i="1"/>
  <c r="E41" i="1" s="1"/>
  <c r="E42" i="1" s="1"/>
  <c r="E43" i="1" s="1"/>
  <c r="D21" i="1"/>
  <c r="C21" i="1"/>
  <c r="B21" i="1"/>
  <c r="G3" i="1"/>
  <c r="F3" i="1"/>
  <c r="E3" i="1"/>
  <c r="D3" i="1"/>
  <c r="C3" i="1"/>
  <c r="B3" i="1"/>
  <c r="AU42" i="1" l="1"/>
  <c r="AU43" i="1" s="1"/>
  <c r="AB42" i="1"/>
  <c r="AB43" i="1" s="1"/>
  <c r="AK42" i="1"/>
  <c r="AK43" i="1" s="1"/>
  <c r="AK22" i="1"/>
  <c r="AL22" i="1"/>
  <c r="AJ42" i="1"/>
  <c r="AJ43" i="1" s="1"/>
  <c r="AH40" i="1"/>
  <c r="AI42" i="1"/>
  <c r="AI43" i="1" s="1"/>
  <c r="AI40" i="1"/>
  <c r="AB22" i="1"/>
  <c r="AF22" i="1"/>
  <c r="AC22" i="1"/>
  <c r="AC23" i="1" s="1"/>
  <c r="U40" i="1"/>
  <c r="AQ22" i="1"/>
  <c r="AQ23" i="1" s="1"/>
  <c r="T22" i="1"/>
  <c r="T24" i="1" s="1"/>
  <c r="AG22" i="1"/>
  <c r="AT22" i="1"/>
  <c r="AT24" i="1" s="1"/>
  <c r="AU22" i="1"/>
  <c r="AU25" i="1" s="1"/>
  <c r="AV22" i="1"/>
  <c r="AV24" i="1" s="1"/>
  <c r="AR24" i="1"/>
  <c r="AR23" i="1"/>
  <c r="AV40" i="1"/>
  <c r="AU40" i="1"/>
  <c r="AS22" i="1"/>
  <c r="AS24" i="1" s="1"/>
  <c r="AQ42" i="1"/>
  <c r="AQ43" i="1" s="1"/>
  <c r="AR42" i="1"/>
  <c r="AR43" i="1" s="1"/>
  <c r="AQ40" i="1"/>
  <c r="AS42" i="1"/>
  <c r="AS43" i="1" s="1"/>
  <c r="AR25" i="1"/>
  <c r="AR40" i="1"/>
  <c r="AT42" i="1"/>
  <c r="AT43" i="1" s="1"/>
  <c r="AJ23" i="1"/>
  <c r="AJ40" i="1"/>
  <c r="AM42" i="1"/>
  <c r="AM43" i="1" s="1"/>
  <c r="AK23" i="1"/>
  <c r="AH25" i="1"/>
  <c r="AK40" i="1"/>
  <c r="AN42" i="1"/>
  <c r="AN43" i="1" s="1"/>
  <c r="AL23" i="1"/>
  <c r="AI25" i="1"/>
  <c r="AL40" i="1"/>
  <c r="AO42" i="1"/>
  <c r="AO43" i="1" s="1"/>
  <c r="AM25" i="1"/>
  <c r="AM40" i="1"/>
  <c r="AP42" i="1"/>
  <c r="AP43" i="1" s="1"/>
  <c r="AN24" i="1"/>
  <c r="AH24" i="1"/>
  <c r="AN40" i="1"/>
  <c r="AO24" i="1"/>
  <c r="AI24" i="1"/>
  <c r="AO40" i="1"/>
  <c r="AP25" i="1"/>
  <c r="AP40" i="1"/>
  <c r="AH23" i="1"/>
  <c r="AI23" i="1"/>
  <c r="AF24" i="1"/>
  <c r="V40" i="1"/>
  <c r="R42" i="1"/>
  <c r="R43" i="1" s="1"/>
  <c r="AD42" i="1"/>
  <c r="AD43" i="1" s="1"/>
  <c r="U24" i="1"/>
  <c r="AG25" i="1"/>
  <c r="W40" i="1"/>
  <c r="S42" i="1"/>
  <c r="S43" i="1" s="1"/>
  <c r="AE42" i="1"/>
  <c r="AE43" i="1" s="1"/>
  <c r="V24" i="1"/>
  <c r="X40" i="1"/>
  <c r="T42" i="1"/>
  <c r="T43" i="1" s="1"/>
  <c r="AF42" i="1"/>
  <c r="AF43" i="1" s="1"/>
  <c r="W24" i="1"/>
  <c r="Y40" i="1"/>
  <c r="U42" i="1"/>
  <c r="U43" i="1" s="1"/>
  <c r="AG42" i="1"/>
  <c r="AG43" i="1" s="1"/>
  <c r="X25" i="1"/>
  <c r="T23" i="1"/>
  <c r="AF23" i="1"/>
  <c r="Z40" i="1"/>
  <c r="V42" i="1"/>
  <c r="V43" i="1" s="1"/>
  <c r="Y23" i="1"/>
  <c r="AA40" i="1"/>
  <c r="W41" i="1"/>
  <c r="W42" i="1" s="1"/>
  <c r="W43" i="1" s="1"/>
  <c r="Z25" i="1"/>
  <c r="AB40" i="1"/>
  <c r="X41" i="1"/>
  <c r="X42" i="1" s="1"/>
  <c r="X43" i="1" s="1"/>
  <c r="AA24" i="1"/>
  <c r="AC40" i="1"/>
  <c r="AC42" i="1" s="1"/>
  <c r="AC43" i="1" s="1"/>
  <c r="Y42" i="1"/>
  <c r="Y43" i="1" s="1"/>
  <c r="AB23" i="1"/>
  <c r="R40" i="1"/>
  <c r="AD40" i="1"/>
  <c r="Z42" i="1"/>
  <c r="Z43" i="1" s="1"/>
  <c r="AC24" i="1"/>
  <c r="AC25" i="1"/>
  <c r="S40" i="1"/>
  <c r="AE40" i="1"/>
  <c r="AA42" i="1"/>
  <c r="AA43" i="1" s="1"/>
  <c r="R24" i="1"/>
  <c r="AD25" i="1"/>
  <c r="S23" i="1"/>
  <c r="AE25" i="1"/>
  <c r="C40" i="1"/>
  <c r="C41" i="1" s="1"/>
  <c r="C42" i="1" s="1"/>
  <c r="C43" i="1" s="1"/>
  <c r="I40" i="1"/>
  <c r="G22" i="1"/>
  <c r="G25" i="1" s="1"/>
  <c r="O40" i="1"/>
  <c r="I22" i="1"/>
  <c r="I23" i="1" s="1"/>
  <c r="G41" i="1"/>
  <c r="G42" i="1" s="1"/>
  <c r="G43" i="1" s="1"/>
  <c r="J22" i="1"/>
  <c r="J25" i="1" s="1"/>
  <c r="K22" i="1"/>
  <c r="K25" i="1" s="1"/>
  <c r="G23" i="1"/>
  <c r="M40" i="1"/>
  <c r="I41" i="1"/>
  <c r="I42" i="1" s="1"/>
  <c r="I43" i="1" s="1"/>
  <c r="L22" i="1"/>
  <c r="L24" i="1" s="1"/>
  <c r="B40" i="1"/>
  <c r="N40" i="1"/>
  <c r="J41" i="1"/>
  <c r="J42" i="1" s="1"/>
  <c r="J43" i="1" s="1"/>
  <c r="B22" i="1"/>
  <c r="B23" i="1" s="1"/>
  <c r="N22" i="1"/>
  <c r="N23" i="1" s="1"/>
  <c r="D40" i="1"/>
  <c r="P40" i="1"/>
  <c r="L41" i="1"/>
  <c r="L42" i="1" s="1"/>
  <c r="L43" i="1" s="1"/>
  <c r="C22" i="1"/>
  <c r="C23" i="1" s="1"/>
  <c r="O22" i="1"/>
  <c r="O23" i="1" s="1"/>
  <c r="E40" i="1"/>
  <c r="Q40" i="1"/>
  <c r="M41" i="1"/>
  <c r="M42" i="1" s="1"/>
  <c r="M43" i="1" s="1"/>
  <c r="K41" i="1"/>
  <c r="K42" i="1" s="1"/>
  <c r="K43" i="1" s="1"/>
  <c r="D22" i="1"/>
  <c r="D25" i="1" s="1"/>
  <c r="P22" i="1"/>
  <c r="P24" i="1" s="1"/>
  <c r="F40" i="1"/>
  <c r="B41" i="1"/>
  <c r="B42" i="1" s="1"/>
  <c r="B43" i="1" s="1"/>
  <c r="N41" i="1"/>
  <c r="N42" i="1" s="1"/>
  <c r="N43" i="1" s="1"/>
  <c r="M22" i="1"/>
  <c r="M23" i="1" s="1"/>
  <c r="E22" i="1"/>
  <c r="E23" i="1" s="1"/>
  <c r="Q22" i="1"/>
  <c r="Q23" i="1" s="1"/>
  <c r="F22" i="1"/>
  <c r="F23" i="1" s="1"/>
  <c r="H40" i="1"/>
  <c r="D41" i="1"/>
  <c r="D42" i="1" s="1"/>
  <c r="D43" i="1" s="1"/>
  <c r="P41" i="1"/>
  <c r="P42" i="1" s="1"/>
  <c r="P43" i="1" s="1"/>
  <c r="H22" i="1"/>
  <c r="H24" i="1" s="1"/>
  <c r="P25" i="1" l="1"/>
  <c r="AQ25" i="1"/>
  <c r="AS25" i="1"/>
  <c r="AQ24" i="1"/>
  <c r="AV23" i="1"/>
  <c r="AU24" i="1"/>
  <c r="AU23" i="1"/>
  <c r="AL25" i="1"/>
  <c r="AJ24" i="1"/>
  <c r="AJ25" i="1"/>
  <c r="AG24" i="1"/>
  <c r="AE24" i="1"/>
  <c r="AB24" i="1"/>
  <c r="AB25" i="1"/>
  <c r="AA25" i="1"/>
  <c r="AA23" i="1"/>
  <c r="Y24" i="1"/>
  <c r="W25" i="1"/>
  <c r="W23" i="1"/>
  <c r="U23" i="1"/>
  <c r="U25" i="1"/>
  <c r="AT25" i="1"/>
  <c r="AS23" i="1"/>
  <c r="AV25" i="1"/>
  <c r="AT23" i="1"/>
  <c r="AP24" i="1"/>
  <c r="AP23" i="1"/>
  <c r="AM23" i="1"/>
  <c r="AO23" i="1"/>
  <c r="AK25" i="1"/>
  <c r="AN25" i="1"/>
  <c r="AM24" i="1"/>
  <c r="AO25" i="1"/>
  <c r="AL24" i="1"/>
  <c r="AN23" i="1"/>
  <c r="AK24" i="1"/>
  <c r="V23" i="1"/>
  <c r="V25" i="1"/>
  <c r="Z23" i="1"/>
  <c r="S24" i="1"/>
  <c r="Y25" i="1"/>
  <c r="Z24" i="1"/>
  <c r="X23" i="1"/>
  <c r="AD23" i="1"/>
  <c r="AG23" i="1"/>
  <c r="R23" i="1"/>
  <c r="AF25" i="1"/>
  <c r="R25" i="1"/>
  <c r="T25" i="1"/>
  <c r="S25" i="1"/>
  <c r="AE23" i="1"/>
  <c r="AD24" i="1"/>
  <c r="X24" i="1"/>
  <c r="I25" i="1"/>
  <c r="J24" i="1"/>
  <c r="J23" i="1"/>
  <c r="F25" i="1"/>
  <c r="G24" i="1"/>
  <c r="L23" i="1"/>
  <c r="Q25" i="1"/>
  <c r="Q24" i="1"/>
  <c r="L25" i="1"/>
  <c r="P23" i="1"/>
  <c r="N24" i="1"/>
  <c r="M24" i="1"/>
  <c r="B24" i="1"/>
  <c r="N25" i="1"/>
  <c r="B25" i="1"/>
  <c r="I24" i="1"/>
  <c r="O24" i="1"/>
  <c r="E24" i="1"/>
  <c r="K24" i="1"/>
  <c r="C24" i="1"/>
  <c r="H25" i="1"/>
  <c r="D24" i="1"/>
  <c r="F24" i="1"/>
  <c r="H23" i="1"/>
  <c r="D23" i="1"/>
  <c r="O25" i="1"/>
  <c r="M25" i="1"/>
  <c r="C25" i="1"/>
  <c r="E25" i="1"/>
  <c r="K23" i="1"/>
</calcChain>
</file>

<file path=xl/sharedStrings.xml><?xml version="1.0" encoding="utf-8"?>
<sst xmlns="http://schemas.openxmlformats.org/spreadsheetml/2006/main" count="108" uniqueCount="97">
  <si>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</si>
  <si>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</si>
  <si>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</si>
  <si>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</si>
  <si>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</si>
  <si>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</si>
  <si>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</si>
  <si>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</si>
  <si>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Festigkeitsklasse</t>
  </si>
  <si>
    <t>Metrisch</t>
  </si>
  <si>
    <t>M1,6</t>
  </si>
  <si>
    <t>M2</t>
  </si>
  <si>
    <t>M2,5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</si>
  <si>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</si>
  <si>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</si>
  <si>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</si>
  <si>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</si>
  <si>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</si>
  <si>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</si>
  <si>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</si>
  <si>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</si>
  <si>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</si>
  <si>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</si>
  <si>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</si>
  <si>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</si>
  <si>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</si>
  <si>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Durchmesser</t>
  </si>
  <si>
    <t>Steigung</t>
  </si>
  <si>
    <t>Flankendurchmesser</t>
  </si>
  <si>
    <t>Kerndurchmesser</t>
  </si>
  <si>
    <t>Kernlochdurchmesser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</si>
  <si>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</si>
  <si>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</si>
  <si>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</si>
  <si>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</si>
  <si>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</si>
  <si>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</si>
  <si>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</si>
  <si>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</si>
  <si>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</si>
  <si>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</si>
  <si>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</si>
  <si>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Schraubenlänge</t>
  </si>
  <si>
    <t>Gewindelänge</t>
  </si>
  <si>
    <t>Dichte g/mm3</t>
  </si>
  <si>
    <t>EINGABEN</t>
  </si>
  <si>
    <t>Kopf</t>
  </si>
  <si>
    <t>Senkkopf</t>
  </si>
  <si>
    <t>Eingabe: (z.B. Metrisch)</t>
  </si>
  <si>
    <t>Gewinde (M8)</t>
  </si>
  <si>
    <t>Menge</t>
  </si>
  <si>
    <t>Gewinderichtung</t>
  </si>
  <si>
    <t>rechts</t>
  </si>
  <si>
    <t>Volumen Schaft und Gew.</t>
  </si>
  <si>
    <t>Gesamtvolumen mm3</t>
  </si>
  <si>
    <t>Masse in g</t>
  </si>
  <si>
    <t>Gesamtmasse in kg</t>
  </si>
  <si>
    <t>AUSGABEN</t>
  </si>
  <si>
    <t>Gesamtmasse</t>
  </si>
  <si>
    <t>Test1</t>
  </si>
  <si>
    <t>relevant für die Übertragung</t>
  </si>
  <si>
    <t>M2x0,25</t>
  </si>
  <si>
    <t>M3x0,25</t>
  </si>
  <si>
    <t>M4x0,2</t>
  </si>
  <si>
    <t>M4x0,35</t>
  </si>
  <si>
    <t>M5x0,25</t>
  </si>
  <si>
    <t>M5x0,5</t>
  </si>
  <si>
    <t>M6x0,25</t>
  </si>
  <si>
    <t>M6x0,5</t>
  </si>
  <si>
    <t>M6x0,75</t>
  </si>
  <si>
    <t>M8x0,25</t>
  </si>
  <si>
    <t>M8x0,5</t>
  </si>
  <si>
    <t>M8x1</t>
  </si>
  <si>
    <t>M10x0,25</t>
  </si>
  <si>
    <t>M10x0,5</t>
  </si>
  <si>
    <t>M10x1</t>
  </si>
  <si>
    <t>M12x0,35</t>
  </si>
  <si>
    <t>M12x0,5</t>
  </si>
  <si>
    <t>M12x1</t>
  </si>
  <si>
    <t>M16x0,5</t>
  </si>
  <si>
    <t>M16x1</t>
  </si>
  <si>
    <t>M16x1,5</t>
  </si>
  <si>
    <t>M20x1</t>
  </si>
  <si>
    <t>M20x1,5</t>
  </si>
  <si>
    <t>M24x1,5</t>
  </si>
  <si>
    <t>M24x2</t>
  </si>
  <si>
    <t>M30x1,5</t>
  </si>
  <si>
    <t>M30x2</t>
  </si>
  <si>
    <t>M36x1,5</t>
  </si>
  <si>
    <t>M36x2</t>
  </si>
  <si>
    <t>M42x1,5</t>
  </si>
  <si>
    <t>M42x2</t>
  </si>
  <si>
    <t>Metrisch Fein</t>
  </si>
  <si>
    <t>Schlüsselweite</t>
  </si>
  <si>
    <t>Streckgrenze</t>
  </si>
  <si>
    <t>Zugfestigkeit</t>
  </si>
  <si>
    <t>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</si>
</sst>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4" borderId="4" xfId="0" applyFill="1" applyBorder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8E15-73F3-4FF6-80D2-D823E0AC1EDB}">
  <dimension ref="A1:AZ57"/>
  <sheetViews>
    <sheetView tabSelected="1" topLeftCell="A25" workbookViewId="0">
      <selection activeCell="D55" sqref="D55"/>
    </sheetView>
  </sheetViews>
  <sheetFormatPr baseColWidth="10" defaultRowHeight="15" x14ac:dyDescent="0.25"/>
  <cols>
    <col min="1" max="1" width="23.85546875" customWidth="1"/>
  </cols>
  <sheetData>
    <row r="1" spans="1:18" x14ac:dyDescent="0.25">
      <c r="A1" t="s">
        <v>59</v>
      </c>
      <c r="B1" s="7" t="s">
        <v>0</v>
      </c>
      <c r="C1" s="7"/>
      <c r="D1" s="7"/>
      <c r="E1" s="7"/>
      <c r="F1" s="7"/>
      <c r="G1" s="7"/>
      <c r="R1" s="2"/>
    </row>
    <row r="2" spans="1:1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R2" s="2"/>
    </row>
    <row r="3" spans="1:18" x14ac:dyDescent="0.25">
      <c r="A3" s="1" t="s">
        <v>44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  <c r="R3" s="2"/>
    </row>
    <row r="4" spans="1:18" x14ac:dyDescent="0.25">
      <c r="R4" s="2"/>
    </row>
    <row r="5" spans="1:18" x14ac:dyDescent="0.25">
      <c r="A5" s="1" t="s">
        <v>8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  <c r="R5" s="2"/>
    </row>
    <row r="6" spans="1:18" x14ac:dyDescent="0.25">
      <c r="R6" s="2"/>
    </row>
    <row r="7" spans="1:18" x14ac:dyDescent="0.25">
      <c r="A7" s="3" t="s">
        <v>45</v>
      </c>
      <c r="R7" s="2"/>
    </row>
    <row r="8" spans="1:18" x14ac:dyDescent="0.25">
      <c r="A8" s="5" t="s">
        <v>1</v>
      </c>
      <c r="B8" t="s">
        <v>2</v>
      </c>
      <c r="R8" s="2"/>
    </row>
    <row r="9" spans="1:18" x14ac:dyDescent="0.25">
      <c r="A9" s="5" t="s">
        <v>42</v>
      </c>
      <c r="B9">
        <v>150</v>
      </c>
      <c r="R9" s="2"/>
    </row>
    <row r="10" spans="1:18" x14ac:dyDescent="0.25">
      <c r="A10" t="s">
        <v>43</v>
      </c>
      <c r="B10">
        <v>50</v>
      </c>
      <c r="F10" s="8" t="s">
        <v>60</v>
      </c>
      <c r="G10" s="8"/>
      <c r="H10" s="8"/>
      <c r="R10" s="2"/>
    </row>
    <row r="11" spans="1:18" x14ac:dyDescent="0.25">
      <c r="A11" s="5" t="s">
        <v>46</v>
      </c>
      <c r="B11" t="s">
        <v>47</v>
      </c>
      <c r="R11" s="2"/>
    </row>
    <row r="12" spans="1:18" x14ac:dyDescent="0.25">
      <c r="A12" t="s">
        <v>48</v>
      </c>
      <c r="B12" t="s">
        <v>9</v>
      </c>
      <c r="R12" s="2"/>
    </row>
    <row r="13" spans="1:18" x14ac:dyDescent="0.25">
      <c r="A13" s="5" t="s">
        <v>49</v>
      </c>
      <c r="B13" t="s">
        <v>72</v>
      </c>
      <c r="R13" s="2"/>
    </row>
    <row r="14" spans="1:18" x14ac:dyDescent="0.25">
      <c r="A14" s="5" t="s">
        <v>50</v>
      </c>
      <c r="B14">
        <v>15</v>
      </c>
      <c r="R14" s="2"/>
    </row>
    <row r="15" spans="1:18" x14ac:dyDescent="0.25">
      <c r="A15" t="s">
        <v>51</v>
      </c>
      <c r="B15" t="s">
        <v>52</v>
      </c>
      <c r="R15" s="2"/>
    </row>
    <row r="16" spans="1:18" x14ac:dyDescent="0.25">
      <c r="A16" s="5" t="s">
        <v>8</v>
      </c>
      <c r="B16" s="15" t="s">
        <v>96</v>
      </c>
      <c r="R16" s="2"/>
    </row>
    <row r="17" spans="1:52" x14ac:dyDescent="0.25">
      <c r="R17" s="2"/>
    </row>
    <row r="18" spans="1:52" x14ac:dyDescent="0.25">
      <c r="R18" s="2"/>
    </row>
    <row r="19" spans="1:52" x14ac:dyDescent="0.25">
      <c r="A19" s="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1"/>
      <c r="R19" s="9" t="s">
        <v>92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52" x14ac:dyDescent="0.25">
      <c r="A20" s="1" t="s">
        <v>9</v>
      </c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  <c r="I20" s="1" t="s">
        <v>17</v>
      </c>
      <c r="J20" s="1" t="s">
        <v>18</v>
      </c>
      <c r="K20" s="1" t="s">
        <v>19</v>
      </c>
      <c r="L20" s="1" t="s">
        <v>20</v>
      </c>
      <c r="M20" s="1" t="s">
        <v>21</v>
      </c>
      <c r="N20" s="1" t="s">
        <v>22</v>
      </c>
      <c r="O20" s="1" t="s">
        <v>23</v>
      </c>
      <c r="P20" s="1" t="s">
        <v>24</v>
      </c>
      <c r="Q20" s="12" t="s">
        <v>25</v>
      </c>
      <c r="R20" s="10" t="s">
        <v>61</v>
      </c>
      <c r="S20" s="1" t="s">
        <v>62</v>
      </c>
      <c r="T20" s="1" t="s">
        <v>63</v>
      </c>
      <c r="U20" s="1" t="s">
        <v>64</v>
      </c>
      <c r="V20" s="1" t="s">
        <v>65</v>
      </c>
      <c r="W20" s="1" t="s">
        <v>66</v>
      </c>
      <c r="X20" s="1" t="s">
        <v>67</v>
      </c>
      <c r="Y20" s="1" t="s">
        <v>68</v>
      </c>
      <c r="Z20" s="1" t="s">
        <v>69</v>
      </c>
      <c r="AA20" s="1" t="s">
        <v>70</v>
      </c>
      <c r="AB20" s="1" t="s">
        <v>71</v>
      </c>
      <c r="AC20" s="1" t="s">
        <v>72</v>
      </c>
      <c r="AD20" s="1" t="s">
        <v>73</v>
      </c>
      <c r="AE20" s="1" t="s">
        <v>74</v>
      </c>
      <c r="AF20" s="1" t="s">
        <v>75</v>
      </c>
      <c r="AG20" s="1" t="s">
        <v>76</v>
      </c>
      <c r="AH20" s="1" t="s">
        <v>77</v>
      </c>
      <c r="AI20" s="1" t="s">
        <v>78</v>
      </c>
      <c r="AJ20" s="1" t="s">
        <v>79</v>
      </c>
      <c r="AK20" s="1" t="s">
        <v>80</v>
      </c>
      <c r="AL20" s="1" t="s">
        <v>81</v>
      </c>
      <c r="AM20" s="1" t="s">
        <v>82</v>
      </c>
      <c r="AN20" s="1" t="s">
        <v>83</v>
      </c>
      <c r="AO20" s="1" t="s">
        <v>84</v>
      </c>
      <c r="AP20" s="1" t="s">
        <v>85</v>
      </c>
      <c r="AQ20" s="1" t="s">
        <v>86</v>
      </c>
      <c r="AR20" s="1" t="s">
        <v>87</v>
      </c>
      <c r="AS20" s="1" t="s">
        <v>88</v>
      </c>
      <c r="AT20" s="1" t="s">
        <v>89</v>
      </c>
      <c r="AU20" s="1" t="s">
        <v>90</v>
      </c>
      <c r="AV20" s="1" t="s">
        <v>91</v>
      </c>
      <c r="AW20" s="1"/>
      <c r="AX20" s="1"/>
      <c r="AY20" s="1"/>
      <c r="AZ20" s="1"/>
    </row>
    <row r="21" spans="1:52" x14ac:dyDescent="0.25">
      <c r="A21" s="1" t="s">
        <v>26</v>
      </c>
      <c r="B21" s="1" t="str">
        <f>IF($B13 = "M1,6","1,6","0")</f>
        <v>0</v>
      </c>
      <c r="C21" s="1" t="str">
        <f>IF($B13 = "M2","2","0")</f>
        <v>0</v>
      </c>
      <c r="D21" s="1" t="str">
        <f>IF($B13 = "M2,5","2,5","0")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2" t="str">
        <f>IF($B13 = "M42","42","0")</f>
        <v>0</v>
      </c>
      <c r="R21" s="10" t="str">
        <f>IF($B13 = "M2x0,25","2","0")</f>
        <v>0</v>
      </c>
      <c r="S21" s="1" t="str">
        <f>IF($B13 = "M3x0,25","3","0")</f>
        <v>0</v>
      </c>
      <c r="T21" s="1" t="str">
        <f>IF($B13 = "M4x0,2","4","0")</f>
        <v>0</v>
      </c>
      <c r="U21" s="1" t="str">
        <f>IF($B13 = "M4x0,35","4","0")</f>
        <v>0</v>
      </c>
      <c r="V21" s="1" t="str">
        <f>IF($B13 = "M5x0,25","5","0")</f>
        <v>0</v>
      </c>
      <c r="W21" s="1" t="str">
        <f>IF($B13 = "M5x0,5","5","0")</f>
        <v>0</v>
      </c>
      <c r="X21" s="1" t="str">
        <f>IF($B13 = "M6x0,25","6","0")</f>
        <v>0</v>
      </c>
      <c r="Y21" s="1" t="str">
        <f>IF($B13 = "M6x0,5","6","0")</f>
        <v>0</v>
      </c>
      <c r="Z21" s="1" t="str">
        <f>IF($B13 = "M6x0,75","6","0")</f>
        <v>0</v>
      </c>
      <c r="AA21" s="1" t="str">
        <f>IF($B13 = "M8x0,25","8","0")</f>
        <v>0</v>
      </c>
      <c r="AB21" s="1" t="str">
        <f>IF($B13 = "M8x0,5","8","0")</f>
        <v>0</v>
      </c>
      <c r="AC21" s="1" t="str">
        <f>IF($B13 = "M8x1","8","0")</f>
        <v>8</v>
      </c>
      <c r="AD21" s="1" t="str">
        <f>IF($B13 = "M10x0,25","10","0")</f>
        <v>0</v>
      </c>
      <c r="AE21" s="1" t="str">
        <f>IF($B13 = "M10x0,5","10","0")</f>
        <v>0</v>
      </c>
      <c r="AF21" s="1" t="str">
        <f>IF($B13 = "M10x1","10","0")</f>
        <v>0</v>
      </c>
      <c r="AG21" s="1" t="str">
        <f>IF($B13 = "M12x0,35","12","0")</f>
        <v>0</v>
      </c>
      <c r="AH21" s="1" t="str">
        <f>IF($B13 = "M12x0,5","12","0")</f>
        <v>0</v>
      </c>
      <c r="AI21" s="1" t="str">
        <f>IF($B13 = "M12x1","12","0")</f>
        <v>0</v>
      </c>
      <c r="AJ21" s="1" t="str">
        <f>IF($B13 = "M16x0,5","16","0")</f>
        <v>0</v>
      </c>
      <c r="AK21" s="1" t="str">
        <f>IF($B13 = "M16x1","16","0")</f>
        <v>0</v>
      </c>
      <c r="AL21" s="1" t="str">
        <f>IF($B13 = "M16x1,5","16","0")</f>
        <v>0</v>
      </c>
      <c r="AM21" s="1" t="str">
        <f>IF($B13 = "M20x1","20","0")</f>
        <v>0</v>
      </c>
      <c r="AN21" s="1" t="str">
        <f>IF($B13 = "M20x1,5","20","0")</f>
        <v>0</v>
      </c>
      <c r="AO21" s="1" t="str">
        <f>IF($B13 = "M24x1,5","24","0")</f>
        <v>0</v>
      </c>
      <c r="AP21" s="1" t="str">
        <f>IF($B13 = "M24x2","24","0")</f>
        <v>0</v>
      </c>
      <c r="AQ21" s="1" t="str">
        <f>IF($B13 = "M30x1,5","30","0")</f>
        <v>0</v>
      </c>
      <c r="AR21" s="1" t="str">
        <f>IF($B13 = "M30x2","30","0")</f>
        <v>0</v>
      </c>
      <c r="AS21" s="1" t="str">
        <f>IF($B13 = "M36x1,5","36","0")</f>
        <v>0</v>
      </c>
      <c r="AT21" s="1" t="str">
        <f>IF($B13 = "M36x2","36","0")</f>
        <v>0</v>
      </c>
      <c r="AU21" s="1" t="str">
        <f>IF($B13 = "M42x1,5","42","0")</f>
        <v>0</v>
      </c>
      <c r="AV21" s="1" t="str">
        <f>IF($B13 = "M42x2","42","0")</f>
        <v>0</v>
      </c>
      <c r="AW21" s="13"/>
      <c r="AX21" s="1"/>
      <c r="AY21" s="1"/>
      <c r="AZ21" s="1"/>
    </row>
    <row r="22" spans="1:52" x14ac:dyDescent="0.25">
      <c r="A22" s="1" t="s">
        <v>27</v>
      </c>
      <c r="B22" s="1" t="str">
        <f>IF(B21="0","0","0,35")</f>
        <v>0</v>
      </c>
      <c r="C22" s="1" t="str">
        <f>IF(C21="0","0","0,4")</f>
        <v>0</v>
      </c>
      <c r="D22" s="1" t="str">
        <f>IF(D21="0","0","0,45")</f>
        <v>0</v>
      </c>
      <c r="E22" s="1" t="str">
        <f>IF(E21="0","0","0,5")</f>
        <v>0</v>
      </c>
      <c r="F22" s="1" t="str">
        <f>IF(F21="0","0","0,7")</f>
        <v>0</v>
      </c>
      <c r="G22" s="1" t="str">
        <f>IF(G21="0","0","0,8")</f>
        <v>0</v>
      </c>
      <c r="H22" s="1" t="str">
        <f>IF(H21="0","0","1")</f>
        <v>0</v>
      </c>
      <c r="I22" s="1" t="str">
        <f>IF(I21="0","0","1,25")</f>
        <v>0</v>
      </c>
      <c r="J22" s="1" t="str">
        <f>IF(J21="0","0","1,5")</f>
        <v>0</v>
      </c>
      <c r="K22" s="1" t="str">
        <f>IF(K21="0","0","1,75")</f>
        <v>0</v>
      </c>
      <c r="L22" s="1" t="str">
        <f>IF(L21="0","0","2")</f>
        <v>0</v>
      </c>
      <c r="M22" s="1" t="str">
        <f>IF(M21="0","0","2,5")</f>
        <v>0</v>
      </c>
      <c r="N22" s="1" t="str">
        <f>IF(N21="0","0","3")</f>
        <v>0</v>
      </c>
      <c r="O22" s="1" t="str">
        <f>IF(O21="0","0","3,5")</f>
        <v>0</v>
      </c>
      <c r="P22" s="1" t="str">
        <f>IF(P21="0","0","4")</f>
        <v>0</v>
      </c>
      <c r="Q22" s="12" t="str">
        <f>IF(Q21="0","0","4,5")</f>
        <v>0</v>
      </c>
      <c r="R22" s="10" t="str">
        <f>IF(R21="0","0","0,25")</f>
        <v>0</v>
      </c>
      <c r="S22" s="1" t="str">
        <f>IF(S21="0","0","0,25")</f>
        <v>0</v>
      </c>
      <c r="T22" s="1" t="str">
        <f>IF(T21="0","0","0,2")</f>
        <v>0</v>
      </c>
      <c r="U22" s="1" t="str">
        <f>IF(U21="0","0","0,35")</f>
        <v>0</v>
      </c>
      <c r="V22" s="1" t="str">
        <f>IF(V21="0","0","0,25")</f>
        <v>0</v>
      </c>
      <c r="W22" s="1" t="str">
        <f>IF(W21="0","0","0,5")</f>
        <v>0</v>
      </c>
      <c r="X22" s="1" t="str">
        <f>IF(X21="0","0","0,25")</f>
        <v>0</v>
      </c>
      <c r="Y22" s="1" t="str">
        <f>IF(Y21="0","0","0,5")</f>
        <v>0</v>
      </c>
      <c r="Z22" s="1" t="str">
        <f>IF(Z21="0","0","0,75")</f>
        <v>0</v>
      </c>
      <c r="AA22" s="1" t="str">
        <f>IF(AA21="0","0","0,25")</f>
        <v>0</v>
      </c>
      <c r="AB22" s="1" t="str">
        <f>IF(AB21="0","0","0,5")</f>
        <v>0</v>
      </c>
      <c r="AC22" s="1" t="str">
        <f>IF(AC21="0","0","1")</f>
        <v>1</v>
      </c>
      <c r="AD22" s="1" t="str">
        <f>IF(AD21="0","0","0,25")</f>
        <v>0</v>
      </c>
      <c r="AE22" s="1" t="str">
        <f>IF(AE21="0","0","0,5")</f>
        <v>0</v>
      </c>
      <c r="AF22" s="1" t="str">
        <f>IF(AF21="0","0","1")</f>
        <v>0</v>
      </c>
      <c r="AG22" s="1" t="str">
        <f>IF(AG21="0","0","0,35")</f>
        <v>0</v>
      </c>
      <c r="AH22" s="1" t="str">
        <f>IF(AH21="0","0","0,5")</f>
        <v>0</v>
      </c>
      <c r="AI22" s="1" t="str">
        <f>IF(AI21="0","0","1")</f>
        <v>0</v>
      </c>
      <c r="AJ22" s="1" t="str">
        <f>IF(AJ21="0","0","0,5")</f>
        <v>0</v>
      </c>
      <c r="AK22" s="1" t="str">
        <f>IF(AK21="0","0","1")</f>
        <v>0</v>
      </c>
      <c r="AL22" s="1" t="str">
        <f>IF(AL21="0","0","1,5")</f>
        <v>0</v>
      </c>
      <c r="AM22" s="1" t="str">
        <f>IF(AM21="0","0","1")</f>
        <v>0</v>
      </c>
      <c r="AN22" s="1" t="str">
        <f>IF(AN21="0","0","1,5")</f>
        <v>0</v>
      </c>
      <c r="AO22" s="1" t="str">
        <f>IF(AO21="0","0","1,5")</f>
        <v>0</v>
      </c>
      <c r="AP22" s="1" t="str">
        <f>IF(AP21="0","0","2")</f>
        <v>0</v>
      </c>
      <c r="AQ22" s="1" t="str">
        <f>IF(AQ21="0","0","1,5")</f>
        <v>0</v>
      </c>
      <c r="AR22" s="1" t="str">
        <f>IF(AR21="0","0","2")</f>
        <v>0</v>
      </c>
      <c r="AS22" s="1" t="str">
        <f>IF(AS21="0","0","1,5")</f>
        <v>0</v>
      </c>
      <c r="AT22" s="1" t="str">
        <f>IF(AT21="0","0","2")</f>
        <v>0</v>
      </c>
      <c r="AU22" s="1" t="str">
        <f>IF(AU21="0","0","1,5")</f>
        <v>0</v>
      </c>
      <c r="AV22" s="1" t="str">
        <f>IF(AV21="0","0","2")</f>
        <v>0</v>
      </c>
      <c r="AW22" s="13"/>
      <c r="AX22" s="1"/>
      <c r="AY22" s="1"/>
      <c r="AZ22" s="1"/>
    </row>
    <row r="23" spans="1:52" x14ac:dyDescent="0.25">
      <c r="A23" s="1" t="s">
        <v>28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2">
        <f t="shared" si="0"/>
        <v>0</v>
      </c>
      <c r="R23" s="10">
        <f>R21-(0.6495*R22)</f>
        <v>0</v>
      </c>
      <c r="S23" s="1">
        <f t="shared" ref="S23:AG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7.3505000000000003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ref="AH23:AQ23" si="2">AH21-(0.6495*AH22)</f>
        <v>0</v>
      </c>
      <c r="AI23" s="1">
        <f t="shared" si="2"/>
        <v>0</v>
      </c>
      <c r="AJ23" s="1">
        <f t="shared" si="2"/>
        <v>0</v>
      </c>
      <c r="AK23" s="1">
        <f t="shared" si="2"/>
        <v>0</v>
      </c>
      <c r="AL23" s="1">
        <f t="shared" si="2"/>
        <v>0</v>
      </c>
      <c r="AM23" s="1">
        <f t="shared" si="2"/>
        <v>0</v>
      </c>
      <c r="AN23" s="1">
        <f t="shared" si="2"/>
        <v>0</v>
      </c>
      <c r="AO23" s="1">
        <f t="shared" si="2"/>
        <v>0</v>
      </c>
      <c r="AP23" s="1">
        <f t="shared" si="2"/>
        <v>0</v>
      </c>
      <c r="AQ23" s="1">
        <f t="shared" si="2"/>
        <v>0</v>
      </c>
      <c r="AR23" s="1">
        <f t="shared" ref="AR23:AZ23" si="3">AR21-(0.6495*AR22)</f>
        <v>0</v>
      </c>
      <c r="AS23" s="1">
        <f t="shared" si="3"/>
        <v>0</v>
      </c>
      <c r="AT23" s="1">
        <f t="shared" si="3"/>
        <v>0</v>
      </c>
      <c r="AU23" s="1">
        <f t="shared" si="3"/>
        <v>0</v>
      </c>
      <c r="AV23" s="1">
        <f t="shared" si="3"/>
        <v>0</v>
      </c>
      <c r="AW23" s="13"/>
      <c r="AX23" s="1"/>
      <c r="AY23" s="1"/>
      <c r="AZ23" s="1"/>
    </row>
    <row r="24" spans="1:52" x14ac:dyDescent="0.25">
      <c r="A24" s="1" t="s">
        <v>29</v>
      </c>
      <c r="B24" s="1">
        <f>B21 -(1.2269 * B22)</f>
        <v>0</v>
      </c>
      <c r="C24" s="1">
        <f t="shared" ref="C24:Q24" si="4">C21 -(1.2269 * C22)</f>
        <v>0</v>
      </c>
      <c r="D24" s="1">
        <f t="shared" si="4"/>
        <v>0</v>
      </c>
      <c r="E24" s="1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O24" s="1">
        <f t="shared" si="4"/>
        <v>0</v>
      </c>
      <c r="P24" s="1">
        <f t="shared" si="4"/>
        <v>0</v>
      </c>
      <c r="Q24" s="12">
        <f t="shared" si="4"/>
        <v>0</v>
      </c>
      <c r="R24" s="10">
        <f>R21 -(1.2269 * R22)</f>
        <v>0</v>
      </c>
      <c r="S24" s="1">
        <f t="shared" ref="S24:AG24" si="5">S21 -(1.2269 * S22)</f>
        <v>0</v>
      </c>
      <c r="T24" s="1">
        <f t="shared" si="5"/>
        <v>0</v>
      </c>
      <c r="U24" s="1">
        <f t="shared" si="5"/>
        <v>0</v>
      </c>
      <c r="V24" s="1">
        <f t="shared" si="5"/>
        <v>0</v>
      </c>
      <c r="W24" s="1">
        <f t="shared" si="5"/>
        <v>0</v>
      </c>
      <c r="X24" s="1">
        <f t="shared" si="5"/>
        <v>0</v>
      </c>
      <c r="Y24" s="1">
        <f t="shared" si="5"/>
        <v>0</v>
      </c>
      <c r="Z24" s="1">
        <f t="shared" si="5"/>
        <v>0</v>
      </c>
      <c r="AA24" s="1">
        <f t="shared" si="5"/>
        <v>0</v>
      </c>
      <c r="AB24" s="1">
        <f t="shared" si="5"/>
        <v>0</v>
      </c>
      <c r="AC24" s="1">
        <f t="shared" si="5"/>
        <v>6.7730999999999995</v>
      </c>
      <c r="AD24" s="1">
        <f t="shared" si="5"/>
        <v>0</v>
      </c>
      <c r="AE24" s="1">
        <f t="shared" si="5"/>
        <v>0</v>
      </c>
      <c r="AF24" s="1">
        <f t="shared" si="5"/>
        <v>0</v>
      </c>
      <c r="AG24" s="1">
        <f t="shared" si="5"/>
        <v>0</v>
      </c>
      <c r="AH24" s="1">
        <f t="shared" ref="AH24:AQ24" si="6">AH21 -(1.2269 * AH22)</f>
        <v>0</v>
      </c>
      <c r="AI24" s="1">
        <f t="shared" si="6"/>
        <v>0</v>
      </c>
      <c r="AJ24" s="1">
        <f t="shared" si="6"/>
        <v>0</v>
      </c>
      <c r="AK24" s="1">
        <f t="shared" si="6"/>
        <v>0</v>
      </c>
      <c r="AL24" s="1">
        <f t="shared" si="6"/>
        <v>0</v>
      </c>
      <c r="AM24" s="1">
        <f t="shared" si="6"/>
        <v>0</v>
      </c>
      <c r="AN24" s="1">
        <f t="shared" si="6"/>
        <v>0</v>
      </c>
      <c r="AO24" s="1">
        <f t="shared" si="6"/>
        <v>0</v>
      </c>
      <c r="AP24" s="1">
        <f t="shared" si="6"/>
        <v>0</v>
      </c>
      <c r="AQ24" s="1">
        <f t="shared" si="6"/>
        <v>0</v>
      </c>
      <c r="AR24" s="1">
        <f t="shared" ref="AR24:AZ24" si="7">AR21 -(1.2269 * AR22)</f>
        <v>0</v>
      </c>
      <c r="AS24" s="1">
        <f t="shared" si="7"/>
        <v>0</v>
      </c>
      <c r="AT24" s="1">
        <f t="shared" si="7"/>
        <v>0</v>
      </c>
      <c r="AU24" s="1">
        <f t="shared" si="7"/>
        <v>0</v>
      </c>
      <c r="AV24" s="1">
        <f t="shared" si="7"/>
        <v>0</v>
      </c>
      <c r="AW24" s="13"/>
      <c r="AX24" s="1"/>
      <c r="AY24" s="1"/>
      <c r="AZ24" s="1"/>
    </row>
    <row r="25" spans="1:52" x14ac:dyDescent="0.25">
      <c r="A25" s="1" t="s">
        <v>30</v>
      </c>
      <c r="B25" s="1">
        <f>B21-B22</f>
        <v>0</v>
      </c>
      <c r="C25" s="1">
        <f t="shared" ref="C25:Q25" si="8">C21-C22</f>
        <v>0</v>
      </c>
      <c r="D25" s="1">
        <f t="shared" si="8"/>
        <v>0</v>
      </c>
      <c r="E25" s="1">
        <f t="shared" si="8"/>
        <v>0</v>
      </c>
      <c r="F25" s="1">
        <f t="shared" si="8"/>
        <v>0</v>
      </c>
      <c r="G25" s="1">
        <f t="shared" si="8"/>
        <v>0</v>
      </c>
      <c r="H25" s="1">
        <f t="shared" si="8"/>
        <v>0</v>
      </c>
      <c r="I25" s="1">
        <f t="shared" si="8"/>
        <v>0</v>
      </c>
      <c r="J25" s="1">
        <f t="shared" si="8"/>
        <v>0</v>
      </c>
      <c r="K25" s="1">
        <f t="shared" si="8"/>
        <v>0</v>
      </c>
      <c r="L25" s="1">
        <f t="shared" si="8"/>
        <v>0</v>
      </c>
      <c r="M25" s="1">
        <f t="shared" si="8"/>
        <v>0</v>
      </c>
      <c r="N25" s="1">
        <f t="shared" si="8"/>
        <v>0</v>
      </c>
      <c r="O25" s="1">
        <f t="shared" si="8"/>
        <v>0</v>
      </c>
      <c r="P25" s="1">
        <f t="shared" si="8"/>
        <v>0</v>
      </c>
      <c r="Q25" s="12">
        <f t="shared" si="8"/>
        <v>0</v>
      </c>
      <c r="R25" s="10">
        <f>R21-R22</f>
        <v>0</v>
      </c>
      <c r="S25" s="1">
        <f t="shared" ref="S25:AG25" si="9">S21-S22</f>
        <v>0</v>
      </c>
      <c r="T25" s="1">
        <f t="shared" si="9"/>
        <v>0</v>
      </c>
      <c r="U25" s="1">
        <f t="shared" si="9"/>
        <v>0</v>
      </c>
      <c r="V25" s="1">
        <f t="shared" si="9"/>
        <v>0</v>
      </c>
      <c r="W25" s="1">
        <f t="shared" si="9"/>
        <v>0</v>
      </c>
      <c r="X25" s="1">
        <f t="shared" si="9"/>
        <v>0</v>
      </c>
      <c r="Y25" s="1">
        <f t="shared" si="9"/>
        <v>0</v>
      </c>
      <c r="Z25" s="1">
        <f t="shared" si="9"/>
        <v>0</v>
      </c>
      <c r="AA25" s="1">
        <f t="shared" si="9"/>
        <v>0</v>
      </c>
      <c r="AB25" s="1">
        <f t="shared" si="9"/>
        <v>0</v>
      </c>
      <c r="AC25" s="1">
        <f t="shared" si="9"/>
        <v>7</v>
      </c>
      <c r="AD25" s="1">
        <f t="shared" si="9"/>
        <v>0</v>
      </c>
      <c r="AE25" s="1">
        <f t="shared" si="9"/>
        <v>0</v>
      </c>
      <c r="AF25" s="1">
        <f t="shared" si="9"/>
        <v>0</v>
      </c>
      <c r="AG25" s="1">
        <f t="shared" si="9"/>
        <v>0</v>
      </c>
      <c r="AH25" s="1">
        <f t="shared" ref="AH25:AQ25" si="10">AH21-AH22</f>
        <v>0</v>
      </c>
      <c r="AI25" s="1">
        <f t="shared" si="10"/>
        <v>0</v>
      </c>
      <c r="AJ25" s="1">
        <f t="shared" si="10"/>
        <v>0</v>
      </c>
      <c r="AK25" s="1">
        <f t="shared" si="10"/>
        <v>0</v>
      </c>
      <c r="AL25" s="1">
        <f t="shared" si="10"/>
        <v>0</v>
      </c>
      <c r="AM25" s="1">
        <f t="shared" si="10"/>
        <v>0</v>
      </c>
      <c r="AN25" s="1">
        <f t="shared" si="10"/>
        <v>0</v>
      </c>
      <c r="AO25" s="1">
        <f t="shared" si="10"/>
        <v>0</v>
      </c>
      <c r="AP25" s="1">
        <f t="shared" si="10"/>
        <v>0</v>
      </c>
      <c r="AQ25" s="1">
        <f t="shared" si="10"/>
        <v>0</v>
      </c>
      <c r="AR25" s="1">
        <f t="shared" ref="AR25:AZ25" si="11">AR21-AR22</f>
        <v>0</v>
      </c>
      <c r="AS25" s="1">
        <f t="shared" si="11"/>
        <v>0</v>
      </c>
      <c r="AT25" s="1">
        <f t="shared" si="11"/>
        <v>0</v>
      </c>
      <c r="AU25" s="1">
        <f t="shared" si="11"/>
        <v>0</v>
      </c>
      <c r="AV25" s="1">
        <f t="shared" si="11"/>
        <v>0</v>
      </c>
      <c r="AW25" s="13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2"/>
      <c r="R26" s="10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3"/>
      <c r="AX26" s="1"/>
      <c r="AY26" s="1"/>
      <c r="AZ26" s="1"/>
    </row>
    <row r="27" spans="1:52" x14ac:dyDescent="0.25">
      <c r="A27" s="1" t="s">
        <v>31</v>
      </c>
      <c r="B27" s="1">
        <v>1.6</v>
      </c>
      <c r="C27" s="1">
        <v>2</v>
      </c>
      <c r="D27" s="1">
        <v>2.5</v>
      </c>
      <c r="E27" s="1">
        <v>3</v>
      </c>
      <c r="F27" s="1">
        <v>4</v>
      </c>
      <c r="G27" s="1">
        <v>5</v>
      </c>
      <c r="H27" s="1">
        <v>6</v>
      </c>
      <c r="I27" s="1">
        <v>8</v>
      </c>
      <c r="J27" s="1">
        <v>10</v>
      </c>
      <c r="K27" s="1">
        <v>12</v>
      </c>
      <c r="L27" s="1">
        <v>16</v>
      </c>
      <c r="M27" s="1">
        <v>20</v>
      </c>
      <c r="N27" s="1">
        <v>24</v>
      </c>
      <c r="O27" s="1">
        <v>30</v>
      </c>
      <c r="P27" s="1">
        <v>36</v>
      </c>
      <c r="Q27" s="12">
        <v>42</v>
      </c>
      <c r="R27" s="1">
        <v>2</v>
      </c>
      <c r="S27" s="1">
        <v>3</v>
      </c>
      <c r="T27" s="1">
        <v>4</v>
      </c>
      <c r="U27" s="1">
        <v>4</v>
      </c>
      <c r="V27" s="1">
        <v>5</v>
      </c>
      <c r="W27" s="1">
        <v>5</v>
      </c>
      <c r="X27" s="1">
        <v>6</v>
      </c>
      <c r="Y27" s="1">
        <v>6</v>
      </c>
      <c r="Z27" s="1">
        <v>6</v>
      </c>
      <c r="AA27" s="1">
        <v>8</v>
      </c>
      <c r="AB27" s="1">
        <v>8</v>
      </c>
      <c r="AC27" s="1">
        <v>8</v>
      </c>
      <c r="AD27" s="1">
        <v>10</v>
      </c>
      <c r="AE27" s="1">
        <v>10</v>
      </c>
      <c r="AF27" s="1">
        <v>10</v>
      </c>
      <c r="AG27" s="1">
        <v>12</v>
      </c>
      <c r="AH27" s="1">
        <v>12</v>
      </c>
      <c r="AI27" s="1">
        <v>12</v>
      </c>
      <c r="AJ27" s="1">
        <v>16</v>
      </c>
      <c r="AK27" s="1">
        <v>16</v>
      </c>
      <c r="AL27" s="1">
        <v>16</v>
      </c>
      <c r="AM27" s="1">
        <v>20</v>
      </c>
      <c r="AN27" s="1">
        <v>20</v>
      </c>
      <c r="AO27" s="1">
        <v>24</v>
      </c>
      <c r="AP27" s="1">
        <v>24</v>
      </c>
      <c r="AQ27" s="1">
        <v>30</v>
      </c>
      <c r="AR27" s="1">
        <v>30</v>
      </c>
      <c r="AS27" s="1">
        <v>36</v>
      </c>
      <c r="AT27" s="1">
        <v>36</v>
      </c>
      <c r="AU27" s="1">
        <v>42</v>
      </c>
      <c r="AV27" s="1">
        <v>42</v>
      </c>
      <c r="AW27" s="13"/>
      <c r="AX27" s="1"/>
      <c r="AY27" s="1"/>
      <c r="AZ27" s="1"/>
    </row>
    <row r="28" spans="1:52" x14ac:dyDescent="0.25">
      <c r="A28" s="1" t="s">
        <v>32</v>
      </c>
      <c r="B28" s="1">
        <v>3</v>
      </c>
      <c r="C28" s="1">
        <v>3.8</v>
      </c>
      <c r="D28" s="1">
        <v>4.5</v>
      </c>
      <c r="E28" s="1">
        <v>5.5</v>
      </c>
      <c r="F28" s="1">
        <v>7</v>
      </c>
      <c r="G28" s="1">
        <v>8.5</v>
      </c>
      <c r="H28" s="1">
        <v>10</v>
      </c>
      <c r="I28" s="1">
        <v>13</v>
      </c>
      <c r="J28" s="1">
        <v>16</v>
      </c>
      <c r="K28" s="1">
        <v>18</v>
      </c>
      <c r="L28" s="1">
        <v>24</v>
      </c>
      <c r="M28" s="1">
        <v>30</v>
      </c>
      <c r="N28" s="1">
        <v>36</v>
      </c>
      <c r="O28" s="1">
        <v>45</v>
      </c>
      <c r="P28" s="1">
        <v>54</v>
      </c>
      <c r="Q28" s="12">
        <v>63</v>
      </c>
      <c r="R28" s="1">
        <v>3.8</v>
      </c>
      <c r="S28" s="1">
        <v>5.5</v>
      </c>
      <c r="T28" s="1">
        <v>7</v>
      </c>
      <c r="U28" s="1">
        <v>7</v>
      </c>
      <c r="V28" s="1">
        <v>8.5</v>
      </c>
      <c r="W28" s="1">
        <v>8.5</v>
      </c>
      <c r="X28" s="1">
        <v>10</v>
      </c>
      <c r="Y28" s="1">
        <v>10</v>
      </c>
      <c r="Z28" s="1">
        <v>10</v>
      </c>
      <c r="AA28" s="1">
        <v>13</v>
      </c>
      <c r="AB28" s="1">
        <v>13</v>
      </c>
      <c r="AC28" s="1">
        <v>13</v>
      </c>
      <c r="AD28" s="1">
        <v>16</v>
      </c>
      <c r="AE28" s="1">
        <v>16</v>
      </c>
      <c r="AF28" s="1">
        <v>16</v>
      </c>
      <c r="AG28" s="1">
        <v>18</v>
      </c>
      <c r="AH28" s="1">
        <v>18</v>
      </c>
      <c r="AI28" s="1">
        <v>18</v>
      </c>
      <c r="AJ28" s="1">
        <v>24</v>
      </c>
      <c r="AK28" s="1">
        <v>24</v>
      </c>
      <c r="AL28" s="1">
        <v>24</v>
      </c>
      <c r="AM28" s="1">
        <v>30</v>
      </c>
      <c r="AN28" s="1">
        <v>30</v>
      </c>
      <c r="AO28" s="1">
        <v>36</v>
      </c>
      <c r="AP28" s="1">
        <v>36</v>
      </c>
      <c r="AQ28" s="1">
        <v>45</v>
      </c>
      <c r="AR28" s="1">
        <v>45</v>
      </c>
      <c r="AS28" s="1">
        <v>54</v>
      </c>
      <c r="AT28" s="1">
        <v>54</v>
      </c>
      <c r="AU28" s="1">
        <v>63</v>
      </c>
      <c r="AV28" s="1">
        <v>63</v>
      </c>
      <c r="AW28" s="13"/>
      <c r="AX28" s="1"/>
      <c r="AY28" s="1"/>
      <c r="AZ28" s="1"/>
    </row>
    <row r="29" spans="1:52" x14ac:dyDescent="0.25">
      <c r="A29" s="1" t="s">
        <v>33</v>
      </c>
      <c r="B29" s="1">
        <v>1.5</v>
      </c>
      <c r="C29" s="1">
        <v>1.5</v>
      </c>
      <c r="D29" s="1">
        <v>2</v>
      </c>
      <c r="E29" s="1">
        <v>2.5</v>
      </c>
      <c r="F29" s="1">
        <v>3</v>
      </c>
      <c r="G29" s="1">
        <v>4</v>
      </c>
      <c r="H29" s="1">
        <v>5</v>
      </c>
      <c r="I29" s="1">
        <v>6</v>
      </c>
      <c r="J29" s="1">
        <v>8</v>
      </c>
      <c r="K29" s="1">
        <v>10</v>
      </c>
      <c r="L29" s="1">
        <v>14</v>
      </c>
      <c r="M29" s="1">
        <v>17</v>
      </c>
      <c r="N29" s="1">
        <v>19</v>
      </c>
      <c r="O29" s="1">
        <v>22</v>
      </c>
      <c r="P29" s="1">
        <v>27</v>
      </c>
      <c r="Q29" s="12">
        <v>32</v>
      </c>
      <c r="R29" s="1">
        <v>1.5</v>
      </c>
      <c r="S29" s="1">
        <v>2.5</v>
      </c>
      <c r="T29" s="1">
        <v>3</v>
      </c>
      <c r="U29" s="1">
        <v>3</v>
      </c>
      <c r="V29" s="1">
        <v>4</v>
      </c>
      <c r="W29" s="1">
        <v>4</v>
      </c>
      <c r="X29" s="1">
        <v>5</v>
      </c>
      <c r="Y29" s="1">
        <v>5</v>
      </c>
      <c r="Z29" s="1">
        <v>5</v>
      </c>
      <c r="AA29" s="1">
        <v>6</v>
      </c>
      <c r="AB29" s="1">
        <v>6</v>
      </c>
      <c r="AC29" s="1">
        <v>6</v>
      </c>
      <c r="AD29" s="1">
        <v>8</v>
      </c>
      <c r="AE29" s="1">
        <v>8</v>
      </c>
      <c r="AF29" s="1">
        <v>8</v>
      </c>
      <c r="AG29" s="1">
        <v>10</v>
      </c>
      <c r="AH29" s="1">
        <v>10</v>
      </c>
      <c r="AI29" s="1">
        <v>10</v>
      </c>
      <c r="AJ29" s="1">
        <v>14</v>
      </c>
      <c r="AK29" s="1">
        <v>14</v>
      </c>
      <c r="AL29" s="1">
        <v>14</v>
      </c>
      <c r="AM29" s="1">
        <v>17</v>
      </c>
      <c r="AN29" s="1">
        <v>17</v>
      </c>
      <c r="AO29" s="1">
        <v>19</v>
      </c>
      <c r="AP29" s="1">
        <v>19</v>
      </c>
      <c r="AQ29" s="1">
        <v>22</v>
      </c>
      <c r="AR29" s="1">
        <v>22</v>
      </c>
      <c r="AS29" s="1">
        <v>27</v>
      </c>
      <c r="AT29" s="1">
        <v>27</v>
      </c>
      <c r="AU29" s="1">
        <v>32</v>
      </c>
      <c r="AV29" s="1">
        <v>32</v>
      </c>
      <c r="AW29" s="13"/>
      <c r="AX29" s="1"/>
      <c r="AY29" s="1"/>
      <c r="AZ29" s="1"/>
    </row>
    <row r="30" spans="1:52" x14ac:dyDescent="0.25">
      <c r="A30" s="1" t="s">
        <v>34</v>
      </c>
      <c r="B30" s="1">
        <f>PI()/4*B28*B28 * B27 - ((6*(B29/COS(RADIANS(30)))*SIN(RADIANS(180/6))*B29)/4 * B27 *2/3)</f>
        <v>9.2312725838406031</v>
      </c>
      <c r="C30" s="1">
        <f t="shared" ref="C30:Q30" si="12">PI()/4*C28*C28 * C27 - ((6*(C29/COS(RADIANS(30)))*SIN(RADIANS(180/6))*C29)/4 * C27 *2/3)</f>
        <v>20.08422274756499</v>
      </c>
      <c r="D30" s="1">
        <f t="shared" si="12"/>
        <v>33.987279330099561</v>
      </c>
      <c r="E30" s="1">
        <f t="shared" si="12"/>
        <v>60.449565781012943</v>
      </c>
      <c r="F30" s="1">
        <f t="shared" si="12"/>
        <v>133.15343033507332</v>
      </c>
      <c r="G30" s="1">
        <f t="shared" si="12"/>
        <v>237.53706499215818</v>
      </c>
      <c r="H30" s="1">
        <f t="shared" si="12"/>
        <v>384.63635766002511</v>
      </c>
      <c r="I30" s="1">
        <f t="shared" si="12"/>
        <v>895.58143938673788</v>
      </c>
      <c r="J30" s="1">
        <f t="shared" si="12"/>
        <v>1641.1151260161071</v>
      </c>
      <c r="K30" s="1">
        <f t="shared" si="12"/>
        <v>2360.8077362617282</v>
      </c>
      <c r="L30" s="1">
        <f t="shared" si="12"/>
        <v>5427.6590296922177</v>
      </c>
      <c r="M30" s="1">
        <f t="shared" si="12"/>
        <v>10800.082385238031</v>
      </c>
      <c r="N30" s="1">
        <f t="shared" si="12"/>
        <v>19426.861742055316</v>
      </c>
      <c r="O30" s="1">
        <f t="shared" si="12"/>
        <v>39329.812517761631</v>
      </c>
      <c r="P30" s="1">
        <f t="shared" si="12"/>
        <v>67295.977136197995</v>
      </c>
      <c r="Q30" s="12">
        <f t="shared" si="12"/>
        <v>106093.62266472042</v>
      </c>
      <c r="R30" s="1">
        <f t="shared" ref="R30:V30" si="13">PI()/4*R28*R28 * R27 - ((6*(R29/COS(RADIANS(30)))*SIN(RADIANS(180/6))*R29)/4 * R27 *2/3)</f>
        <v>20.08422274756499</v>
      </c>
      <c r="S30" s="1">
        <f t="shared" si="13"/>
        <v>60.449565781012943</v>
      </c>
      <c r="T30" s="1">
        <f t="shared" si="13"/>
        <v>133.15343033507332</v>
      </c>
      <c r="U30" s="1">
        <f t="shared" si="13"/>
        <v>133.15343033507332</v>
      </c>
      <c r="V30" s="1">
        <f t="shared" si="13"/>
        <v>237.53706499215818</v>
      </c>
      <c r="W30" s="1">
        <f t="shared" ref="S30:AG30" si="14">PI()/4*W28*W28 * W27 - ((6*(W29/COS(RADIANS(30)))*SIN(RADIANS(180/6))*W29)/4 * W27 *2/3)</f>
        <v>237.53706499215818</v>
      </c>
      <c r="X30" s="1">
        <f t="shared" si="14"/>
        <v>384.63635766002511</v>
      </c>
      <c r="Y30" s="1">
        <f t="shared" ref="Y30:Z30" si="15">PI()/4*Y28*Y28 * Y27 - ((6*(Y29/COS(RADIANS(30)))*SIN(RADIANS(180/6))*Y29)/4 * Y27 *2/3)</f>
        <v>384.63635766002511</v>
      </c>
      <c r="Z30" s="1">
        <f t="shared" si="15"/>
        <v>384.63635766002511</v>
      </c>
      <c r="AA30" s="1">
        <f t="shared" ref="Z30:AC30" si="16">PI()/4*AA28*AA28 * AA27 - ((6*(AA29/COS(RADIANS(30)))*SIN(RADIANS(180/6))*AA29)/4 * AA27 *2/3)</f>
        <v>895.58143938673788</v>
      </c>
      <c r="AB30" s="1">
        <f t="shared" si="16"/>
        <v>895.58143938673788</v>
      </c>
      <c r="AC30" s="1">
        <f t="shared" si="16"/>
        <v>895.58143938673788</v>
      </c>
      <c r="AD30" s="1">
        <f t="shared" ref="AA30:AF30" si="17">PI()/4*AD28*AD28 * AD27 - ((6*(AD29/COS(RADIANS(30)))*SIN(RADIANS(180/6))*AD29)/4 * AD27 *2/3)</f>
        <v>1641.1151260161071</v>
      </c>
      <c r="AE30" s="1">
        <f t="shared" si="17"/>
        <v>1641.1151260161071</v>
      </c>
      <c r="AF30" s="1">
        <f t="shared" si="17"/>
        <v>1641.1151260161071</v>
      </c>
      <c r="AG30" s="1">
        <f t="shared" ref="AB30:AI30" si="18">PI()/4*AG28*AG28 * AG27 - ((6*(AG29/COS(RADIANS(30)))*SIN(RADIANS(180/6))*AG29)/4 * AG27 *2/3)</f>
        <v>2360.8077362617282</v>
      </c>
      <c r="AH30" s="1">
        <f t="shared" si="18"/>
        <v>2360.8077362617282</v>
      </c>
      <c r="AI30" s="1">
        <f t="shared" si="18"/>
        <v>2360.8077362617282</v>
      </c>
      <c r="AJ30" s="1">
        <f t="shared" ref="AC30:AL30" si="19">PI()/4*AJ28*AJ28 * AJ27 - ((6*(AJ29/COS(RADIANS(30)))*SIN(RADIANS(180/6))*AJ29)/4 * AJ27 *2/3)</f>
        <v>5427.6590296922177</v>
      </c>
      <c r="AK30" s="1">
        <f t="shared" si="19"/>
        <v>5427.6590296922177</v>
      </c>
      <c r="AL30" s="1">
        <f t="shared" si="19"/>
        <v>5427.6590296922177</v>
      </c>
      <c r="AM30" s="1">
        <f t="shared" ref="AD30:AN30" si="20">PI()/4*AM28*AM28 * AM27 - ((6*(AM29/COS(RADIANS(30)))*SIN(RADIANS(180/6))*AM29)/4 * AM27 *2/3)</f>
        <v>10800.082385238031</v>
      </c>
      <c r="AN30" s="1">
        <f t="shared" si="20"/>
        <v>10800.082385238031</v>
      </c>
      <c r="AO30" s="1">
        <f t="shared" ref="AE30:AP30" si="21">PI()/4*AO28*AO28 * AO27 - ((6*(AO29/COS(RADIANS(30)))*SIN(RADIANS(180/6))*AO29)/4 * AO27 *2/3)</f>
        <v>19426.861742055316</v>
      </c>
      <c r="AP30" s="1">
        <f t="shared" si="21"/>
        <v>19426.861742055316</v>
      </c>
      <c r="AQ30" s="1">
        <f t="shared" ref="AF30:AR30" si="22">PI()/4*AQ28*AQ28 * AQ27 - ((6*(AQ29/COS(RADIANS(30)))*SIN(RADIANS(180/6))*AQ29)/4 * AQ27 *2/3)</f>
        <v>39329.812517761631</v>
      </c>
      <c r="AR30" s="1">
        <f t="shared" si="22"/>
        <v>39329.812517761631</v>
      </c>
      <c r="AS30" s="1">
        <f t="shared" ref="AG30:AT30" si="23">PI()/4*AS28*AS28 * AS27 - ((6*(AS29/COS(RADIANS(30)))*SIN(RADIANS(180/6))*AS29)/4 * AS27 *2/3)</f>
        <v>67295.977136197995</v>
      </c>
      <c r="AT30" s="1">
        <f t="shared" si="23"/>
        <v>67295.977136197995</v>
      </c>
      <c r="AU30" s="1">
        <f t="shared" ref="AH30:AV30" si="24">PI()/4*AU28*AU28 * AU27 - ((6*(AU29/COS(RADIANS(30)))*SIN(RADIANS(180/6))*AU29)/4 * AU27 *2/3)</f>
        <v>106093.62266472042</v>
      </c>
      <c r="AV30" s="1">
        <f t="shared" si="24"/>
        <v>106093.62266472042</v>
      </c>
      <c r="AW30" s="13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2"/>
      <c r="R31" s="10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3"/>
      <c r="AX31" s="1"/>
      <c r="AY31" s="1"/>
      <c r="AZ31" s="1"/>
    </row>
    <row r="32" spans="1:52" x14ac:dyDescent="0.25">
      <c r="A32" s="1" t="s">
        <v>35</v>
      </c>
      <c r="B32" s="1">
        <v>1.1000000000000001</v>
      </c>
      <c r="C32" s="1">
        <v>1.4</v>
      </c>
      <c r="D32" s="1">
        <v>1.7</v>
      </c>
      <c r="E32" s="1">
        <v>2</v>
      </c>
      <c r="F32" s="1">
        <v>2.8</v>
      </c>
      <c r="G32" s="1">
        <v>3.5</v>
      </c>
      <c r="H32" s="1">
        <v>4</v>
      </c>
      <c r="I32" s="1">
        <v>5.3</v>
      </c>
      <c r="J32" s="1">
        <v>6.4</v>
      </c>
      <c r="K32" s="1">
        <v>7.5</v>
      </c>
      <c r="L32" s="1">
        <v>10</v>
      </c>
      <c r="M32" s="1">
        <v>12.5</v>
      </c>
      <c r="N32" s="1">
        <v>15</v>
      </c>
      <c r="O32" s="1">
        <v>18.7</v>
      </c>
      <c r="P32" s="1">
        <v>22.5</v>
      </c>
      <c r="Q32" s="12">
        <v>26</v>
      </c>
      <c r="R32" s="1">
        <v>1.4</v>
      </c>
      <c r="S32" s="1">
        <v>2</v>
      </c>
      <c r="T32" s="1">
        <v>2.8</v>
      </c>
      <c r="U32" s="1">
        <v>2.8</v>
      </c>
      <c r="V32" s="1">
        <v>3.5</v>
      </c>
      <c r="W32" s="1">
        <v>3.5</v>
      </c>
      <c r="X32" s="1">
        <v>4</v>
      </c>
      <c r="Y32" s="1">
        <v>4</v>
      </c>
      <c r="Z32" s="1">
        <v>4</v>
      </c>
      <c r="AA32" s="1">
        <v>5.3</v>
      </c>
      <c r="AB32" s="1">
        <v>5.3</v>
      </c>
      <c r="AC32" s="1">
        <v>5.3</v>
      </c>
      <c r="AD32" s="1">
        <v>6.4</v>
      </c>
      <c r="AE32" s="1">
        <v>6.4</v>
      </c>
      <c r="AF32" s="1">
        <v>6.4</v>
      </c>
      <c r="AG32" s="1">
        <v>7.5</v>
      </c>
      <c r="AH32" s="1">
        <v>7.5</v>
      </c>
      <c r="AI32" s="1">
        <v>7.5</v>
      </c>
      <c r="AJ32" s="1">
        <v>10</v>
      </c>
      <c r="AK32" s="1">
        <v>10</v>
      </c>
      <c r="AL32" s="1">
        <v>10</v>
      </c>
      <c r="AM32" s="1">
        <v>12.5</v>
      </c>
      <c r="AN32" s="1">
        <v>12.5</v>
      </c>
      <c r="AO32" s="1">
        <v>15</v>
      </c>
      <c r="AP32" s="1">
        <v>15</v>
      </c>
      <c r="AQ32" s="1">
        <v>18.7</v>
      </c>
      <c r="AR32" s="1">
        <v>18.7</v>
      </c>
      <c r="AS32" s="1">
        <v>22.5</v>
      </c>
      <c r="AT32" s="1">
        <v>22.5</v>
      </c>
      <c r="AU32" s="1">
        <v>26</v>
      </c>
      <c r="AV32" s="1">
        <v>26</v>
      </c>
      <c r="AW32" s="14"/>
      <c r="AX32" s="1"/>
      <c r="AY32" s="1"/>
      <c r="AZ32" s="1"/>
    </row>
    <row r="33" spans="1:52" x14ac:dyDescent="0.25">
      <c r="A33" s="1" t="s">
        <v>36</v>
      </c>
      <c r="B33" s="1">
        <f>IF(B21 ="1,6","3,2",0)</f>
        <v>0</v>
      </c>
      <c r="C33" s="1">
        <f>IF(C21 ="2","4",0)</f>
        <v>0</v>
      </c>
      <c r="D33" s="1">
        <f>IF(D21 ="2,5","5",0)</f>
        <v>0</v>
      </c>
      <c r="E33" s="1">
        <f>IF(E21 ="3","5,5",0)</f>
        <v>0</v>
      </c>
      <c r="F33" s="1">
        <f>IF(F21 ="4","7",0)</f>
        <v>0</v>
      </c>
      <c r="G33" s="1">
        <f>IF(G21 ="5","8",0)</f>
        <v>0</v>
      </c>
      <c r="H33" s="1">
        <f>IF(H21 ="6","10",0)</f>
        <v>0</v>
      </c>
      <c r="I33" s="1">
        <f>IF(I21 ="8","13",0)</f>
        <v>0</v>
      </c>
      <c r="J33" s="1">
        <f>IF(J21 ="10","17",0)</f>
        <v>0</v>
      </c>
      <c r="K33" s="1">
        <f>IF(K21 ="12","19",0)</f>
        <v>0</v>
      </c>
      <c r="L33" s="1">
        <f>IF(L21 ="16","24",0)</f>
        <v>0</v>
      </c>
      <c r="M33" s="1">
        <f>IF(M21 ="20","30",0)</f>
        <v>0</v>
      </c>
      <c r="N33" s="1">
        <f>IF(N21 ="24","36",0)</f>
        <v>0</v>
      </c>
      <c r="O33" s="1">
        <f>IF(O21 ="30","46",0)</f>
        <v>0</v>
      </c>
      <c r="P33" s="1">
        <f>IF(P21 ="36","55",0)</f>
        <v>0</v>
      </c>
      <c r="Q33" s="1">
        <f>IF(Q21 ="42","65",0)</f>
        <v>0</v>
      </c>
      <c r="R33" s="1">
        <f>IF(R21 ="2","4",0)</f>
        <v>0</v>
      </c>
      <c r="S33" s="1">
        <f>IF(S21 ="3","5,5",0)</f>
        <v>0</v>
      </c>
      <c r="T33" s="1">
        <f>IF(T21 ="4","7",0)</f>
        <v>0</v>
      </c>
      <c r="U33" s="1">
        <f>IF(U21 ="4","7",0)</f>
        <v>0</v>
      </c>
      <c r="V33" s="1">
        <f>IF(V21 ="5","8",0)</f>
        <v>0</v>
      </c>
      <c r="W33" s="1">
        <f>IF(W21 ="5","8",0)</f>
        <v>0</v>
      </c>
      <c r="X33" s="1">
        <f>IF(X21 ="6","10",0)</f>
        <v>0</v>
      </c>
      <c r="Y33" s="1">
        <f>IF(Y21 ="6","10",0)</f>
        <v>0</v>
      </c>
      <c r="Z33" s="1">
        <f>IF(Z21 ="6","10",0)</f>
        <v>0</v>
      </c>
      <c r="AA33" s="1">
        <f>IF(AA21 ="8","13",0)</f>
        <v>0</v>
      </c>
      <c r="AB33" s="1">
        <f>IF(AB21 ="8","13",0)</f>
        <v>0</v>
      </c>
      <c r="AC33" s="1" t="str">
        <f>IF(AC21 ="8","13",0)</f>
        <v>13</v>
      </c>
      <c r="AD33" s="1">
        <f>IF(AD21 ="10","17",0)</f>
        <v>0</v>
      </c>
      <c r="AE33" s="1">
        <f>IF(AE21 ="10","17",0)</f>
        <v>0</v>
      </c>
      <c r="AF33" s="1">
        <f>IF(AF21 ="10","17",0)</f>
        <v>0</v>
      </c>
      <c r="AG33" s="1">
        <f>IF(AG21 ="12","19",0)</f>
        <v>0</v>
      </c>
      <c r="AH33" s="1">
        <f>IF(AH21 ="12","19",0)</f>
        <v>0</v>
      </c>
      <c r="AI33" s="1">
        <f>IF(AI21 ="12","19",0)</f>
        <v>0</v>
      </c>
      <c r="AJ33" s="1">
        <f>IF(AJ21 ="16","24",0)</f>
        <v>0</v>
      </c>
      <c r="AK33" s="1">
        <f>IF(AK21 ="16","24",0)</f>
        <v>0</v>
      </c>
      <c r="AL33" s="1">
        <f>IF(AL21 ="16","24",0)</f>
        <v>0</v>
      </c>
      <c r="AM33" s="1">
        <f>IF(AM21 ="20","30",0)</f>
        <v>0</v>
      </c>
      <c r="AN33" s="1">
        <f>IF(AN21 ="20","30",0)</f>
        <v>0</v>
      </c>
      <c r="AO33" s="1">
        <f>IF(AO21 ="24","36",0)</f>
        <v>0</v>
      </c>
      <c r="AP33" s="1">
        <f>IF(AP21 ="24","36",0)</f>
        <v>0</v>
      </c>
      <c r="AQ33" s="1">
        <f>IF(AQ21 ="30","46",0)</f>
        <v>0</v>
      </c>
      <c r="AR33" s="1">
        <f>IF(AR21 ="30","46",0)</f>
        <v>0</v>
      </c>
      <c r="AS33" s="1">
        <f>IF(AS21 ="36","55",0)</f>
        <v>0</v>
      </c>
      <c r="AT33" s="1">
        <f>IF(AT21 ="36","55",0)</f>
        <v>0</v>
      </c>
      <c r="AU33" s="1">
        <f>IF(AU21 ="42","65",0)</f>
        <v>0</v>
      </c>
      <c r="AV33" s="1">
        <f>IF(AV21 ="42","65",0)</f>
        <v>0</v>
      </c>
      <c r="AW33" s="14"/>
      <c r="AX33" s="1"/>
      <c r="AY33" s="1"/>
      <c r="AZ33" s="1"/>
    </row>
    <row r="34" spans="1:52" x14ac:dyDescent="0.25">
      <c r="A34" s="1" t="s">
        <v>37</v>
      </c>
      <c r="B34" s="1">
        <f t="shared" ref="B34:D34" si="25">((6*(B33/COS(RADIANS(30)))*SIN(RADIANS(180/6))*B33)/4) *B32</f>
        <v>0</v>
      </c>
      <c r="C34" s="1">
        <f t="shared" si="25"/>
        <v>0</v>
      </c>
      <c r="D34" s="1">
        <f t="shared" si="25"/>
        <v>0</v>
      </c>
      <c r="E34" s="1">
        <f>((6*(E33/COS(RADIANS(30)))*SIN(RADIANS(180/6))*E33)/4) *E32</f>
        <v>0</v>
      </c>
      <c r="F34" s="1">
        <f t="shared" ref="F34:T34" si="26">((6*(F33/COS(RADIANS(30)))*SIN(RADIANS(180/6))*F33)/4) *F32</f>
        <v>0</v>
      </c>
      <c r="G34" s="1">
        <f t="shared" si="26"/>
        <v>0</v>
      </c>
      <c r="H34" s="1">
        <f t="shared" si="26"/>
        <v>0</v>
      </c>
      <c r="I34" s="1">
        <f t="shared" si="26"/>
        <v>0</v>
      </c>
      <c r="J34" s="1">
        <f t="shared" si="26"/>
        <v>0</v>
      </c>
      <c r="K34" s="1">
        <f t="shared" si="26"/>
        <v>0</v>
      </c>
      <c r="L34" s="1">
        <f t="shared" si="26"/>
        <v>0</v>
      </c>
      <c r="M34" s="1">
        <f t="shared" si="26"/>
        <v>0</v>
      </c>
      <c r="N34" s="1">
        <f t="shared" si="26"/>
        <v>0</v>
      </c>
      <c r="O34" s="1">
        <f t="shared" si="26"/>
        <v>0</v>
      </c>
      <c r="P34" s="1">
        <f t="shared" si="26"/>
        <v>0</v>
      </c>
      <c r="Q34" s="12">
        <f t="shared" si="26"/>
        <v>0</v>
      </c>
      <c r="R34" s="1">
        <f t="shared" ref="R34:V34" si="27">((6*(R33/COS(RADIANS(30)))*SIN(RADIANS(180/6))*R33)/4) *R32</f>
        <v>0</v>
      </c>
      <c r="S34" s="1">
        <f t="shared" si="27"/>
        <v>0</v>
      </c>
      <c r="T34" s="1">
        <f t="shared" si="27"/>
        <v>0</v>
      </c>
      <c r="U34" s="1">
        <f t="shared" si="27"/>
        <v>0</v>
      </c>
      <c r="V34" s="1">
        <f t="shared" si="27"/>
        <v>0</v>
      </c>
      <c r="W34" s="1">
        <f t="shared" ref="V34:AG34" si="28">((6*(W33/COS(RADIANS(30)))*SIN(RADIANS(180/6))*W33)/4) *W32</f>
        <v>0</v>
      </c>
      <c r="X34" s="1">
        <f t="shared" si="28"/>
        <v>0</v>
      </c>
      <c r="Y34" s="1">
        <f t="shared" ref="Y34:AA34" si="29">((6*(Y33/COS(RADIANS(30)))*SIN(RADIANS(180/6))*Y33)/4) *Y32</f>
        <v>0</v>
      </c>
      <c r="Z34" s="1">
        <f t="shared" si="29"/>
        <v>0</v>
      </c>
      <c r="AA34" s="1">
        <f t="shared" si="29"/>
        <v>0</v>
      </c>
      <c r="AB34" s="1">
        <f t="shared" ref="AB34:AD34" si="30">((6*(AB33/COS(RADIANS(30)))*SIN(RADIANS(180/6))*AB33)/4) *AB32</f>
        <v>0</v>
      </c>
      <c r="AC34" s="1">
        <f t="shared" si="30"/>
        <v>775.69895416972145</v>
      </c>
      <c r="AD34" s="1">
        <f t="shared" si="30"/>
        <v>0</v>
      </c>
      <c r="AE34" s="1">
        <f t="shared" ref="AE34:AG34" si="31">((6*(AE33/COS(RADIANS(30)))*SIN(RADIANS(180/6))*AE33)/4) *AE32</f>
        <v>0</v>
      </c>
      <c r="AF34" s="1">
        <f t="shared" si="31"/>
        <v>0</v>
      </c>
      <c r="AG34" s="1">
        <f t="shared" si="31"/>
        <v>0</v>
      </c>
      <c r="AH34" s="1">
        <f t="shared" ref="AH34:AJ34" si="32">((6*(AH33/COS(RADIANS(30)))*SIN(RADIANS(180/6))*AH33)/4) *AH32</f>
        <v>0</v>
      </c>
      <c r="AI34" s="1">
        <f t="shared" si="32"/>
        <v>0</v>
      </c>
      <c r="AJ34" s="1">
        <f t="shared" si="32"/>
        <v>0</v>
      </c>
      <c r="AK34" s="1">
        <f t="shared" ref="AK34:AM34" si="33">((6*(AK33/COS(RADIANS(30)))*SIN(RADIANS(180/6))*AK33)/4) *AK32</f>
        <v>0</v>
      </c>
      <c r="AL34" s="1">
        <f t="shared" si="33"/>
        <v>0</v>
      </c>
      <c r="AM34" s="1">
        <f t="shared" si="33"/>
        <v>0</v>
      </c>
      <c r="AN34" s="1">
        <f t="shared" ref="AN34:AO34" si="34">((6*(AN33/COS(RADIANS(30)))*SIN(RADIANS(180/6))*AN33)/4) *AN32</f>
        <v>0</v>
      </c>
      <c r="AO34" s="1">
        <f t="shared" si="34"/>
        <v>0</v>
      </c>
      <c r="AP34" s="1">
        <f t="shared" ref="AP34:AQ34" si="35">((6*(AP33/COS(RADIANS(30)))*SIN(RADIANS(180/6))*AP33)/4) *AP32</f>
        <v>0</v>
      </c>
      <c r="AQ34" s="1">
        <f t="shared" si="35"/>
        <v>0</v>
      </c>
      <c r="AR34" s="1">
        <f t="shared" ref="AR34:AS34" si="36">((6*(AR33/COS(RADIANS(30)))*SIN(RADIANS(180/6))*AR33)/4) *AR32</f>
        <v>0</v>
      </c>
      <c r="AS34" s="1">
        <f t="shared" si="36"/>
        <v>0</v>
      </c>
      <c r="AT34" s="1">
        <f t="shared" ref="AT34:AU34" si="37">((6*(AT33/COS(RADIANS(30)))*SIN(RADIANS(180/6))*AT33)/4) *AT32</f>
        <v>0</v>
      </c>
      <c r="AU34" s="1">
        <f t="shared" si="37"/>
        <v>0</v>
      </c>
      <c r="AV34" s="1">
        <f t="shared" ref="AV34" si="38">((6*(AV33/COS(RADIANS(30)))*SIN(RADIANS(180/6))*AV33)/4) *AV32</f>
        <v>0</v>
      </c>
      <c r="AW34" s="14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2"/>
      <c r="R35" s="10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3"/>
      <c r="AX35" s="1"/>
      <c r="AY35" s="1"/>
      <c r="AZ35" s="1"/>
    </row>
    <row r="36" spans="1:52" x14ac:dyDescent="0.25">
      <c r="A36" s="1" t="s">
        <v>38</v>
      </c>
      <c r="B36" s="1"/>
      <c r="C36" s="1"/>
      <c r="D36" s="1"/>
      <c r="E36" s="1">
        <v>1.9</v>
      </c>
      <c r="F36" s="1">
        <v>2.5</v>
      </c>
      <c r="G36" s="1">
        <v>3.1</v>
      </c>
      <c r="H36" s="1">
        <v>3.7</v>
      </c>
      <c r="I36" s="1">
        <v>5</v>
      </c>
      <c r="J36" s="1">
        <v>6.2</v>
      </c>
      <c r="K36" s="1">
        <v>7.4</v>
      </c>
      <c r="L36" s="1">
        <v>8.8000000000000007</v>
      </c>
      <c r="M36" s="1">
        <v>10.199999999999999</v>
      </c>
      <c r="N36" s="1">
        <v>14</v>
      </c>
      <c r="O36" s="1"/>
      <c r="P36" s="1"/>
      <c r="Q36" s="12"/>
      <c r="R36" s="10"/>
      <c r="S36" s="1">
        <v>1.9</v>
      </c>
      <c r="T36" s="1">
        <v>2.5</v>
      </c>
      <c r="U36" s="1">
        <v>2.5</v>
      </c>
      <c r="V36" s="1">
        <v>3.1</v>
      </c>
      <c r="W36" s="1">
        <v>3.1</v>
      </c>
      <c r="X36" s="1">
        <v>3.7</v>
      </c>
      <c r="Y36" s="1">
        <v>3.7</v>
      </c>
      <c r="Z36" s="1">
        <v>5</v>
      </c>
      <c r="AA36" s="1">
        <v>5</v>
      </c>
      <c r="AB36" s="1">
        <v>5</v>
      </c>
      <c r="AC36" s="1">
        <v>5</v>
      </c>
      <c r="AD36" s="1">
        <v>6.2</v>
      </c>
      <c r="AE36" s="1">
        <v>6.2</v>
      </c>
      <c r="AF36" s="1">
        <v>6.2</v>
      </c>
      <c r="AG36" s="1">
        <v>7.4</v>
      </c>
      <c r="AH36" s="1">
        <v>7.4</v>
      </c>
      <c r="AI36" s="1">
        <v>7.4</v>
      </c>
      <c r="AJ36" s="1">
        <v>8.8000000000000007</v>
      </c>
      <c r="AK36" s="1">
        <v>8.8000000000000007</v>
      </c>
      <c r="AL36" s="1">
        <v>8.8000000000000007</v>
      </c>
      <c r="AM36" s="1">
        <v>10.199999999999999</v>
      </c>
      <c r="AN36" s="1">
        <v>10.199999999999999</v>
      </c>
      <c r="AO36" s="1">
        <v>14</v>
      </c>
      <c r="AP36" s="1">
        <v>14</v>
      </c>
      <c r="AQ36" s="1"/>
      <c r="AR36" s="1"/>
      <c r="AS36" s="1"/>
      <c r="AT36" s="1"/>
      <c r="AU36" s="1"/>
      <c r="AV36" s="1"/>
      <c r="AW36" s="13"/>
      <c r="AX36" s="1"/>
      <c r="AY36" s="1"/>
      <c r="AZ36" s="1"/>
    </row>
    <row r="37" spans="1:52" x14ac:dyDescent="0.25">
      <c r="A37" s="1" t="s">
        <v>39</v>
      </c>
      <c r="B37" s="1"/>
      <c r="C37" s="1"/>
      <c r="D37" s="1"/>
      <c r="E37" s="1">
        <v>5.5</v>
      </c>
      <c r="F37" s="1">
        <v>7.5</v>
      </c>
      <c r="G37" s="1">
        <v>9.4</v>
      </c>
      <c r="H37" s="1">
        <v>11.3</v>
      </c>
      <c r="I37" s="1">
        <v>15.2</v>
      </c>
      <c r="J37" s="1">
        <v>19.2</v>
      </c>
      <c r="K37" s="1">
        <v>23.1</v>
      </c>
      <c r="L37" s="1">
        <v>29</v>
      </c>
      <c r="M37" s="1">
        <v>36</v>
      </c>
      <c r="N37" s="1">
        <v>39</v>
      </c>
      <c r="O37" s="1"/>
      <c r="P37" s="1"/>
      <c r="Q37" s="12"/>
      <c r="R37" s="10"/>
      <c r="S37" s="1">
        <v>5.5</v>
      </c>
      <c r="T37" s="1">
        <v>7.5</v>
      </c>
      <c r="U37" s="1">
        <v>7.5</v>
      </c>
      <c r="V37" s="1">
        <v>9.4</v>
      </c>
      <c r="W37" s="1">
        <v>9.4</v>
      </c>
      <c r="X37" s="1">
        <v>11.3</v>
      </c>
      <c r="Y37" s="1">
        <v>11.3</v>
      </c>
      <c r="Z37" s="1">
        <v>15.2</v>
      </c>
      <c r="AA37" s="1">
        <v>15.2</v>
      </c>
      <c r="AB37" s="1">
        <v>15.2</v>
      </c>
      <c r="AC37" s="1">
        <v>15.2</v>
      </c>
      <c r="AD37" s="1">
        <v>19.2</v>
      </c>
      <c r="AE37" s="1">
        <v>19.2</v>
      </c>
      <c r="AF37" s="1">
        <v>19.2</v>
      </c>
      <c r="AG37" s="1">
        <v>23.1</v>
      </c>
      <c r="AH37" s="1">
        <v>23.1</v>
      </c>
      <c r="AI37" s="1">
        <v>23.1</v>
      </c>
      <c r="AJ37" s="1">
        <v>29</v>
      </c>
      <c r="AK37" s="1">
        <v>29</v>
      </c>
      <c r="AL37" s="1">
        <v>29</v>
      </c>
      <c r="AM37" s="1">
        <v>36</v>
      </c>
      <c r="AN37" s="1">
        <v>36</v>
      </c>
      <c r="AO37" s="1">
        <v>39</v>
      </c>
      <c r="AP37" s="1">
        <v>39</v>
      </c>
      <c r="AQ37" s="1"/>
      <c r="AR37" s="1"/>
      <c r="AS37" s="1"/>
      <c r="AT37" s="1"/>
      <c r="AU37" s="1"/>
      <c r="AV37" s="1"/>
      <c r="AW37" s="13"/>
      <c r="AX37" s="1"/>
      <c r="AY37" s="1"/>
      <c r="AZ37" s="1"/>
    </row>
    <row r="38" spans="1:52" x14ac:dyDescent="0.25">
      <c r="A38" s="1" t="s">
        <v>40</v>
      </c>
      <c r="B38" s="1"/>
      <c r="C38" s="1"/>
      <c r="D38" s="1"/>
      <c r="E38" s="1">
        <v>2</v>
      </c>
      <c r="F38" s="1">
        <v>2.5</v>
      </c>
      <c r="G38" s="1">
        <v>3</v>
      </c>
      <c r="H38" s="1">
        <v>4</v>
      </c>
      <c r="I38" s="1">
        <v>5</v>
      </c>
      <c r="J38" s="1">
        <v>6</v>
      </c>
      <c r="K38" s="1">
        <v>8</v>
      </c>
      <c r="L38" s="1">
        <v>10</v>
      </c>
      <c r="M38" s="1">
        <v>12</v>
      </c>
      <c r="N38" s="1">
        <v>14</v>
      </c>
      <c r="O38" s="1"/>
      <c r="P38" s="1"/>
      <c r="Q38" s="12"/>
      <c r="R38" s="10"/>
      <c r="S38" s="1">
        <v>2</v>
      </c>
      <c r="T38" s="1">
        <v>2.5</v>
      </c>
      <c r="U38" s="1">
        <v>2.5</v>
      </c>
      <c r="V38" s="1">
        <v>3</v>
      </c>
      <c r="W38" s="1">
        <v>3</v>
      </c>
      <c r="X38" s="1">
        <v>4</v>
      </c>
      <c r="Y38" s="1">
        <v>4</v>
      </c>
      <c r="Z38" s="1">
        <v>5</v>
      </c>
      <c r="AA38" s="1">
        <v>5</v>
      </c>
      <c r="AB38" s="1">
        <v>5</v>
      </c>
      <c r="AC38" s="1">
        <v>5</v>
      </c>
      <c r="AD38" s="1">
        <v>6</v>
      </c>
      <c r="AE38" s="1">
        <v>6</v>
      </c>
      <c r="AF38" s="1">
        <v>6</v>
      </c>
      <c r="AG38" s="1">
        <v>8</v>
      </c>
      <c r="AH38" s="1">
        <v>8</v>
      </c>
      <c r="AI38" s="1">
        <v>8</v>
      </c>
      <c r="AJ38" s="1">
        <v>10</v>
      </c>
      <c r="AK38" s="1">
        <v>10</v>
      </c>
      <c r="AL38" s="1">
        <v>10</v>
      </c>
      <c r="AM38" s="1">
        <v>12</v>
      </c>
      <c r="AN38" s="1">
        <v>12</v>
      </c>
      <c r="AO38" s="1">
        <v>14</v>
      </c>
      <c r="AP38" s="1">
        <v>14</v>
      </c>
      <c r="AQ38" s="1"/>
      <c r="AR38" s="1"/>
      <c r="AS38" s="1"/>
      <c r="AT38" s="1"/>
      <c r="AU38" s="1"/>
      <c r="AV38" s="1"/>
      <c r="AW38" s="13"/>
      <c r="AX38" s="1"/>
      <c r="AY38" s="1"/>
      <c r="AZ38" s="1"/>
    </row>
    <row r="39" spans="1:52" x14ac:dyDescent="0.25">
      <c r="A39" s="1" t="s">
        <v>41</v>
      </c>
      <c r="B39" s="1"/>
      <c r="C39" s="1"/>
      <c r="D39" s="1"/>
      <c r="E39" s="1">
        <f>PI()/4*E37*E37 * E36 * 0.5  - ((6*(E38/COS(RADIANS(30)))*SIN(RADIANS(180/6))*E38)/4 * E36 *2/3)</f>
        <v>18.182517674793012</v>
      </c>
      <c r="F39" s="1">
        <f t="shared" ref="F39:N39" si="39">PI()/4*F37*F37 * F36 * 0.5  - ((6*(F38/COS(RADIANS(30)))*SIN(RADIANS(180/6))*F38)/4 * F36 *2/3)</f>
        <v>46.202210407795178</v>
      </c>
      <c r="G39" s="1">
        <f t="shared" si="39"/>
        <v>91.458489152197174</v>
      </c>
      <c r="H39" s="1">
        <f t="shared" si="39"/>
        <v>151.35272330978151</v>
      </c>
      <c r="I39" s="1">
        <f t="shared" si="39"/>
        <v>381.47719552966294</v>
      </c>
      <c r="J39" s="1">
        <f t="shared" si="39"/>
        <v>768.67587467686519</v>
      </c>
      <c r="K39" s="1">
        <f t="shared" si="39"/>
        <v>1277.2232742026893</v>
      </c>
      <c r="L39" s="1">
        <f t="shared" si="39"/>
        <v>2398.2191269490472</v>
      </c>
      <c r="M39" s="1">
        <f t="shared" si="39"/>
        <v>4343.1556254060515</v>
      </c>
      <c r="N39" s="1">
        <f t="shared" si="39"/>
        <v>6777.885107036298</v>
      </c>
      <c r="O39" s="1"/>
      <c r="P39" s="1"/>
      <c r="Q39" s="12"/>
      <c r="R39" s="10"/>
      <c r="S39" s="1">
        <f t="shared" ref="S39:V39" si="40">PI()/4*S37*S37 * S36 * 0.5  - ((6*(S38/COS(RADIANS(30)))*SIN(RADIANS(180/6))*S38)/4 * S36 *2/3)</f>
        <v>18.182517674793012</v>
      </c>
      <c r="T39" s="1">
        <f t="shared" si="40"/>
        <v>46.202210407795178</v>
      </c>
      <c r="U39" s="1">
        <f t="shared" si="40"/>
        <v>46.202210407795178</v>
      </c>
      <c r="V39" s="1">
        <f t="shared" si="40"/>
        <v>91.458489152197174</v>
      </c>
      <c r="W39" s="1">
        <f t="shared" ref="V39:AD39" si="41">PI()/4*W37*W37 * W36 * 0.5  - ((6*(W38/COS(RADIANS(30)))*SIN(RADIANS(180/6))*W38)/4 * W36 *2/3)</f>
        <v>91.458489152197174</v>
      </c>
      <c r="X39" s="1">
        <f t="shared" si="41"/>
        <v>151.35272330978151</v>
      </c>
      <c r="Y39" s="1">
        <f t="shared" ref="Y39" si="42">PI()/4*Y37*Y37 * Y36 * 0.5  - ((6*(Y38/COS(RADIANS(30)))*SIN(RADIANS(180/6))*Y38)/4 * Y36 *2/3)</f>
        <v>151.35272330978151</v>
      </c>
      <c r="Z39" s="1">
        <f t="shared" ref="Z39:AC39" si="43">PI()/4*Z37*Z37 * Z36 * 0.5  - ((6*(Z38/COS(RADIANS(30)))*SIN(RADIANS(180/6))*Z38)/4 * Z36 *2/3)</f>
        <v>381.47719552966294</v>
      </c>
      <c r="AA39" s="1">
        <f t="shared" si="43"/>
        <v>381.47719552966294</v>
      </c>
      <c r="AB39" s="1">
        <f t="shared" si="43"/>
        <v>381.47719552966294</v>
      </c>
      <c r="AC39" s="1">
        <f t="shared" si="43"/>
        <v>381.47719552966294</v>
      </c>
      <c r="AD39" s="1">
        <f t="shared" ref="AA39:AF39" si="44">PI()/4*AD37*AD37 * AD36 * 0.5  - ((6*(AD38/COS(RADIANS(30)))*SIN(RADIANS(180/6))*AD38)/4 * AD36 *2/3)</f>
        <v>768.67587467686519</v>
      </c>
      <c r="AE39" s="1">
        <f t="shared" si="44"/>
        <v>768.67587467686519</v>
      </c>
      <c r="AF39" s="1">
        <f t="shared" si="44"/>
        <v>768.67587467686519</v>
      </c>
      <c r="AG39" s="1">
        <f t="shared" ref="AB39:AI39" si="45">PI()/4*AG37*AG37 * AG36 * 0.5  - ((6*(AG38/COS(RADIANS(30)))*SIN(RADIANS(180/6))*AG38)/4 * AG36 *2/3)</f>
        <v>1277.2232742026893</v>
      </c>
      <c r="AH39" s="1">
        <f t="shared" si="45"/>
        <v>1277.2232742026893</v>
      </c>
      <c r="AI39" s="1">
        <f t="shared" si="45"/>
        <v>1277.2232742026893</v>
      </c>
      <c r="AJ39" s="1">
        <f t="shared" ref="AC39:AL39" si="46">PI()/4*AJ37*AJ37 * AJ36 * 0.5  - ((6*(AJ38/COS(RADIANS(30)))*SIN(RADIANS(180/6))*AJ38)/4 * AJ36 *2/3)</f>
        <v>2398.2191269490472</v>
      </c>
      <c r="AK39" s="1">
        <f t="shared" si="46"/>
        <v>2398.2191269490472</v>
      </c>
      <c r="AL39" s="1">
        <f t="shared" si="46"/>
        <v>2398.2191269490472</v>
      </c>
      <c r="AM39" s="1">
        <f t="shared" ref="AD39:AN39" si="47">PI()/4*AM37*AM37 * AM36 * 0.5  - ((6*(AM38/COS(RADIANS(30)))*SIN(RADIANS(180/6))*AM38)/4 * AM36 *2/3)</f>
        <v>4343.1556254060515</v>
      </c>
      <c r="AN39" s="1">
        <f t="shared" si="47"/>
        <v>4343.1556254060515</v>
      </c>
      <c r="AO39" s="1">
        <f t="shared" ref="AE39:AP39" si="48">PI()/4*AO37*AO37 * AO36 * 0.5  - ((6*(AO38/COS(RADIANS(30)))*SIN(RADIANS(180/6))*AO38)/4 * AO36 *2/3)</f>
        <v>6777.885107036298</v>
      </c>
      <c r="AP39" s="1">
        <f t="shared" si="48"/>
        <v>6777.885107036298</v>
      </c>
      <c r="AQ39" s="1"/>
      <c r="AR39" s="1"/>
      <c r="AS39" s="1"/>
      <c r="AT39" s="1"/>
      <c r="AU39" s="1"/>
      <c r="AV39" s="1"/>
      <c r="AW39" s="13"/>
      <c r="AX39" s="1"/>
      <c r="AY39" s="1"/>
      <c r="AZ39" s="1"/>
    </row>
    <row r="40" spans="1:52" x14ac:dyDescent="0.25">
      <c r="A40" s="1" t="s">
        <v>53</v>
      </c>
      <c r="B40" s="1">
        <f t="shared" ref="B40:Q40" si="49">PI()/4*B21*B21*$B9</f>
        <v>0</v>
      </c>
      <c r="C40" s="1">
        <f t="shared" si="49"/>
        <v>0</v>
      </c>
      <c r="D40" s="1">
        <f t="shared" si="49"/>
        <v>0</v>
      </c>
      <c r="E40" s="1">
        <f t="shared" si="49"/>
        <v>0</v>
      </c>
      <c r="F40" s="1">
        <f t="shared" si="49"/>
        <v>0</v>
      </c>
      <c r="G40" s="1">
        <f t="shared" si="49"/>
        <v>0</v>
      </c>
      <c r="H40" s="1">
        <f t="shared" si="49"/>
        <v>0</v>
      </c>
      <c r="I40" s="1">
        <f t="shared" si="49"/>
        <v>0</v>
      </c>
      <c r="J40" s="1">
        <f t="shared" si="49"/>
        <v>0</v>
      </c>
      <c r="K40" s="1">
        <f t="shared" si="49"/>
        <v>0</v>
      </c>
      <c r="L40" s="1">
        <f t="shared" si="49"/>
        <v>0</v>
      </c>
      <c r="M40" s="1">
        <f t="shared" si="49"/>
        <v>0</v>
      </c>
      <c r="N40" s="1">
        <f t="shared" si="49"/>
        <v>0</v>
      </c>
      <c r="O40" s="1">
        <f t="shared" si="49"/>
        <v>0</v>
      </c>
      <c r="P40" s="1">
        <f t="shared" si="49"/>
        <v>0</v>
      </c>
      <c r="Q40" s="12">
        <f t="shared" si="49"/>
        <v>0</v>
      </c>
      <c r="R40" s="10">
        <f t="shared" ref="R40:AG40" si="50">PI()/4*R21*R21*$B9</f>
        <v>0</v>
      </c>
      <c r="S40" s="1">
        <f t="shared" si="50"/>
        <v>0</v>
      </c>
      <c r="T40" s="1">
        <f t="shared" si="50"/>
        <v>0</v>
      </c>
      <c r="U40" s="1">
        <f t="shared" si="50"/>
        <v>0</v>
      </c>
      <c r="V40" s="1">
        <f t="shared" si="50"/>
        <v>0</v>
      </c>
      <c r="W40" s="1">
        <f t="shared" si="50"/>
        <v>0</v>
      </c>
      <c r="X40" s="1">
        <f t="shared" si="50"/>
        <v>0</v>
      </c>
      <c r="Y40" s="1">
        <f t="shared" si="50"/>
        <v>0</v>
      </c>
      <c r="Z40" s="1">
        <f t="shared" si="50"/>
        <v>0</v>
      </c>
      <c r="AA40" s="1">
        <f t="shared" si="50"/>
        <v>0</v>
      </c>
      <c r="AB40" s="1">
        <f t="shared" si="50"/>
        <v>0</v>
      </c>
      <c r="AC40" s="1">
        <f t="shared" si="50"/>
        <v>7539.8223686155034</v>
      </c>
      <c r="AD40" s="1">
        <f t="shared" si="50"/>
        <v>0</v>
      </c>
      <c r="AE40" s="1">
        <f t="shared" si="50"/>
        <v>0</v>
      </c>
      <c r="AF40" s="1">
        <f t="shared" si="50"/>
        <v>0</v>
      </c>
      <c r="AG40" s="1">
        <f t="shared" si="50"/>
        <v>0</v>
      </c>
      <c r="AH40" s="1">
        <f t="shared" ref="AH40:AQ40" si="51">PI()/4*AH21*AH21*$B9</f>
        <v>0</v>
      </c>
      <c r="AI40" s="1">
        <f t="shared" si="51"/>
        <v>0</v>
      </c>
      <c r="AJ40" s="1">
        <f t="shared" si="51"/>
        <v>0</v>
      </c>
      <c r="AK40" s="1">
        <f t="shared" si="51"/>
        <v>0</v>
      </c>
      <c r="AL40" s="1">
        <f t="shared" si="51"/>
        <v>0</v>
      </c>
      <c r="AM40" s="1">
        <f t="shared" si="51"/>
        <v>0</v>
      </c>
      <c r="AN40" s="1">
        <f t="shared" si="51"/>
        <v>0</v>
      </c>
      <c r="AO40" s="1">
        <f t="shared" si="51"/>
        <v>0</v>
      </c>
      <c r="AP40" s="1">
        <f t="shared" si="51"/>
        <v>0</v>
      </c>
      <c r="AQ40" s="1">
        <f t="shared" si="51"/>
        <v>0</v>
      </c>
      <c r="AR40" s="1">
        <f t="shared" ref="AR40:AZ40" si="52">PI()/4*AR21*AR21*$B9</f>
        <v>0</v>
      </c>
      <c r="AS40" s="1">
        <f t="shared" si="52"/>
        <v>0</v>
      </c>
      <c r="AT40" s="1">
        <f t="shared" si="52"/>
        <v>0</v>
      </c>
      <c r="AU40" s="1">
        <f t="shared" si="52"/>
        <v>0</v>
      </c>
      <c r="AV40" s="1">
        <f t="shared" si="52"/>
        <v>0</v>
      </c>
      <c r="AW40" s="13"/>
      <c r="AX40" s="1"/>
      <c r="AY40" s="1"/>
      <c r="AZ40" s="1"/>
    </row>
    <row r="41" spans="1:52" x14ac:dyDescent="0.25">
      <c r="A41" s="1" t="s">
        <v>54</v>
      </c>
      <c r="B41" s="1" t="str">
        <f>IF(B21="1,6",IF($B11 ="Sechskant",B40+B34,IF($B11="Zylinderkopf",B30+B40,IF($B11="Senkkopf",B39+B40,"0"))),"0")</f>
        <v>0</v>
      </c>
      <c r="C41" s="1" t="str">
        <f>IF(C21="2",IF($B11 ="Sechskant",C40+C34,IF($B11="Zylinderkopf",C30+C40,IF($B11="Senkkopf",C39+C40,"0"))),"0")</f>
        <v>0</v>
      </c>
      <c r="D41" s="1" t="str">
        <f>IF(D21="2,5",IF($B11 ="Sechskant",D40+D34,IF($B11="Zylinderkopf",D30+D40,IF($B11="Senkkopf",D39+D40,"0"))),"0")</f>
        <v>0</v>
      </c>
      <c r="E41" s="1" t="str">
        <f>IF(E21="3",IF($B11 ="Sechskant",E40+E34,IF($B11="Zylinderkopf",E30+E40,IF($B11="Senkkopf",E39+E40,"0"))),"0")</f>
        <v>0</v>
      </c>
      <c r="F41" s="1" t="str">
        <f>IF(F21="4",IF($B11 ="Sechskant",F40+F34,IF($B11="Zylinderkopf",F30+F40,IF($B11="Senkkopf",F39+F40,"0"))),"0")</f>
        <v>0</v>
      </c>
      <c r="G41" s="1" t="str">
        <f>IF(G21="5",IF($B11 ="Sechskant",G40+G34,IF($B11="Zylinderkopf",G30+G40,IF($B11="Senkkopf",G39+G40,"0"))),"0")</f>
        <v>0</v>
      </c>
      <c r="H41" s="1" t="str">
        <f>IF(H21="6",IF($B11 ="Sechskant",H40+H34,IF($B11="Zylinderkopf",H30+H40,IF($B11="Senkkopf",H39+H40,"0"))),"0")</f>
        <v>0</v>
      </c>
      <c r="I41" s="1" t="str">
        <f>IF(I21="8",IF($B11 ="Sechskant",I40+I34,IF($B11="Zylinderkopf",I30+I40,IF($B11="Senkkopf",I39+I40,"0"))),"0")</f>
        <v>0</v>
      </c>
      <c r="J41" s="1" t="str">
        <f>IF(J21="10",IF($B11 ="Sechskant",J40+J34,IF($B11="Zylinderkopf",J30+J40,IF($B11="Senkkopf",J39+J40,"0"))),"0")</f>
        <v>0</v>
      </c>
      <c r="K41" s="1" t="str">
        <f>IF(K21="12",IF($B11 ="Sechskant",K40+K34,IF($B11="Zylinderkopf",K30+K40,IF($B11="Senkkopf",K39+K40,"0"))),"0")</f>
        <v>0</v>
      </c>
      <c r="L41" s="1" t="str">
        <f>IF(L21="16",IF($B11 ="Sechskant",L40+L34,IF($B11="Zylinderkopf",L30+L40,IF($B11="Senkkopf",L39+L40,"0"))),"0")</f>
        <v>0</v>
      </c>
      <c r="M41" s="1" t="str">
        <f>IF(M21="20",IF($B11 ="Sechskant",M40+M34,IF($B11="Zylinderkopf",M30+M40,IF($B11="Senkkopf",M39+M40,"0"))),"0")</f>
        <v>0</v>
      </c>
      <c r="N41" s="1" t="str">
        <f>IF(N21="24",IF($B11 ="Sechskant",N40+N34,IF($B11="Zylinderkopf",N30+N40,IF($B11="Senkkopf",N39+N40,"0"))),"0")</f>
        <v>0</v>
      </c>
      <c r="O41" s="1" t="str">
        <f>IF(O21="30",IF($B11 ="Sechskant",O40+O34,IF($B11="Zylinderkopf",O30+O40,IF($B11="Senkkopf",O39+O40,"0"))),"0")</f>
        <v>0</v>
      </c>
      <c r="P41" s="1" t="str">
        <f>IF(P21="36",IF($B11 ="Sechskant",P40+P34,IF($B11="Zylinderkopf",P30+P40,IF($B11="Senkkopf",P39+P40,"0"))),"0")</f>
        <v>0</v>
      </c>
      <c r="Q41" s="12" t="str">
        <f>IF(Q21="42",IF($B11 ="Sechskant",Q40+Q34,IF($B11="Zylinderkopf",Q30+Q40,IF($B11="Senkkopf",Q39+Q40,"0"))),"0")</f>
        <v>0</v>
      </c>
      <c r="R41" s="10" t="str">
        <f>IF(R21="2",IF($B11 ="Sechskant",R40+R34,IF($B11="Zylinderkopf",R30+R40,IF($B11="Senkkopf",R39+R40,"0"))),"0")</f>
        <v>0</v>
      </c>
      <c r="S41" s="1" t="str">
        <f>IF(S21="3",IF($B11 ="Sechskant",S40+S34,IF($B11="Zylinderkopf",S30+S40,IF($B11="Senkkopf",S39+S40,"0"))),"0")</f>
        <v>0</v>
      </c>
      <c r="T41" s="1" t="str">
        <f>IF(T21="4",IF($B11 ="Sechskant",T40+T34,IF($B11="Zylinderkopf",T30+T40,IF($B11="Senkkopf",T39+T40,"0"))),"0")</f>
        <v>0</v>
      </c>
      <c r="U41" s="1" t="str">
        <f>IF(U21="4",IF($B11 ="Sechskant",U40+U34,IF($B11="Zylinderkopf",U30+U40,IF($B11="Senkkopf",U39+U40,"0"))),"0")</f>
        <v>0</v>
      </c>
      <c r="V41" s="1" t="str">
        <f>IF(V21="5",IF($B11 ="Sechskant",V40+V34,IF($B11="Zylinderkopf",V30+V40,IF($B11="Senkkopf",V39+V40,"0"))),"0")</f>
        <v>0</v>
      </c>
      <c r="W41" s="1" t="str">
        <f>IF(W21="5",IF($B11 ="Sechskant",W40+W34,IF($B11="Zylinderkopf",W30+W40,IF($B11="Senkkopf",W39+W40,"0"))),"0")</f>
        <v>0</v>
      </c>
      <c r="X41" s="1" t="str">
        <f>IF(X21="6",IF($B11 ="Sechskant",X40+X34,IF($B11="Zylinderkopf",X30+X40,IF($B11="Senkkopf",X39+X40,"0"))),"0")</f>
        <v>0</v>
      </c>
      <c r="Y41" s="1" t="str">
        <f t="shared" ref="Y41:Z41" si="53">IF(Y21="6",IF($B11 ="Sechskant",Y40+Y34,IF($B11="Zylinderkopf",Y30+Y40,IF($B11="Senkkopf",Y39+Y40,"0"))),"0")</f>
        <v>0</v>
      </c>
      <c r="Z41" s="1" t="str">
        <f t="shared" si="53"/>
        <v>0</v>
      </c>
      <c r="AA41" s="1" t="str">
        <f>IF(AA21="8",IF($B11 ="Sechskant",AA40+AA34,IF($B11="Zylinderkopf",AA30+AA40,IF($B11="Senkkopf",AA39+AA40,"0"))),"0")</f>
        <v>0</v>
      </c>
      <c r="AB41" s="1" t="str">
        <f t="shared" ref="AB41:AC41" si="54">IF(AB21="8",IF($B11 ="Sechskant",AB40+AB34,IF($B11="Zylinderkopf",AB30+AB40,IF($B11="Senkkopf",AB39+AB40,"0"))),"0")</f>
        <v>0</v>
      </c>
      <c r="AC41" s="1">
        <f t="shared" si="54"/>
        <v>7921.2995641451662</v>
      </c>
      <c r="AD41" s="1" t="str">
        <f>IF(AD21="10",IF($B11 ="Sechskant",AD40+AD34,IF($B11="Zylinderkopf",AD30+AD40,IF($B11="Senkkopf",AD39+AD40,"0"))),"0")</f>
        <v>0</v>
      </c>
      <c r="AE41" s="1" t="str">
        <f t="shared" ref="AE41:AF41" si="55">IF(AE21="10",IF($B11 ="Sechskant",AE40+AE34,IF($B11="Zylinderkopf",AE30+AE40,IF($B11="Senkkopf",AE39+AE40,"0"))),"0")</f>
        <v>0</v>
      </c>
      <c r="AF41" s="1" t="str">
        <f t="shared" si="55"/>
        <v>0</v>
      </c>
      <c r="AG41" s="1" t="str">
        <f>IF(AG21="12",IF($B11 ="Sechskant",AG40+AG34,IF($B11="Zylinderkopf",AG30+AG40,IF($B11="Senkkopf",AG39+AG40,"0"))),"0")</f>
        <v>0</v>
      </c>
      <c r="AH41" s="1" t="str">
        <f t="shared" ref="AH41:AI41" si="56">IF(AH21="12",IF($B11 ="Sechskant",AH40+AH34,IF($B11="Zylinderkopf",AH30+AH40,IF($B11="Senkkopf",AH39+AH40,"0"))),"0")</f>
        <v>0</v>
      </c>
      <c r="AI41" s="1" t="str">
        <f t="shared" si="56"/>
        <v>0</v>
      </c>
      <c r="AJ41" s="1" t="str">
        <f>IF(AJ21="16",IF($B11 ="Sechskant",AJ40+AJ34,IF($B11="Zylinderkopf",AJ30+AJ40,IF($B11="Senkkopf",AJ39+AJ40,"0"))),"0")</f>
        <v>0</v>
      </c>
      <c r="AK41" s="1" t="str">
        <f t="shared" ref="AK41:AL41" si="57">IF(AK21="16",IF($B11 ="Sechskant",AK40+AK34,IF($B11="Zylinderkopf",AK30+AK40,IF($B11="Senkkopf",AK39+AK40,"0"))),"0")</f>
        <v>0</v>
      </c>
      <c r="AL41" s="1" t="str">
        <f t="shared" si="57"/>
        <v>0</v>
      </c>
      <c r="AM41" s="1" t="str">
        <f>IF(AM21="20",IF($B11 ="Sechskant",AM40+AM34,IF($B11="Zylinderkopf",AM30+AM40,IF($B11="Senkkopf",AM39+AM40,"0"))),"0")</f>
        <v>0</v>
      </c>
      <c r="AN41" s="1" t="str">
        <f>IF(AN21="20",IF($B11 ="Sechskant",AN40+AN34,IF($B11="Zylinderkopf",AN30+AN40,IF($B11="Senkkopf",AN39+AN40,"0"))),"0")</f>
        <v>0</v>
      </c>
      <c r="AO41" s="1" t="str">
        <f>IF(AO21="24",IF($B11 ="Sechskant",AO40+AO34,IF($B11="Zylinderkopf",AO30+AO40,IF($B11="Senkkopf",AO39+AO40,"0"))),"0")</f>
        <v>0</v>
      </c>
      <c r="AP41" s="1" t="str">
        <f>IF(AP21="24",IF($B11 ="Sechskant",AP40+AP34,IF($B11="Zylinderkopf",AP30+AP40,IF($B11="Senkkopf",AP39+AP40,"0"))),"0")</f>
        <v>0</v>
      </c>
      <c r="AQ41" s="1" t="str">
        <f>IF(AQ21="30",IF($B11 ="Sechskant",AQ40+AQ34,IF($B11="Zylinderkopf",AQ30+AQ40,IF($B11="Senkkopf",AQ39+AQ40,"0"))),"0")</f>
        <v>0</v>
      </c>
      <c r="AR41" s="1" t="str">
        <f>IF(AR21="30",IF($B11 ="Sechskant",AR40+AR34,IF($B11="Zylinderkopf",AR30+AR40,IF($B11="Senkkopf",AR39+AR40,"0"))),"0")</f>
        <v>0</v>
      </c>
      <c r="AS41" s="1" t="str">
        <f>IF(AS21="36",IF($B11 ="Sechskant",AS40+AS34,IF($B11="Zylinderkopf",AS30+AS40,IF($B11="Senkkopf",AS39+AS40,"0"))),"0")</f>
        <v>0</v>
      </c>
      <c r="AT41" s="1" t="str">
        <f>IF(AT21="36",IF($B11 ="Sechskant",AT40+AT34,IF($B11="Zylinderkopf",AT30+AT40,IF($B11="Senkkopf",AT39+AT40,"0"))),"0")</f>
        <v>0</v>
      </c>
      <c r="AU41" s="1" t="str">
        <f>IF(AU21="42",IF($B11 ="Sechskant",AU40+AU34,IF($B11="Zylinderkopf",AU30+AU40,IF($B11="Senkkopf",AU39+AU40,"0"))),"0")</f>
        <v>0</v>
      </c>
      <c r="AV41" s="1" t="str">
        <f>IF(AV21="42",IF($B11 ="Sechskant",AV40+AV34,IF($B11="Zylinderkopf",AV30+AV40,IF($B11="Senkkopf",AV39+AV40,"0"))),"0")</f>
        <v>0</v>
      </c>
      <c r="AW41" s="13"/>
      <c r="AX41" s="1"/>
      <c r="AY41" s="1"/>
      <c r="AZ41" s="1"/>
    </row>
    <row r="42" spans="1:52" x14ac:dyDescent="0.25">
      <c r="A42" s="1" t="s">
        <v>55</v>
      </c>
      <c r="B42" s="1">
        <f t="shared" ref="B42:Q42" si="58">IF($B8="Stahl",$B3,IF($B8="Aluminium",$C3,IF($B8="Titan",$D3,IF($B8="Messing",$E3,IF($B8="Kupfer",$F3,IF($B8="Bronze",$G3,"0"))))))*B41</f>
        <v>0</v>
      </c>
      <c r="C42" s="1">
        <f t="shared" si="58"/>
        <v>0</v>
      </c>
      <c r="D42" s="1">
        <f t="shared" si="58"/>
        <v>0</v>
      </c>
      <c r="E42" s="1">
        <f t="shared" si="58"/>
        <v>0</v>
      </c>
      <c r="F42" s="1">
        <f t="shared" si="58"/>
        <v>0</v>
      </c>
      <c r="G42" s="1">
        <f t="shared" si="58"/>
        <v>0</v>
      </c>
      <c r="H42" s="1">
        <f t="shared" si="58"/>
        <v>0</v>
      </c>
      <c r="I42" s="1">
        <f t="shared" si="58"/>
        <v>0</v>
      </c>
      <c r="J42" s="1">
        <f t="shared" si="58"/>
        <v>0</v>
      </c>
      <c r="K42" s="1">
        <f t="shared" si="58"/>
        <v>0</v>
      </c>
      <c r="L42" s="1">
        <f t="shared" si="58"/>
        <v>0</v>
      </c>
      <c r="M42" s="1">
        <f t="shared" si="58"/>
        <v>0</v>
      </c>
      <c r="N42" s="1">
        <f t="shared" si="58"/>
        <v>0</v>
      </c>
      <c r="O42" s="1">
        <f t="shared" si="58"/>
        <v>0</v>
      </c>
      <c r="P42" s="1">
        <f t="shared" si="58"/>
        <v>0</v>
      </c>
      <c r="Q42" s="12">
        <f t="shared" si="58"/>
        <v>0</v>
      </c>
      <c r="R42" s="10">
        <f t="shared" ref="R42:AG42" si="59">IF($B8="Stahl",$B3,IF($B8="Aluminium",$C3,IF($B8="Titan",$D3,IF($B8="Messing",$E3,IF($B8="Kupfer",$F3,IF($B8="Bronze",$G3,"0"))))))*R41</f>
        <v>0</v>
      </c>
      <c r="S42" s="1">
        <f t="shared" si="59"/>
        <v>0</v>
      </c>
      <c r="T42" s="1">
        <f t="shared" si="59"/>
        <v>0</v>
      </c>
      <c r="U42" s="1">
        <f t="shared" si="59"/>
        <v>0</v>
      </c>
      <c r="V42" s="1">
        <f t="shared" si="59"/>
        <v>0</v>
      </c>
      <c r="W42" s="1">
        <f t="shared" si="59"/>
        <v>0</v>
      </c>
      <c r="X42" s="1">
        <f t="shared" si="59"/>
        <v>0</v>
      </c>
      <c r="Y42" s="1">
        <f t="shared" si="59"/>
        <v>0</v>
      </c>
      <c r="Z42" s="1">
        <f t="shared" si="59"/>
        <v>0</v>
      </c>
      <c r="AA42" s="1">
        <f t="shared" si="59"/>
        <v>0</v>
      </c>
      <c r="AB42" s="1">
        <f t="shared" si="59"/>
        <v>0</v>
      </c>
      <c r="AC42" s="1">
        <f t="shared" si="59"/>
        <v>62.182201578539548</v>
      </c>
      <c r="AD42" s="1">
        <f t="shared" si="59"/>
        <v>0</v>
      </c>
      <c r="AE42" s="1">
        <f t="shared" si="59"/>
        <v>0</v>
      </c>
      <c r="AF42" s="1">
        <f t="shared" si="59"/>
        <v>0</v>
      </c>
      <c r="AG42" s="1">
        <f t="shared" si="59"/>
        <v>0</v>
      </c>
      <c r="AH42" s="1">
        <f t="shared" ref="AH42:AQ42" si="60">IF($B8="Stahl",$B3,IF($B8="Aluminium",$C3,IF($B8="Titan",$D3,IF($B8="Messing",$E3,IF($B8="Kupfer",$F3,IF($B8="Bronze",$G3,"0"))))))*AH41</f>
        <v>0</v>
      </c>
      <c r="AI42" s="1">
        <f t="shared" si="60"/>
        <v>0</v>
      </c>
      <c r="AJ42" s="1">
        <f t="shared" si="60"/>
        <v>0</v>
      </c>
      <c r="AK42" s="1">
        <f t="shared" si="60"/>
        <v>0</v>
      </c>
      <c r="AL42" s="1">
        <f t="shared" si="60"/>
        <v>0</v>
      </c>
      <c r="AM42" s="1">
        <f t="shared" si="60"/>
        <v>0</v>
      </c>
      <c r="AN42" s="1">
        <f t="shared" si="60"/>
        <v>0</v>
      </c>
      <c r="AO42" s="1">
        <f t="shared" si="60"/>
        <v>0</v>
      </c>
      <c r="AP42" s="1">
        <f t="shared" si="60"/>
        <v>0</v>
      </c>
      <c r="AQ42" s="1">
        <f t="shared" si="60"/>
        <v>0</v>
      </c>
      <c r="AR42" s="1">
        <f t="shared" ref="AR42:AZ42" si="61">IF($B8="Stahl",$B3,IF($B8="Aluminium",$C3,IF($B8="Titan",$D3,IF($B8="Messing",$E3,IF($B8="Kupfer",$F3,IF($B8="Bronze",$G3,"0"))))))*AR41</f>
        <v>0</v>
      </c>
      <c r="AS42" s="1">
        <f t="shared" si="61"/>
        <v>0</v>
      </c>
      <c r="AT42" s="1">
        <f t="shared" si="61"/>
        <v>0</v>
      </c>
      <c r="AU42" s="1">
        <f t="shared" si="61"/>
        <v>0</v>
      </c>
      <c r="AV42" s="1">
        <f t="shared" si="61"/>
        <v>0</v>
      </c>
      <c r="AW42" s="13"/>
      <c r="AX42" s="1"/>
      <c r="AY42" s="1"/>
      <c r="AZ42" s="1"/>
    </row>
    <row r="43" spans="1:52" x14ac:dyDescent="0.25">
      <c r="A43" s="1" t="s">
        <v>56</v>
      </c>
      <c r="B43" s="1">
        <f t="shared" ref="B43:Q43" si="62">($B14*B42)/1000</f>
        <v>0</v>
      </c>
      <c r="C43" s="1">
        <f t="shared" si="62"/>
        <v>0</v>
      </c>
      <c r="D43" s="1">
        <f t="shared" si="62"/>
        <v>0</v>
      </c>
      <c r="E43" s="1">
        <f t="shared" si="62"/>
        <v>0</v>
      </c>
      <c r="F43" s="1">
        <f t="shared" si="62"/>
        <v>0</v>
      </c>
      <c r="G43" s="1">
        <f t="shared" si="62"/>
        <v>0</v>
      </c>
      <c r="H43" s="1">
        <f t="shared" si="62"/>
        <v>0</v>
      </c>
      <c r="I43" s="1">
        <f t="shared" si="62"/>
        <v>0</v>
      </c>
      <c r="J43" s="1">
        <f t="shared" si="62"/>
        <v>0</v>
      </c>
      <c r="K43" s="1">
        <f t="shared" si="62"/>
        <v>0</v>
      </c>
      <c r="L43" s="1">
        <f t="shared" si="62"/>
        <v>0</v>
      </c>
      <c r="M43" s="1">
        <f t="shared" si="62"/>
        <v>0</v>
      </c>
      <c r="N43" s="1">
        <f t="shared" si="62"/>
        <v>0</v>
      </c>
      <c r="O43" s="1">
        <f t="shared" si="62"/>
        <v>0</v>
      </c>
      <c r="P43" s="1">
        <f t="shared" si="62"/>
        <v>0</v>
      </c>
      <c r="Q43" s="12">
        <f t="shared" si="62"/>
        <v>0</v>
      </c>
      <c r="R43" s="10">
        <f t="shared" ref="R43:AG43" si="63">($B14*R42)/1000</f>
        <v>0</v>
      </c>
      <c r="S43" s="1">
        <f t="shared" si="63"/>
        <v>0</v>
      </c>
      <c r="T43" s="1">
        <f t="shared" si="63"/>
        <v>0</v>
      </c>
      <c r="U43" s="1">
        <f t="shared" si="63"/>
        <v>0</v>
      </c>
      <c r="V43" s="1">
        <f t="shared" si="63"/>
        <v>0</v>
      </c>
      <c r="W43" s="1">
        <f t="shared" si="63"/>
        <v>0</v>
      </c>
      <c r="X43" s="1">
        <f t="shared" si="63"/>
        <v>0</v>
      </c>
      <c r="Y43" s="1">
        <f t="shared" si="63"/>
        <v>0</v>
      </c>
      <c r="Z43" s="1">
        <f t="shared" si="63"/>
        <v>0</v>
      </c>
      <c r="AA43" s="1">
        <f t="shared" si="63"/>
        <v>0</v>
      </c>
      <c r="AB43" s="1">
        <f t="shared" si="63"/>
        <v>0</v>
      </c>
      <c r="AC43" s="1">
        <f t="shared" si="63"/>
        <v>0.93273302367809319</v>
      </c>
      <c r="AD43" s="1">
        <f t="shared" si="63"/>
        <v>0</v>
      </c>
      <c r="AE43" s="1">
        <f t="shared" si="63"/>
        <v>0</v>
      </c>
      <c r="AF43" s="1">
        <f t="shared" si="63"/>
        <v>0</v>
      </c>
      <c r="AG43" s="1">
        <f t="shared" si="63"/>
        <v>0</v>
      </c>
      <c r="AH43" s="1">
        <f t="shared" ref="AH43:AQ43" si="64">($B14*AH42)/1000</f>
        <v>0</v>
      </c>
      <c r="AI43" s="1">
        <f t="shared" si="64"/>
        <v>0</v>
      </c>
      <c r="AJ43" s="1">
        <f t="shared" si="64"/>
        <v>0</v>
      </c>
      <c r="AK43" s="1">
        <f t="shared" si="64"/>
        <v>0</v>
      </c>
      <c r="AL43" s="1">
        <f t="shared" si="64"/>
        <v>0</v>
      </c>
      <c r="AM43" s="1">
        <f t="shared" si="64"/>
        <v>0</v>
      </c>
      <c r="AN43" s="1">
        <f t="shared" si="64"/>
        <v>0</v>
      </c>
      <c r="AO43" s="1">
        <f t="shared" si="64"/>
        <v>0</v>
      </c>
      <c r="AP43" s="1">
        <f t="shared" si="64"/>
        <v>0</v>
      </c>
      <c r="AQ43" s="1">
        <f t="shared" si="64"/>
        <v>0</v>
      </c>
      <c r="AR43" s="1">
        <f t="shared" ref="AR43:AZ43" si="65">($B14*AR42)/1000</f>
        <v>0</v>
      </c>
      <c r="AS43" s="1">
        <f t="shared" si="65"/>
        <v>0</v>
      </c>
      <c r="AT43" s="1">
        <f t="shared" si="65"/>
        <v>0</v>
      </c>
      <c r="AU43" s="1">
        <f t="shared" si="65"/>
        <v>0</v>
      </c>
      <c r="AV43" s="1">
        <f t="shared" si="65"/>
        <v>0</v>
      </c>
      <c r="AW43" s="13"/>
      <c r="AX43" s="1"/>
      <c r="AY43" s="1"/>
      <c r="AZ43" s="1"/>
    </row>
    <row r="48" spans="1:52" x14ac:dyDescent="0.25">
      <c r="A48" s="4" t="s">
        <v>57</v>
      </c>
    </row>
    <row r="49" spans="1:2" x14ac:dyDescent="0.25">
      <c r="A49" t="s">
        <v>26</v>
      </c>
      <c r="B49">
        <f>B21+C21+D21+E21+F21+G21+H21+I21+J21+K21+L21+M21+N21+O21+P21+Q21+R21+S21+T21+U21+V21+W21+X21+Y21+Z21+AA21+AB21+AC21+AD21+AE21+AF21+AG21+AI21+AH21+AJ21+AK21+AL21+AM21+AN21+AO21+AP21+AQ21+AR21+AS21+AT21+AU21+AV21</f>
        <v>8</v>
      </c>
    </row>
    <row r="50" spans="1:2" x14ac:dyDescent="0.25">
      <c r="A50" t="s">
        <v>27</v>
      </c>
      <c r="B50">
        <f>B22+C22+D22+E22+F22+G22+H22+I22+J22+K22+L22+M22+N22+O22+P22+Q22+R22+S22+T22+U22+V22+W22+X22+Y22+Z22+AA22+AB22+AC22+AD22+AE22+AF22+AG22+AH22+AI22+AJ22+AK22+AL22+AM22+AN22+AO22+AP22+AQ22+AR22+AS22+AT22+AU22+AV22</f>
        <v>1</v>
      </c>
    </row>
    <row r="51" spans="1:2" x14ac:dyDescent="0.25">
      <c r="A51" t="s">
        <v>28</v>
      </c>
      <c r="B51">
        <f>MAX(B23:AV23)</f>
        <v>7.3505000000000003</v>
      </c>
    </row>
    <row r="52" spans="1:2" x14ac:dyDescent="0.25">
      <c r="A52" t="s">
        <v>29</v>
      </c>
      <c r="B52">
        <f>MAX(B24:AV24)</f>
        <v>6.7730999999999995</v>
      </c>
    </row>
    <row r="53" spans="1:2" x14ac:dyDescent="0.25">
      <c r="A53" t="s">
        <v>30</v>
      </c>
      <c r="B53">
        <f>MAX(B25:AV25)</f>
        <v>7</v>
      </c>
    </row>
    <row r="54" spans="1:2" x14ac:dyDescent="0.25">
      <c r="A54" t="s">
        <v>58</v>
      </c>
      <c r="B54">
        <f>B43+C43+D43+E43+F43+G43+H43+I43+J43+K43+L43+M43+N43+O43+P43+Q43+R43+S43+T43+U43+V43+W43+X43+Y43+Z43+AA43+AB43+AC43+AD43+AE43+AF43+AG43+AH43+AI43+AJ43+AK43+AL43+AM43+AN43+AO43+AP43+AQ43+AR43+AS43+AT43+AU43+AV43</f>
        <v>0.93273302367809319</v>
      </c>
    </row>
    <row r="55" spans="1:2" x14ac:dyDescent="0.25">
      <c r="A55" t="s">
        <v>93</v>
      </c>
      <c r="B55">
        <f>IF($B11 = "Sechskant",B33+C33+D33+E33+F33+G33+H33+I33+J33+K33+L33+M33+N33+O33+P33+Q33+R33+T33+S33+U33+V33+W33+X33+Y33+Z33+AA33+AB33+AC33+AD33+AE33+AF33+AG33+AH33+AI33+AJ33+AK33+AL33+AM33+AN33+AO33+AP33+AQ33+AR33+AS33+AT33+AU33+AV33,IF($B11="Zylinderkopf",B29+C29+D29+E29+F29+G29+H29+I29+J29+K29+L29+M29+N29+O29+P29+Q29+R29+S29+T29+U29+V29+W29+X29+Y29+AA29+Z29+AB29+AC29+AD29+AE29+AF29+AG29+AH29+AI29+AJ29+AK29+AL29+AM29+AN29+AO29+AP29+AQ29+AR29+AS29+AT29+AU29+AV29,IF(B11="Senkkopf",E38+F38+G38+H38+I38+J38+K38+L38+M38+N38+S38+T38+U38+V38+W38+X38+Y38+Z38+AA38+AB38+AC38+AD38+AE38+AF38+AG38+AH38+AI38+AJ38+AK38+AL38+AM38+AN38+AO38+AP38,"0")))</f>
        <v>231.5</v>
      </c>
    </row>
    <row r="56" spans="1:2" x14ac:dyDescent="0.25">
      <c r="A56" t="s">
        <v>94</v>
      </c>
      <c r="B56" t="str">
        <f>IF(B16="3.6","180","0")</f>
        <v>0</v>
      </c>
    </row>
    <row r="57" spans="1:2" x14ac:dyDescent="0.25">
      <c r="A57" t="s">
        <v>95</v>
      </c>
      <c r="B57" t="str">
        <f>IF(B17="3.6","300","0")</f>
        <v>0</v>
      </c>
    </row>
  </sheetData>
  <mergeCells count="4">
    <mergeCell ref="A19:Q19"/>
    <mergeCell ref="B1:G1"/>
    <mergeCell ref="F10:H10"/>
    <mergeCell ref="R19:AV19"/>
  </mergeCells>
  <phoneticPr fontId="3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2021-04-26T13:09:36Z</dcterms:created>
  <dcterms:modified xsi:type="dcterms:W3CDTF">2021-05-06T13:43:22Z</dcterms:modified>
</cp:coreProperties>
</file>