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Nur1Main\"/>
    </mc:Choice>
  </mc:AlternateContent>
  <xr:revisionPtr revIDLastSave="0" documentId="13_ncr:1_{BD2FF810-B87F-4CF2-BA2E-330F4FF67D72}" xr6:coauthVersionLast="46" xr6:coauthVersionMax="46" xr10:uidLastSave="{00000000-0000-0000-0000-000000000000}"/>
  <bookViews>
    <workbookView xWindow="-120" yWindow="-120" windowWidth="29040" windowHeight="1584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2" i="1" l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C57" i="1"/>
  <c r="C58" i="1"/>
  <c r="AU21" i="1"/>
  <c r="AU22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D42" i="1" s="1"/>
  <c r="B21" i="1"/>
  <c r="B22" i="1" s="1"/>
  <c r="B24" i="1" s="1"/>
  <c r="B58" i="1"/>
  <c r="B57" i="1"/>
  <c r="AV21" i="1"/>
  <c r="AV26" i="1" s="1"/>
  <c r="AT21" i="1"/>
  <c r="AT34" i="1" s="1"/>
  <c r="AT35" i="1" s="1"/>
  <c r="AR21" i="1"/>
  <c r="AP21" i="1"/>
  <c r="AP34" i="1" s="1"/>
  <c r="AP35" i="1" s="1"/>
  <c r="AM21" i="1"/>
  <c r="AM30" i="1" s="1"/>
  <c r="AM31" i="1" s="1"/>
  <c r="AK21" i="1"/>
  <c r="AK41" i="1" s="1"/>
  <c r="AI21" i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K21" i="1"/>
  <c r="K34" i="1" s="1"/>
  <c r="K35" i="1" s="1"/>
  <c r="J21" i="1"/>
  <c r="J34" i="1" s="1"/>
  <c r="J35" i="1" s="1"/>
  <c r="I21" i="1"/>
  <c r="I22" i="1" s="1"/>
  <c r="H21" i="1"/>
  <c r="G21" i="1"/>
  <c r="G42" i="1" s="1"/>
  <c r="G43" i="1" s="1"/>
  <c r="G44" i="1" s="1"/>
  <c r="F21" i="1"/>
  <c r="F39" i="1" s="1"/>
  <c r="E21" i="1"/>
  <c r="E34" i="1" s="1"/>
  <c r="C21" i="1"/>
  <c r="G3" i="1"/>
  <c r="F3" i="1"/>
  <c r="E3" i="1"/>
  <c r="D3" i="1"/>
  <c r="C3" i="1"/>
  <c r="B3" i="1"/>
  <c r="AZ42" i="1" l="1"/>
  <c r="BA42" i="1"/>
  <c r="BB42" i="1"/>
  <c r="BC42" i="1"/>
  <c r="AX43" i="1"/>
  <c r="AX44" i="1" s="1"/>
  <c r="AW42" i="1"/>
  <c r="AL30" i="1"/>
  <c r="AL31" i="1" s="1"/>
  <c r="AE42" i="1"/>
  <c r="AE43" i="1" s="1"/>
  <c r="AE44" i="1" s="1"/>
  <c r="AQ42" i="1"/>
  <c r="AK26" i="1"/>
  <c r="AK30" i="1"/>
  <c r="AK31" i="1" s="1"/>
  <c r="E39" i="1"/>
  <c r="AW22" i="1"/>
  <c r="AW25" i="1" s="1"/>
  <c r="BA23" i="1"/>
  <c r="BA24" i="1"/>
  <c r="BA34" i="1"/>
  <c r="BA35" i="1" s="1"/>
  <c r="AW39" i="1"/>
  <c r="AW40" i="1" s="1"/>
  <c r="BA41" i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BC43" i="1"/>
  <c r="BC44" i="1" s="1"/>
  <c r="AY34" i="1"/>
  <c r="AY35" i="1" s="1"/>
  <c r="BB43" i="1"/>
  <c r="BB44" i="1" s="1"/>
  <c r="F22" i="1"/>
  <c r="AY22" i="1"/>
  <c r="AY25" i="1" s="1"/>
  <c r="BB23" i="1"/>
  <c r="AZ34" i="1"/>
  <c r="AZ35" i="1" s="1"/>
  <c r="BA43" i="1"/>
  <c r="BA44" i="1" s="1"/>
  <c r="G22" i="1"/>
  <c r="AZ22" i="1"/>
  <c r="AZ25" i="1" s="1"/>
  <c r="AY30" i="1"/>
  <c r="AY31" i="1" s="1"/>
  <c r="AZ43" i="1"/>
  <c r="AZ44" i="1" s="1"/>
  <c r="AU34" i="1"/>
  <c r="AU35" i="1" s="1"/>
  <c r="G34" i="1"/>
  <c r="G35" i="1" s="1"/>
  <c r="BA22" i="1"/>
  <c r="BA25" i="1" s="1"/>
  <c r="AW24" i="1"/>
  <c r="BB34" i="1"/>
  <c r="BB35" i="1" s="1"/>
  <c r="AZ30" i="1"/>
  <c r="AZ31" i="1" s="1"/>
  <c r="AY43" i="1"/>
  <c r="AY44" i="1" s="1"/>
  <c r="AB26" i="1"/>
  <c r="P34" i="1"/>
  <c r="P35" i="1" s="1"/>
  <c r="K22" i="1"/>
  <c r="BB22" i="1"/>
  <c r="BB25" i="1" s="1"/>
  <c r="AX24" i="1"/>
  <c r="BC34" i="1"/>
  <c r="BC35" i="1" s="1"/>
  <c r="BA30" i="1"/>
  <c r="BA31" i="1" s="1"/>
  <c r="BC41" i="1"/>
  <c r="B26" i="1"/>
  <c r="AY24" i="1"/>
  <c r="BB41" i="1"/>
  <c r="AW43" i="1"/>
  <c r="AW44" i="1" s="1"/>
  <c r="AZ24" i="1"/>
  <c r="BB26" i="1"/>
  <c r="I24" i="1"/>
  <c r="U26" i="1"/>
  <c r="V26" i="1"/>
  <c r="B41" i="1"/>
  <c r="AW23" i="1"/>
  <c r="AY41" i="1"/>
  <c r="B50" i="1"/>
  <c r="C50" i="1" s="1"/>
  <c r="M41" i="1"/>
  <c r="Z26" i="1"/>
  <c r="AL41" i="1"/>
  <c r="AY26" i="1"/>
  <c r="AY23" i="1"/>
  <c r="AW34" i="1"/>
  <c r="AW35" i="1" s="1"/>
  <c r="M22" i="1"/>
  <c r="M25" i="1" s="1"/>
  <c r="J22" i="1"/>
  <c r="M34" i="1"/>
  <c r="M35" i="1" s="1"/>
  <c r="AJ42" i="1"/>
  <c r="AJ43" i="1" s="1"/>
  <c r="AJ44" i="1" s="1"/>
  <c r="P22" i="1"/>
  <c r="P25" i="1" s="1"/>
  <c r="AL42" i="1"/>
  <c r="AL43" i="1" s="1"/>
  <c r="AL44" i="1" s="1"/>
  <c r="Q22" i="1"/>
  <c r="Q23" i="1" s="1"/>
  <c r="AH34" i="1"/>
  <c r="AH35" i="1" s="1"/>
  <c r="N34" i="1"/>
  <c r="N35" i="1" s="1"/>
  <c r="M42" i="1"/>
  <c r="M43" i="1" s="1"/>
  <c r="M44" i="1" s="1"/>
  <c r="N42" i="1"/>
  <c r="N43" i="1" s="1"/>
  <c r="N44" i="1" s="1"/>
  <c r="M30" i="1"/>
  <c r="M31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T42" i="1"/>
  <c r="T43" i="1" s="1"/>
  <c r="T44" i="1" s="1"/>
  <c r="AG25" i="1"/>
  <c r="H39" i="1"/>
  <c r="H40" i="1" s="1"/>
  <c r="AT22" i="1"/>
  <c r="AT23" i="1" s="1"/>
  <c r="M39" i="1"/>
  <c r="M40" i="1" s="1"/>
  <c r="N41" i="1"/>
  <c r="Y42" i="1"/>
  <c r="Y43" i="1" s="1"/>
  <c r="Y44" i="1" s="1"/>
  <c r="S35" i="1"/>
  <c r="J41" i="1"/>
  <c r="AS26" i="1"/>
  <c r="AJ34" i="1"/>
  <c r="AJ35" i="1" s="1"/>
  <c r="Y39" i="1"/>
  <c r="Y40" i="1" s="1"/>
  <c r="Y41" i="1"/>
  <c r="Z42" i="1"/>
  <c r="Z43" i="1" s="1"/>
  <c r="Z44" i="1" s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2" i="1"/>
  <c r="AK43" i="1" s="1"/>
  <c r="AK44" i="1" s="1"/>
  <c r="AF24" i="1"/>
  <c r="AS25" i="1"/>
  <c r="AH25" i="1"/>
  <c r="R23" i="1"/>
  <c r="AQ24" i="1"/>
  <c r="AR22" i="1"/>
  <c r="AR24" i="1" s="1"/>
  <c r="AH26" i="1"/>
  <c r="H26" i="1"/>
  <c r="G25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E40" i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2" i="1"/>
  <c r="W43" i="1" s="1"/>
  <c r="W44" i="1" s="1"/>
  <c r="AR42" i="1"/>
  <c r="AR43" i="1" s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X42" i="1"/>
  <c r="X43" i="1" s="1"/>
  <c r="X44" i="1" s="1"/>
  <c r="AT42" i="1"/>
  <c r="AT43" i="1" s="1"/>
  <c r="AT44" i="1" s="1"/>
  <c r="AQ43" i="1"/>
  <c r="AQ44" i="1" s="1"/>
  <c r="AE23" i="1"/>
  <c r="X34" i="1"/>
  <c r="X35" i="1" s="1"/>
  <c r="AN34" i="1"/>
  <c r="AN35" i="1" s="1"/>
  <c r="AH41" i="1"/>
  <c r="AU42" i="1"/>
  <c r="AU43" i="1" s="1"/>
  <c r="AU44" i="1" s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2" i="1"/>
  <c r="AV43" i="1" s="1"/>
  <c r="AV44" i="1" s="1"/>
  <c r="AA23" i="1"/>
  <c r="AA41" i="1"/>
  <c r="AA42" i="1"/>
  <c r="AA43" i="1" s="1"/>
  <c r="AA44" i="1" s="1"/>
  <c r="W26" i="1"/>
  <c r="P41" i="1"/>
  <c r="P42" i="1"/>
  <c r="P43" i="1" s="1"/>
  <c r="P44" i="1" s="1"/>
  <c r="AU23" i="1"/>
  <c r="J26" i="1"/>
  <c r="AV30" i="1"/>
  <c r="AV31" i="1" s="1"/>
  <c r="F34" i="1"/>
  <c r="F35" i="1" s="1"/>
  <c r="K39" i="1"/>
  <c r="K40" i="1" s="1"/>
  <c r="AJ39" i="1"/>
  <c r="AJ40" i="1" s="1"/>
  <c r="AJ41" i="1"/>
  <c r="J42" i="1"/>
  <c r="J43" i="1" s="1"/>
  <c r="J44" i="1" s="1"/>
  <c r="AC41" i="1"/>
  <c r="AC26" i="1"/>
  <c r="AC39" i="1"/>
  <c r="AC40" i="1" s="1"/>
  <c r="AC42" i="1" s="1"/>
  <c r="AC43" i="1" s="1"/>
  <c r="AC44" i="1" s="1"/>
  <c r="AD42" i="1"/>
  <c r="AD43" i="1" s="1"/>
  <c r="AD44" i="1" s="1"/>
  <c r="AD25" i="1"/>
  <c r="AD39" i="1"/>
  <c r="AD40" i="1" s="1"/>
  <c r="AD26" i="1"/>
  <c r="W24" i="1"/>
  <c r="Z25" i="1"/>
  <c r="AA34" i="1"/>
  <c r="AA35" i="1" s="1"/>
  <c r="U41" i="1"/>
  <c r="AF42" i="1"/>
  <c r="AF43" i="1" s="1"/>
  <c r="AF44" i="1" s="1"/>
  <c r="AI26" i="1"/>
  <c r="O23" i="1"/>
  <c r="O42" i="1"/>
  <c r="O43" i="1" s="1"/>
  <c r="O44" i="1" s="1"/>
  <c r="O41" i="1"/>
  <c r="K30" i="1"/>
  <c r="K31" i="1" s="1"/>
  <c r="AN41" i="1"/>
  <c r="AN42" i="1"/>
  <c r="AN43" i="1" s="1"/>
  <c r="AN44" i="1" s="1"/>
  <c r="E41" i="1"/>
  <c r="E42" i="1"/>
  <c r="E43" i="1" s="1"/>
  <c r="E44" i="1" s="1"/>
  <c r="E26" i="1"/>
  <c r="AO41" i="1"/>
  <c r="AO42" i="1"/>
  <c r="AO43" i="1" s="1"/>
  <c r="AO44" i="1" s="1"/>
  <c r="AO39" i="1"/>
  <c r="AO40" i="1" s="1"/>
  <c r="AO26" i="1"/>
  <c r="F42" i="1"/>
  <c r="F43" i="1" s="1"/>
  <c r="F44" i="1" s="1"/>
  <c r="F25" i="1"/>
  <c r="F26" i="1"/>
  <c r="F30" i="1"/>
  <c r="F31" i="1" s="1"/>
  <c r="AP42" i="1"/>
  <c r="AP43" i="1" s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J24" i="1"/>
  <c r="X24" i="1"/>
  <c r="AN23" i="1"/>
  <c r="G23" i="1"/>
  <c r="U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2" i="1"/>
  <c r="L43" i="1" s="1"/>
  <c r="L44" i="1" s="1"/>
  <c r="AH42" i="1"/>
  <c r="AH43" i="1" s="1"/>
  <c r="AH44" i="1" s="1"/>
  <c r="AI39" i="1"/>
  <c r="AI40" i="1" s="1"/>
  <c r="AI34" i="1"/>
  <c r="AI35" i="1" s="1"/>
  <c r="V43" i="1"/>
  <c r="V44" i="1" s="1"/>
  <c r="AM22" i="1"/>
  <c r="AM25" i="1" s="1"/>
  <c r="AM41" i="1"/>
  <c r="AM42" i="1"/>
  <c r="AM43" i="1" s="1"/>
  <c r="AM44" i="1" s="1"/>
  <c r="D41" i="1"/>
  <c r="D43" i="1"/>
  <c r="D44" i="1" s="1"/>
  <c r="AI22" i="1"/>
  <c r="AI23" i="1" s="1"/>
  <c r="R42" i="1"/>
  <c r="R43" i="1" s="1"/>
  <c r="R44" i="1" s="1"/>
  <c r="R25" i="1"/>
  <c r="R26" i="1"/>
  <c r="AD30" i="1"/>
  <c r="AD31" i="1" s="1"/>
  <c r="H41" i="1"/>
  <c r="H42" i="1" s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K23" i="1"/>
  <c r="AO23" i="1"/>
  <c r="H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2" i="1"/>
  <c r="AI43" i="1" s="1"/>
  <c r="AI44" i="1" s="1"/>
  <c r="K41" i="1"/>
  <c r="K42" i="1" s="1"/>
  <c r="K43" i="1" s="1"/>
  <c r="K44" i="1" s="1"/>
  <c r="C41" i="1"/>
  <c r="C42" i="1"/>
  <c r="C43" i="1" s="1"/>
  <c r="C44" i="1" s="1"/>
  <c r="AV22" i="1"/>
  <c r="AV25" i="1" s="1"/>
  <c r="AS23" i="1"/>
  <c r="AA30" i="1"/>
  <c r="AA31" i="1" s="1"/>
  <c r="AB41" i="1"/>
  <c r="AB42" i="1"/>
  <c r="AB43" i="1" s="1"/>
  <c r="AB44" i="1" s="1"/>
  <c r="Q41" i="1"/>
  <c r="Q42" i="1"/>
  <c r="Q43" i="1" s="1"/>
  <c r="Q44" i="1" s="1"/>
  <c r="Q26" i="1"/>
  <c r="AJ24" i="1"/>
  <c r="I42" i="1"/>
  <c r="I43" i="1" s="1"/>
  <c r="I44" i="1" s="1"/>
  <c r="I30" i="1"/>
  <c r="I31" i="1" s="1"/>
  <c r="I34" i="1"/>
  <c r="I35" i="1" s="1"/>
  <c r="U42" i="1"/>
  <c r="U43" i="1" s="1"/>
  <c r="U44" i="1" s="1"/>
  <c r="U30" i="1"/>
  <c r="U31" i="1" s="1"/>
  <c r="U34" i="1"/>
  <c r="U35" i="1" s="1"/>
  <c r="AG42" i="1"/>
  <c r="AG43" i="1" s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J23" i="1"/>
  <c r="X23" i="1"/>
  <c r="G24" i="1"/>
  <c r="U24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2" i="1" s="1"/>
  <c r="AS43" i="1" s="1"/>
  <c r="AS44" i="1" s="1"/>
  <c r="S42" i="1"/>
  <c r="S43" i="1" s="1"/>
  <c r="S44" i="1" s="1"/>
  <c r="N22" i="1"/>
  <c r="M23" i="1" l="1"/>
  <c r="M24" i="1"/>
  <c r="B60" i="1"/>
  <c r="B55" i="1"/>
  <c r="B35" i="1"/>
  <c r="B56" i="1"/>
  <c r="Q25" i="1"/>
  <c r="Q24" i="1"/>
  <c r="D24" i="1"/>
  <c r="D23" i="1"/>
  <c r="T24" i="1"/>
  <c r="S24" i="1"/>
  <c r="P24" i="1"/>
  <c r="AK25" i="1"/>
  <c r="P23" i="1"/>
  <c r="E25" i="1"/>
  <c r="B54" i="1" s="1"/>
  <c r="E24" i="1"/>
  <c r="AT24" i="1"/>
  <c r="B51" i="1"/>
  <c r="C51" i="1" s="1"/>
  <c r="AV24" i="1"/>
  <c r="AT25" i="1"/>
  <c r="AI24" i="1"/>
  <c r="AK24" i="1"/>
  <c r="X25" i="1"/>
  <c r="Y25" i="1"/>
  <c r="Y24" i="1"/>
  <c r="AQ25" i="1"/>
  <c r="S25" i="1"/>
  <c r="H25" i="1"/>
  <c r="C60" i="1"/>
  <c r="AR25" i="1"/>
  <c r="AM24" i="1"/>
  <c r="V24" i="1"/>
  <c r="V25" i="1"/>
  <c r="R24" i="1"/>
  <c r="AA25" i="1"/>
  <c r="AR23" i="1"/>
  <c r="AQ23" i="1"/>
  <c r="AD24" i="1"/>
  <c r="T25" i="1"/>
  <c r="C23" i="1"/>
  <c r="B52" i="1" s="1"/>
  <c r="Y23" i="1"/>
  <c r="W25" i="1"/>
  <c r="AJ25" i="1"/>
  <c r="C56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B53" i="1" s="1"/>
  <c r="AP25" i="1"/>
  <c r="C52" i="1" l="1"/>
  <c r="B59" i="1"/>
  <c r="C59" i="1" s="1"/>
  <c r="C55" i="1"/>
  <c r="C54" i="1"/>
  <c r="C53" i="1"/>
</calcChain>
</file>

<file path=xl/sharedStrings.xml><?xml version="1.0" encoding="utf-8"?>
<sst xmlns="http://schemas.openxmlformats.org/spreadsheetml/2006/main" count="126" uniqueCount="114">
  <si>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</si>
  <si>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</si>
  <si>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</si>
  <si>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</si>
  <si>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</si>
  <si>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</si>
  <si>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</si>
  <si>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</si>
  <si>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</si>
  <si>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</si>
  <si>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</si>
  <si>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</si>
  <si>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</si>
  <si>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</si>
  <si>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</si>
  <si>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</si>
  <si>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</si>
  <si>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</si>
  <si>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</si>
  <si>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</si>
  <si>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</si>
  <si>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</si>
  <si>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</si>
  <si>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</si>
  <si>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4.6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</si>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</sst>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28" workbookViewId="0">
      <selection activeCell="B13" sqref="B13"/>
    </sheetView>
  </sheetViews>
  <sheetFormatPr baseColWidth="10" defaultRowHeight="15" x14ac:dyDescent="0.25"/>
  <cols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15" t="s">
        <v>1</v>
      </c>
      <c r="C1" s="15"/>
      <c r="D1" s="15"/>
      <c r="E1" s="15"/>
      <c r="F1" s="15"/>
      <c r="G1" s="15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7</v>
      </c>
    </row>
    <row r="9" spans="1:10" x14ac:dyDescent="0.25">
      <c r="A9" s="3" t="s">
        <v>13</v>
      </c>
      <c r="B9">
        <v>150</v>
      </c>
    </row>
    <row r="10" spans="1:10" x14ac:dyDescent="0.25">
      <c r="A10" t="s">
        <v>14</v>
      </c>
      <c r="B10">
        <v>50</v>
      </c>
      <c r="F10" s="16" t="s">
        <v>15</v>
      </c>
      <c r="G10" s="16"/>
      <c r="H10" s="16"/>
    </row>
    <row r="11" spans="1:10" x14ac:dyDescent="0.25">
      <c r="A11" s="3" t="s">
        <v>16</v>
      </c>
      <c r="B11" t="s">
        <v>113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33</v>
      </c>
    </row>
    <row r="14" spans="1:10" x14ac:dyDescent="0.25">
      <c r="A14" s="3" t="s">
        <v>21</v>
      </c>
      <c r="B14">
        <v>15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24</v>
      </c>
    </row>
    <row r="19" spans="1:55" x14ac:dyDescent="0.25">
      <c r="A19" s="17" t="s">
        <v>18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20"/>
      <c r="R19" s="23" t="s">
        <v>25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8"/>
      <c r="AW19" s="19" t="s">
        <v>112</v>
      </c>
      <c r="AX19" s="17"/>
      <c r="AY19" s="17"/>
      <c r="AZ19" s="17"/>
      <c r="BA19" s="17"/>
      <c r="BB19" s="17"/>
      <c r="BC19" s="17"/>
    </row>
    <row r="20" spans="1:55" x14ac:dyDescent="0.25">
      <c r="A20" s="1" t="s">
        <v>18</v>
      </c>
      <c r="B20" s="1" t="s">
        <v>80</v>
      </c>
      <c r="C20" s="1" t="s">
        <v>26</v>
      </c>
      <c r="D20" s="1" t="s">
        <v>81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37</v>
      </c>
      <c r="P20" s="1" t="s">
        <v>38</v>
      </c>
      <c r="Q20" s="21" t="s">
        <v>39</v>
      </c>
      <c r="R20" s="24" t="s">
        <v>82</v>
      </c>
      <c r="S20" s="1" t="s">
        <v>83</v>
      </c>
      <c r="T20" s="1" t="s">
        <v>84</v>
      </c>
      <c r="U20" s="1" t="s">
        <v>85</v>
      </c>
      <c r="V20" s="1" t="s">
        <v>86</v>
      </c>
      <c r="W20" s="1" t="s">
        <v>87</v>
      </c>
      <c r="X20" s="1" t="s">
        <v>88</v>
      </c>
      <c r="Y20" s="1" t="s">
        <v>89</v>
      </c>
      <c r="Z20" s="1" t="s">
        <v>90</v>
      </c>
      <c r="AA20" s="1" t="s">
        <v>91</v>
      </c>
      <c r="AB20" s="1" t="s">
        <v>92</v>
      </c>
      <c r="AC20" s="1" t="s">
        <v>20</v>
      </c>
      <c r="AD20" s="1" t="s">
        <v>93</v>
      </c>
      <c r="AE20" s="1" t="s">
        <v>94</v>
      </c>
      <c r="AF20" s="1" t="s">
        <v>40</v>
      </c>
      <c r="AG20" s="1" t="s">
        <v>95</v>
      </c>
      <c r="AH20" s="1" t="s">
        <v>96</v>
      </c>
      <c r="AI20" s="1" t="s">
        <v>41</v>
      </c>
      <c r="AJ20" s="1" t="s">
        <v>97</v>
      </c>
      <c r="AK20" s="1" t="s">
        <v>42</v>
      </c>
      <c r="AL20" s="1" t="s">
        <v>98</v>
      </c>
      <c r="AM20" s="1" t="s">
        <v>43</v>
      </c>
      <c r="AN20" s="1" t="s">
        <v>99</v>
      </c>
      <c r="AO20" s="1" t="s">
        <v>100</v>
      </c>
      <c r="AP20" s="1" t="s">
        <v>44</v>
      </c>
      <c r="AQ20" s="1" t="s">
        <v>101</v>
      </c>
      <c r="AR20" s="1" t="s">
        <v>45</v>
      </c>
      <c r="AS20" s="1" t="s">
        <v>102</v>
      </c>
      <c r="AT20" s="1" t="s">
        <v>46</v>
      </c>
      <c r="AU20" s="1" t="s">
        <v>103</v>
      </c>
      <c r="AV20" s="5" t="s">
        <v>47</v>
      </c>
      <c r="AW20" s="6" t="s">
        <v>105</v>
      </c>
      <c r="AX20" s="1" t="s">
        <v>106</v>
      </c>
      <c r="AY20" s="1" t="s">
        <v>107</v>
      </c>
      <c r="AZ20" s="1" t="s">
        <v>108</v>
      </c>
      <c r="BA20" s="22" t="s">
        <v>109</v>
      </c>
      <c r="BB20" s="22" t="s">
        <v>110</v>
      </c>
      <c r="BC20" s="22" t="s">
        <v>111</v>
      </c>
    </row>
    <row r="21" spans="1:55" x14ac:dyDescent="0.25">
      <c r="A21" s="1" t="s">
        <v>48</v>
      </c>
      <c r="B21" s="1" t="str">
        <f>IF($B13 = "M1.6","1.6","0")</f>
        <v>0</v>
      </c>
      <c r="C21" s="1" t="str">
        <f>IF($B13 = "M2","2","0")</f>
        <v>0</v>
      </c>
      <c r="D21" s="1" t="str">
        <f>IF($B13 = "M2.5","2.5","0")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12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21" t="str">
        <f>IF($B13 = "M42","42","0")</f>
        <v>0</v>
      </c>
      <c r="R21" s="24" t="str">
        <f>IF($B13 = "M2x0.25","2","0")</f>
        <v>0</v>
      </c>
      <c r="S21" s="1" t="str">
        <f>IF($B13 = "M3x0.25","3","0")</f>
        <v>0</v>
      </c>
      <c r="T21" s="1" t="str">
        <f>IF($B13 = "M4x0.2","4","0")</f>
        <v>0</v>
      </c>
      <c r="U21" s="1" t="str">
        <f>IF($B13 = "M4x0.35","4","0")</f>
        <v>0</v>
      </c>
      <c r="V21" s="1" t="str">
        <f>IF($B13 = "M5x0.25","5","0")</f>
        <v>0</v>
      </c>
      <c r="W21" s="1" t="str">
        <f>IF($B13 = "M5x0.5","5","0")</f>
        <v>0</v>
      </c>
      <c r="X21" s="1" t="str">
        <f>IF($B13 = "M6x0.25","6","0")</f>
        <v>0</v>
      </c>
      <c r="Y21" s="1" t="str">
        <f>IF($B13 = "M6x0.5","6","0")</f>
        <v>0</v>
      </c>
      <c r="Z21" s="1" t="str">
        <f>IF($B13 = "M6x0.75","6","0")</f>
        <v>0</v>
      </c>
      <c r="AA21" s="1" t="str">
        <f>IF($B13 = "M8x0.25","8","0")</f>
        <v>0</v>
      </c>
      <c r="AB21" s="1" t="str">
        <f>IF($B13 = "M8x0.5","8","0")</f>
        <v>0</v>
      </c>
      <c r="AC21" s="1" t="str">
        <f>IF($B13 = "M8x1","8","0")</f>
        <v>0</v>
      </c>
      <c r="AD21" s="1" t="str">
        <f>IF($B13 = "M10x0.25","10","0")</f>
        <v>0</v>
      </c>
      <c r="AE21" s="1" t="str">
        <f>IF($B13 = "M10x0.5","10","0")</f>
        <v>0</v>
      </c>
      <c r="AF21" s="1" t="str">
        <f>IF($B13 = "M10x1","10","0")</f>
        <v>0</v>
      </c>
      <c r="AG21" s="1" t="str">
        <f>IF($B13 = "M12x0.35","12","0")</f>
        <v>0</v>
      </c>
      <c r="AH21" s="1" t="str">
        <f>IF($B13 = "M12x0.5","12","0")</f>
        <v>0</v>
      </c>
      <c r="AI21" s="1" t="str">
        <f>IF($B13 = "M12x1","12","0")</f>
        <v>0</v>
      </c>
      <c r="AJ21" s="1" t="str">
        <f>IF($B13 = "M16x0.5","16","0")</f>
        <v>0</v>
      </c>
      <c r="AK21" s="1" t="str">
        <f>IF($B13 = "M16x1","16","0")</f>
        <v>0</v>
      </c>
      <c r="AL21" s="1" t="str">
        <f>IF($B13 = "M16x1.5","16","0")</f>
        <v>0</v>
      </c>
      <c r="AM21" s="1" t="str">
        <f>IF($B13 = "M20x1","20","0")</f>
        <v>0</v>
      </c>
      <c r="AN21" s="1" t="str">
        <f>IF($B13 = "M20x1.5","20","0")</f>
        <v>0</v>
      </c>
      <c r="AO21" s="1" t="str">
        <f>IF($B13 = "M24x1.5","24","0")</f>
        <v>0</v>
      </c>
      <c r="AP21" s="1" t="str">
        <f>IF($B13 = "M24x2","24","0")</f>
        <v>0</v>
      </c>
      <c r="AQ21" s="1" t="str">
        <f>IF($B13 = "M30x1.5","30","0")</f>
        <v>0</v>
      </c>
      <c r="AR21" s="1" t="str">
        <f>IF($B13 = "M30x2","30","0")</f>
        <v>0</v>
      </c>
      <c r="AS21" s="1" t="str">
        <f>IF($B13 = "M36x1.5","36","0")</f>
        <v>0</v>
      </c>
      <c r="AT21" s="1" t="str">
        <f>IF($B13 = "M36x2","36","0")</f>
        <v>0</v>
      </c>
      <c r="AU21" s="1" t="str">
        <f>IF($B13 = "M42x1.5","42","0")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49</v>
      </c>
      <c r="B22" s="1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1.75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21" t="str">
        <f>IF(Q21="0","0","4.5")</f>
        <v>0</v>
      </c>
      <c r="R22" s="24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50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10.863375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21">
        <f t="shared" si="0"/>
        <v>0</v>
      </c>
      <c r="R23" s="24">
        <f>R21-(0.6495*R22)</f>
        <v>0</v>
      </c>
      <c r="S23" s="1">
        <f t="shared" ref="S23:BC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51</v>
      </c>
      <c r="B24" s="1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9.852924999999999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21">
        <f t="shared" si="2"/>
        <v>0</v>
      </c>
      <c r="R24" s="24">
        <f>R21 -(1.2269 * R22)</f>
        <v>0</v>
      </c>
      <c r="S24" s="1">
        <f t="shared" ref="S24:BC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52</v>
      </c>
      <c r="B25" s="1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10.25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21">
        <f t="shared" si="4"/>
        <v>0</v>
      </c>
      <c r="R25" s="24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53</v>
      </c>
      <c r="B26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1017.8760197630929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25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0</v>
      </c>
      <c r="AD26" s="26">
        <f t="shared" si="6"/>
        <v>0</v>
      </c>
      <c r="AE26" s="26">
        <f t="shared" si="6"/>
        <v>0</v>
      </c>
      <c r="AF26" s="26">
        <f t="shared" si="6"/>
        <v>0</v>
      </c>
      <c r="AG26" s="26">
        <f t="shared" si="6"/>
        <v>0</v>
      </c>
      <c r="AH26" s="26">
        <f t="shared" si="6"/>
        <v>0</v>
      </c>
      <c r="AI26" s="26">
        <f t="shared" si="6"/>
        <v>0</v>
      </c>
      <c r="AJ26" s="26">
        <f t="shared" si="6"/>
        <v>0</v>
      </c>
      <c r="AK26" s="26">
        <f t="shared" si="6"/>
        <v>0</v>
      </c>
      <c r="AL26" s="26">
        <f t="shared" si="6"/>
        <v>0</v>
      </c>
      <c r="AM26" s="26">
        <f t="shared" si="6"/>
        <v>0</v>
      </c>
      <c r="AN26" s="26">
        <f t="shared" si="6"/>
        <v>0</v>
      </c>
      <c r="AO26" s="26">
        <f t="shared" si="6"/>
        <v>0</v>
      </c>
      <c r="AP26" s="26">
        <f t="shared" si="6"/>
        <v>0</v>
      </c>
      <c r="AQ26" s="26">
        <f t="shared" si="6"/>
        <v>0</v>
      </c>
      <c r="AR26" s="26">
        <f t="shared" si="6"/>
        <v>0</v>
      </c>
      <c r="AS26" s="26">
        <f t="shared" si="6"/>
        <v>0</v>
      </c>
      <c r="AT26" s="26">
        <f t="shared" si="6"/>
        <v>0</v>
      </c>
      <c r="AU26" s="26">
        <f t="shared" si="6"/>
        <v>0</v>
      </c>
      <c r="AV26" s="27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1"/>
      <c r="R27" s="2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54</v>
      </c>
      <c r="B28" s="1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21">
        <v>42</v>
      </c>
      <c r="R28" s="24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</v>
      </c>
      <c r="BA28" s="22">
        <v>25.4</v>
      </c>
      <c r="BB28" s="1"/>
      <c r="BC28" s="1"/>
    </row>
    <row r="29" spans="1:55" x14ac:dyDescent="0.25">
      <c r="A29" s="1" t="s">
        <v>55</v>
      </c>
      <c r="B29" s="1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21">
        <v>63</v>
      </c>
      <c r="R29" s="24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</v>
      </c>
      <c r="AZ29" s="1">
        <v>25.4</v>
      </c>
      <c r="BA29" s="22">
        <v>31.75</v>
      </c>
      <c r="BB29" s="1"/>
      <c r="BC29" s="1"/>
    </row>
    <row r="30" spans="1:55" x14ac:dyDescent="0.25">
      <c r="A30" s="1" t="s">
        <v>56</v>
      </c>
      <c r="B30" s="1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 t="str">
        <f>IF(K21 ="12","10",0)</f>
        <v>10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21">
        <f>IF(Q21 ="42","32",0)</f>
        <v>0</v>
      </c>
      <c r="R30" s="24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="0","0","12.7")</f>
        <v>0</v>
      </c>
      <c r="AZ30" s="1" t="str">
        <f>IF(AZ21 ="0","0","19")</f>
        <v>0</v>
      </c>
      <c r="BA30" s="1" t="str">
        <f>IF(BA21 ="0","0","25.4")</f>
        <v>0</v>
      </c>
      <c r="BB30" s="1"/>
      <c r="BC30" s="1"/>
    </row>
    <row r="31" spans="1:55" x14ac:dyDescent="0.25">
      <c r="A31" s="1" t="s">
        <v>57</v>
      </c>
      <c r="B31" s="1">
        <f>PI()/4*B29*B29 * B28 - ((6*(B30/COS(RADIANS(30)))*SIN(RADIANS(180/6))*B30)/4 * B28 *2/3)</f>
        <v>11.309733552923255</v>
      </c>
      <c r="C31" s="1">
        <f t="shared" ref="C31:BA31" si="7">PI()/4*C29*C29 * C28 - ((6*(C30/COS(RADIANS(30)))*SIN(RADIANS(180/6))*C30)/4 * C28 *2/3)</f>
        <v>22.682298958918306</v>
      </c>
      <c r="D31" s="1">
        <f t="shared" si="7"/>
        <v>39.760782021995816</v>
      </c>
      <c r="E31" s="1">
        <f t="shared" si="7"/>
        <v>71.274883328318424</v>
      </c>
      <c r="F31" s="1">
        <f t="shared" si="7"/>
        <v>153.93804002589985</v>
      </c>
      <c r="G31" s="1">
        <f t="shared" si="7"/>
        <v>283.72508652732824</v>
      </c>
      <c r="H31" s="1">
        <f t="shared" si="7"/>
        <v>471.23889803846896</v>
      </c>
      <c r="I31" s="1">
        <f t="shared" si="7"/>
        <v>1061.8583169133501</v>
      </c>
      <c r="J31" s="1">
        <f t="shared" si="7"/>
        <v>2010.6192982974676</v>
      </c>
      <c r="K31" s="1">
        <f t="shared" si="7"/>
        <v>2360.8077362617282</v>
      </c>
      <c r="L31" s="1">
        <f t="shared" si="7"/>
        <v>7238.2294738708833</v>
      </c>
      <c r="M31" s="1">
        <f t="shared" si="7"/>
        <v>14137.166941154068</v>
      </c>
      <c r="N31" s="1">
        <f t="shared" si="7"/>
        <v>24429.024474314232</v>
      </c>
      <c r="O31" s="1">
        <f t="shared" si="7"/>
        <v>47712.938426394991</v>
      </c>
      <c r="P31" s="1">
        <f t="shared" si="7"/>
        <v>82447.957600810521</v>
      </c>
      <c r="Q31" s="21">
        <f t="shared" si="7"/>
        <v>130924.30304202784</v>
      </c>
      <c r="R31" s="24">
        <f t="shared" si="7"/>
        <v>22.682298958918306</v>
      </c>
      <c r="S31" s="1">
        <f t="shared" si="7"/>
        <v>71.274883328318424</v>
      </c>
      <c r="T31" s="1">
        <f t="shared" si="7"/>
        <v>153.93804002589985</v>
      </c>
      <c r="U31" s="1">
        <f t="shared" si="7"/>
        <v>153.93804002589985</v>
      </c>
      <c r="V31" s="1">
        <f t="shared" si="7"/>
        <v>283.72508652732824</v>
      </c>
      <c r="W31" s="1">
        <f t="shared" si="7"/>
        <v>283.72508652732824</v>
      </c>
      <c r="X31" s="1">
        <f t="shared" si="7"/>
        <v>471.23889803846896</v>
      </c>
      <c r="Y31" s="1">
        <f t="shared" si="7"/>
        <v>471.23889803846896</v>
      </c>
      <c r="Z31" s="1">
        <f t="shared" si="7"/>
        <v>471.23889803846896</v>
      </c>
      <c r="AA31" s="1">
        <f t="shared" si="7"/>
        <v>1061.8583169133501</v>
      </c>
      <c r="AB31" s="1">
        <f t="shared" si="7"/>
        <v>1061.8583169133501</v>
      </c>
      <c r="AC31" s="1">
        <f t="shared" si="7"/>
        <v>1061.8583169133501</v>
      </c>
      <c r="AD31" s="1">
        <f t="shared" si="7"/>
        <v>2010.6192982974676</v>
      </c>
      <c r="AE31" s="1">
        <f t="shared" si="7"/>
        <v>2010.6192982974676</v>
      </c>
      <c r="AF31" s="1">
        <f t="shared" si="7"/>
        <v>2010.6192982974676</v>
      </c>
      <c r="AG31" s="1">
        <f t="shared" si="7"/>
        <v>3053.628059289279</v>
      </c>
      <c r="AH31" s="1">
        <f t="shared" si="7"/>
        <v>3053.628059289279</v>
      </c>
      <c r="AI31" s="1">
        <f t="shared" si="7"/>
        <v>3053.628059289279</v>
      </c>
      <c r="AJ31" s="1">
        <f t="shared" si="7"/>
        <v>7238.2294738708833</v>
      </c>
      <c r="AK31" s="1">
        <f t="shared" si="7"/>
        <v>7238.2294738708833</v>
      </c>
      <c r="AL31" s="1">
        <f t="shared" si="7"/>
        <v>7238.2294738708833</v>
      </c>
      <c r="AM31" s="1">
        <f t="shared" si="7"/>
        <v>14137.166941154068</v>
      </c>
      <c r="AN31" s="1">
        <f t="shared" si="7"/>
        <v>14137.166941154068</v>
      </c>
      <c r="AO31" s="1">
        <f t="shared" si="7"/>
        <v>24429.024474314232</v>
      </c>
      <c r="AP31" s="1">
        <f t="shared" si="7"/>
        <v>24429.024474314232</v>
      </c>
      <c r="AQ31" s="1">
        <f t="shared" si="7"/>
        <v>47712.938426394991</v>
      </c>
      <c r="AR31" s="1">
        <f t="shared" si="7"/>
        <v>47712.938426394991</v>
      </c>
      <c r="AS31" s="1">
        <f t="shared" si="7"/>
        <v>82447.957600810521</v>
      </c>
      <c r="AT31" s="1">
        <f t="shared" si="7"/>
        <v>82447.957600810521</v>
      </c>
      <c r="AU31" s="1">
        <f t="shared" si="7"/>
        <v>130924.30304202784</v>
      </c>
      <c r="AV31" s="5">
        <f t="shared" si="7"/>
        <v>130924.30304202784</v>
      </c>
      <c r="AW31" s="6">
        <f t="shared" si="7"/>
        <v>317.69041550161427</v>
      </c>
      <c r="AX31" s="1">
        <f t="shared" si="7"/>
        <v>1007.0811147062767</v>
      </c>
      <c r="AY31" s="1">
        <f t="shared" si="7"/>
        <v>3600.8149597282804</v>
      </c>
      <c r="AZ31" s="1">
        <f t="shared" si="7"/>
        <v>9627.4421028524557</v>
      </c>
      <c r="BA31" s="1">
        <f t="shared" si="7"/>
        <v>20109.953076681941</v>
      </c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1"/>
      <c r="R32" s="2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58</v>
      </c>
      <c r="B33" s="1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21">
        <v>26</v>
      </c>
      <c r="R33" s="24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</v>
      </c>
      <c r="AZ33" s="1">
        <v>11.9</v>
      </c>
      <c r="BA33" s="22">
        <v>15.5</v>
      </c>
      <c r="BB33" s="22">
        <v>19.8</v>
      </c>
      <c r="BC33" s="22">
        <v>23.8</v>
      </c>
    </row>
    <row r="34" spans="1:55" x14ac:dyDescent="0.25">
      <c r="A34" s="1" t="s">
        <v>59</v>
      </c>
      <c r="B34" s="1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 t="str">
        <f>IF(K21 ="12","19",0)</f>
        <v>19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21">
        <f>IF(Q21 ="42","65",0)</f>
        <v>0</v>
      </c>
      <c r="R34" s="24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60</v>
      </c>
      <c r="B35" s="1">
        <f t="shared" ref="B35:D35" si="8">((6*(B34/COS(RADIANS(30)))*SIN(RADIANS(180/6))*B34)/4) *B33</f>
        <v>0</v>
      </c>
      <c r="C35" s="1">
        <f t="shared" si="8"/>
        <v>0</v>
      </c>
      <c r="D35" s="1">
        <f t="shared" si="8"/>
        <v>0</v>
      </c>
      <c r="E35" s="1">
        <f>((6*(E34/COS(RADIANS(30)))*SIN(RADIANS(180/6))*E34)/4) *E33</f>
        <v>0</v>
      </c>
      <c r="F35" s="1">
        <f t="shared" ref="F35:BC35" si="9">((6*(F34/COS(RADIANS(30)))*SIN(RADIANS(180/6))*F34)/4) *F33</f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2344.763780746367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21">
        <f t="shared" si="9"/>
        <v>0</v>
      </c>
      <c r="R35" s="24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0</v>
      </c>
      <c r="AD35" s="1">
        <f t="shared" si="9"/>
        <v>0</v>
      </c>
      <c r="AE35" s="1">
        <f t="shared" si="9"/>
        <v>0</v>
      </c>
      <c r="AF35" s="1">
        <f t="shared" si="9"/>
        <v>0</v>
      </c>
      <c r="AG35" s="1">
        <f t="shared" si="9"/>
        <v>0</v>
      </c>
      <c r="AH35" s="1">
        <f t="shared" si="9"/>
        <v>0</v>
      </c>
      <c r="AI35" s="1">
        <f t="shared" si="9"/>
        <v>0</v>
      </c>
      <c r="AJ35" s="1">
        <f t="shared" si="9"/>
        <v>0</v>
      </c>
      <c r="AK35" s="1">
        <f t="shared" si="9"/>
        <v>0</v>
      </c>
      <c r="AL35" s="1">
        <f t="shared" si="9"/>
        <v>0</v>
      </c>
      <c r="AM35" s="1">
        <f t="shared" si="9"/>
        <v>0</v>
      </c>
      <c r="AN35" s="1">
        <f t="shared" si="9"/>
        <v>0</v>
      </c>
      <c r="AO35" s="1">
        <f t="shared" si="9"/>
        <v>0</v>
      </c>
      <c r="AP35" s="1">
        <f t="shared" si="9"/>
        <v>0</v>
      </c>
      <c r="AQ35" s="1">
        <f t="shared" si="9"/>
        <v>0</v>
      </c>
      <c r="AR35" s="1">
        <f t="shared" si="9"/>
        <v>0</v>
      </c>
      <c r="AS35" s="1">
        <f t="shared" si="9"/>
        <v>0</v>
      </c>
      <c r="AT35" s="1">
        <f t="shared" si="9"/>
        <v>0</v>
      </c>
      <c r="AU35" s="1">
        <f t="shared" si="9"/>
        <v>0</v>
      </c>
      <c r="AV35" s="5">
        <f t="shared" si="9"/>
        <v>0</v>
      </c>
      <c r="AW35" s="6">
        <f t="shared" si="9"/>
        <v>0</v>
      </c>
      <c r="AX35" s="1">
        <f t="shared" si="9"/>
        <v>0</v>
      </c>
      <c r="AY35" s="1">
        <f t="shared" si="9"/>
        <v>0</v>
      </c>
      <c r="AZ35" s="1">
        <f t="shared" si="9"/>
        <v>0</v>
      </c>
      <c r="BA35" s="1">
        <f t="shared" si="9"/>
        <v>0</v>
      </c>
      <c r="BB35" s="1">
        <f t="shared" si="9"/>
        <v>0</v>
      </c>
      <c r="BC35" s="1">
        <f t="shared" si="9"/>
        <v>0</v>
      </c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1"/>
      <c r="R36" s="2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61</v>
      </c>
      <c r="B37" s="1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21"/>
      <c r="R37" s="24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62</v>
      </c>
      <c r="B38" s="1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21"/>
      <c r="R38" s="24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63</v>
      </c>
      <c r="B39" s="1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 t="str">
        <f>IF(K21 ="12","8",0)</f>
        <v>8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21"/>
      <c r="R39" s="24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X39:AY39" si="10">IF(AY21="0","0","7.95")</f>
        <v>0</v>
      </c>
      <c r="AZ39" s="1"/>
      <c r="BA39" s="1"/>
      <c r="BB39" s="1"/>
      <c r="BC39" s="1"/>
    </row>
    <row r="40" spans="1:55" x14ac:dyDescent="0.25">
      <c r="A40" s="1" t="s">
        <v>64</v>
      </c>
      <c r="B40" s="1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1">PI()/4*F38*F38 * F37 * 0.5  - ((6*(F39/COS(RADIANS(30)))*SIN(RADIANS(180/6))*F39)/4 * F37 *2/3)</f>
        <v>55.223308363883078</v>
      </c>
      <c r="G40" s="1">
        <f t="shared" si="11"/>
        <v>107.56656166258773</v>
      </c>
      <c r="H40" s="1">
        <f t="shared" si="11"/>
        <v>185.53185924580734</v>
      </c>
      <c r="I40" s="1">
        <f t="shared" si="11"/>
        <v>453.64597917836613</v>
      </c>
      <c r="J40" s="1">
        <f t="shared" si="11"/>
        <v>897.54045475998964</v>
      </c>
      <c r="K40" s="1">
        <f t="shared" si="11"/>
        <v>1277.2232742026893</v>
      </c>
      <c r="L40" s="1">
        <f t="shared" si="11"/>
        <v>2906.2873638359179</v>
      </c>
      <c r="M40" s="1">
        <f t="shared" si="11"/>
        <v>5191.1677007917733</v>
      </c>
      <c r="N40" s="1">
        <f t="shared" si="11"/>
        <v>8362.1342456926304</v>
      </c>
      <c r="O40" s="1"/>
      <c r="P40" s="1"/>
      <c r="Q40" s="21"/>
      <c r="R40" s="24"/>
      <c r="S40" s="1">
        <f t="shared" ref="S40:AP40" si="12">PI()/4*S38*S38 * S37 * 0.5  - ((6*(S39/COS(RADIANS(30)))*SIN(RADIANS(180/6))*S39)/4 * S37 *2/3)</f>
        <v>22.570379720634168</v>
      </c>
      <c r="T40" s="1">
        <f t="shared" si="12"/>
        <v>55.223308363883078</v>
      </c>
      <c r="U40" s="1">
        <f t="shared" si="12"/>
        <v>55.223308363883078</v>
      </c>
      <c r="V40" s="1">
        <f t="shared" si="12"/>
        <v>107.56656166258773</v>
      </c>
      <c r="W40" s="1">
        <f t="shared" si="12"/>
        <v>107.56656166258773</v>
      </c>
      <c r="X40" s="1">
        <f t="shared" si="12"/>
        <v>185.53185924580734</v>
      </c>
      <c r="Y40" s="1">
        <f t="shared" si="12"/>
        <v>185.53185924580734</v>
      </c>
      <c r="Z40" s="1">
        <f t="shared" si="12"/>
        <v>453.64597917836613</v>
      </c>
      <c r="AA40" s="1">
        <f t="shared" si="12"/>
        <v>453.64597917836613</v>
      </c>
      <c r="AB40" s="1">
        <f t="shared" si="12"/>
        <v>453.64597917836613</v>
      </c>
      <c r="AC40" s="1">
        <f t="shared" si="12"/>
        <v>453.64597917836613</v>
      </c>
      <c r="AD40" s="1">
        <f t="shared" si="12"/>
        <v>897.54045475998964</v>
      </c>
      <c r="AE40" s="1">
        <f t="shared" si="12"/>
        <v>897.54045475998964</v>
      </c>
      <c r="AF40" s="1">
        <f t="shared" si="12"/>
        <v>897.54045475998964</v>
      </c>
      <c r="AG40" s="1">
        <f t="shared" si="12"/>
        <v>1550.6563616908959</v>
      </c>
      <c r="AH40" s="1">
        <f t="shared" si="12"/>
        <v>1550.6563616908959</v>
      </c>
      <c r="AI40" s="1">
        <f t="shared" si="12"/>
        <v>1550.6563616908959</v>
      </c>
      <c r="AJ40" s="1">
        <f t="shared" si="12"/>
        <v>2906.2873638359179</v>
      </c>
      <c r="AK40" s="1">
        <f t="shared" si="12"/>
        <v>2906.2873638359179</v>
      </c>
      <c r="AL40" s="1">
        <f t="shared" si="12"/>
        <v>2906.2873638359179</v>
      </c>
      <c r="AM40" s="1">
        <f t="shared" si="12"/>
        <v>5191.1677007917733</v>
      </c>
      <c r="AN40" s="1">
        <f t="shared" si="12"/>
        <v>5191.1677007917733</v>
      </c>
      <c r="AO40" s="1">
        <f t="shared" si="12"/>
        <v>8362.1342456926304</v>
      </c>
      <c r="AP40" s="1">
        <f t="shared" si="12"/>
        <v>8362.1342456926304</v>
      </c>
      <c r="AQ40" s="1"/>
      <c r="AR40" s="1"/>
      <c r="AS40" s="1"/>
      <c r="AT40" s="1"/>
      <c r="AU40" s="1"/>
      <c r="AV40" s="5"/>
      <c r="AW40" s="6">
        <f t="shared" ref="AW40:AY40" si="13">PI()/4*AW38*AW38 * AW37 * 0.5  - ((6*(AW39/COS(RADIANS(30)))*SIN(RADIANS(180/6))*AW39)/4 * AW37 *2/3)</f>
        <v>259.68758303746756</v>
      </c>
      <c r="AX40" s="1">
        <f t="shared" si="13"/>
        <v>836.40977411011249</v>
      </c>
      <c r="AY40" s="1">
        <f t="shared" si="13"/>
        <v>1621.4639331119927</v>
      </c>
      <c r="AZ40" s="1"/>
      <c r="BA40" s="1"/>
      <c r="BB40" s="1"/>
      <c r="BC40" s="1"/>
    </row>
    <row r="41" spans="1:55" x14ac:dyDescent="0.25">
      <c r="A41" s="1" t="s">
        <v>65</v>
      </c>
      <c r="B41" s="1">
        <f t="shared" ref="B41:BC41" si="14">PI()/4*B21*B21*$B9</f>
        <v>0</v>
      </c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16964.600329384884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21">
        <f t="shared" si="14"/>
        <v>0</v>
      </c>
      <c r="R41" s="24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5">
        <f t="shared" si="14"/>
        <v>0</v>
      </c>
      <c r="AW41" s="6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</row>
    <row r="42" spans="1:55" x14ac:dyDescent="0.25">
      <c r="A42" s="1" t="s">
        <v>66</v>
      </c>
      <c r="B42" s="1" t="str">
        <f>IF(B21="1.6",IF($B11 ="Sechskant",B41+B35,IF($B11="Zylinderkopf",B31+B41,IF($B11="Senkkopf",B40+B41,"0"))),"0")</f>
        <v>0</v>
      </c>
      <c r="C42" s="1" t="str">
        <f>IF(C21="2",IF($B11 ="Sechskant",C41+C35,IF($B11="Zylinderkopf",C31+C41,IF($B11="Senkkopf",C40+C41,"0"))),"0")</f>
        <v>0</v>
      </c>
      <c r="D42" s="1" t="str">
        <f>IF(D21="2.5",IF($B11 ="Sechskant",D41+D35,IF($B11="Zylinderkopf",D31+D41,IF($B11="Senkkopf",D40+D41,"0"))),"0")</f>
        <v>0</v>
      </c>
      <c r="E42" s="1" t="str">
        <f>IF(E21="3",IF($B11 ="Sechskant",E41+E35,IF($B11="Zylinderkopf",E31+E41,IF($B11="Senkkopf",E40+E41,"0"))),"0")</f>
        <v>0</v>
      </c>
      <c r="F42" s="1" t="str">
        <f>IF(F21="4",IF($B11 ="Sechskant",F41+F35,IF($B11="Zylinderkopf",F31+F41,IF($B11="Senkkopf",F40+F41,"0"))),"0")</f>
        <v>0</v>
      </c>
      <c r="G42" s="1" t="str">
        <f>IF(G21="5",IF($B11 ="Sechskant",G41+G35,IF($B11="Zylinderkopf",G31+G41,IF($B11="Senkkopf",G40+G41,"0"))),"0")</f>
        <v>0</v>
      </c>
      <c r="H42" s="1" t="str">
        <f>IF(H21="6",IF($B11 ="Sechskant",H41+H35,IF($B11="Zylinderkopf",H31+H41,IF($B11="Senkkopf",H40+H41,"0"))),"0")</f>
        <v>0</v>
      </c>
      <c r="I42" s="1" t="str">
        <f>IF(I21="8",IF($B11 ="Sechskant",I41+I35,IF($B11="Zylinderkopf",I31+I41,IF($B11="Senkkopf",I40+I41,"0"))),"0")</f>
        <v>0</v>
      </c>
      <c r="J42" s="1" t="str">
        <f>IF(J21="10",IF($B11 ="Sechskant",J41+J35,IF($B11="Zylinderkopf",J31+J41,IF($B11="Senkkopf",J40+J41,"0"))),"0")</f>
        <v>0</v>
      </c>
      <c r="K42" s="1">
        <f>IF(K21="12",IF($B11 ="Sechskant",K41+K35,IF($B11="Zylinderkopf",K31+K41,IF($B11="Senkkopf",K40+K41,"0"))),"0")</f>
        <v>19309.364110131253</v>
      </c>
      <c r="L42" s="1" t="str">
        <f>IF(L21="16",IF($B11 ="Sechskant",L41+L35,IF($B11="Zylinderkopf",L31+L41,IF($B11="Senkkopf",L40+L41,"0"))),"0")</f>
        <v>0</v>
      </c>
      <c r="M42" s="1" t="str">
        <f>IF(M21="20",IF($B11 ="Sechskant",M41+M35,IF($B11="Zylinderkopf",M31+M41,IF($B11="Senkkopf",M40+M41,"0"))),"0")</f>
        <v>0</v>
      </c>
      <c r="N42" s="1" t="str">
        <f>IF(N21="24",IF($B11 ="Sechskant",N41+N35,IF($B11="Zylinderkopf",N31+N41,IF($B11="Senkkopf",N40+N41,"0"))),"0")</f>
        <v>0</v>
      </c>
      <c r="O42" s="1" t="str">
        <f>IF(O21="30",IF($B11 ="Sechskant",O41+O35,IF($B11="Zylinderkopf",O31+O41,IF($B11="Senkkopf",O40+O41,"0"))),"0")</f>
        <v>0</v>
      </c>
      <c r="P42" s="1" t="str">
        <f>IF(P21="36",IF($B11 ="Sechskant",P41+P35,IF($B11="Zylinderkopf",P31+P41,IF($B11="Senkkopf",P40+P41,"0"))),"0")</f>
        <v>0</v>
      </c>
      <c r="Q42" s="21" t="str">
        <f>IF(Q21="42",IF($B11 ="Sechskant",Q41+Q35,IF($B11="Zylinderkopf",Q31+Q41,IF($B11="Senkkopf",Q40+Q41,"0"))),"0")</f>
        <v>0</v>
      </c>
      <c r="R42" s="24" t="str">
        <f>IF(R21="2",IF($B11 ="Sechskant",R41+R35,IF($B11="Zylinderkopf",R31+R41,IF($B11="Senkkopf",R40+R41,"0"))),"0")</f>
        <v>0</v>
      </c>
      <c r="S42" s="1" t="str">
        <f>IF(S21="3",IF($B11 ="Sechskant",S41+S35,IF($B11="Zylinderkopf",S31+S41,IF($B11="Senkkopf",S40+S41,"0"))),"0")</f>
        <v>0</v>
      </c>
      <c r="T42" s="1" t="str">
        <f>IF(T21="4",IF($B11 ="Sechskant",T41+T35,IF($B11="Zylinderkopf",T31+T41,IF($B11="Senkkopf",T40+T41,"0"))),"0")</f>
        <v>0</v>
      </c>
      <c r="U42" s="1" t="str">
        <f>IF(U21="4",IF($B11 ="Sechskant",U41+U35,IF($B11="Zylinderkopf",U31+U41,IF($B11="Senkkopf",U40+U41,"0"))),"0")</f>
        <v>0</v>
      </c>
      <c r="V42" s="1" t="str">
        <f>IF(V21="5",IF($B11 ="Sechskant",V41+V35,IF($B11="Zylinderkopf",V31+V41,IF($B11="Senkkopf",V40+V41,"0"))),"0")</f>
        <v>0</v>
      </c>
      <c r="W42" s="1" t="str">
        <f>IF(W21="5",IF($B11 ="Sechskant",W41+W35,IF($B11="Zylinderkopf",W31+W41,IF($B11="Senkkopf",W40+W41,"0"))),"0")</f>
        <v>0</v>
      </c>
      <c r="X42" s="1" t="str">
        <f>IF(X21="6",IF($B11 ="Sechskant",X41+X35,IF($B11="Zylinderkopf",X31+X41,IF($B11="Senkkopf",X40+X41,"0"))),"0")</f>
        <v>0</v>
      </c>
      <c r="Y42" s="1" t="str">
        <f>IF(Y21="6",IF($B11 ="Sechskant",Y41+Y35,IF($B11="Zylinderkopf",Y31+Y41,IF($B11="Senkkopf",Y40+Y41,"0"))),"0")</f>
        <v>0</v>
      </c>
      <c r="Z42" s="1" t="str">
        <f>IF(Z21="6",IF($B11 ="Sechskant",Z41+Z35,IF($B11="Zylinderkopf",Z31+Z41,IF($B11="Senkkopf",Z40+Z41,"0"))),"0")</f>
        <v>0</v>
      </c>
      <c r="AA42" s="1" t="str">
        <f>IF(AA21="8",IF($B11 ="Sechskant",AA41+AA35,IF($B11="Zylinderkopf",AA31+AA41,IF($B11="Senkkopf",AA40+AA41,"0"))),"0")</f>
        <v>0</v>
      </c>
      <c r="AB42" s="1" t="str">
        <f>IF(AB21="8",IF($B11 ="Sechskant",AB41+AB35,IF($B11="Zylinderkopf",AB31+AB41,IF($B11="Senkkopf",AB40+AB41,"0"))),"0")</f>
        <v>0</v>
      </c>
      <c r="AC42" s="1" t="str">
        <f>IF(AC21="8",IF($B11 ="Sechskant",AC41+AC35,IF($B11="Zylinderkopf",AC31+AC41,IF($B11="Senkkopf",AC40+AC41,"0"))),"0")</f>
        <v>0</v>
      </c>
      <c r="AD42" s="1" t="str">
        <f>IF(AD21="10",IF($B11 ="Sechskant",AD41+AD35,IF($B11="Zylinderkopf",AD31+AD41,IF($B11="Senkkopf",AD40+AD41,"0"))),"0")</f>
        <v>0</v>
      </c>
      <c r="AE42" s="1" t="str">
        <f>IF(AE21="10",IF($B11 ="Sechskant",AE41+AE35,IF($B11="Zylinderkopf",AE31+AE41,IF($B11="Senkkopf",AE40+AE41,"0"))),"0")</f>
        <v>0</v>
      </c>
      <c r="AF42" s="1" t="str">
        <f>IF(AF21="10",IF($B11 ="Sechskant",AF41+AF35,IF($B11="Zylinderkopf",AF31+AF41,IF($B11="Senkkopf",AF40+AF41,"0"))),"0")</f>
        <v>0</v>
      </c>
      <c r="AG42" s="1" t="str">
        <f>IF(AG21="12",IF($B11 ="Sechskant",AG41+AG35,IF($B11="Zylinderkopf",AG31+AG41,IF($B11="Senkkopf",AG40+AG41,"0"))),"0")</f>
        <v>0</v>
      </c>
      <c r="AH42" s="1" t="str">
        <f>IF(AH21="12",IF($B11 ="Sechskant",AH41+AH35,IF($B11="Zylinderkopf",AH31+AH41,IF($B11="Senkkopf",AH40+AH41,"0"))),"0")</f>
        <v>0</v>
      </c>
      <c r="AI42" s="1" t="str">
        <f>IF(AI21="12",IF($B11 ="Sechskant",AI41+AI35,IF($B11="Zylinderkopf",AI31+AI41,IF($B11="Senkkopf",AI40+AI41,"0"))),"0")</f>
        <v>0</v>
      </c>
      <c r="AJ42" s="1" t="str">
        <f>IF(AJ21="16",IF($B11 ="Sechskant",AJ41+AJ35,IF($B11="Zylinderkopf",AJ31+AJ41,IF($B11="Senkkopf",AJ40+AJ41,"0"))),"0")</f>
        <v>0</v>
      </c>
      <c r="AK42" s="1" t="str">
        <f>IF(AK21="16",IF($B11 ="Sechskant",AK41+AK35,IF($B11="Zylinderkopf",AK31+AK41,IF($B11="Senkkopf",AK40+AK41,"0"))),"0")</f>
        <v>0</v>
      </c>
      <c r="AL42" s="1" t="str">
        <f>IF(AL21="16",IF($B11 ="Sechskant",AL41+AL35,IF($B11="Zylinderkopf",AL31+AL41,IF($B11="Senkkopf",AL40+AL41,"0"))),"0")</f>
        <v>0</v>
      </c>
      <c r="AM42" s="1" t="str">
        <f>IF(AM21="20",IF($B11 ="Sechskant",AM41+AM35,IF($B11="Zylinderkopf",AM31+AM41,IF($B11="Senkkopf",AM40+AM41,"0"))),"0")</f>
        <v>0</v>
      </c>
      <c r="AN42" s="1" t="str">
        <f>IF(AN21="20",IF($B11 ="Sechskant",AN41+AN35,IF($B11="Zylinderkopf",AN31+AN41,IF($B11="Senkkopf",AN40+AN41,"0"))),"0")</f>
        <v>0</v>
      </c>
      <c r="AO42" s="1" t="str">
        <f>IF(AO21="24",IF($B11 ="Sechskant",AO41+AO35,IF($B11="Zylinderkopf",AO31+AO41,IF($B11="Senkkopf",AO40+AO41,"0"))),"0")</f>
        <v>0</v>
      </c>
      <c r="AP42" s="1" t="str">
        <f>IF(AP21="24",IF($B11 ="Sechskant",AP41+AP35,IF($B11="Zylinderkopf",AP31+AP41,IF($B11="Senkkopf",AP40+AP41,"0"))),"0")</f>
        <v>0</v>
      </c>
      <c r="AQ42" s="1" t="str">
        <f>IF(AQ21="30",IF($B11 ="Sechskant",AQ41+AQ35,IF($B11="Zylinderkopf",AQ31+AQ41,IF($B11="Senkkopf",AQ40+AQ41,"0"))),"0")</f>
        <v>0</v>
      </c>
      <c r="AR42" s="1" t="str">
        <f>IF(AR21="30",IF($B11 ="Sechskant",AR41+AR35,IF($B11="Zylinderkopf",AR31+AR41,IF($B11="Senkkopf",AR40+AR41,"0"))),"0")</f>
        <v>0</v>
      </c>
      <c r="AS42" s="1" t="str">
        <f>IF(AS21="36",IF($B11 ="Sechskant",AS41+AS35,IF($B11="Zylinderkopf",AS31+AS41,IF($B11="Senkkopf",AS40+AS41,"0"))),"0")</f>
        <v>0</v>
      </c>
      <c r="AT42" s="1" t="str">
        <f>IF(AT21="36",IF($B11 ="Sechskant",AT41+AT35,IF($B11="Zylinderkopf",AT31+AT41,IF($B11="Senkkopf",AT40+AT41,"0"))),"0")</f>
        <v>0</v>
      </c>
      <c r="AU42" s="1" t="str">
        <f>IF(AU21="42",IF($B11 ="Sechskant",AU41+AU35,IF($B11="Zylinderkopf",AU31+AU41,IF($B11="Senkkopf",AU40+AU41,"0"))),"0")</f>
        <v>0</v>
      </c>
      <c r="AV42" s="5" t="str">
        <f>IF(AV21="42",IF($B11 ="Sechskant",AV41+AV35,IF($B11="Zylinderkopf",AV31+AV41,IF($B11="Senkkopf",AV40+AV41,"0"))),"0")</f>
        <v>0</v>
      </c>
      <c r="AW42" s="6" t="str">
        <f>IF(AW21="6.35",IF($B11 ="Sechskant",AW41+AW35,IF($B11="Zylinderkopf",AW31+AW41,IF($B11="Senkkopf",AW40+AW41,"0"))),"0")</f>
        <v>0</v>
      </c>
      <c r="AX42" s="1" t="str">
        <f>IF(AX21="9.53",IF($B11 ="Sechskant",AX41+AX35,IF($B11="Zylinderkopf",AX31+AX41,IF($B11="Senkkopf",AX40+AX41,"0"))),"0")</f>
        <v>0</v>
      </c>
      <c r="AY42" s="1" t="str">
        <f>IF(AY21="12.7",IF($B11 ="Sechskant",AY41+AY35,IF($B11="Zylinderkopf",AY31+AY41,IF($B11="Senkkopf",AY40+AY41,"0"))),"0")</f>
        <v>0</v>
      </c>
      <c r="AZ42" s="1" t="str">
        <f>IF(AZ21="19.05",IF($B11 ="Sechskant",AZ41+AZ35,IF($B11="Zylinderkopf",AZ31+AZ41,IF($B11="Senkkopf",AZ40+AZ41,"0"))),"0")</f>
        <v>0</v>
      </c>
      <c r="BA42" s="1" t="str">
        <f>IF(BA21="25.4",IF($B11 ="Sechskant",BA41+BA35,IF($B11="Zylinderkopf",BA31+BA41,IF($B11="Senkkopf",BA40+BA41,"0"))),"0")</f>
        <v>0</v>
      </c>
      <c r="BB42" s="1" t="str">
        <f>IF(BB21="31.75",IF($B11 ="Sechskant",BB41+BB35,IF($B11="Zylinderkopf",BB31+BB41,IF($B11="Senkkopf",BB40+BB41,"0"))),"0")</f>
        <v>0</v>
      </c>
      <c r="BC42" s="1" t="str">
        <f>IF(BC21="38.1",IF($B11 ="Sechskant",BC41+BC35,IF($B11="Zylinderkopf",BC31+BC41,IF($B11="Senkkopf",BC40+BC41,"0"))),"0")</f>
        <v>0</v>
      </c>
    </row>
    <row r="43" spans="1:55" x14ac:dyDescent="0.25">
      <c r="A43" s="1" t="s">
        <v>67</v>
      </c>
      <c r="B43" s="1">
        <f t="shared" ref="B43:BC43" si="15">IF($B8="Stahl",$B3,IF($B8="Aluminium",$C3,IF($B8="Titan",$D3,IF($B8="Messing",$E3,IF($B8="Kupfer",$F3,IF($B8="Bronze",$G3,"0"))))))*B42</f>
        <v>0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0</v>
      </c>
      <c r="I43" s="1">
        <f t="shared" si="15"/>
        <v>0</v>
      </c>
      <c r="J43" s="1">
        <f t="shared" si="15"/>
        <v>0</v>
      </c>
      <c r="K43" s="1">
        <f t="shared" si="15"/>
        <v>173.01190242677606</v>
      </c>
      <c r="L43" s="1">
        <f t="shared" si="15"/>
        <v>0</v>
      </c>
      <c r="M43" s="1">
        <f t="shared" si="15"/>
        <v>0</v>
      </c>
      <c r="N43" s="1">
        <f t="shared" si="15"/>
        <v>0</v>
      </c>
      <c r="O43" s="1">
        <f t="shared" si="15"/>
        <v>0</v>
      </c>
      <c r="P43" s="1">
        <f t="shared" si="15"/>
        <v>0</v>
      </c>
      <c r="Q43" s="21">
        <f t="shared" si="15"/>
        <v>0</v>
      </c>
      <c r="R43" s="24">
        <f t="shared" si="15"/>
        <v>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0</v>
      </c>
      <c r="X43" s="1">
        <f t="shared" si="15"/>
        <v>0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0</v>
      </c>
      <c r="AC43" s="1">
        <f t="shared" si="15"/>
        <v>0</v>
      </c>
      <c r="AD43" s="1">
        <f t="shared" si="15"/>
        <v>0</v>
      </c>
      <c r="AE43" s="1">
        <f t="shared" si="15"/>
        <v>0</v>
      </c>
      <c r="AF43" s="1">
        <f t="shared" si="15"/>
        <v>0</v>
      </c>
      <c r="AG43" s="1">
        <f t="shared" si="15"/>
        <v>0</v>
      </c>
      <c r="AH43" s="1">
        <f t="shared" si="15"/>
        <v>0</v>
      </c>
      <c r="AI43" s="1">
        <f t="shared" si="15"/>
        <v>0</v>
      </c>
      <c r="AJ43" s="1">
        <f t="shared" si="15"/>
        <v>0</v>
      </c>
      <c r="AK43" s="1">
        <f t="shared" si="15"/>
        <v>0</v>
      </c>
      <c r="AL43" s="1">
        <f t="shared" si="15"/>
        <v>0</v>
      </c>
      <c r="AM43" s="1">
        <f t="shared" si="15"/>
        <v>0</v>
      </c>
      <c r="AN43" s="1">
        <f t="shared" si="15"/>
        <v>0</v>
      </c>
      <c r="AO43" s="1">
        <f t="shared" si="15"/>
        <v>0</v>
      </c>
      <c r="AP43" s="1">
        <f t="shared" si="15"/>
        <v>0</v>
      </c>
      <c r="AQ43" s="1">
        <f t="shared" si="15"/>
        <v>0</v>
      </c>
      <c r="AR43" s="1">
        <f t="shared" si="15"/>
        <v>0</v>
      </c>
      <c r="AS43" s="1">
        <f t="shared" si="15"/>
        <v>0</v>
      </c>
      <c r="AT43" s="1">
        <f t="shared" si="15"/>
        <v>0</v>
      </c>
      <c r="AU43" s="1">
        <f t="shared" si="15"/>
        <v>0</v>
      </c>
      <c r="AV43" s="5">
        <f t="shared" si="15"/>
        <v>0</v>
      </c>
      <c r="AW43" s="6">
        <f t="shared" si="15"/>
        <v>0</v>
      </c>
      <c r="AX43" s="1">
        <f t="shared" si="15"/>
        <v>0</v>
      </c>
      <c r="AY43" s="1">
        <f t="shared" si="15"/>
        <v>0</v>
      </c>
      <c r="AZ43" s="1">
        <f t="shared" si="15"/>
        <v>0</v>
      </c>
      <c r="BA43" s="1">
        <f t="shared" si="15"/>
        <v>0</v>
      </c>
      <c r="BB43" s="1">
        <f t="shared" si="15"/>
        <v>0</v>
      </c>
      <c r="BC43" s="1">
        <f t="shared" si="15"/>
        <v>0</v>
      </c>
    </row>
    <row r="44" spans="1:55" x14ac:dyDescent="0.25">
      <c r="A44" s="1" t="s">
        <v>68</v>
      </c>
      <c r="B44" s="1">
        <f t="shared" ref="B44:BC44" si="16">($B14*B43)/1000</f>
        <v>0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0</v>
      </c>
      <c r="K44" s="1">
        <f t="shared" si="16"/>
        <v>2.5951785364016411</v>
      </c>
      <c r="L44" s="1">
        <f t="shared" si="16"/>
        <v>0</v>
      </c>
      <c r="M44" s="1">
        <f t="shared" si="16"/>
        <v>0</v>
      </c>
      <c r="N44" s="1">
        <f t="shared" si="16"/>
        <v>0</v>
      </c>
      <c r="O44" s="1">
        <f t="shared" si="16"/>
        <v>0</v>
      </c>
      <c r="P44" s="1">
        <f t="shared" si="16"/>
        <v>0</v>
      </c>
      <c r="Q44" s="21">
        <f t="shared" si="16"/>
        <v>0</v>
      </c>
      <c r="R44" s="24">
        <f t="shared" si="16"/>
        <v>0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0</v>
      </c>
      <c r="W44" s="1">
        <f t="shared" si="16"/>
        <v>0</v>
      </c>
      <c r="X44" s="1">
        <f t="shared" si="16"/>
        <v>0</v>
      </c>
      <c r="Y44" s="1">
        <f t="shared" si="16"/>
        <v>0</v>
      </c>
      <c r="Z44" s="1">
        <f t="shared" si="16"/>
        <v>0</v>
      </c>
      <c r="AA44" s="1">
        <f t="shared" si="16"/>
        <v>0</v>
      </c>
      <c r="AB44" s="1">
        <f t="shared" si="16"/>
        <v>0</v>
      </c>
      <c r="AC44" s="1">
        <f t="shared" si="16"/>
        <v>0</v>
      </c>
      <c r="AD44" s="1">
        <f t="shared" si="16"/>
        <v>0</v>
      </c>
      <c r="AE44" s="1">
        <f t="shared" si="16"/>
        <v>0</v>
      </c>
      <c r="AF44" s="1">
        <f t="shared" si="16"/>
        <v>0</v>
      </c>
      <c r="AG44" s="1">
        <f t="shared" si="16"/>
        <v>0</v>
      </c>
      <c r="AH44" s="1">
        <f t="shared" si="16"/>
        <v>0</v>
      </c>
      <c r="AI44" s="1">
        <f t="shared" si="16"/>
        <v>0</v>
      </c>
      <c r="AJ44" s="1">
        <f t="shared" si="16"/>
        <v>0</v>
      </c>
      <c r="AK44" s="1">
        <f t="shared" si="16"/>
        <v>0</v>
      </c>
      <c r="AL44" s="1">
        <f t="shared" si="16"/>
        <v>0</v>
      </c>
      <c r="AM44" s="1">
        <f t="shared" si="16"/>
        <v>0</v>
      </c>
      <c r="AN44" s="1">
        <f t="shared" si="16"/>
        <v>0</v>
      </c>
      <c r="AO44" s="1">
        <f t="shared" si="16"/>
        <v>0</v>
      </c>
      <c r="AP44" s="1">
        <f t="shared" si="16"/>
        <v>0</v>
      </c>
      <c r="AQ44" s="1">
        <f t="shared" si="16"/>
        <v>0</v>
      </c>
      <c r="AR44" s="1">
        <f t="shared" si="16"/>
        <v>0</v>
      </c>
      <c r="AS44" s="1">
        <f t="shared" si="16"/>
        <v>0</v>
      </c>
      <c r="AT44" s="1">
        <f t="shared" si="16"/>
        <v>0</v>
      </c>
      <c r="AU44" s="1">
        <f t="shared" si="16"/>
        <v>0</v>
      </c>
      <c r="AV44" s="5">
        <f t="shared" si="16"/>
        <v>0</v>
      </c>
      <c r="AW44" s="6">
        <f t="shared" si="16"/>
        <v>0</v>
      </c>
      <c r="AX44" s="1">
        <f t="shared" si="16"/>
        <v>0</v>
      </c>
      <c r="AY44" s="1">
        <f t="shared" si="16"/>
        <v>0</v>
      </c>
      <c r="AZ44" s="1">
        <f t="shared" si="16"/>
        <v>0</v>
      </c>
      <c r="BA44" s="1">
        <f t="shared" si="16"/>
        <v>0</v>
      </c>
      <c r="BB44" s="1">
        <f t="shared" si="16"/>
        <v>0</v>
      </c>
      <c r="BC44" s="1">
        <f t="shared" si="16"/>
        <v>0</v>
      </c>
    </row>
    <row r="49" spans="1:8" x14ac:dyDescent="0.25">
      <c r="A49" s="9" t="s">
        <v>69</v>
      </c>
    </row>
    <row r="50" spans="1:8" x14ac:dyDescent="0.25">
      <c r="A50" t="s">
        <v>48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12</v>
      </c>
      <c r="C50" s="12">
        <f t="shared" ref="C50:C59" si="17">B50</f>
        <v>12</v>
      </c>
    </row>
    <row r="51" spans="1:8" x14ac:dyDescent="0.25">
      <c r="A51" t="s">
        <v>49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1.75</v>
      </c>
      <c r="C51" s="12">
        <f t="shared" si="17"/>
        <v>1.75</v>
      </c>
    </row>
    <row r="52" spans="1:8" x14ac:dyDescent="0.25">
      <c r="A52" t="s">
        <v>50</v>
      </c>
      <c r="B52" s="10">
        <f>MAX(B23:AV23)+AW23+AX23+AY23+AZ23+BA23+BB23+BC23</f>
        <v>10.863375</v>
      </c>
      <c r="C52" s="12">
        <f t="shared" si="17"/>
        <v>10.863375</v>
      </c>
    </row>
    <row r="53" spans="1:8" x14ac:dyDescent="0.25">
      <c r="A53" t="s">
        <v>51</v>
      </c>
      <c r="B53" s="10">
        <f>MAX(B24:AV24)+AW24+AX24+AY24+AZ24+BA24+BB24+BC24</f>
        <v>9.852924999999999</v>
      </c>
      <c r="C53" s="12">
        <f t="shared" si="17"/>
        <v>9.852924999999999</v>
      </c>
    </row>
    <row r="54" spans="1:8" x14ac:dyDescent="0.25">
      <c r="A54" t="s">
        <v>52</v>
      </c>
      <c r="B54" s="10">
        <f>MAX(B25:AV25)+AW25+AX25+AY25+AZ25+BA25+BB25+BC25</f>
        <v>10.25</v>
      </c>
      <c r="C54" s="12">
        <f t="shared" si="17"/>
        <v>10.25</v>
      </c>
    </row>
    <row r="55" spans="1:8" x14ac:dyDescent="0.25">
      <c r="A55" t="s">
        <v>70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2.5951785364016411</v>
      </c>
      <c r="C55" s="12">
        <f t="shared" si="17"/>
        <v>2.5951785364016411</v>
      </c>
    </row>
    <row r="56" spans="1:8" x14ac:dyDescent="0.25">
      <c r="A56" t="s">
        <v>71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,IF(B11="Senkkopf",AW39+AX39+AY39+E39+F39+G39+H39+I39+J39+K39+L39+M39+N39+S39+T39+U39+V39+W39+X39+Y39+Z39+AA39+AB39+AC39+AD39+AE39+AF39+AG39+AH39+AI39+AJ39+AK39+AL39+AM39+AN39+AO39+AP39,"0")))</f>
        <v>19</v>
      </c>
      <c r="C56" s="12">
        <f t="shared" si="17"/>
        <v>19</v>
      </c>
    </row>
    <row r="57" spans="1:8" x14ac:dyDescent="0.25">
      <c r="A57" t="s">
        <v>72</v>
      </c>
      <c r="B57" s="11" t="str">
        <f>IF(B16="3.6","180",IF(B16="4.6","240",IF(B16="4.8","320",IF(B16="5.8","400",IF(B16="6.8","480",IF(B16="8.8","640",IF(B16="9.8","720",IF(B16="10.9","900",IF(B16="12.9","1080","0")))))))))</f>
        <v>240</v>
      </c>
      <c r="C57" s="13" t="str">
        <f>B57</f>
        <v>240</v>
      </c>
    </row>
    <row r="58" spans="1:8" x14ac:dyDescent="0.25">
      <c r="A58" t="s">
        <v>73</v>
      </c>
      <c r="B58" s="11" t="str">
        <f>IF(B16="3.6","300",IF(B16="4.6","400",IF(B16="4.8","400",IF(B16="5.8","500",IF(B16="6.8","600",IF(B16="8.8","800",IF(B16="9.8","900",IF(B16="10.9","1000",IF(B16="12.9","1200","0")))))))))</f>
        <v>400</v>
      </c>
      <c r="C58" s="13" t="str">
        <f t="shared" si="17"/>
        <v>400</v>
      </c>
    </row>
    <row r="59" spans="1:8" x14ac:dyDescent="0.25">
      <c r="A59" t="s">
        <v>74</v>
      </c>
      <c r="B59" s="10">
        <f>IF(B8="Stahl",B55*B4*4.25,IF(B8="Aluminium",B55*C4*4.25,IF(B8="Titan",B55*D4*4.25,IF(B8="Messing",B55*E4*4.25,IF(B8="Kupfer",B55*F4*4.25,IF(B8="Bronze",B55*G4*4.25,"0"))))))</f>
        <v>109.19213691909906</v>
      </c>
      <c r="C59" s="12">
        <f t="shared" si="17"/>
        <v>109.19213691909906</v>
      </c>
      <c r="E59" t="s">
        <v>75</v>
      </c>
      <c r="F59" t="s">
        <v>76</v>
      </c>
      <c r="G59" t="s">
        <v>77</v>
      </c>
      <c r="H59" t="s">
        <v>78</v>
      </c>
    </row>
    <row r="60" spans="1:8" x14ac:dyDescent="0.25">
      <c r="A60" t="s">
        <v>53</v>
      </c>
      <c r="B60" s="10">
        <f>MAX(B26:BC26)</f>
        <v>1017.8760197630929</v>
      </c>
      <c r="C60" s="12">
        <f>B60</f>
        <v>1017.8760197630929</v>
      </c>
    </row>
    <row r="65" spans="3:7" x14ac:dyDescent="0.25">
      <c r="C65" s="14" t="s">
        <v>79</v>
      </c>
      <c r="D65" s="14"/>
      <c r="E65" s="14"/>
      <c r="F65" s="14"/>
      <c r="G65" s="14"/>
    </row>
    <row r="66" spans="3:7" x14ac:dyDescent="0.25">
      <c r="C66" s="14" t="s">
        <v>104</v>
      </c>
      <c r="D66" s="14"/>
      <c r="E66" s="14"/>
      <c r="F66" s="14"/>
      <c r="G66" s="14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2021-05-10T17:57:46Z</dcterms:modified>
</cp:coreProperties>
</file>