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ssumptions" sheetId="1" r:id="rId1"/>
    <sheet name="Actuals_Q4'24–Q2'25" sheetId="2" r:id="rId2"/>
    <sheet name="12M_Forecast" sheetId="3" r:id="rId3"/>
    <sheet name="Revenue_Variance_Q2'25" sheetId="4" r:id="rId4"/>
    <sheet name="GM_Variance_Q2'25" sheetId="5" r:id="rId5"/>
    <sheet name="KPI_Dashboard_Data" sheetId="6" r:id="rId6"/>
    <sheet name="Notes" sheetId="7" r:id="rId7"/>
  </sheets>
  <definedNames>
    <definedName name="BaseMonthlyRev">Assumptions!$B$15</definedName>
    <definedName name="CapexPct">Assumptions!$B$11</definedName>
    <definedName name="dNWCpct">Assumptions!$B$12</definedName>
    <definedName name="GM_End">Assumptions!$B$8</definedName>
    <definedName name="GM_Start">Assumptions!$B$7</definedName>
    <definedName name="Growth">Assumptions!$B$16</definedName>
    <definedName name="Horizon">Assumptions!$B$3</definedName>
    <definedName name="MixFx">Assumptions!$B$6</definedName>
    <definedName name="PriceFx">Assumptions!$B$5</definedName>
    <definedName name="Q2Rev">Assumptions!$B$13</definedName>
    <definedName name="SGA_End">Assumptions!$B$10</definedName>
    <definedName name="SGA_Start">Assumptions!$B$9</definedName>
    <definedName name="StartMonth">Assumptions!$B$2</definedName>
    <definedName name="Vol">Assumptions!$B$4</definedName>
  </definedNames>
  <calcPr calcId="124519" fullCalcOnLoad="1"/>
</workbook>
</file>

<file path=xl/sharedStrings.xml><?xml version="1.0" encoding="utf-8"?>
<sst xmlns="http://schemas.openxmlformats.org/spreadsheetml/2006/main" count="109" uniqueCount="102">
  <si>
    <t>Assumption</t>
  </si>
  <si>
    <t>Value</t>
  </si>
  <si>
    <t>Notes</t>
  </si>
  <si>
    <t>Start Month</t>
  </si>
  <si>
    <t>2025-10-01</t>
  </si>
  <si>
    <t>Rolling start (YYYY-MM-DD)</t>
  </si>
  <si>
    <t>Horizon Months</t>
  </si>
  <si>
    <t>Number of months in forecast</t>
  </si>
  <si>
    <t>Volume_growth_mo</t>
  </si>
  <si>
    <t>Monthly volume growth (+1.0%)</t>
  </si>
  <si>
    <t>Price_effect_mo</t>
  </si>
  <si>
    <t>Monthly price effect (+0.3%)</t>
  </si>
  <si>
    <t>Mix_effect_mo</t>
  </si>
  <si>
    <t>Monthly mix effect (+0.2%)</t>
  </si>
  <si>
    <t>GM_start_pct</t>
  </si>
  <si>
    <t>Starting gross margin (51.5%)</t>
  </si>
  <si>
    <t>GM_end_pct</t>
  </si>
  <si>
    <t>Ending gross margin (52.0%)</t>
  </si>
  <si>
    <t>SGA_start_pct</t>
  </si>
  <si>
    <t>Starting SG&amp;A as % of revenue (25.0%)</t>
  </si>
  <si>
    <t>SGA_end_pct</t>
  </si>
  <si>
    <t>Ending SG&amp;A as % of revenue (23.0%)</t>
  </si>
  <si>
    <t>Capex_pct_rev</t>
  </si>
  <si>
    <t>Capex % of revenue (1.0%)</t>
  </si>
  <si>
    <t>DeltaNWC_pct_delta_rev</t>
  </si>
  <si>
    <t>ΔNWC % of incremental revenue (1.5%)</t>
  </si>
  <si>
    <t>Q2_2025_Revenue_M</t>
  </si>
  <si>
    <t>Actual Q2'25 revenue ($M)</t>
  </si>
  <si>
    <t>Base_Monthly_Revenue_M</t>
  </si>
  <si>
    <t>Q2'25 revenue divided by 3 months</t>
  </si>
  <si>
    <t>Monthly_Growth_Factor</t>
  </si>
  <si>
    <t>Multiplicative monthly growth</t>
  </si>
  <si>
    <t>Quarter</t>
  </si>
  <si>
    <t>Revenue ($M)</t>
  </si>
  <si>
    <t>Gross Margin %</t>
  </si>
  <si>
    <t>Gross Profit ($M)</t>
  </si>
  <si>
    <t>SG&amp;A % of Rev</t>
  </si>
  <si>
    <t>Q4 2024</t>
  </si>
  <si>
    <t>Q1 2025</t>
  </si>
  <si>
    <t>Q2 2025</t>
  </si>
  <si>
    <t>Month</t>
  </si>
  <si>
    <t>OpEx ($M)</t>
  </si>
  <si>
    <t>EBITDA ($M)</t>
  </si>
  <si>
    <t>Capex ($M)</t>
  </si>
  <si>
    <t>ΔRevenue ($M)</t>
  </si>
  <si>
    <t>ΔNWC ($M)</t>
  </si>
  <si>
    <t>FCF Proxy ($M)</t>
  </si>
  <si>
    <t>2025-10</t>
  </si>
  <si>
    <t>2025-11</t>
  </si>
  <si>
    <t>2025-12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</si>
  <si>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</si>
  <si>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</si>
  <si>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</si>
  <si>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</si>
  <si>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</si>
  <si>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</si>
  <si>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</si>
  <si>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</si>
  <si>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</si>
  <si>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Totals / Checks</t>
  </si>
  <si>
    <t>Q2'25 Revenue Bridge — Plan vs Actual</t>
  </si>
  <si>
    <t>Item</t>
  </si>
  <si>
    <t>Value ($M)</t>
  </si>
  <si>
    <t>Plan (Consensus Proxy)</t>
  </si>
  <si>
    <t>Actual (Reported)</t>
  </si>
  <si>
    <t>Variance (Actual - Plan)</t>
  </si>
  <si>
    <t>Driver</t>
  </si>
  <si>
    <t>Variance ($M)</t>
  </si>
  <si>
    <t>Cumulative ($M)</t>
  </si>
  <si>
    <t>Volume</t>
  </si>
  <si>
    <t>Price/Mix</t>
  </si>
  <si>
    <t>Channel/Geo Mix</t>
  </si>
  <si>
    <t>Alani Nu Consolidation Timing (Tie)</t>
  </si>
  <si>
    <t>Q2'25 Gross Margin Bridge — Plan vs Actual</t>
  </si>
  <si>
    <t>Value (pp)</t>
  </si>
  <si>
    <t>Plan GM %</t>
  </si>
  <si>
    <t>Actual GM %</t>
  </si>
  <si>
    <t>Delta (Actual - Plan)</t>
  </si>
  <si>
    <t>Variance (pp)</t>
  </si>
  <si>
    <t>Material Cost Tailwinds</t>
  </si>
  <si>
    <t>Freight Efficiencies</t>
  </si>
  <si>
    <t>Portfolio/Channel Mix</t>
  </si>
  <si>
    <t>Alani Nu Purchase Accounting / Mix (Tie)</t>
  </si>
  <si>
    <t>Metric</t>
  </si>
  <si>
    <t>Revenue (Q2'25)</t>
  </si>
  <si>
    <t>Gross Margin (Q2'25)</t>
  </si>
  <si>
    <t>SG&amp;A % (Q2'25)</t>
  </si>
  <si>
    <t>Forecast Month 12 Revenue</t>
  </si>
  <si>
    <t>Forecast Month 12 GM</t>
  </si>
  <si>
    <t>Forecast Month 12 SG&amp;A %</t>
  </si>
  <si>
    <t>12‑Month Cum. FCF Proxy</t>
  </si>
  <si>
    <t>NOTES &amp; SOURCES (public):</t>
  </si>
  <si>
    <t>• Q2 2025 press release — revenue $739.3M; GM 51.5%; SG&amp;A 32.2%.</t>
  </si>
  <si>
    <t>• Q2 2025 10-Q — SG&amp;A detail/context.</t>
  </si>
  <si>
    <t>• Q1 2025 press release — revenue $329.3M; GM 52.3%.</t>
  </si>
  <si>
    <t>• Q4 2024/FY2024 press release — revenue $332.2M; GM 50.2%.</t>
  </si>
  <si>
    <t>• Plan proxy for Q2’25 revenue (~$631.19M) based on consensus preview.</t>
  </si>
  <si>
    <t>• Forecast is driver-based: Volume/Price/Mix monthly growth; GM &amp; SG&amp;A linear trends.</t>
  </si>
  <si>
    <t>• FCF proxy = EBITDA – Capex – ΔNWC (growth only). EBITDA ≈ Gross Profit – SG&amp;A.</t>
  </si>
  <si>
    <t>MODEL CONTROLS:</t>
  </si>
  <si>
    <t>• Adjust drivers &amp; trends in Assumptions; Forecast updates automatically.</t>
  </si>
  <si>
    <t>• Variance bridges auto-tie last bucket to the total delta.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</si>
</sst>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"/>
    <numFmt numFmtId="166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sheetData>
    <row r="1" spans="1:3" s="1" customFormat="1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>
        <v>12</v>
      </c>
      <c r="C3" t="s">
        <v>7</v>
      </c>
    </row>
    <row r="4" spans="1:3">
      <c r="A4" t="s">
        <v>8</v>
      </c>
      <c r="B4" s="2">
        <v>0.01</v>
      </c>
      <c r="C4" t="s">
        <v>9</v>
      </c>
    </row>
    <row r="5" spans="1:3">
      <c r="A5" t="s">
        <v>10</v>
      </c>
      <c r="B5" s="2">
        <v>0.003</v>
      </c>
      <c r="C5" t="s">
        <v>11</v>
      </c>
    </row>
    <row r="6" spans="1:3">
      <c r="A6" t="s">
        <v>12</v>
      </c>
      <c r="B6" s="2">
        <v>0.002</v>
      </c>
      <c r="C6" t="s">
        <v>13</v>
      </c>
    </row>
    <row r="7" spans="1:3">
      <c r="A7" t="s">
        <v>14</v>
      </c>
      <c r="B7" s="2">
        <v>0.515</v>
      </c>
      <c r="C7" t="s">
        <v>15</v>
      </c>
    </row>
    <row r="8" spans="1:3">
      <c r="A8" t="s">
        <v>16</v>
      </c>
      <c r="B8" s="2">
        <v>0.52</v>
      </c>
      <c r="C8" t="s">
        <v>17</v>
      </c>
    </row>
    <row r="9" spans="1:3">
      <c r="A9" t="s">
        <v>18</v>
      </c>
      <c r="B9" s="2">
        <v>0.25</v>
      </c>
      <c r="C9" t="s">
        <v>19</v>
      </c>
    </row>
    <row r="10" spans="1:3">
      <c r="A10" t="s">
        <v>20</v>
      </c>
      <c r="B10" s="2">
        <v>0.23</v>
      </c>
      <c r="C10" t="s">
        <v>21</v>
      </c>
    </row>
    <row r="11" spans="1:3">
      <c r="A11" t="s">
        <v>22</v>
      </c>
      <c r="B11" s="2">
        <v>0.01</v>
      </c>
      <c r="C11" t="s">
        <v>23</v>
      </c>
    </row>
    <row r="12" spans="1:3">
      <c r="A12" t="s">
        <v>24</v>
      </c>
      <c r="B12" s="2">
        <v>0.015</v>
      </c>
      <c r="C12" t="s">
        <v>25</v>
      </c>
    </row>
    <row r="13" spans="1:3">
      <c r="A13" t="s">
        <v>26</v>
      </c>
      <c r="B13" s="3">
        <v>739.3</v>
      </c>
      <c r="C13" t="s">
        <v>27</v>
      </c>
    </row>
    <row r="15" spans="1:3">
      <c r="A15" t="s">
        <v>28</v>
      </c>
      <c r="B15" s="3">
        <f>B13/3</f>
        <v>0</v>
      </c>
      <c r="C15" t="s">
        <v>29</v>
      </c>
    </row>
    <row r="16" spans="1:3">
      <c r="A16" t="s">
        <v>30</v>
      </c>
      <c r="B16" s="4">
        <f>PRODUCT(1+B4,1+B5,1+B6)</f>
        <v>0</v>
      </c>
      <c r="C1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>
      <c r="A2" t="s">
        <v>37</v>
      </c>
      <c r="B2" s="3">
        <v>332.2</v>
      </c>
      <c r="C2" s="2">
        <v>0.502</v>
      </c>
      <c r="D2" s="3">
        <f>B2*C2</f>
        <v>0</v>
      </c>
    </row>
    <row r="3" spans="1:5">
      <c r="A3" t="s">
        <v>38</v>
      </c>
      <c r="B3" s="3">
        <v>329.3</v>
      </c>
      <c r="C3" s="2">
        <v>0.523</v>
      </c>
      <c r="D3" s="3">
        <f>B3*C3</f>
        <v>0</v>
      </c>
    </row>
    <row r="4" spans="1:5">
      <c r="A4" t="s">
        <v>39</v>
      </c>
      <c r="B4" s="3">
        <v>739.3</v>
      </c>
      <c r="C4" s="2">
        <v>0.515</v>
      </c>
      <c r="D4" s="3">
        <f>B4*C4</f>
        <v>0</v>
      </c>
      <c r="E4" s="2">
        <v>0.322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s="1" t="s">
        <v>40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  <row r="2" spans="1:11">
      <c r="A2" t="s">
        <v>47</v>
      </c>
      <c r="B2" s="3">
        <f>BaseMonthlyRev*Growth</f>
        <v>0</v>
      </c>
      <c r="C2" s="2">
        <f>GM_Start + (GM_End-GM_Start)*(0)/(Horizon-1)</f>
        <v>0</v>
      </c>
      <c r="D2" s="3">
        <f>B2*C2</f>
        <v>0</v>
      </c>
      <c r="E2" s="2">
        <f>SGA_Start + (SGA_End-SGA_Start)*(0)/(Horizon-1)</f>
        <v>0</v>
      </c>
      <c r="F2" s="3">
        <f>B2*E2</f>
        <v>0</v>
      </c>
      <c r="G2" s="3">
        <f>D2-F2</f>
        <v>0</v>
      </c>
      <c r="H2" s="3">
        <f>B2*CapexPct</f>
        <v>0</v>
      </c>
      <c r="I2" s="3">
        <f>B2-BaseMonthlyRev</f>
        <v>0</v>
      </c>
      <c r="J2" s="3">
        <f>MAX(I2,0)*dNWCpct</f>
        <v>0</v>
      </c>
      <c r="K2" s="3">
        <f>G2-H2-J2</f>
        <v>0</v>
      </c>
    </row>
    <row r="3" spans="1:11">
      <c r="A3" t="s">
        <v>48</v>
      </c>
      <c r="B3" s="3">
        <f>B2*Growth</f>
        <v>0</v>
      </c>
      <c r="C3" s="2">
        <f>GM_Start + (GM_End-GM_Start)*(1)/(Horizon-1)</f>
        <v>0</v>
      </c>
      <c r="D3" s="3">
        <f>B3*C3</f>
        <v>0</v>
      </c>
      <c r="E3" s="2">
        <f>SGA_Start + (SGA_End-SGA_Start)*(1)/(Horizon-1)</f>
        <v>0</v>
      </c>
      <c r="F3" s="3">
        <f>B3*E3</f>
        <v>0</v>
      </c>
      <c r="G3" s="3">
        <f>D3-F3</f>
        <v>0</v>
      </c>
      <c r="H3" s="3">
        <f>B3*CapexPct</f>
        <v>0</v>
      </c>
      <c r="I3" s="3">
        <f>B3-B2</f>
        <v>0</v>
      </c>
      <c r="J3" s="3">
        <f>MAX(I3,0)*dNWCpct</f>
        <v>0</v>
      </c>
      <c r="K3" s="3">
        <f>G3-H3-J3</f>
        <v>0</v>
      </c>
    </row>
    <row r="4" spans="1:11">
      <c r="A4" t="s">
        <v>49</v>
      </c>
      <c r="B4" s="3">
        <f>B3*Growth</f>
        <v>0</v>
      </c>
      <c r="C4" s="2">
        <f>GM_Start + (GM_End-GM_Start)*(2)/(Horizon-1)</f>
        <v>0</v>
      </c>
      <c r="D4" s="3">
        <f>B4*C4</f>
        <v>0</v>
      </c>
      <c r="E4" s="2">
        <f>SGA_Start + (SGA_End-SGA_Start)*(2)/(Horizon-1)</f>
        <v>0</v>
      </c>
      <c r="F4" s="3">
        <f>B4*E4</f>
        <v>0</v>
      </c>
      <c r="G4" s="3">
        <f>D4-F4</f>
        <v>0</v>
      </c>
      <c r="H4" s="3">
        <f>B4*CapexPct</f>
        <v>0</v>
      </c>
      <c r="I4" s="3">
        <f>B4-B3</f>
        <v>0</v>
      </c>
      <c r="J4" s="3">
        <f>MAX(I4,0)*dNWCpct</f>
        <v>0</v>
      </c>
      <c r="K4" s="3">
        <f>G4-H4-J4</f>
        <v>0</v>
      </c>
    </row>
    <row r="5" spans="1:11">
      <c r="A5" t="s">
        <v>50</v>
      </c>
      <c r="B5" s="3">
        <f>B4*Growth</f>
        <v>0</v>
      </c>
      <c r="C5" s="2">
        <f>GM_Start + (GM_End-GM_Start)*(3)/(Horizon-1)</f>
        <v>0</v>
      </c>
      <c r="D5" s="3">
        <f>B5*C5</f>
        <v>0</v>
      </c>
      <c r="E5" s="2">
        <f>SGA_Start + (SGA_End-SGA_Start)*(3)/(Horizon-1)</f>
        <v>0</v>
      </c>
      <c r="F5" s="3">
        <f>B5*E5</f>
        <v>0</v>
      </c>
      <c r="G5" s="3">
        <f>D5-F5</f>
        <v>0</v>
      </c>
      <c r="H5" s="3">
        <f>B5*CapexPct</f>
        <v>0</v>
      </c>
      <c r="I5" s="3">
        <f>B5-B4</f>
        <v>0</v>
      </c>
      <c r="J5" s="3">
        <f>MAX(I5,0)*dNWCpct</f>
        <v>0</v>
      </c>
      <c r="K5" s="3">
        <f>G5-H5-J5</f>
        <v>0</v>
      </c>
    </row>
    <row r="6" spans="1:11">
      <c r="A6" t="s">
        <v>51</v>
      </c>
      <c r="B6" s="3">
        <f>B5*Growth</f>
        <v>0</v>
      </c>
      <c r="C6" s="2">
        <f>GM_Start + (GM_End-GM_Start)*(4)/(Horizon-1)</f>
        <v>0</v>
      </c>
      <c r="D6" s="3">
        <f>B6*C6</f>
        <v>0</v>
      </c>
      <c r="E6" s="2">
        <f>SGA_Start + (SGA_End-SGA_Start)*(4)/(Horizon-1)</f>
        <v>0</v>
      </c>
      <c r="F6" s="3">
        <f>B6*E6</f>
        <v>0</v>
      </c>
      <c r="G6" s="3">
        <f>D6-F6</f>
        <v>0</v>
      </c>
      <c r="H6" s="3">
        <f>B6*CapexPct</f>
        <v>0</v>
      </c>
      <c r="I6" s="3">
        <f>B6-B5</f>
        <v>0</v>
      </c>
      <c r="J6" s="3">
        <f>MAX(I6,0)*dNWCpct</f>
        <v>0</v>
      </c>
      <c r="K6" s="3">
        <f>G6-H6-J6</f>
        <v>0</v>
      </c>
    </row>
    <row r="7" spans="1:11">
      <c r="A7" t="s">
        <v>52</v>
      </c>
      <c r="B7" s="3">
        <f>B6*Growth</f>
        <v>0</v>
      </c>
      <c r="C7" s="2">
        <f>GM_Start + (GM_End-GM_Start)*(5)/(Horizon-1)</f>
        <v>0</v>
      </c>
      <c r="D7" s="3">
        <f>B7*C7</f>
        <v>0</v>
      </c>
      <c r="E7" s="2">
        <f>SGA_Start + (SGA_End-SGA_Start)*(5)/(Horizon-1)</f>
        <v>0</v>
      </c>
      <c r="F7" s="3">
        <f>B7*E7</f>
        <v>0</v>
      </c>
      <c r="G7" s="3">
        <f>D7-F7</f>
        <v>0</v>
      </c>
      <c r="H7" s="3">
        <f>B7*CapexPct</f>
        <v>0</v>
      </c>
      <c r="I7" s="3">
        <f>B7-B6</f>
        <v>0</v>
      </c>
      <c r="J7" s="3">
        <f>MAX(I7,0)*dNWCpct</f>
        <v>0</v>
      </c>
      <c r="K7" s="3">
        <f>G7-H7-J7</f>
        <v>0</v>
      </c>
    </row>
    <row r="8" spans="1:11">
      <c r="A8" t="s">
        <v>53</v>
      </c>
      <c r="B8" s="3">
        <f>B7*Growth</f>
        <v>0</v>
      </c>
      <c r="C8" s="2">
        <f>GM_Start + (GM_End-GM_Start)*(6)/(Horizon-1)</f>
        <v>0</v>
      </c>
      <c r="D8" s="3">
        <f>B8*C8</f>
        <v>0</v>
      </c>
      <c r="E8" s="2">
        <f>SGA_Start + (SGA_End-SGA_Start)*(6)/(Horizon-1)</f>
        <v>0</v>
      </c>
      <c r="F8" s="3">
        <f>B8*E8</f>
        <v>0</v>
      </c>
      <c r="G8" s="3">
        <f>D8-F8</f>
        <v>0</v>
      </c>
      <c r="H8" s="3">
        <f>B8*CapexPct</f>
        <v>0</v>
      </c>
      <c r="I8" s="3">
        <f>B8-B7</f>
        <v>0</v>
      </c>
      <c r="J8" s="3">
        <f>MAX(I8,0)*dNWCpct</f>
        <v>0</v>
      </c>
      <c r="K8" s="3">
        <f>G8-H8-J8</f>
        <v>0</v>
      </c>
    </row>
    <row r="9" spans="1:11">
      <c r="A9" t="s">
        <v>54</v>
      </c>
      <c r="B9" s="3">
        <f>B8*Growth</f>
        <v>0</v>
      </c>
      <c r="C9" s="2">
        <f>GM_Start + (GM_End-GM_Start)*(7)/(Horizon-1)</f>
        <v>0</v>
      </c>
      <c r="D9" s="3">
        <f>B9*C9</f>
        <v>0</v>
      </c>
      <c r="E9" s="2">
        <f>SGA_Start + (SGA_End-SGA_Start)*(7)/(Horizon-1)</f>
        <v>0</v>
      </c>
      <c r="F9" s="3">
        <f>B9*E9</f>
        <v>0</v>
      </c>
      <c r="G9" s="3">
        <f>D9-F9</f>
        <v>0</v>
      </c>
      <c r="H9" s="3">
        <f>B9*CapexPct</f>
        <v>0</v>
      </c>
      <c r="I9" s="3">
        <f>B9-B8</f>
        <v>0</v>
      </c>
      <c r="J9" s="3">
        <f>MAX(I9,0)*dNWCpct</f>
        <v>0</v>
      </c>
      <c r="K9" s="3">
        <f>G9-H9-J9</f>
        <v>0</v>
      </c>
    </row>
    <row r="10" spans="1:11">
      <c r="A10" t="s">
        <v>55</v>
      </c>
      <c r="B10" s="3">
        <f>B9*Growth</f>
        <v>0</v>
      </c>
      <c r="C10" s="2">
        <f>GM_Start + (GM_End-GM_Start)*(8)/(Horizon-1)</f>
        <v>0</v>
      </c>
      <c r="D10" s="3">
        <f>B10*C10</f>
        <v>0</v>
      </c>
      <c r="E10" s="2">
        <f>SGA_Start + (SGA_End-SGA_Start)*(8)/(Horizon-1)</f>
        <v>0</v>
      </c>
      <c r="F10" s="3">
        <f>B10*E10</f>
        <v>0</v>
      </c>
      <c r="G10" s="3">
        <f>D10-F10</f>
        <v>0</v>
      </c>
      <c r="H10" s="3">
        <f>B10*CapexPct</f>
        <v>0</v>
      </c>
      <c r="I10" s="3">
        <f>B10-B9</f>
        <v>0</v>
      </c>
      <c r="J10" s="3">
        <f>MAX(I10,0)*dNWCpct</f>
        <v>0</v>
      </c>
      <c r="K10" s="3">
        <f>G10-H10-J10</f>
        <v>0</v>
      </c>
    </row>
    <row r="11" spans="1:11">
      <c r="A11" t="s">
        <v>56</v>
      </c>
      <c r="B11" s="3">
        <f>B10*Growth</f>
        <v>0</v>
      </c>
      <c r="C11" s="2">
        <f>GM_Start + (GM_End-GM_Start)*(9)/(Horizon-1)</f>
        <v>0</v>
      </c>
      <c r="D11" s="3">
        <f>B11*C11</f>
        <v>0</v>
      </c>
      <c r="E11" s="2">
        <f>SGA_Start + (SGA_End-SGA_Start)*(9)/(Horizon-1)</f>
        <v>0</v>
      </c>
      <c r="F11" s="3">
        <f>B11*E11</f>
        <v>0</v>
      </c>
      <c r="G11" s="3">
        <f>D11-F11</f>
        <v>0</v>
      </c>
      <c r="H11" s="3">
        <f>B11*CapexPct</f>
        <v>0</v>
      </c>
      <c r="I11" s="3">
        <f>B11-B10</f>
        <v>0</v>
      </c>
      <c r="J11" s="3">
        <f>MAX(I11,0)*dNWCpct</f>
        <v>0</v>
      </c>
      <c r="K11" s="3">
        <f>G11-H11-J11</f>
        <v>0</v>
      </c>
    </row>
    <row r="12" spans="1:11">
      <c r="A12" t="s">
        <v>57</v>
      </c>
      <c r="B12" s="3">
        <f>B11*Growth</f>
        <v>0</v>
      </c>
      <c r="C12" s="2">
        <f>GM_Start + (GM_End-GM_Start)*(10)/(Horizon-1)</f>
        <v>0</v>
      </c>
      <c r="D12" s="3">
        <f>B12*C12</f>
        <v>0</v>
      </c>
      <c r="E12" s="2">
        <f>SGA_Start + (SGA_End-SGA_Start)*(10)/(Horizon-1)</f>
        <v>0</v>
      </c>
      <c r="F12" s="3">
        <f>B12*E12</f>
        <v>0</v>
      </c>
      <c r="G12" s="3">
        <f>D12-F12</f>
        <v>0</v>
      </c>
      <c r="H12" s="3">
        <f>B12*CapexPct</f>
        <v>0</v>
      </c>
      <c r="I12" s="3">
        <f>B12-B11</f>
        <v>0</v>
      </c>
      <c r="J12" s="3">
        <f>MAX(I12,0)*dNWCpct</f>
        <v>0</v>
      </c>
      <c r="K12" s="3">
        <f>G12-H12-J12</f>
        <v>0</v>
      </c>
    </row>
    <row r="13" spans="1:11">
      <c r="A13" t="s">
        <v>58</v>
      </c>
      <c r="B13" s="3">
        <f>B12*Growth</f>
        <v>0</v>
      </c>
      <c r="C13" s="2">
        <f>GM_Start + (GM_End-GM_Start)*(11)/(Horizon-1)</f>
        <v>0</v>
      </c>
      <c r="D13" s="3">
        <f>B13*C13</f>
        <v>0</v>
      </c>
      <c r="E13" s="2">
        <f>SGA_Start + (SGA_End-SGA_Start)*(11)/(Horizon-1)</f>
        <v>0</v>
      </c>
      <c r="F13" s="3">
        <f>B13*E13</f>
        <v>0</v>
      </c>
      <c r="G13" s="3">
        <f>D13-F13</f>
        <v>0</v>
      </c>
      <c r="H13" s="3">
        <f>B13*CapexPct</f>
        <v>0</v>
      </c>
      <c r="I13" s="3">
        <f>B13-B12</f>
        <v>0</v>
      </c>
      <c r="J13" s="3">
        <f>MAX(I13,0)*dNWCpct</f>
        <v>0</v>
      </c>
      <c r="K13" s="3">
        <f>G13-H13-J13</f>
        <v>0</v>
      </c>
    </row>
    <row r="15" spans="1:11">
      <c r="A15" s="1" t="s">
        <v>59</v>
      </c>
      <c r="K15" s="3">
        <f>SUM(K2:K13)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sheetData>
    <row r="1" spans="1:3">
      <c r="A1" s="5" t="s">
        <v>60</v>
      </c>
    </row>
    <row r="3" spans="1:3">
      <c r="A3" s="1" t="s">
        <v>61</v>
      </c>
      <c r="B3" s="1" t="s">
        <v>62</v>
      </c>
    </row>
    <row r="4" spans="1:3">
      <c r="A4" t="s">
        <v>63</v>
      </c>
      <c r="B4" s="3">
        <v>631.1900000000001</v>
      </c>
    </row>
    <row r="5" spans="1:3">
      <c r="A5" t="s">
        <v>64</v>
      </c>
      <c r="B5" s="3">
        <f>Q2Rev</f>
        <v>0</v>
      </c>
    </row>
    <row r="6" spans="1:3">
      <c r="A6" t="s">
        <v>65</v>
      </c>
      <c r="B6" s="3">
        <f>B5-B4</f>
        <v>0</v>
      </c>
    </row>
    <row r="8" spans="1:3">
      <c r="A8" s="1" t="s">
        <v>66</v>
      </c>
      <c r="B8" s="1" t="s">
        <v>67</v>
      </c>
      <c r="C8" s="1" t="s">
        <v>68</v>
      </c>
    </row>
    <row r="9" spans="1:3">
      <c r="A9" t="s">
        <v>69</v>
      </c>
      <c r="B9" s="3">
        <v>55</v>
      </c>
      <c r="C9" s="3">
        <f>B4+B9</f>
        <v>0</v>
      </c>
    </row>
    <row r="10" spans="1:3">
      <c r="A10" t="s">
        <v>70</v>
      </c>
      <c r="B10" s="3">
        <v>25</v>
      </c>
      <c r="C10" s="3">
        <f>C9+B10</f>
        <v>0</v>
      </c>
    </row>
    <row r="11" spans="1:3">
      <c r="A11" t="s">
        <v>71</v>
      </c>
      <c r="B11" s="3">
        <v>15</v>
      </c>
      <c r="C11" s="3">
        <f>C10+B11</f>
        <v>0</v>
      </c>
    </row>
    <row r="12" spans="1:3">
      <c r="A12" t="s">
        <v>72</v>
      </c>
      <c r="B12" s="3">
        <f>B6-SUM(B9:B11)</f>
        <v>0</v>
      </c>
      <c r="C12" s="3">
        <f>C11+B12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5" t="s">
        <v>73</v>
      </c>
    </row>
    <row r="3" spans="1:2">
      <c r="A3" s="1" t="s">
        <v>61</v>
      </c>
      <c r="B3" s="1" t="s">
        <v>74</v>
      </c>
    </row>
    <row r="4" spans="1:2">
      <c r="A4" t="s">
        <v>75</v>
      </c>
      <c r="B4" s="2">
        <v>0.51</v>
      </c>
    </row>
    <row r="5" spans="1:2">
      <c r="A5" t="s">
        <v>76</v>
      </c>
      <c r="B5" s="2">
        <v>0.515</v>
      </c>
    </row>
    <row r="6" spans="1:2">
      <c r="A6" t="s">
        <v>77</v>
      </c>
      <c r="B6" s="2">
        <f>B5-B4</f>
        <v>0</v>
      </c>
    </row>
    <row r="8" spans="1:2">
      <c r="A8" s="1" t="s">
        <v>66</v>
      </c>
      <c r="B8" s="1" t="s">
        <v>78</v>
      </c>
    </row>
    <row r="9" spans="1:2">
      <c r="A9" t="s">
        <v>79</v>
      </c>
      <c r="B9" s="2">
        <v>0.003</v>
      </c>
    </row>
    <row r="10" spans="1:2">
      <c r="A10" t="s">
        <v>80</v>
      </c>
      <c r="B10" s="2">
        <v>0.0015</v>
      </c>
    </row>
    <row r="11" spans="1:2">
      <c r="A11" t="s">
        <v>81</v>
      </c>
      <c r="B11" s="2">
        <v>0.002</v>
      </c>
    </row>
    <row r="12" spans="1:2">
      <c r="A12" t="s">
        <v>82</v>
      </c>
      <c r="B12" s="2">
        <f>B6-SUM(B9:B11)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83</v>
      </c>
      <c r="B1" s="1" t="s">
        <v>1</v>
      </c>
    </row>
    <row r="2" spans="1:2">
      <c r="A2" t="s">
        <v>84</v>
      </c>
      <c r="B2" s="3">
        <f>'Actuals_Q4''24–Q2''25'!B4</f>
        <v>0</v>
      </c>
    </row>
    <row r="3" spans="1:2">
      <c r="A3" t="s">
        <v>85</v>
      </c>
      <c r="B3" s="2">
        <f>'Actuals_Q4''24–Q2''25'!C4</f>
        <v>0</v>
      </c>
    </row>
    <row r="4" spans="1:2">
      <c r="A4" t="s">
        <v>86</v>
      </c>
      <c r="B4" s="2">
        <f>'Actuals_Q4''24–Q2''25'!E4</f>
        <v>0</v>
      </c>
    </row>
    <row r="5" spans="1:2">
      <c r="A5" t="s">
        <v>87</v>
      </c>
      <c r="B5" s="3">
        <f>'12M_Forecast'!B13</f>
        <v>0</v>
      </c>
    </row>
    <row r="6" spans="1:2">
      <c r="A6" t="s">
        <v>88</v>
      </c>
      <c r="B6" s="2">
        <f>'12M_Forecast'!C13</f>
        <v>0</v>
      </c>
    </row>
    <row r="7" spans="1:2">
      <c r="A7" t="s">
        <v>89</v>
      </c>
      <c r="B7" s="2">
        <f>'12M_Forecast'!E13</f>
        <v>0</v>
      </c>
    </row>
    <row r="8" spans="1:2">
      <c r="A8" t="s">
        <v>90</v>
      </c>
      <c r="B8" s="3">
        <f>'12M_Forecast'!K15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2"/>
  <sheetViews>
    <sheetView workbookViewId="0"/>
  </sheetViews>
  <sheetFormatPr defaultRowHeight="15"/>
  <sheetData>
    <row r="1" spans="1:1">
      <c r="A1" t="s">
        <v>91</v>
      </c>
    </row>
    <row r="2" spans="1:1">
      <c r="A2" t="s">
        <v>92</v>
      </c>
    </row>
    <row r="3" spans="1:1">
      <c r="A3" t="s">
        <v>93</v>
      </c>
    </row>
    <row r="4" spans="1:1">
      <c r="A4" t="s">
        <v>94</v>
      </c>
    </row>
    <row r="5" spans="1:1">
      <c r="A5" t="s">
        <v>95</v>
      </c>
    </row>
    <row r="6" spans="1:1">
      <c r="A6" t="s">
        <v>96</v>
      </c>
    </row>
    <row r="7" spans="1:1">
      <c r="A7" t="s">
        <v>97</v>
      </c>
    </row>
    <row r="8" spans="1:1">
      <c r="A8" t="s">
        <v>98</v>
      </c>
    </row>
    <row r="10" spans="1:1">
      <c r="A10" t="s">
        <v>99</v>
      </c>
    </row>
    <row r="11" spans="1:1">
      <c r="A11" t="s">
        <v>100</v>
      </c>
    </row>
    <row r="12" spans="1:1">
      <c r="A1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Assumptions</vt:lpstr>
      <vt:lpstr>Actuals_Q4'24–Q2'25</vt:lpstr>
      <vt:lpstr>12M_Forecast</vt:lpstr>
      <vt:lpstr>Revenue_Variance_Q2'25</vt:lpstr>
      <vt:lpstr>GM_Variance_Q2'25</vt:lpstr>
      <vt:lpstr>KPI_Dashboard_Data</vt:lpstr>
      <vt:lpstr>Notes</vt:lpstr>
      <vt:lpstr>BaseMonthlyRev</vt:lpstr>
      <vt:lpstr>CapexPct</vt:lpstr>
      <vt:lpstr>dNWCpct</vt:lpstr>
      <vt:lpstr>GM_End</vt:lpstr>
      <vt:lpstr>GM_Start</vt:lpstr>
      <vt:lpstr>Growth</vt:lpstr>
      <vt:lpstr>Horizon</vt:lpstr>
      <vt:lpstr>MixFx</vt:lpstr>
      <vt:lpstr>PriceFx</vt:lpstr>
      <vt:lpstr>Q2Rev</vt:lpstr>
      <vt:lpstr>SGA_End</vt:lpstr>
      <vt:lpstr>SGA_Start</vt:lpstr>
      <vt:lpstr>StartMonth</vt:lpstr>
      <vt:lpstr>Vol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2025-10-21T19:39:54Z</dcterms:created>
  <dcterms:modified xsi:type="dcterms:W3CDTF">2025-10-21T19:39:54Z</dcterms:modified>
</cp:coreProperties>
</file>