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ssumptions" sheetId="1" r:id="rId1"/>
    <sheet name="3Stmt_Forecast" sheetId="2" r:id="rId2"/>
    <sheet name="DCF" sheetId="3" r:id="rId3"/>
    <sheet name="Comps" sheetId="4" r:id="rId4"/>
    <sheet name="Dashboard" sheetId="5" r:id="rId5"/>
  </sheets>
  <definedNames>
    <definedName name="Beta">Assumptions!$B$10</definedName>
    <definedName name="CapexPct">Assumptions!$B$21</definedName>
    <definedName name="CashMM">Assumptions!$B$6</definedName>
    <definedName name="DApct">Assumptions!$B$20</definedName>
    <definedName name="DebtMM">Assumptions!$B$7</definedName>
    <definedName name="DebtW">Assumptions!$B$15</definedName>
    <definedName name="ERP">Assumptions!$B$12</definedName>
    <definedName name="EV">Assumptions!$F$5</definedName>
    <definedName name="gTerm">Assumptions!$B$23</definedName>
    <definedName name="Kd">Assumptions!$B$13</definedName>
    <definedName name="Ke">Assumptions!$F$6</definedName>
    <definedName name="MktCap">Assumptions!$F$4</definedName>
    <definedName name="NWCpct">Assumptions!$B$22</definedName>
    <definedName name="OpIncTTM">Assumptions!$B$9</definedName>
    <definedName name="Px">Assumptions!$B$4</definedName>
    <definedName name="RevTTM">Assumptions!$B$8</definedName>
    <definedName name="Rf">Assumptions!$B$11</definedName>
    <definedName name="SharesMM">Assumptions!$B$5</definedName>
    <definedName name="Tax">Assumptions!$B$14</definedName>
    <definedName name="WACC">Assumptions!$F$8</definedName>
  </definedNames>
  <calcPr calcId="124519" fullCalcOnLoad="1"/>
</workbook>
</file>

<file path=xl/sharedStrings.xml><?xml version="1.0" encoding="utf-8"?>
<sst xmlns="http://schemas.openxmlformats.org/spreadsheetml/2006/main" count="128" uniqueCount="115">
  <si>
    <t>HOOD — Core Inputs (TTM &amp; Market) — All $ in millions unless noted</t>
  </si>
  <si>
    <t>Item</t>
  </si>
  <si>
    <t>Value</t>
  </si>
  <si>
    <t>Notes / Sources</t>
  </si>
  <si>
    <t>Share price (USD, px)</t>
  </si>
  <si>
    <t>Update anytime (web quote)</t>
  </si>
  <si>
    <t>Shares outstanding (MM)</t>
  </si>
  <si>
    <t>Class A + B total</t>
  </si>
  <si>
    <t>Cash &amp; equivalents (MM)</t>
  </si>
  <si>
    <t>Corporate cash</t>
  </si>
  <si>
    <t>Total debt (interest‑bearing, MM)</t>
  </si>
  <si>
    <t>Corporate debt</t>
  </si>
  <si>
    <t>Revenue (TTM, MM)</t>
  </si>
  <si>
    <t>TTM revenue</t>
  </si>
  <si>
    <t>Operating income (TTM, MM)</t>
  </si>
  <si>
    <t>TTM operating income</t>
  </si>
  <si>
    <t>Beta (levered)</t>
  </si>
  <si>
    <t>Market beta</t>
  </si>
  <si>
    <t>Risk‑free rate</t>
  </si>
  <si>
    <t>10Y UST (assumption)</t>
  </si>
  <si>
    <t>Equity risk premium</t>
  </si>
  <si>
    <t>Assumption</t>
  </si>
  <si>
    <t>Pre‑tax cost of debt</t>
  </si>
  <si>
    <t>Tax rate</t>
  </si>
  <si>
    <t>Target debt weight</t>
  </si>
  <si>
    <t>Assumption (net cash)</t>
  </si>
  <si>
    <t>Derived</t>
  </si>
  <si>
    <t>Formula / Value</t>
  </si>
  <si>
    <t>Market cap (MM)</t>
  </si>
  <si>
    <t>Enterprise value (MM)</t>
  </si>
  <si>
    <t>Cost of equity</t>
  </si>
  <si>
    <t>After‑tax cost of debt</t>
  </si>
  <si>
    <t>WACC</t>
  </si>
  <si>
    <t>Forecast Drivers</t>
  </si>
  <si>
    <t>Notes</t>
  </si>
  <si>
    <t>Starting revenue (TTM, MM)</t>
  </si>
  <si>
    <t>Links to TTM revenue above</t>
  </si>
  <si>
    <t>Depreciation % revenue</t>
  </si>
  <si>
    <t>Normalized D&amp;A</t>
  </si>
  <si>
    <t>Capex % revenue</t>
  </si>
  <si>
    <t>Normalized capex</t>
  </si>
  <si>
    <t>ΔNWC % of Δrevenue</t>
  </si>
  <si>
    <t>Working capital investment</t>
  </si>
  <si>
    <t>Terminal growth (g)</t>
  </si>
  <si>
    <t>Long‑term growth</t>
  </si>
  <si>
    <t>Forecast schedules</t>
  </si>
  <si>
    <t>Year</t>
  </si>
  <si>
    <t>Revenue growth</t>
  </si>
  <si>
    <t>EBITDA margin</t>
  </si>
  <si>
    <t>HOOD — Simplified 3‑Statement Forecast (MM)</t>
  </si>
  <si>
    <t>Base (TTM)</t>
  </si>
  <si>
    <t>Y1</t>
  </si>
  <si>
    <t>Y2</t>
  </si>
  <si>
    <t>Y3</t>
  </si>
  <si>
    <t>Y4</t>
  </si>
  <si>
    <t>Y5</t>
  </si>
  <si>
    <t>Revenue</t>
  </si>
  <si>
    <t>EBITDA</t>
  </si>
  <si>
    <t>Depreciation &amp; Amortization</t>
  </si>
  <si>
    <t>EBIT</t>
  </si>
  <si>
    <t>Interest expense</t>
  </si>
  <si>
    <t>Pretax income</t>
  </si>
  <si>
    <t>Taxes</t>
  </si>
  <si>
    <t>Net income</t>
  </si>
  <si>
    <t>EPS (USD)</t>
  </si>
  <si>
    <t>ΔNet Working Capital</t>
  </si>
  <si>
    <t>Capital expenditures</t>
  </si>
  <si>
    <t>Discounted Cash Flow (FCFF) — 5‑year explicit + Terminal</t>
  </si>
  <si>
    <t>Discount factor</t>
  </si>
  <si>
    <t>PV of FCFF</t>
  </si>
  <si>
    <t>Terminal value (at end of Y5)</t>
  </si>
  <si>
    <t>PV of terminal value</t>
  </si>
  <si>
    <t>EV (DCF)</t>
  </si>
  <si>
    <t>Equity value (DCF)</t>
  </si>
  <si>
    <t>Per‑share (DCF)</t>
  </si>
  <si>
    <t>Sensitivity: per‑share vs WACC &amp; g</t>
  </si>
  <si>
    <t>12%</t>
  </si>
  <si>
    <t>14%</t>
  </si>
  <si>
    <t>16%</t>
  </si>
  <si>
    <t>18%</t>
  </si>
  <si>
    <t>20%</t>
  </si>
  <si>
    <t>1.00%</t>
  </si>
  <si>
    <t>2.00%</t>
  </si>
  <si>
    <t>2.50%</t>
  </si>
  <si>
    <t>3.00%</t>
  </si>
  <si>
    <t>4.00%</t>
  </si>
  <si>
    <t>Trading Comps — P/E and (select) EV metrics</t>
  </si>
  <si>
    <t>Ticker</t>
  </si>
  <si>
    <t>Price</t>
  </si>
  <si>
    <t>Shares (MM)</t>
  </si>
  <si>
    <t>Market Cap (MM)</t>
  </si>
  <si>
    <t>Net Debt (MM)</t>
  </si>
  <si>
    <t>EV (MM)</t>
  </si>
  <si>
    <t>EPS (TTM)</t>
  </si>
  <si>
    <t>P/E (TTM)</t>
  </si>
  <si>
    <t>IBKR</t>
  </si>
  <si>
    <t>SCHW</t>
  </si>
  <si>
    <t>COIN</t>
  </si>
  <si>
    <t>HOOD (target)</t>
  </si>
  <si>
    <t>Notes:</t>
  </si>
  <si>
    <t>For brokers, EV/EBITDA can be distorted by client balances; use P/E as the primary triangulation.</t>
  </si>
  <si>
    <t>Peer median P/E (ex-HOOD)</t>
  </si>
  <si>
    <t>HOOD implied price (median P/E × HOOD EPS)</t>
  </si>
  <si>
    <t>Valuation Summary</t>
  </si>
  <si>
    <t>Metric</t>
  </si>
  <si>
    <t>Current price (px)</t>
  </si>
  <si>
    <t>From Assumptions</t>
  </si>
  <si>
    <t>DCF per share</t>
  </si>
  <si>
    <t>5y+TV @ WACC from Assumptions</t>
  </si>
  <si>
    <t>Comps — P/E implied px</t>
  </si>
  <si>
    <t>Peer median × HOOD EPS</t>
  </si>
  <si>
    <t>Market cap (calc)</t>
  </si>
  <si>
    <t>Px × Shares</t>
  </si>
  <si>
    <t>Enterprise value (calc)</t>
  </si>
  <si>
    <t>MktCap + Debt − Cash</t>
  </si>
</sst>
</file>

<file path=xl/styles.xml><?xml version="1.0" encoding="utf-8"?>
<styleSheet xmlns="http://schemas.openxmlformats.org/spreadsheetml/2006/main">
  <numFmts count="5">
    <numFmt numFmtId="164" formatCode="$#,##0"/>
    <numFmt numFmtId="165" formatCode="$#,##0.0"/>
    <numFmt numFmtId="166" formatCode="0.0%"/>
    <numFmt numFmtId="167" formatCode="0.00%"/>
    <numFmt numFmtId="168" formatCode="0.00"/>
  </numFmts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pane ySplit="4" topLeftCell="A5" activePane="bottomLeft" state="frozen"/>
      <selection pane="bottomLeft"/>
    </sheetView>
  </sheetViews>
  <sheetFormatPr defaultRowHeight="15"/>
  <cols>
    <col min="1" max="1" width="36.7109375" customWidth="1"/>
    <col min="2" max="2" width="18.7109375" customWidth="1"/>
    <col min="3" max="3" width="60.7109375" customWidth="1"/>
  </cols>
  <sheetData>
    <row r="1" spans="1:10">
      <c r="A1" s="1" t="s">
        <v>0</v>
      </c>
      <c r="H1" s="2" t="s">
        <v>45</v>
      </c>
    </row>
    <row r="3" spans="1:10">
      <c r="A3" s="3" t="s">
        <v>1</v>
      </c>
      <c r="B3" s="3" t="s">
        <v>2</v>
      </c>
      <c r="C3" s="3" t="s">
        <v>3</v>
      </c>
      <c r="E3" s="3" t="s">
        <v>26</v>
      </c>
      <c r="F3" s="3" t="s">
        <v>27</v>
      </c>
      <c r="H3" s="3" t="s">
        <v>46</v>
      </c>
      <c r="I3" s="3" t="s">
        <v>47</v>
      </c>
      <c r="J3" s="3" t="s">
        <v>48</v>
      </c>
    </row>
    <row r="4" spans="1:10">
      <c r="A4" t="s">
        <v>4</v>
      </c>
      <c r="B4" s="4">
        <v>131.84</v>
      </c>
      <c r="C4" t="s">
        <v>5</v>
      </c>
      <c r="E4" t="s">
        <v>28</v>
      </c>
      <c r="F4" s="5">
        <f>B4*B5</f>
        <v>0</v>
      </c>
      <c r="H4">
        <v>1</v>
      </c>
      <c r="I4" s="6">
        <v>0.2</v>
      </c>
      <c r="J4" s="6">
        <v>0.3</v>
      </c>
    </row>
    <row r="5" spans="1:10">
      <c r="A5" t="s">
        <v>6</v>
      </c>
      <c r="B5" s="4">
        <v>888.6799999999999</v>
      </c>
      <c r="C5" t="s">
        <v>7</v>
      </c>
      <c r="E5" t="s">
        <v>29</v>
      </c>
      <c r="F5" s="5">
        <f>F4 + B7 - B6</f>
        <v>0</v>
      </c>
      <c r="H5">
        <v>2</v>
      </c>
      <c r="I5" s="6">
        <v>0.18</v>
      </c>
      <c r="J5" s="6">
        <v>0.31</v>
      </c>
    </row>
    <row r="6" spans="1:10">
      <c r="A6" t="s">
        <v>8</v>
      </c>
      <c r="B6" s="4">
        <v>4200</v>
      </c>
      <c r="C6" t="s">
        <v>9</v>
      </c>
      <c r="E6" t="s">
        <v>30</v>
      </c>
      <c r="F6" s="7">
        <f>B11 + B10*B12</f>
        <v>0</v>
      </c>
      <c r="H6">
        <v>3</v>
      </c>
      <c r="I6" s="6">
        <v>0.15</v>
      </c>
      <c r="J6" s="6">
        <v>0.32</v>
      </c>
    </row>
    <row r="7" spans="1:10">
      <c r="A7" t="s">
        <v>10</v>
      </c>
      <c r="B7" s="4">
        <v>0</v>
      </c>
      <c r="C7" t="s">
        <v>11</v>
      </c>
      <c r="E7" t="s">
        <v>31</v>
      </c>
      <c r="F7" s="7">
        <f>B13*(1-B14)</f>
        <v>0</v>
      </c>
      <c r="H7">
        <v>4</v>
      </c>
      <c r="I7" s="6">
        <v>0.12</v>
      </c>
      <c r="J7" s="6">
        <v>0.33</v>
      </c>
    </row>
    <row r="8" spans="1:10">
      <c r="A8" t="s">
        <v>12</v>
      </c>
      <c r="B8" s="4">
        <v>3567</v>
      </c>
      <c r="C8" t="s">
        <v>13</v>
      </c>
      <c r="E8" t="s">
        <v>32</v>
      </c>
      <c r="F8" s="7">
        <f>(1-B15)*F6 + B15*F7</f>
        <v>0</v>
      </c>
      <c r="H8">
        <v>5</v>
      </c>
      <c r="I8" s="6">
        <v>0.1</v>
      </c>
      <c r="J8" s="6">
        <v>0.34</v>
      </c>
    </row>
    <row r="9" spans="1:10">
      <c r="A9" t="s">
        <v>14</v>
      </c>
      <c r="B9" s="4">
        <v>1516</v>
      </c>
      <c r="C9" t="s">
        <v>15</v>
      </c>
    </row>
    <row r="10" spans="1:10">
      <c r="A10" t="s">
        <v>16</v>
      </c>
      <c r="B10" s="8">
        <v>2.43</v>
      </c>
      <c r="C10" t="s">
        <v>17</v>
      </c>
      <c r="F10" s="4">
        <f>'3Stmt_Forecast'!B6</f>
        <v>0</v>
      </c>
    </row>
    <row r="11" spans="1:10">
      <c r="A11" t="s">
        <v>18</v>
      </c>
      <c r="B11" s="7">
        <v>0.042</v>
      </c>
      <c r="C11" t="s">
        <v>19</v>
      </c>
    </row>
    <row r="12" spans="1:10">
      <c r="A12" t="s">
        <v>20</v>
      </c>
      <c r="B12" s="7">
        <v>0.055</v>
      </c>
      <c r="C12" t="s">
        <v>21</v>
      </c>
    </row>
    <row r="13" spans="1:10">
      <c r="A13" t="s">
        <v>22</v>
      </c>
      <c r="B13" s="7">
        <v>0.07000000000000001</v>
      </c>
      <c r="C13" t="s">
        <v>21</v>
      </c>
    </row>
    <row r="14" spans="1:10">
      <c r="A14" t="s">
        <v>23</v>
      </c>
      <c r="B14" s="7">
        <v>0.23</v>
      </c>
      <c r="C14" t="s">
        <v>21</v>
      </c>
    </row>
    <row r="15" spans="1:10">
      <c r="A15" t="s">
        <v>24</v>
      </c>
      <c r="B15" s="7">
        <v>0</v>
      </c>
      <c r="C15" t="s">
        <v>25</v>
      </c>
    </row>
    <row r="17" spans="1:3">
      <c r="A17" s="2" t="s">
        <v>33</v>
      </c>
    </row>
    <row r="18" spans="1:3">
      <c r="A18" s="3" t="s">
        <v>1</v>
      </c>
      <c r="B18" s="3" t="s">
        <v>2</v>
      </c>
      <c r="C18" s="3" t="s">
        <v>34</v>
      </c>
    </row>
    <row r="19" spans="1:3">
      <c r="A19" t="s">
        <v>35</v>
      </c>
      <c r="B19">
        <f>B8</f>
        <v>0</v>
      </c>
      <c r="C19" t="s">
        <v>36</v>
      </c>
    </row>
    <row r="20" spans="1:3">
      <c r="A20" s="7" t="s">
        <v>37</v>
      </c>
      <c r="B20" s="7">
        <v>0.03</v>
      </c>
      <c r="C20" s="7" t="s">
        <v>38</v>
      </c>
    </row>
    <row r="21" spans="1:3">
      <c r="A21" s="7" t="s">
        <v>39</v>
      </c>
      <c r="B21" s="7">
        <v>0.03</v>
      </c>
      <c r="C21" s="7" t="s">
        <v>40</v>
      </c>
    </row>
    <row r="22" spans="1:3">
      <c r="A22" s="7" t="s">
        <v>41</v>
      </c>
      <c r="B22" s="7">
        <v>0.01</v>
      </c>
      <c r="C22" s="7" t="s">
        <v>42</v>
      </c>
    </row>
    <row r="23" spans="1:3">
      <c r="A23" s="7" t="s">
        <v>43</v>
      </c>
      <c r="B23" s="7">
        <v>0.025</v>
      </c>
      <c r="C23" s="7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8.7109375" customWidth="1"/>
    <col min="2" max="7" width="16.7109375" customWidth="1"/>
  </cols>
  <sheetData>
    <row r="1" spans="1:7">
      <c r="A1" s="1" t="s">
        <v>49</v>
      </c>
    </row>
    <row r="3" spans="1:7">
      <c r="A3" s="3"/>
      <c r="B3" s="3" t="s">
        <v>50</v>
      </c>
      <c r="C3" s="3" t="s">
        <v>51</v>
      </c>
      <c r="D3" s="3" t="s">
        <v>52</v>
      </c>
      <c r="E3" s="3" t="s">
        <v>53</v>
      </c>
      <c r="F3" s="3" t="s">
        <v>54</v>
      </c>
      <c r="G3" s="3" t="s">
        <v>55</v>
      </c>
    </row>
    <row r="4" spans="1:7">
      <c r="A4" t="s">
        <v>56</v>
      </c>
      <c r="B4" s="4">
        <f>RevTTM</f>
        <v>0</v>
      </c>
      <c r="C4" s="4">
        <f>B4*(1+Assumptions!$I$4)</f>
        <v>0</v>
      </c>
      <c r="D4" s="4">
        <f>C4*(1+Assumptions!$I$5)</f>
        <v>0</v>
      </c>
      <c r="E4" s="4">
        <f>D4*(1+Assumptions!$I$6)</f>
        <v>0</v>
      </c>
      <c r="F4" s="4">
        <f>E4*(1+Assumptions!$I$7)</f>
        <v>0</v>
      </c>
      <c r="G4" s="4">
        <f>F4*(1+Assumptions!$I$8)</f>
        <v>0</v>
      </c>
    </row>
    <row r="5" spans="1:7">
      <c r="A5" t="s">
        <v>48</v>
      </c>
      <c r="C5" s="6">
        <f>Assumptions!$J$4</f>
        <v>0</v>
      </c>
      <c r="D5" s="6">
        <f>Assumptions!$J$5</f>
        <v>0</v>
      </c>
      <c r="E5" s="6">
        <f>Assumptions!$J$6</f>
        <v>0</v>
      </c>
      <c r="F5" s="6">
        <f>Assumptions!$J$7</f>
        <v>0</v>
      </c>
      <c r="G5" s="6">
        <f>Assumptions!$J$8</f>
        <v>0</v>
      </c>
    </row>
    <row r="6" spans="1:7">
      <c r="A6" t="s">
        <v>57</v>
      </c>
      <c r="B6" s="4">
        <f>B4*AVERAGE(C5:G5)</f>
        <v>0</v>
      </c>
      <c r="C6" s="4">
        <f>C4*C5</f>
        <v>0</v>
      </c>
      <c r="D6" s="4">
        <f>D4*D5</f>
        <v>0</v>
      </c>
      <c r="E6" s="4">
        <f>E4*E5</f>
        <v>0</v>
      </c>
      <c r="F6" s="4">
        <f>F4*F5</f>
        <v>0</v>
      </c>
      <c r="G6" s="4">
        <f>G4*G5</f>
        <v>0</v>
      </c>
    </row>
    <row r="7" spans="1:7">
      <c r="A7" t="s">
        <v>58</v>
      </c>
      <c r="B7" s="4">
        <f>B4*DApct</f>
        <v>0</v>
      </c>
      <c r="C7" s="4">
        <f>C4*DApct</f>
        <v>0</v>
      </c>
      <c r="D7" s="4">
        <f>D4*DApct</f>
        <v>0</v>
      </c>
      <c r="E7" s="4">
        <f>E4*DApct</f>
        <v>0</v>
      </c>
      <c r="F7" s="4">
        <f>F4*DApct</f>
        <v>0</v>
      </c>
      <c r="G7" s="4">
        <f>G4*DApct</f>
        <v>0</v>
      </c>
    </row>
    <row r="8" spans="1:7">
      <c r="A8" t="s">
        <v>59</v>
      </c>
      <c r="B8" s="4">
        <f>B6-B7</f>
        <v>0</v>
      </c>
      <c r="C8" s="4">
        <f>C6-C7</f>
        <v>0</v>
      </c>
      <c r="D8" s="4">
        <f>D6-D7</f>
        <v>0</v>
      </c>
      <c r="E8" s="4">
        <f>E6-E7</f>
        <v>0</v>
      </c>
      <c r="F8" s="4">
        <f>F6-F7</f>
        <v>0</v>
      </c>
      <c r="G8" s="4">
        <f>G6-G7</f>
        <v>0</v>
      </c>
    </row>
    <row r="9" spans="1:7">
      <c r="A9" t="s">
        <v>60</v>
      </c>
      <c r="B9" s="4">
        <f>DebtMM*Kd</f>
        <v>0</v>
      </c>
      <c r="C9" s="4">
        <f>DebtMM*Kd</f>
        <v>0</v>
      </c>
      <c r="D9" s="4">
        <f>DebtMM*Kd</f>
        <v>0</v>
      </c>
      <c r="E9" s="4">
        <f>DebtMM*Kd</f>
        <v>0</v>
      </c>
      <c r="F9" s="4">
        <f>DebtMM*Kd</f>
        <v>0</v>
      </c>
      <c r="G9" s="4">
        <f>DebtMM*Kd</f>
        <v>0</v>
      </c>
    </row>
    <row r="10" spans="1:7">
      <c r="A10" t="s">
        <v>61</v>
      </c>
      <c r="B10" s="4">
        <f>B8-B9</f>
        <v>0</v>
      </c>
      <c r="C10" s="4">
        <f>C8-C9</f>
        <v>0</v>
      </c>
      <c r="D10" s="4">
        <f>D8-D9</f>
        <v>0</v>
      </c>
      <c r="E10" s="4">
        <f>E8-E9</f>
        <v>0</v>
      </c>
      <c r="F10" s="4">
        <f>F8-F9</f>
        <v>0</v>
      </c>
      <c r="G10" s="4">
        <f>G8-G9</f>
        <v>0</v>
      </c>
    </row>
    <row r="11" spans="1:7">
      <c r="A11" t="s">
        <v>62</v>
      </c>
      <c r="B11" s="4">
        <f>B10*Tax</f>
        <v>0</v>
      </c>
      <c r="C11" s="4">
        <f>C10*Tax</f>
        <v>0</v>
      </c>
      <c r="D11" s="4">
        <f>D10*Tax</f>
        <v>0</v>
      </c>
      <c r="E11" s="4">
        <f>E10*Tax</f>
        <v>0</v>
      </c>
      <c r="F11" s="4">
        <f>F10*Tax</f>
        <v>0</v>
      </c>
      <c r="G11" s="4">
        <f>G10*Tax</f>
        <v>0</v>
      </c>
    </row>
    <row r="12" spans="1:7">
      <c r="A12" t="s">
        <v>63</v>
      </c>
      <c r="B12" s="4">
        <f>B10-B11</f>
        <v>0</v>
      </c>
      <c r="C12" s="4">
        <f>C10-C11</f>
        <v>0</v>
      </c>
      <c r="D12" s="4">
        <f>D10-D11</f>
        <v>0</v>
      </c>
      <c r="E12" s="4">
        <f>E10-E11</f>
        <v>0</v>
      </c>
      <c r="F12" s="4">
        <f>F10-F11</f>
        <v>0</v>
      </c>
      <c r="G12" s="4">
        <f>G10-G11</f>
        <v>0</v>
      </c>
    </row>
    <row r="13" spans="1:7">
      <c r="A13" t="s">
        <v>64</v>
      </c>
      <c r="B13" s="8">
        <f>B12/SharesMM</f>
        <v>0</v>
      </c>
      <c r="C13" s="8">
        <f>C12/SharesMM</f>
        <v>0</v>
      </c>
      <c r="D13" s="8">
        <f>D12/SharesMM</f>
        <v>0</v>
      </c>
      <c r="E13" s="8">
        <f>E12/SharesMM</f>
        <v>0</v>
      </c>
      <c r="F13" s="8">
        <f>F12/SharesMM</f>
        <v>0</v>
      </c>
      <c r="G13" s="8">
        <f>G12/SharesMM</f>
        <v>0</v>
      </c>
    </row>
    <row r="15" spans="1:7">
      <c r="A15" t="s">
        <v>65</v>
      </c>
      <c r="B15" s="4">
        <f>0</f>
        <v>0</v>
      </c>
      <c r="C15" s="4">
        <f>(C4-B4)*NWCpct</f>
        <v>0</v>
      </c>
      <c r="D15" s="4">
        <f>(D4-C4)*NWCpct</f>
        <v>0</v>
      </c>
      <c r="E15" s="4">
        <f>(E4-D4)*NWCpct</f>
        <v>0</v>
      </c>
      <c r="F15" s="4">
        <f>(F4-E4)*NWCpct</f>
        <v>0</v>
      </c>
      <c r="G15" s="4">
        <f>(G4-F4)*NWCpct</f>
        <v>0</v>
      </c>
    </row>
    <row r="16" spans="1:7">
      <c r="A16" t="s">
        <v>66</v>
      </c>
      <c r="B16" s="4">
        <f>B4*CapexPct</f>
        <v>0</v>
      </c>
      <c r="C16" s="4">
        <f>C4*CapexPct</f>
        <v>0</v>
      </c>
      <c r="D16" s="4">
        <f>D4*CapexPct</f>
        <v>0</v>
      </c>
      <c r="E16" s="4">
        <f>E4*CapexPct</f>
        <v>0</v>
      </c>
      <c r="F16" s="4">
        <f>F4*CapexPct</f>
        <v>0</v>
      </c>
      <c r="G16" s="4">
        <f>G4*CapexPct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34.7109375" customWidth="1"/>
    <col min="2" max="6" width="16.7109375" customWidth="1"/>
  </cols>
  <sheetData>
    <row r="1" spans="1:9">
      <c r="A1" s="1" t="s">
        <v>67</v>
      </c>
    </row>
    <row r="3" spans="1:9">
      <c r="A3" s="3" t="s">
        <v>1</v>
      </c>
      <c r="B3" s="3" t="s">
        <v>51</v>
      </c>
      <c r="C3" s="3" t="s">
        <v>52</v>
      </c>
      <c r="D3" s="2" t="s">
        <v>75</v>
      </c>
      <c r="E3" s="3" t="s">
        <v>76</v>
      </c>
      <c r="F3" s="3" t="s">
        <v>77</v>
      </c>
      <c r="G3" s="3" t="s">
        <v>78</v>
      </c>
      <c r="H3" s="3" t="s">
        <v>79</v>
      </c>
      <c r="I3" s="3" t="s">
        <v>80</v>
      </c>
    </row>
    <row r="4" spans="1:9">
      <c r="B4" s="4">
        <f>'3Stmt_Forecast'!C8*(1-Tax) + '3Stmt_Forecast'!C7 - '3Stmt_Forecast'!C16 - '3Stmt_Forecast'!C15</f>
        <v>0</v>
      </c>
      <c r="C4" s="4">
        <f>'3Stmt_Forecast'!D8*(1-Tax) + '3Stmt_Forecast'!D7 - '3Stmt_Forecast'!D16 - '3Stmt_Forecast'!D15</f>
        <v>0</v>
      </c>
      <c r="D4" t="s">
        <v>81</v>
      </c>
      <c r="E4" s="8">
        <f>(('3Stmt_Forecast'!C8*(1-Tax)+'3Stmt_Forecast'!C7-'3Stmt_Forecast'!C16-'3Stmt_Forecast'!C15)/(1+0.12)^1 + ('3Stmt_Forecast'!D8*(1-Tax)+'3Stmt_Forecast'!D7-'3Stmt_Forecast'!D16-'3Stmt_Forecast'!D15)/(1+0.12)^2 + ('3Stmt_Forecast'!E8*(1-Tax)+'3Stmt_Forecast'!E7-'3Stmt_Forecast'!E16-'3Stmt_Forecast'!E15)/(1+0.12)^3 + ('3Stmt_Forecast'!F8*(1-Tax)+'3Stmt_Forecast'!F7-'3Stmt_Forecast'!F16-'3Stmt_Forecast'!F15)/(1+0.12)^4 + ('3Stmt_Forecast'!G8*(1-Tax)+'3Stmt_Forecast'!G7-'3Stmt_Forecast'!G16-'3Stmt_Forecast'!G15)/(1+0.12)^5 + (('3Stmt_Forecast'!G8*(1-Tax)+'3Stmt_Forecast'!G7-'3Stmt_Forecast'!G16-'3Stmt_Forecast'!G15)*(1+0.01)/(0.12-0.01))/(1+0.12)^5)/SharesMM + (CashMM - DebtMM)/SharesMM</f>
        <v>0</v>
      </c>
      <c r="F4" s="8">
        <f>(('3Stmt_Forecast'!C8*(1-Tax)+'3Stmt_Forecast'!C7-'3Stmt_Forecast'!C16-'3Stmt_Forecast'!C15)/(1+0.14)^1 + ('3Stmt_Forecast'!D8*(1-Tax)+'3Stmt_Forecast'!D7-'3Stmt_Forecast'!D16-'3Stmt_Forecast'!D15)/(1+0.14)^2 + ('3Stmt_Forecast'!E8*(1-Tax)+'3Stmt_Forecast'!E7-'3Stmt_Forecast'!E16-'3Stmt_Forecast'!E15)/(1+0.14)^3 + ('3Stmt_Forecast'!F8*(1-Tax)+'3Stmt_Forecast'!F7-'3Stmt_Forecast'!F16-'3Stmt_Forecast'!F15)/(1+0.14)^4 + ('3Stmt_Forecast'!G8*(1-Tax)+'3Stmt_Forecast'!G7-'3Stmt_Forecast'!G16-'3Stmt_Forecast'!G15)/(1+0.14)^5 + (('3Stmt_Forecast'!G8*(1-Tax)+'3Stmt_Forecast'!G7-'3Stmt_Forecast'!G16-'3Stmt_Forecast'!G15)*(1+0.01)/(0.14-0.01))/(1+0.14)^5)/SharesMM + (CashMM - DebtMM)/SharesMM</f>
        <v>0</v>
      </c>
      <c r="G4" s="8">
        <f>(('3Stmt_Forecast'!C8*(1-Tax)+'3Stmt_Forecast'!C7-'3Stmt_Forecast'!C16-'3Stmt_Forecast'!C15)/(1+0.16)^1 + ('3Stmt_Forecast'!D8*(1-Tax)+'3Stmt_Forecast'!D7-'3Stmt_Forecast'!D16-'3Stmt_Forecast'!D15)/(1+0.16)^2 + ('3Stmt_Forecast'!E8*(1-Tax)+'3Stmt_Forecast'!E7-'3Stmt_Forecast'!E16-'3Stmt_Forecast'!E15)/(1+0.16)^3 + ('3Stmt_Forecast'!F8*(1-Tax)+'3Stmt_Forecast'!F7-'3Stmt_Forecast'!F16-'3Stmt_Forecast'!F15)/(1+0.16)^4 + ('3Stmt_Forecast'!G8*(1-Tax)+'3Stmt_Forecast'!G7-'3Stmt_Forecast'!G16-'3Stmt_Forecast'!G15)/(1+0.16)^5 + (('3Stmt_Forecast'!G8*(1-Tax)+'3Stmt_Forecast'!G7-'3Stmt_Forecast'!G16-'3Stmt_Forecast'!G15)*(1+0.01)/(0.16-0.01))/(1+0.16)^5)/SharesMM + (CashMM - DebtMM)/SharesMM</f>
        <v>0</v>
      </c>
      <c r="H4" s="8">
        <f>(('3Stmt_Forecast'!C8*(1-Tax)+'3Stmt_Forecast'!C7-'3Stmt_Forecast'!C16-'3Stmt_Forecast'!C15)/(1+0.18)^1 + ('3Stmt_Forecast'!D8*(1-Tax)+'3Stmt_Forecast'!D7-'3Stmt_Forecast'!D16-'3Stmt_Forecast'!D15)/(1+0.18)^2 + ('3Stmt_Forecast'!E8*(1-Tax)+'3Stmt_Forecast'!E7-'3Stmt_Forecast'!E16-'3Stmt_Forecast'!E15)/(1+0.18)^3 + ('3Stmt_Forecast'!F8*(1-Tax)+'3Stmt_Forecast'!F7-'3Stmt_Forecast'!F16-'3Stmt_Forecast'!F15)/(1+0.18)^4 + ('3Stmt_Forecast'!G8*(1-Tax)+'3Stmt_Forecast'!G7-'3Stmt_Forecast'!G16-'3Stmt_Forecast'!G15)/(1+0.18)^5 + (('3Stmt_Forecast'!G8*(1-Tax)+'3Stmt_Forecast'!G7-'3Stmt_Forecast'!G16-'3Stmt_Forecast'!G15)*(1+0.01)/(0.18-0.01))/(1+0.18)^5)/SharesMM + (CashMM - DebtMM)/SharesMM</f>
        <v>0</v>
      </c>
      <c r="I4" s="8">
        <f>(('3Stmt_Forecast'!C8*(1-Tax)+'3Stmt_Forecast'!C7-'3Stmt_Forecast'!C16-'3Stmt_Forecast'!C15)/(1+0.20)^1 + ('3Stmt_Forecast'!D8*(1-Tax)+'3Stmt_Forecast'!D7-'3Stmt_Forecast'!D16-'3Stmt_Forecast'!D15)/(1+0.20)^2 + ('3Stmt_Forecast'!E8*(1-Tax)+'3Stmt_Forecast'!E7-'3Stmt_Forecast'!E16-'3Stmt_Forecast'!E15)/(1+0.20)^3 + ('3Stmt_Forecast'!F8*(1-Tax)+'3Stmt_Forecast'!F7-'3Stmt_Forecast'!F16-'3Stmt_Forecast'!F15)/(1+0.20)^4 + ('3Stmt_Forecast'!G8*(1-Tax)+'3Stmt_Forecast'!G7-'3Stmt_Forecast'!G16-'3Stmt_Forecast'!G15)/(1+0.20)^5 + (('3Stmt_Forecast'!G8*(1-Tax)+'3Stmt_Forecast'!G7-'3Stmt_Forecast'!G16-'3Stmt_Forecast'!G15)*(1+0.01)/(0.20-0.01))/(1+0.20)^5)/SharesMM + (CashMM - DebtMM)/SharesMM</f>
        <v>0</v>
      </c>
    </row>
    <row r="5" spans="1:9">
      <c r="D5" t="s">
        <v>82</v>
      </c>
      <c r="E5" s="8">
        <f>(('3Stmt_Forecast'!C8*(1-Tax)+'3Stmt_Forecast'!C7-'3Stmt_Forecast'!C16-'3Stmt_Forecast'!C15)/(1+0.12)^1 + ('3Stmt_Forecast'!D8*(1-Tax)+'3Stmt_Forecast'!D7-'3Stmt_Forecast'!D16-'3Stmt_Forecast'!D15)/(1+0.12)^2 + ('3Stmt_Forecast'!E8*(1-Tax)+'3Stmt_Forecast'!E7-'3Stmt_Forecast'!E16-'3Stmt_Forecast'!E15)/(1+0.12)^3 + ('3Stmt_Forecast'!F8*(1-Tax)+'3Stmt_Forecast'!F7-'3Stmt_Forecast'!F16-'3Stmt_Forecast'!F15)/(1+0.12)^4 + ('3Stmt_Forecast'!G8*(1-Tax)+'3Stmt_Forecast'!G7-'3Stmt_Forecast'!G16-'3Stmt_Forecast'!G15)/(1+0.12)^5 + (('3Stmt_Forecast'!G8*(1-Tax)+'3Stmt_Forecast'!G7-'3Stmt_Forecast'!G16-'3Stmt_Forecast'!G15)*(1+0.02)/(0.12-0.02))/(1+0.12)^5)/SharesMM + (CashMM - DebtMM)/SharesMM</f>
        <v>0</v>
      </c>
      <c r="F5" s="8">
        <f>(('3Stmt_Forecast'!C8*(1-Tax)+'3Stmt_Forecast'!C7-'3Stmt_Forecast'!C16-'3Stmt_Forecast'!C15)/(1+0.14)^1 + ('3Stmt_Forecast'!D8*(1-Tax)+'3Stmt_Forecast'!D7-'3Stmt_Forecast'!D16-'3Stmt_Forecast'!D15)/(1+0.14)^2 + ('3Stmt_Forecast'!E8*(1-Tax)+'3Stmt_Forecast'!E7-'3Stmt_Forecast'!E16-'3Stmt_Forecast'!E15)/(1+0.14)^3 + ('3Stmt_Forecast'!F8*(1-Tax)+'3Stmt_Forecast'!F7-'3Stmt_Forecast'!F16-'3Stmt_Forecast'!F15)/(1+0.14)^4 + ('3Stmt_Forecast'!G8*(1-Tax)+'3Stmt_Forecast'!G7-'3Stmt_Forecast'!G16-'3Stmt_Forecast'!G15)/(1+0.14)^5 + (('3Stmt_Forecast'!G8*(1-Tax)+'3Stmt_Forecast'!G7-'3Stmt_Forecast'!G16-'3Stmt_Forecast'!G15)*(1+0.02)/(0.14-0.02))/(1+0.14)^5)/SharesMM + (CashMM - DebtMM)/SharesMM</f>
        <v>0</v>
      </c>
      <c r="G5" s="8">
        <f>(('3Stmt_Forecast'!C8*(1-Tax)+'3Stmt_Forecast'!C7-'3Stmt_Forecast'!C16-'3Stmt_Forecast'!C15)/(1+0.16)^1 + ('3Stmt_Forecast'!D8*(1-Tax)+'3Stmt_Forecast'!D7-'3Stmt_Forecast'!D16-'3Stmt_Forecast'!D15)/(1+0.16)^2 + ('3Stmt_Forecast'!E8*(1-Tax)+'3Stmt_Forecast'!E7-'3Stmt_Forecast'!E16-'3Stmt_Forecast'!E15)/(1+0.16)^3 + ('3Stmt_Forecast'!F8*(1-Tax)+'3Stmt_Forecast'!F7-'3Stmt_Forecast'!F16-'3Stmt_Forecast'!F15)/(1+0.16)^4 + ('3Stmt_Forecast'!G8*(1-Tax)+'3Stmt_Forecast'!G7-'3Stmt_Forecast'!G16-'3Stmt_Forecast'!G15)/(1+0.16)^5 + (('3Stmt_Forecast'!G8*(1-Tax)+'3Stmt_Forecast'!G7-'3Stmt_Forecast'!G16-'3Stmt_Forecast'!G15)*(1+0.02)/(0.16-0.02))/(1+0.16)^5)/SharesMM + (CashMM - DebtMM)/SharesMM</f>
        <v>0</v>
      </c>
      <c r="H5" s="8">
        <f>(('3Stmt_Forecast'!C8*(1-Tax)+'3Stmt_Forecast'!C7-'3Stmt_Forecast'!C16-'3Stmt_Forecast'!C15)/(1+0.18)^1 + ('3Stmt_Forecast'!D8*(1-Tax)+'3Stmt_Forecast'!D7-'3Stmt_Forecast'!D16-'3Stmt_Forecast'!D15)/(1+0.18)^2 + ('3Stmt_Forecast'!E8*(1-Tax)+'3Stmt_Forecast'!E7-'3Stmt_Forecast'!E16-'3Stmt_Forecast'!E15)/(1+0.18)^3 + ('3Stmt_Forecast'!F8*(1-Tax)+'3Stmt_Forecast'!F7-'3Stmt_Forecast'!F16-'3Stmt_Forecast'!F15)/(1+0.18)^4 + ('3Stmt_Forecast'!G8*(1-Tax)+'3Stmt_Forecast'!G7-'3Stmt_Forecast'!G16-'3Stmt_Forecast'!G15)/(1+0.18)^5 + (('3Stmt_Forecast'!G8*(1-Tax)+'3Stmt_Forecast'!G7-'3Stmt_Forecast'!G16-'3Stmt_Forecast'!G15)*(1+0.02)/(0.18-0.02))/(1+0.18)^5)/SharesMM + (CashMM - DebtMM)/SharesMM</f>
        <v>0</v>
      </c>
      <c r="I5" s="8">
        <f>(('3Stmt_Forecast'!C8*(1-Tax)+'3Stmt_Forecast'!C7-'3Stmt_Forecast'!C16-'3Stmt_Forecast'!C15)/(1+0.20)^1 + ('3Stmt_Forecast'!D8*(1-Tax)+'3Stmt_Forecast'!D7-'3Stmt_Forecast'!D16-'3Stmt_Forecast'!D15)/(1+0.20)^2 + ('3Stmt_Forecast'!E8*(1-Tax)+'3Stmt_Forecast'!E7-'3Stmt_Forecast'!E16-'3Stmt_Forecast'!E15)/(1+0.20)^3 + ('3Stmt_Forecast'!F8*(1-Tax)+'3Stmt_Forecast'!F7-'3Stmt_Forecast'!F16-'3Stmt_Forecast'!F15)/(1+0.20)^4 + ('3Stmt_Forecast'!G8*(1-Tax)+'3Stmt_Forecast'!G7-'3Stmt_Forecast'!G16-'3Stmt_Forecast'!G15)/(1+0.20)^5 + (('3Stmt_Forecast'!G8*(1-Tax)+'3Stmt_Forecast'!G7-'3Stmt_Forecast'!G16-'3Stmt_Forecast'!G15)*(1+0.02)/(0.20-0.02))/(1+0.20)^5)/SharesMM + (CashMM - DebtMM)/SharesMM</f>
        <v>0</v>
      </c>
    </row>
    <row r="6" spans="1:9">
      <c r="A6" t="s">
        <v>68</v>
      </c>
      <c r="B6" s="8">
        <f>1/(1+WACC)^1</f>
        <v>0</v>
      </c>
      <c r="C6" s="8">
        <f>1/(1+WACC)^2</f>
        <v>0</v>
      </c>
      <c r="D6" t="s">
        <v>83</v>
      </c>
      <c r="E6" s="8">
        <f>(('3Stmt_Forecast'!C8*(1-Tax)+'3Stmt_Forecast'!C7-'3Stmt_Forecast'!C16-'3Stmt_Forecast'!C15)/(1+0.12)^1 + ('3Stmt_Forecast'!D8*(1-Tax)+'3Stmt_Forecast'!D7-'3Stmt_Forecast'!D16-'3Stmt_Forecast'!D15)/(1+0.12)^2 + ('3Stmt_Forecast'!E8*(1-Tax)+'3Stmt_Forecast'!E7-'3Stmt_Forecast'!E16-'3Stmt_Forecast'!E15)/(1+0.12)^3 + ('3Stmt_Forecast'!F8*(1-Tax)+'3Stmt_Forecast'!F7-'3Stmt_Forecast'!F16-'3Stmt_Forecast'!F15)/(1+0.12)^4 + ('3Stmt_Forecast'!G8*(1-Tax)+'3Stmt_Forecast'!G7-'3Stmt_Forecast'!G16-'3Stmt_Forecast'!G15)/(1+0.12)^5 + (('3Stmt_Forecast'!G8*(1-Tax)+'3Stmt_Forecast'!G7-'3Stmt_Forecast'!G16-'3Stmt_Forecast'!G15)*(1+0.025)/(0.12-0.025))/(1+0.12)^5)/SharesMM + (CashMM - DebtMM)/SharesMM</f>
        <v>0</v>
      </c>
      <c r="F6" s="8">
        <f>(('3Stmt_Forecast'!C8*(1-Tax)+'3Stmt_Forecast'!C7-'3Stmt_Forecast'!C16-'3Stmt_Forecast'!C15)/(1+0.14)^1 + ('3Stmt_Forecast'!D8*(1-Tax)+'3Stmt_Forecast'!D7-'3Stmt_Forecast'!D16-'3Stmt_Forecast'!D15)/(1+0.14)^2 + ('3Stmt_Forecast'!E8*(1-Tax)+'3Stmt_Forecast'!E7-'3Stmt_Forecast'!E16-'3Stmt_Forecast'!E15)/(1+0.14)^3 + ('3Stmt_Forecast'!F8*(1-Tax)+'3Stmt_Forecast'!F7-'3Stmt_Forecast'!F16-'3Stmt_Forecast'!F15)/(1+0.14)^4 + ('3Stmt_Forecast'!G8*(1-Tax)+'3Stmt_Forecast'!G7-'3Stmt_Forecast'!G16-'3Stmt_Forecast'!G15)/(1+0.14)^5 + (('3Stmt_Forecast'!G8*(1-Tax)+'3Stmt_Forecast'!G7-'3Stmt_Forecast'!G16-'3Stmt_Forecast'!G15)*(1+0.025)/(0.14-0.025))/(1+0.14)^5)/SharesMM + (CashMM - DebtMM)/SharesMM</f>
        <v>0</v>
      </c>
      <c r="G6" s="8">
        <f>(('3Stmt_Forecast'!C8*(1-Tax)+'3Stmt_Forecast'!C7-'3Stmt_Forecast'!C16-'3Stmt_Forecast'!C15)/(1+0.16)^1 + ('3Stmt_Forecast'!D8*(1-Tax)+'3Stmt_Forecast'!D7-'3Stmt_Forecast'!D16-'3Stmt_Forecast'!D15)/(1+0.16)^2 + ('3Stmt_Forecast'!E8*(1-Tax)+'3Stmt_Forecast'!E7-'3Stmt_Forecast'!E16-'3Stmt_Forecast'!E15)/(1+0.16)^3 + ('3Stmt_Forecast'!F8*(1-Tax)+'3Stmt_Forecast'!F7-'3Stmt_Forecast'!F16-'3Stmt_Forecast'!F15)/(1+0.16)^4 + ('3Stmt_Forecast'!G8*(1-Tax)+'3Stmt_Forecast'!G7-'3Stmt_Forecast'!G16-'3Stmt_Forecast'!G15)/(1+0.16)^5 + (('3Stmt_Forecast'!G8*(1-Tax)+'3Stmt_Forecast'!G7-'3Stmt_Forecast'!G16-'3Stmt_Forecast'!G15)*(1+0.025)/(0.16-0.025))/(1+0.16)^5)/SharesMM + (CashMM - DebtMM)/SharesMM</f>
        <v>0</v>
      </c>
      <c r="H6" s="8">
        <f>(('3Stmt_Forecast'!C8*(1-Tax)+'3Stmt_Forecast'!C7-'3Stmt_Forecast'!C16-'3Stmt_Forecast'!C15)/(1+0.18)^1 + ('3Stmt_Forecast'!D8*(1-Tax)+'3Stmt_Forecast'!D7-'3Stmt_Forecast'!D16-'3Stmt_Forecast'!D15)/(1+0.18)^2 + ('3Stmt_Forecast'!E8*(1-Tax)+'3Stmt_Forecast'!E7-'3Stmt_Forecast'!E16-'3Stmt_Forecast'!E15)/(1+0.18)^3 + ('3Stmt_Forecast'!F8*(1-Tax)+'3Stmt_Forecast'!F7-'3Stmt_Forecast'!F16-'3Stmt_Forecast'!F15)/(1+0.18)^4 + ('3Stmt_Forecast'!G8*(1-Tax)+'3Stmt_Forecast'!G7-'3Stmt_Forecast'!G16-'3Stmt_Forecast'!G15)/(1+0.18)^5 + (('3Stmt_Forecast'!G8*(1-Tax)+'3Stmt_Forecast'!G7-'3Stmt_Forecast'!G16-'3Stmt_Forecast'!G15)*(1+0.025)/(0.18-0.025))/(1+0.18)^5)/SharesMM + (CashMM - DebtMM)/SharesMM</f>
        <v>0</v>
      </c>
      <c r="I6" s="8">
        <f>(('3Stmt_Forecast'!C8*(1-Tax)+'3Stmt_Forecast'!C7-'3Stmt_Forecast'!C16-'3Stmt_Forecast'!C15)/(1+0.20)^1 + ('3Stmt_Forecast'!D8*(1-Tax)+'3Stmt_Forecast'!D7-'3Stmt_Forecast'!D16-'3Stmt_Forecast'!D15)/(1+0.20)^2 + ('3Stmt_Forecast'!E8*(1-Tax)+'3Stmt_Forecast'!E7-'3Stmt_Forecast'!E16-'3Stmt_Forecast'!E15)/(1+0.20)^3 + ('3Stmt_Forecast'!F8*(1-Tax)+'3Stmt_Forecast'!F7-'3Stmt_Forecast'!F16-'3Stmt_Forecast'!F15)/(1+0.20)^4 + ('3Stmt_Forecast'!G8*(1-Tax)+'3Stmt_Forecast'!G7-'3Stmt_Forecast'!G16-'3Stmt_Forecast'!G15)/(1+0.20)^5 + (('3Stmt_Forecast'!G8*(1-Tax)+'3Stmt_Forecast'!G7-'3Stmt_Forecast'!G16-'3Stmt_Forecast'!G15)*(1+0.025)/(0.20-0.025))/(1+0.20)^5)/SharesMM + (CashMM - DebtMM)/SharesMM</f>
        <v>0</v>
      </c>
    </row>
    <row r="7" spans="1:9">
      <c r="A7" t="s">
        <v>69</v>
      </c>
      <c r="B7" s="4">
        <f>B4*B6</f>
        <v>0</v>
      </c>
      <c r="C7" s="4">
        <f>C4*C6</f>
        <v>0</v>
      </c>
      <c r="D7" t="s">
        <v>84</v>
      </c>
      <c r="E7" s="8">
        <f>(('3Stmt_Forecast'!C8*(1-Tax)+'3Stmt_Forecast'!C7-'3Stmt_Forecast'!C16-'3Stmt_Forecast'!C15)/(1+0.12)^1 + ('3Stmt_Forecast'!D8*(1-Tax)+'3Stmt_Forecast'!D7-'3Stmt_Forecast'!D16-'3Stmt_Forecast'!D15)/(1+0.12)^2 + ('3Stmt_Forecast'!E8*(1-Tax)+'3Stmt_Forecast'!E7-'3Stmt_Forecast'!E16-'3Stmt_Forecast'!E15)/(1+0.12)^3 + ('3Stmt_Forecast'!F8*(1-Tax)+'3Stmt_Forecast'!F7-'3Stmt_Forecast'!F16-'3Stmt_Forecast'!F15)/(1+0.12)^4 + ('3Stmt_Forecast'!G8*(1-Tax)+'3Stmt_Forecast'!G7-'3Stmt_Forecast'!G16-'3Stmt_Forecast'!G15)/(1+0.12)^5 + (('3Stmt_Forecast'!G8*(1-Tax)+'3Stmt_Forecast'!G7-'3Stmt_Forecast'!G16-'3Stmt_Forecast'!G15)*(1+0.03)/(0.12-0.03))/(1+0.12)^5)/SharesMM + (CashMM - DebtMM)/SharesMM</f>
        <v>0</v>
      </c>
      <c r="F7" s="8">
        <f>(('3Stmt_Forecast'!C8*(1-Tax)+'3Stmt_Forecast'!C7-'3Stmt_Forecast'!C16-'3Stmt_Forecast'!C15)/(1+0.14)^1 + ('3Stmt_Forecast'!D8*(1-Tax)+'3Stmt_Forecast'!D7-'3Stmt_Forecast'!D16-'3Stmt_Forecast'!D15)/(1+0.14)^2 + ('3Stmt_Forecast'!E8*(1-Tax)+'3Stmt_Forecast'!E7-'3Stmt_Forecast'!E16-'3Stmt_Forecast'!E15)/(1+0.14)^3 + ('3Stmt_Forecast'!F8*(1-Tax)+'3Stmt_Forecast'!F7-'3Stmt_Forecast'!F16-'3Stmt_Forecast'!F15)/(1+0.14)^4 + ('3Stmt_Forecast'!G8*(1-Tax)+'3Stmt_Forecast'!G7-'3Stmt_Forecast'!G16-'3Stmt_Forecast'!G15)/(1+0.14)^5 + (('3Stmt_Forecast'!G8*(1-Tax)+'3Stmt_Forecast'!G7-'3Stmt_Forecast'!G16-'3Stmt_Forecast'!G15)*(1+0.03)/(0.14-0.03))/(1+0.14)^5)/SharesMM + (CashMM - DebtMM)/SharesMM</f>
        <v>0</v>
      </c>
      <c r="G7" s="8">
        <f>(('3Stmt_Forecast'!C8*(1-Tax)+'3Stmt_Forecast'!C7-'3Stmt_Forecast'!C16-'3Stmt_Forecast'!C15)/(1+0.16)^1 + ('3Stmt_Forecast'!D8*(1-Tax)+'3Stmt_Forecast'!D7-'3Stmt_Forecast'!D16-'3Stmt_Forecast'!D15)/(1+0.16)^2 + ('3Stmt_Forecast'!E8*(1-Tax)+'3Stmt_Forecast'!E7-'3Stmt_Forecast'!E16-'3Stmt_Forecast'!E15)/(1+0.16)^3 + ('3Stmt_Forecast'!F8*(1-Tax)+'3Stmt_Forecast'!F7-'3Stmt_Forecast'!F16-'3Stmt_Forecast'!F15)/(1+0.16)^4 + ('3Stmt_Forecast'!G8*(1-Tax)+'3Stmt_Forecast'!G7-'3Stmt_Forecast'!G16-'3Stmt_Forecast'!G15)/(1+0.16)^5 + (('3Stmt_Forecast'!G8*(1-Tax)+'3Stmt_Forecast'!G7-'3Stmt_Forecast'!G16-'3Stmt_Forecast'!G15)*(1+0.03)/(0.16-0.03))/(1+0.16)^5)/SharesMM + (CashMM - DebtMM)/SharesMM</f>
        <v>0</v>
      </c>
      <c r="H7" s="8">
        <f>(('3Stmt_Forecast'!C8*(1-Tax)+'3Stmt_Forecast'!C7-'3Stmt_Forecast'!C16-'3Stmt_Forecast'!C15)/(1+0.18)^1 + ('3Stmt_Forecast'!D8*(1-Tax)+'3Stmt_Forecast'!D7-'3Stmt_Forecast'!D16-'3Stmt_Forecast'!D15)/(1+0.18)^2 + ('3Stmt_Forecast'!E8*(1-Tax)+'3Stmt_Forecast'!E7-'3Stmt_Forecast'!E16-'3Stmt_Forecast'!E15)/(1+0.18)^3 + ('3Stmt_Forecast'!F8*(1-Tax)+'3Stmt_Forecast'!F7-'3Stmt_Forecast'!F16-'3Stmt_Forecast'!F15)/(1+0.18)^4 + ('3Stmt_Forecast'!G8*(1-Tax)+'3Stmt_Forecast'!G7-'3Stmt_Forecast'!G16-'3Stmt_Forecast'!G15)/(1+0.18)^5 + (('3Stmt_Forecast'!G8*(1-Tax)+'3Stmt_Forecast'!G7-'3Stmt_Forecast'!G16-'3Stmt_Forecast'!G15)*(1+0.03)/(0.18-0.03))/(1+0.18)^5)/SharesMM + (CashMM - DebtMM)/SharesMM</f>
        <v>0</v>
      </c>
      <c r="I7" s="8">
        <f>(('3Stmt_Forecast'!C8*(1-Tax)+'3Stmt_Forecast'!C7-'3Stmt_Forecast'!C16-'3Stmt_Forecast'!C15)/(1+0.20)^1 + ('3Stmt_Forecast'!D8*(1-Tax)+'3Stmt_Forecast'!D7-'3Stmt_Forecast'!D16-'3Stmt_Forecast'!D15)/(1+0.20)^2 + ('3Stmt_Forecast'!E8*(1-Tax)+'3Stmt_Forecast'!E7-'3Stmt_Forecast'!E16-'3Stmt_Forecast'!E15)/(1+0.20)^3 + ('3Stmt_Forecast'!F8*(1-Tax)+'3Stmt_Forecast'!F7-'3Stmt_Forecast'!F16-'3Stmt_Forecast'!F15)/(1+0.20)^4 + ('3Stmt_Forecast'!G8*(1-Tax)+'3Stmt_Forecast'!G7-'3Stmt_Forecast'!G16-'3Stmt_Forecast'!G15)/(1+0.20)^5 + (('3Stmt_Forecast'!G8*(1-Tax)+'3Stmt_Forecast'!G7-'3Stmt_Forecast'!G16-'3Stmt_Forecast'!G15)*(1+0.03)/(0.20-0.03))/(1+0.20)^5)/SharesMM + (CashMM - DebtMM)/SharesMM</f>
        <v>0</v>
      </c>
    </row>
    <row r="8" spans="1:9">
      <c r="D8" t="s">
        <v>85</v>
      </c>
      <c r="E8" s="8">
        <f>(('3Stmt_Forecast'!C8*(1-Tax)+'3Stmt_Forecast'!C7-'3Stmt_Forecast'!C16-'3Stmt_Forecast'!C15)/(1+0.12)^1 + ('3Stmt_Forecast'!D8*(1-Tax)+'3Stmt_Forecast'!D7-'3Stmt_Forecast'!D16-'3Stmt_Forecast'!D15)/(1+0.12)^2 + ('3Stmt_Forecast'!E8*(1-Tax)+'3Stmt_Forecast'!E7-'3Stmt_Forecast'!E16-'3Stmt_Forecast'!E15)/(1+0.12)^3 + ('3Stmt_Forecast'!F8*(1-Tax)+'3Stmt_Forecast'!F7-'3Stmt_Forecast'!F16-'3Stmt_Forecast'!F15)/(1+0.12)^4 + ('3Stmt_Forecast'!G8*(1-Tax)+'3Stmt_Forecast'!G7-'3Stmt_Forecast'!G16-'3Stmt_Forecast'!G15)/(1+0.12)^5 + (('3Stmt_Forecast'!G8*(1-Tax)+'3Stmt_Forecast'!G7-'3Stmt_Forecast'!G16-'3Stmt_Forecast'!G15)*(1+0.04)/(0.12-0.04))/(1+0.12)^5)/SharesMM + (CashMM - DebtMM)/SharesMM</f>
        <v>0</v>
      </c>
      <c r="F8" s="8">
        <f>(('3Stmt_Forecast'!C8*(1-Tax)+'3Stmt_Forecast'!C7-'3Stmt_Forecast'!C16-'3Stmt_Forecast'!C15)/(1+0.14)^1 + ('3Stmt_Forecast'!D8*(1-Tax)+'3Stmt_Forecast'!D7-'3Stmt_Forecast'!D16-'3Stmt_Forecast'!D15)/(1+0.14)^2 + ('3Stmt_Forecast'!E8*(1-Tax)+'3Stmt_Forecast'!E7-'3Stmt_Forecast'!E16-'3Stmt_Forecast'!E15)/(1+0.14)^3 + ('3Stmt_Forecast'!F8*(1-Tax)+'3Stmt_Forecast'!F7-'3Stmt_Forecast'!F16-'3Stmt_Forecast'!F15)/(1+0.14)^4 + ('3Stmt_Forecast'!G8*(1-Tax)+'3Stmt_Forecast'!G7-'3Stmt_Forecast'!G16-'3Stmt_Forecast'!G15)/(1+0.14)^5 + (('3Stmt_Forecast'!G8*(1-Tax)+'3Stmt_Forecast'!G7-'3Stmt_Forecast'!G16-'3Stmt_Forecast'!G15)*(1+0.04)/(0.14-0.04))/(1+0.14)^5)/SharesMM + (CashMM - DebtMM)/SharesMM</f>
        <v>0</v>
      </c>
      <c r="G8" s="8">
        <f>(('3Stmt_Forecast'!C8*(1-Tax)+'3Stmt_Forecast'!C7-'3Stmt_Forecast'!C16-'3Stmt_Forecast'!C15)/(1+0.16)^1 + ('3Stmt_Forecast'!D8*(1-Tax)+'3Stmt_Forecast'!D7-'3Stmt_Forecast'!D16-'3Stmt_Forecast'!D15)/(1+0.16)^2 + ('3Stmt_Forecast'!E8*(1-Tax)+'3Stmt_Forecast'!E7-'3Stmt_Forecast'!E16-'3Stmt_Forecast'!E15)/(1+0.16)^3 + ('3Stmt_Forecast'!F8*(1-Tax)+'3Stmt_Forecast'!F7-'3Stmt_Forecast'!F16-'3Stmt_Forecast'!F15)/(1+0.16)^4 + ('3Stmt_Forecast'!G8*(1-Tax)+'3Stmt_Forecast'!G7-'3Stmt_Forecast'!G16-'3Stmt_Forecast'!G15)/(1+0.16)^5 + (('3Stmt_Forecast'!G8*(1-Tax)+'3Stmt_Forecast'!G7-'3Stmt_Forecast'!G16-'3Stmt_Forecast'!G15)*(1+0.04)/(0.16-0.04))/(1+0.16)^5)/SharesMM + (CashMM - DebtMM)/SharesMM</f>
        <v>0</v>
      </c>
      <c r="H8" s="8">
        <f>(('3Stmt_Forecast'!C8*(1-Tax)+'3Stmt_Forecast'!C7-'3Stmt_Forecast'!C16-'3Stmt_Forecast'!C15)/(1+0.18)^1 + ('3Stmt_Forecast'!D8*(1-Tax)+'3Stmt_Forecast'!D7-'3Stmt_Forecast'!D16-'3Stmt_Forecast'!D15)/(1+0.18)^2 + ('3Stmt_Forecast'!E8*(1-Tax)+'3Stmt_Forecast'!E7-'3Stmt_Forecast'!E16-'3Stmt_Forecast'!E15)/(1+0.18)^3 + ('3Stmt_Forecast'!F8*(1-Tax)+'3Stmt_Forecast'!F7-'3Stmt_Forecast'!F16-'3Stmt_Forecast'!F15)/(1+0.18)^4 + ('3Stmt_Forecast'!G8*(1-Tax)+'3Stmt_Forecast'!G7-'3Stmt_Forecast'!G16-'3Stmt_Forecast'!G15)/(1+0.18)^5 + (('3Stmt_Forecast'!G8*(1-Tax)+'3Stmt_Forecast'!G7-'3Stmt_Forecast'!G16-'3Stmt_Forecast'!G15)*(1+0.04)/(0.18-0.04))/(1+0.18)^5)/SharesMM + (CashMM - DebtMM)/SharesMM</f>
        <v>0</v>
      </c>
      <c r="I8" s="8">
        <f>(('3Stmt_Forecast'!C8*(1-Tax)+'3Stmt_Forecast'!C7-'3Stmt_Forecast'!C16-'3Stmt_Forecast'!C15)/(1+0.20)^1 + ('3Stmt_Forecast'!D8*(1-Tax)+'3Stmt_Forecast'!D7-'3Stmt_Forecast'!D16-'3Stmt_Forecast'!D15)/(1+0.20)^2 + ('3Stmt_Forecast'!E8*(1-Tax)+'3Stmt_Forecast'!E7-'3Stmt_Forecast'!E16-'3Stmt_Forecast'!E15)/(1+0.20)^3 + ('3Stmt_Forecast'!F8*(1-Tax)+'3Stmt_Forecast'!F7-'3Stmt_Forecast'!F16-'3Stmt_Forecast'!F15)/(1+0.20)^4 + ('3Stmt_Forecast'!G8*(1-Tax)+'3Stmt_Forecast'!G7-'3Stmt_Forecast'!G16-'3Stmt_Forecast'!G15)/(1+0.20)^5 + (('3Stmt_Forecast'!G8*(1-Tax)+'3Stmt_Forecast'!G7-'3Stmt_Forecast'!G16-'3Stmt_Forecast'!G15)*(1+0.04)/(0.20-0.04))/(1+0.20)^5)/SharesMM + (CashMM - DebtMM)/SharesMM</f>
        <v>0</v>
      </c>
    </row>
    <row r="9" spans="1:9">
      <c r="A9" t="s">
        <v>70</v>
      </c>
      <c r="B9" s="4">
        <f>F4*(1+gTerm)/(WACC-gTerm)</f>
        <v>0</v>
      </c>
    </row>
    <row r="10" spans="1:9">
      <c r="A10" t="s">
        <v>71</v>
      </c>
      <c r="B10" s="4">
        <f>B9*F6</f>
        <v>0</v>
      </c>
    </row>
    <row r="12" spans="1:9">
      <c r="A12" t="s">
        <v>72</v>
      </c>
      <c r="B12" s="5">
        <f>SUM(B7:F7)+B10</f>
        <v>0</v>
      </c>
    </row>
    <row r="13" spans="1:9">
      <c r="A13" t="s">
        <v>73</v>
      </c>
      <c r="B13" s="5">
        <f>B12 + CashMM - DebtMM</f>
        <v>0</v>
      </c>
    </row>
    <row r="14" spans="1:9">
      <c r="A14" t="s">
        <v>74</v>
      </c>
      <c r="B14" s="8">
        <f>B13/SharesMM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8.7109375" customWidth="1"/>
    <col min="2" max="8" width="16.7109375" customWidth="1"/>
    <col min="10" max="10" width="60.7109375" customWidth="1"/>
  </cols>
  <sheetData>
    <row r="1" spans="1:10">
      <c r="A1" s="1" t="s">
        <v>86</v>
      </c>
    </row>
    <row r="3" spans="1:10">
      <c r="A3" s="3" t="s">
        <v>87</v>
      </c>
      <c r="B3" s="3" t="s">
        <v>88</v>
      </c>
      <c r="C3" s="3" t="s">
        <v>89</v>
      </c>
      <c r="D3" s="3" t="s">
        <v>90</v>
      </c>
      <c r="E3" s="3" t="s">
        <v>91</v>
      </c>
      <c r="F3" s="3" t="s">
        <v>92</v>
      </c>
      <c r="G3" s="3" t="s">
        <v>93</v>
      </c>
      <c r="H3" s="3" t="s">
        <v>94</v>
      </c>
      <c r="J3" s="2" t="s">
        <v>99</v>
      </c>
    </row>
    <row r="4" spans="1:10">
      <c r="A4" t="s">
        <v>95</v>
      </c>
      <c r="B4">
        <v>66.27</v>
      </c>
      <c r="C4">
        <v>477</v>
      </c>
      <c r="D4" s="5">
        <f>B4*C4</f>
        <v>0</v>
      </c>
      <c r="E4" s="5">
        <v>0</v>
      </c>
      <c r="F4" s="5">
        <f>D4+E4</f>
        <v>0</v>
      </c>
      <c r="G4" s="8">
        <v>1.92</v>
      </c>
      <c r="H4" s="8">
        <f>IF(G4&gt;0,B4/G4,NA())</f>
        <v>0</v>
      </c>
      <c r="J4" t="s">
        <v>100</v>
      </c>
    </row>
    <row r="5" spans="1:10">
      <c r="A5" t="s">
        <v>96</v>
      </c>
      <c r="B5">
        <v>95.09</v>
      </c>
      <c r="C5">
        <v>1810</v>
      </c>
      <c r="D5" s="5">
        <f>B5*C5</f>
        <v>0</v>
      </c>
      <c r="E5" s="5">
        <v>0</v>
      </c>
      <c r="F5" s="5">
        <f>D5+E5</f>
        <v>0</v>
      </c>
      <c r="G5" s="8">
        <v>3.68</v>
      </c>
      <c r="H5" s="8">
        <f>IF(G5&gt;0,B5/G5,NA())</f>
        <v>0</v>
      </c>
    </row>
    <row r="6" spans="1:10">
      <c r="A6" t="s">
        <v>97</v>
      </c>
      <c r="B6">
        <v>338.62</v>
      </c>
      <c r="C6">
        <v>235</v>
      </c>
      <c r="D6" s="5">
        <f>B6*C6</f>
        <v>0</v>
      </c>
      <c r="E6" s="5">
        <v>0</v>
      </c>
      <c r="F6" s="5">
        <f>D6+E6</f>
        <v>0</v>
      </c>
      <c r="G6" s="8">
        <v>10.34</v>
      </c>
      <c r="H6" s="8">
        <f>IF(G6&gt;0,B6/G6,NA())</f>
        <v>0</v>
      </c>
    </row>
    <row r="7" spans="1:10">
      <c r="A7" t="s">
        <v>98</v>
      </c>
      <c r="B7">
        <v>131.84</v>
      </c>
      <c r="C7">
        <v>888.6799999999999</v>
      </c>
      <c r="D7" s="5">
        <f>B7*C7</f>
        <v>0</v>
      </c>
      <c r="E7" s="5">
        <v>-4200</v>
      </c>
      <c r="F7" s="5">
        <f>D7+E7</f>
        <v>0</v>
      </c>
      <c r="G7" s="8">
        <f>'3Stmt_Forecast'!B12/SharesMM</f>
        <v>0</v>
      </c>
      <c r="H7" s="8">
        <f>IF(G7&gt;0,B7/G7,NA())</f>
        <v>0</v>
      </c>
    </row>
    <row r="10" spans="1:10">
      <c r="A10" s="2" t="s">
        <v>101</v>
      </c>
      <c r="B10" s="8">
        <f>MEDIAN(H4:H6)</f>
        <v>0</v>
      </c>
    </row>
    <row r="11" spans="1:10">
      <c r="A11" t="s">
        <v>102</v>
      </c>
      <c r="B11" s="8">
        <f>B10*G7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36.7109375" customWidth="1"/>
    <col min="2" max="3" width="22.7109375" customWidth="1"/>
  </cols>
  <sheetData>
    <row r="1" spans="1:3">
      <c r="A1" s="1" t="s">
        <v>103</v>
      </c>
    </row>
    <row r="3" spans="1:3">
      <c r="A3" s="3" t="s">
        <v>104</v>
      </c>
      <c r="B3" s="3" t="s">
        <v>2</v>
      </c>
      <c r="C3" s="3" t="s">
        <v>34</v>
      </c>
    </row>
    <row r="4" spans="1:3">
      <c r="A4" t="s">
        <v>105</v>
      </c>
      <c r="B4">
        <f>Px</f>
        <v>0</v>
      </c>
      <c r="C4" t="s">
        <v>106</v>
      </c>
    </row>
    <row r="5" spans="1:3">
      <c r="A5" t="s">
        <v>107</v>
      </c>
      <c r="B5">
        <f>'DCF'!B14</f>
        <v>0</v>
      </c>
      <c r="C5" t="s">
        <v>108</v>
      </c>
    </row>
    <row r="6" spans="1:3">
      <c r="A6" t="s">
        <v>109</v>
      </c>
      <c r="B6">
        <f>'Comps'!B11</f>
        <v>0</v>
      </c>
      <c r="C6" t="s">
        <v>110</v>
      </c>
    </row>
    <row r="7" spans="1:3">
      <c r="A7" t="s">
        <v>111</v>
      </c>
      <c r="B7">
        <f>MktCap</f>
        <v>0</v>
      </c>
      <c r="C7" t="s">
        <v>112</v>
      </c>
    </row>
    <row r="8" spans="1:3">
      <c r="A8" t="s">
        <v>113</v>
      </c>
      <c r="B8">
        <f>EV</f>
        <v>0</v>
      </c>
      <c r="C8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Assumptions</vt:lpstr>
      <vt:lpstr>3Stmt_Forecast</vt:lpstr>
      <vt:lpstr>DCF</vt:lpstr>
      <vt:lpstr>Comps</vt:lpstr>
      <vt:lpstr>Dashboard</vt:lpstr>
      <vt:lpstr>Beta</vt:lpstr>
      <vt:lpstr>CapexPct</vt:lpstr>
      <vt:lpstr>CashMM</vt:lpstr>
      <vt:lpstr>DApct</vt:lpstr>
      <vt:lpstr>DebtMM</vt:lpstr>
      <vt:lpstr>DebtW</vt:lpstr>
      <vt:lpstr>ERP</vt:lpstr>
      <vt:lpstr>EV</vt:lpstr>
      <vt:lpstr>gTerm</vt:lpstr>
      <vt:lpstr>Kd</vt:lpstr>
      <vt:lpstr>Ke</vt:lpstr>
      <vt:lpstr>MktCap</vt:lpstr>
      <vt:lpstr>NWCpct</vt:lpstr>
      <vt:lpstr>OpIncTTM</vt:lpstr>
      <vt:lpstr>Px</vt:lpstr>
      <vt:lpstr>RevTTM</vt:lpstr>
      <vt:lpstr>Rf</vt:lpstr>
      <vt:lpstr>SharesMM</vt:lpstr>
      <vt:lpstr>Tax</vt:lpstr>
      <vt:lpstr>WACC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2025-10-21T22:38:43Z</dcterms:created>
  <dcterms:modified xsi:type="dcterms:W3CDTF">2025-10-21T22:38:43Z</dcterms:modified>
</cp:coreProperties>
</file>