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ssumptions" sheetId="1" r:id="rId1"/>
    <sheet name="Actuals_Q3'25" sheetId="2" r:id="rId2"/>
    <sheet name="Stress_Scenario" sheetId="3" r:id="rId3"/>
    <sheet name="Ratios_Covenants" sheetId="4" r:id="rId4"/>
    <sheet name="KPI_Dashboard" sheetId="5" r:id="rId5"/>
    <sheet name="Notes" sheetId="6" r:id="rId6"/>
  </sheets>
  <definedNames>
    <definedName name="AvgDeposits">Assumptions!$F$15</definedName>
    <definedName name="AvgLoans">Assumptions!$F$16</definedName>
    <definedName name="AvgRateIBL">Assumptions!$F$12</definedName>
    <definedName name="CapexPct">Assumptions!$B$12</definedName>
    <definedName name="CET1">Assumptions!$F$13</definedName>
    <definedName name="CommonEq">Assumptions!$F$17</definedName>
    <definedName name="DSObase">Assumptions!$B$8</definedName>
    <definedName name="DSOshock">Assumptions!$B$9</definedName>
    <definedName name="FundShockBps">Assumptions!$B$7</definedName>
    <definedName name="HQLA">Assumptions!$F$14</definedName>
    <definedName name="IBLiab">Assumptions!$F$11</definedName>
    <definedName name="IntExpense">Assumptions!$F$7</definedName>
    <definedName name="IntIncome">Assumptions!$F$6</definedName>
    <definedName name="InvBase">Assumptions!$B$10</definedName>
    <definedName name="InvShock">Assumptions!$B$11</definedName>
    <definedName name="NetIncome">Assumptions!$F$10</definedName>
    <definedName name="NetRevenue">Assumptions!$F$4</definedName>
    <definedName name="NIR">Assumptions!$F$5</definedName>
    <definedName name="NonIntExpense">Assumptions!$F$8</definedName>
    <definedName name="Provision">Assumptions!$F$9</definedName>
    <definedName name="ProvUplift">Assumptions!$B$14</definedName>
    <definedName name="PTRbase">Stress_Scenario!$I$2</definedName>
    <definedName name="RevShock">Assumptions!$B$6</definedName>
    <definedName name="TaxRate">Assumptions!$B$5</definedName>
    <definedName name="VarOpexPct">Assumptions!$B$13</definedName>
  </definedNames>
  <calcPr calcId="124519" fullCalcOnLoad="1"/>
</workbook>
</file>

<file path=xl/sharedStrings.xml><?xml version="1.0" encoding="utf-8"?>
<sst xmlns="http://schemas.openxmlformats.org/spreadsheetml/2006/main" count="144" uniqueCount="135">
  <si>
    <t>JPM Credit Risk &amp; Stress Test — Assumptions</t>
  </si>
  <si>
    <t>Key</t>
  </si>
  <si>
    <t>Value</t>
  </si>
  <si>
    <t>Notes</t>
  </si>
  <si>
    <t>Base Quarter</t>
  </si>
  <si>
    <t>3Q25</t>
  </si>
  <si>
    <t>Reporting period for actuals</t>
  </si>
  <si>
    <t>Tax_rate</t>
  </si>
  <si>
    <t>Effective tax rate (3Q25)</t>
  </si>
  <si>
    <t>Revenue_shock_pct</t>
  </si>
  <si>
    <t>Stress: total net revenue change</t>
  </si>
  <si>
    <t>Funding_cost_shock_bps</t>
  </si>
  <si>
    <t>Stress: +bps to cost on interest-bearing liabilities</t>
  </si>
  <si>
    <t>DSO_base_days</t>
  </si>
  <si>
    <t>Proxy: Days Sales Outstanding on noninterest revenue</t>
  </si>
  <si>
    <t>DSO_shock_days</t>
  </si>
  <si>
    <t>Stress: +days DSO</t>
  </si>
  <si>
    <t>Inv_base_days</t>
  </si>
  <si>
    <t>Proxy: 'Inventory' days on principal transactions revenue</t>
  </si>
  <si>
    <t>Inv_shock_days</t>
  </si>
  <si>
    <t>Stress: +days inventory</t>
  </si>
  <si>
    <t>Capex_pct_rev</t>
  </si>
  <si>
    <t>FCF proxy: Capex % of total net revenue</t>
  </si>
  <si>
    <t>Variable_opex_pct_of_rev</t>
  </si>
  <si>
    <t>Assume 10% of noninterest expense varies with rev</t>
  </si>
  <si>
    <t>Prov_stress_uplift_pct</t>
  </si>
  <si>
    <t>Provision increases by 20% under stress</t>
  </si>
  <si>
    <t>Base Actuals (3Q25)</t>
  </si>
  <si>
    <t>Value ($MM)</t>
  </si>
  <si>
    <t>Total_net_revenue</t>
  </si>
  <si>
    <t>Consolidated total net revenue (3Q25)</t>
  </si>
  <si>
    <t>Noninterest_revenue</t>
  </si>
  <si>
    <t>3Q25 noninterest revenue</t>
  </si>
  <si>
    <t>Interest_income</t>
  </si>
  <si>
    <t>3Q25 interest income</t>
  </si>
  <si>
    <t>Interest_expense</t>
  </si>
  <si>
    <t>3Q25 interest expense</t>
  </si>
  <si>
    <t>Noninterest_expense</t>
  </si>
  <si>
    <t>3Q25 total noninterest expense</t>
  </si>
  <si>
    <t>Provision_Credit_Losses</t>
  </si>
  <si>
    <t>3Q25 provision for credit losses</t>
  </si>
  <si>
    <t>Net_income</t>
  </si>
  <si>
    <t>3Q25 net income</t>
  </si>
  <si>
    <t>Interest_bearing_liabilities</t>
  </si>
  <si>
    <t>End-of-period IBL ($MM)</t>
  </si>
  <si>
    <t>Avg_rate_on_IBL</t>
  </si>
  <si>
    <t>Average rate on IBL (3.13%)</t>
  </si>
  <si>
    <t>CET1_ratio</t>
  </si>
  <si>
    <t>Standardized CET1 ratio (3Q25)</t>
  </si>
  <si>
    <t>Cash_and_mkt_securities</t>
  </si>
  <si>
    <t>Cash &amp; marketable securities ($MM)</t>
  </si>
  <si>
    <t>Average_deposits</t>
  </si>
  <si>
    <t>Average deposits ($MM)</t>
  </si>
  <si>
    <t>Average_loans</t>
  </si>
  <si>
    <t>Average loans ($MM)</t>
  </si>
  <si>
    <t>Common_equity</t>
  </si>
  <si>
    <t>Common stockholders’ equity ($MM)</t>
  </si>
  <si>
    <t>JPM — Consolidated Income (3Q25)</t>
  </si>
  <si>
    <t>Metric</t>
  </si>
  <si>
    <t>Noninterest revenue</t>
  </si>
  <si>
    <t>Interest income</t>
  </si>
  <si>
    <t>Interest expense</t>
  </si>
  <si>
    <t>Net interest income</t>
  </si>
  <si>
    <t>Total net revenue</t>
  </si>
  <si>
    <t>Noninterest expense</t>
  </si>
  <si>
    <t>PPNR (Net revenue - Noninterest expense)</t>
  </si>
  <si>
    <t>Provision for credit losses</t>
  </si>
  <si>
    <t>Pretax income</t>
  </si>
  <si>
    <t>Tax expense</t>
  </si>
  <si>
    <t>Net income (reported)</t>
  </si>
  <si>
    <t>Balance / Capital</t>
  </si>
  <si>
    <t>Interest-bearing liabilities (EOP)</t>
  </si>
  <si>
    <t>Avg rate on IBL</t>
  </si>
  <si>
    <t>CET1 ratio (Std.)</t>
  </si>
  <si>
    <t>Cash &amp; marketable securities (proxy HQLA)</t>
  </si>
  <si>
    <t>Average deposits</t>
  </si>
  <si>
    <t>Average loans</t>
  </si>
  <si>
    <t>Common equity</t>
  </si>
  <si>
    <t>Stress Scenario — (-10% revenue, +200bps funding cost, +5 days DSO &amp; Inv)</t>
  </si>
  <si>
    <t>Item</t>
  </si>
  <si>
    <t>Base ($MM)</t>
  </si>
  <si>
    <t>Assumption</t>
  </si>
  <si>
    <t>Stressed ($MM)</t>
  </si>
  <si>
    <t>Interest expense (base)</t>
  </si>
  <si>
    <t>Funding cost shock (delta)</t>
  </si>
  <si>
    <t>Interest expense (stressed)</t>
  </si>
  <si>
    <t>Noninterest expense (base)</t>
  </si>
  <si>
    <t>Variable portion (scales w/ revenue)</t>
  </si>
  <si>
    <t>Fixed portion</t>
  </si>
  <si>
    <t>Noninterest expense (stressed)</t>
  </si>
  <si>
    <t>Provision (base)</t>
  </si>
  <si>
    <t>Provision uplift (delta)</t>
  </si>
  <si>
    <t>Provision (stressed)</t>
  </si>
  <si>
    <t>DSO base days</t>
  </si>
  <si>
    <t>DSO stress +days</t>
  </si>
  <si>
    <t>ΔAccounts Receivable (NIR-related)</t>
  </si>
  <si>
    <t>Principal_transactions_rev_base</t>
  </si>
  <si>
    <t>Inventory base days (proxy on principal trans. rev)</t>
  </si>
  <si>
    <t>Inventory stress +days</t>
  </si>
  <si>
    <t>ΔTrading Inventory (proxy)</t>
  </si>
  <si>
    <t>Capex (proxy)</t>
  </si>
  <si>
    <t>PPNR (stressed)</t>
  </si>
  <si>
    <t>Pretax income (stressed)</t>
  </si>
  <si>
    <t>Tax expense (stressed)</t>
  </si>
  <si>
    <t>Net income (stressed)</t>
  </si>
  <si>
    <t>ΔWorking Capital (AR + Inv)</t>
  </si>
  <si>
    <t>FCF proxy (stressed)</t>
  </si>
  <si>
    <t>Ratios &amp; Covenants — Base vs Stress</t>
  </si>
  <si>
    <t>Base</t>
  </si>
  <si>
    <t>Stress</t>
  </si>
  <si>
    <t>Leverage: IBL / Common equity (x)</t>
  </si>
  <si>
    <t>Balance-sheet leverage proxy</t>
  </si>
  <si>
    <t>Reg. capital: CET1 ratio</t>
  </si>
  <si>
    <t>Standardized CET1 ratio</t>
  </si>
  <si>
    <t>Liquidity: HQLA / Total assets (proxy)</t>
  </si>
  <si>
    <t>Using ~$4.5T total assets</t>
  </si>
  <si>
    <t>Liquidity: Deposits / Loans (x)</t>
  </si>
  <si>
    <t>Higher indicates stronger funding</t>
  </si>
  <si>
    <t>Interest coverage (x): Net revenue / Interest expense</t>
  </si>
  <si>
    <t>Coverage proxy for banks</t>
  </si>
  <si>
    <t>PPNR ($MM)</t>
  </si>
  <si>
    <t>Pre-provision net revenue</t>
  </si>
  <si>
    <t>FCF proxy ($MM, quarter)</t>
  </si>
  <si>
    <t>Base proxied by net income</t>
  </si>
  <si>
    <t>KPI</t>
  </si>
  <si>
    <t>Total net revenue ($B)</t>
  </si>
  <si>
    <t>Interest expense ($B)</t>
  </si>
  <si>
    <t>PPNR ($B)</t>
  </si>
  <si>
    <t>Net income ($B)</t>
  </si>
  <si>
    <t>FCF proxy ($B)</t>
  </si>
  <si>
    <t>Interest coverage (x)</t>
  </si>
  <si>
    <t>CET1 ratio (%)</t>
  </si>
  <si>
    <t>NOTES &amp; SOURCES: 3Q25 Earnings Supplement/Presentation/Press Release. See portfolio README for links.</t>
  </si>
  <si>
    <t>Fixes in v2: corrected named ranges (DSO/Inventory/Capex/VarOpex/Provision uplift), widened columns, and formula for Pretax now subtracts only incremental funding cost (D10-B8).</t>
  </si>
  <si>
    <t>Methodology mirrors the case description; all driver cells live in Assumptions and feed the Stress_Scenario by formula.</t>
  </si>
</sst>
</file>

<file path=xl/styles.xml><?xml version="1.0" encoding="utf-8"?>
<styleSheet xmlns="http://schemas.openxmlformats.org/spreadsheetml/2006/main">
  <numFmts count="4">
    <numFmt numFmtId="164" formatCode="$#,##0"/>
    <numFmt numFmtId="165" formatCode="0.00%"/>
    <numFmt numFmtId="166" formatCode="0.0"/>
    <numFmt numFmtId="167" formatCode="$#,##0.0"/>
  </numFmts>
  <fonts count="3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FEFE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7"/>
  <sheetViews>
    <sheetView tabSelected="1" workbookViewId="0"/>
  </sheetViews>
  <sheetFormatPr defaultRowHeight="15"/>
  <cols>
    <col min="1" max="1" width="30.7109375" customWidth="1"/>
    <col min="2" max="2" width="20.7109375" customWidth="1"/>
    <col min="3" max="3" width="60.7109375" customWidth="1"/>
    <col min="5" max="5" width="34.7109375" customWidth="1"/>
    <col min="6" max="6" width="18.7109375" customWidth="1"/>
    <col min="7" max="7" width="60.7109375" customWidth="1"/>
  </cols>
  <sheetData>
    <row r="1" spans="1:7">
      <c r="A1" s="1" t="s">
        <v>0</v>
      </c>
    </row>
    <row r="3" spans="1:7">
      <c r="A3" s="2" t="s">
        <v>1</v>
      </c>
      <c r="B3" s="2" t="s">
        <v>2</v>
      </c>
      <c r="C3" s="2" t="s">
        <v>3</v>
      </c>
      <c r="E3" s="2" t="s">
        <v>27</v>
      </c>
      <c r="F3" s="2" t="s">
        <v>28</v>
      </c>
      <c r="G3" s="2" t="s">
        <v>3</v>
      </c>
    </row>
    <row r="4" spans="1:7">
      <c r="A4" t="s">
        <v>4</v>
      </c>
      <c r="B4" t="s">
        <v>5</v>
      </c>
      <c r="C4" t="s">
        <v>6</v>
      </c>
      <c r="E4" t="s">
        <v>29</v>
      </c>
      <c r="F4" s="3">
        <v>46427</v>
      </c>
      <c r="G4" t="s">
        <v>30</v>
      </c>
    </row>
    <row r="5" spans="1:7">
      <c r="A5" t="s">
        <v>7</v>
      </c>
      <c r="B5" s="4">
        <v>0.232</v>
      </c>
      <c r="C5" t="s">
        <v>8</v>
      </c>
      <c r="E5" t="s">
        <v>31</v>
      </c>
      <c r="F5" s="3">
        <v>22461</v>
      </c>
      <c r="G5" t="s">
        <v>32</v>
      </c>
    </row>
    <row r="6" spans="1:7">
      <c r="A6" t="s">
        <v>9</v>
      </c>
      <c r="B6" s="4">
        <v>-0.1</v>
      </c>
      <c r="C6" t="s">
        <v>10</v>
      </c>
      <c r="E6" t="s">
        <v>33</v>
      </c>
      <c r="F6" s="3">
        <v>49439</v>
      </c>
      <c r="G6" t="s">
        <v>34</v>
      </c>
    </row>
    <row r="7" spans="1:7">
      <c r="A7" t="s">
        <v>11</v>
      </c>
      <c r="B7">
        <v>200</v>
      </c>
      <c r="C7" t="s">
        <v>12</v>
      </c>
      <c r="E7" t="s">
        <v>35</v>
      </c>
      <c r="F7" s="3">
        <v>25473</v>
      </c>
      <c r="G7" t="s">
        <v>36</v>
      </c>
    </row>
    <row r="8" spans="1:7">
      <c r="A8" t="s">
        <v>13</v>
      </c>
      <c r="B8">
        <v>30</v>
      </c>
      <c r="C8" t="s">
        <v>14</v>
      </c>
      <c r="E8" t="s">
        <v>37</v>
      </c>
      <c r="F8" s="3">
        <v>24281</v>
      </c>
      <c r="G8" t="s">
        <v>38</v>
      </c>
    </row>
    <row r="9" spans="1:7">
      <c r="A9" t="s">
        <v>15</v>
      </c>
      <c r="B9">
        <v>5</v>
      </c>
      <c r="C9" t="s">
        <v>16</v>
      </c>
      <c r="E9" t="s">
        <v>39</v>
      </c>
      <c r="F9" s="3">
        <v>3403</v>
      </c>
      <c r="G9" t="s">
        <v>40</v>
      </c>
    </row>
    <row r="10" spans="1:7">
      <c r="A10" t="s">
        <v>17</v>
      </c>
      <c r="B10">
        <v>20</v>
      </c>
      <c r="C10" t="s">
        <v>18</v>
      </c>
      <c r="E10" t="s">
        <v>41</v>
      </c>
      <c r="F10" s="3">
        <v>14393</v>
      </c>
      <c r="G10" t="s">
        <v>42</v>
      </c>
    </row>
    <row r="11" spans="1:7">
      <c r="A11" t="s">
        <v>19</v>
      </c>
      <c r="B11">
        <v>5</v>
      </c>
      <c r="C11" t="s">
        <v>20</v>
      </c>
      <c r="E11" t="s">
        <v>43</v>
      </c>
      <c r="F11" s="3">
        <v>3229476</v>
      </c>
      <c r="G11" t="s">
        <v>44</v>
      </c>
    </row>
    <row r="12" spans="1:7">
      <c r="A12" t="s">
        <v>21</v>
      </c>
      <c r="B12" s="4">
        <v>0.005</v>
      </c>
      <c r="C12" t="s">
        <v>22</v>
      </c>
      <c r="E12" t="s">
        <v>45</v>
      </c>
      <c r="F12" s="4">
        <v>0.0313</v>
      </c>
      <c r="G12" t="s">
        <v>46</v>
      </c>
    </row>
    <row r="13" spans="1:7">
      <c r="A13" t="s">
        <v>23</v>
      </c>
      <c r="B13" s="4">
        <v>0.1</v>
      </c>
      <c r="C13" t="s">
        <v>24</v>
      </c>
      <c r="E13" t="s">
        <v>47</v>
      </c>
      <c r="F13" s="4">
        <v>0.148</v>
      </c>
      <c r="G13" t="s">
        <v>48</v>
      </c>
    </row>
    <row r="14" spans="1:7">
      <c r="A14" t="s">
        <v>25</v>
      </c>
      <c r="B14" s="4">
        <v>0.2</v>
      </c>
      <c r="C14" t="s">
        <v>26</v>
      </c>
      <c r="E14" t="s">
        <v>49</v>
      </c>
      <c r="F14" s="3">
        <v>1500000</v>
      </c>
      <c r="G14" t="s">
        <v>50</v>
      </c>
    </row>
    <row r="15" spans="1:7">
      <c r="E15" t="s">
        <v>51</v>
      </c>
      <c r="F15" s="3">
        <v>2500000</v>
      </c>
      <c r="G15" t="s">
        <v>52</v>
      </c>
    </row>
    <row r="16" spans="1:7">
      <c r="E16" t="s">
        <v>53</v>
      </c>
      <c r="F16" s="3">
        <v>1400000</v>
      </c>
      <c r="G16" t="s">
        <v>54</v>
      </c>
    </row>
    <row r="17" spans="5:7">
      <c r="E17" t="s">
        <v>55</v>
      </c>
      <c r="F17" s="3">
        <v>336335</v>
      </c>
      <c r="G17" t="s">
        <v>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4"/>
  <sheetViews>
    <sheetView workbookViewId="0"/>
  </sheetViews>
  <sheetFormatPr defaultRowHeight="15"/>
  <cols>
    <col min="1" max="1" width="44.7109375" customWidth="1"/>
    <col min="2" max="2" width="18.7109375" customWidth="1"/>
    <col min="4" max="4" width="44.7109375" customWidth="1"/>
    <col min="5" max="5" width="18.7109375" customWidth="1"/>
  </cols>
  <sheetData>
    <row r="1" spans="1:5">
      <c r="A1" s="1" t="s">
        <v>57</v>
      </c>
    </row>
    <row r="3" spans="1:5">
      <c r="A3" s="2" t="s">
        <v>58</v>
      </c>
      <c r="B3" s="2" t="s">
        <v>28</v>
      </c>
      <c r="D3" s="2" t="s">
        <v>70</v>
      </c>
    </row>
    <row r="4" spans="1:5">
      <c r="A4" t="s">
        <v>59</v>
      </c>
      <c r="B4" s="3">
        <f>NIR</f>
        <v>0</v>
      </c>
      <c r="D4" t="s">
        <v>71</v>
      </c>
      <c r="E4" s="3">
        <f>IBLiab</f>
        <v>0</v>
      </c>
    </row>
    <row r="5" spans="1:5">
      <c r="A5" t="s">
        <v>60</v>
      </c>
      <c r="B5" s="3">
        <f>IntIncome</f>
        <v>0</v>
      </c>
      <c r="D5" t="s">
        <v>72</v>
      </c>
      <c r="E5" s="4">
        <f>AvgRateIBL</f>
        <v>0</v>
      </c>
    </row>
    <row r="6" spans="1:5">
      <c r="A6" t="s">
        <v>61</v>
      </c>
      <c r="B6" s="3">
        <f>IntExpense</f>
        <v>0</v>
      </c>
      <c r="D6" t="s">
        <v>73</v>
      </c>
      <c r="E6" s="4">
        <f>CET1</f>
        <v>0</v>
      </c>
    </row>
    <row r="7" spans="1:5">
      <c r="A7" t="s">
        <v>62</v>
      </c>
      <c r="B7" s="3">
        <f>IntIncome-IntExpense</f>
        <v>0</v>
      </c>
      <c r="D7" t="s">
        <v>74</v>
      </c>
      <c r="E7" s="3">
        <f>HQLA</f>
        <v>0</v>
      </c>
    </row>
    <row r="8" spans="1:5">
      <c r="A8" t="s">
        <v>63</v>
      </c>
      <c r="B8" s="3">
        <f>NetRevenue</f>
        <v>0</v>
      </c>
      <c r="D8" t="s">
        <v>75</v>
      </c>
      <c r="E8" s="3">
        <f>AvgDeposits</f>
        <v>0</v>
      </c>
    </row>
    <row r="9" spans="1:5">
      <c r="A9" t="s">
        <v>64</v>
      </c>
      <c r="B9" s="3">
        <f>NonIntExpense</f>
        <v>0</v>
      </c>
      <c r="D9" t="s">
        <v>76</v>
      </c>
      <c r="E9" s="3">
        <f>AvgLoans</f>
        <v>0</v>
      </c>
    </row>
    <row r="10" spans="1:5">
      <c r="A10" t="s">
        <v>65</v>
      </c>
      <c r="B10" s="3">
        <f>NetRevenue-NonIntExpense</f>
        <v>0</v>
      </c>
      <c r="D10" t="s">
        <v>77</v>
      </c>
      <c r="E10" s="3">
        <f>CommonEq</f>
        <v>0</v>
      </c>
    </row>
    <row r="11" spans="1:5">
      <c r="A11" t="s">
        <v>66</v>
      </c>
      <c r="B11" s="3">
        <f>Provision</f>
        <v>0</v>
      </c>
    </row>
    <row r="12" spans="1:5">
      <c r="A12" t="s">
        <v>67</v>
      </c>
      <c r="B12" s="3">
        <f>(NetRevenue-NonIntExpense)-Provision</f>
        <v>0</v>
      </c>
    </row>
    <row r="13" spans="1:5">
      <c r="A13" t="s">
        <v>68</v>
      </c>
      <c r="B13" s="3">
        <f>TaxRate*((NetRevenue-NonIntExpense)-Provision)</f>
        <v>0</v>
      </c>
    </row>
    <row r="14" spans="1:5">
      <c r="A14" t="s">
        <v>69</v>
      </c>
      <c r="B14" s="3">
        <f>(NetRevenue-NonIntExpense)-Provision- TaxRate*((NetRevenue-NonIntExpense)-Provision)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I37"/>
  <sheetViews>
    <sheetView workbookViewId="0"/>
  </sheetViews>
  <sheetFormatPr defaultRowHeight="15"/>
  <cols>
    <col min="1" max="1" width="54.7109375" customWidth="1"/>
    <col min="2" max="4" width="18.7109375" customWidth="1"/>
  </cols>
  <sheetData>
    <row r="1" spans="1:9">
      <c r="A1" s="1" t="s">
        <v>78</v>
      </c>
    </row>
    <row r="2" spans="1:9">
      <c r="H2" t="s">
        <v>96</v>
      </c>
      <c r="I2">
        <v>7109</v>
      </c>
    </row>
    <row r="3" spans="1:9">
      <c r="A3" s="2" t="s">
        <v>79</v>
      </c>
      <c r="B3" s="2" t="s">
        <v>80</v>
      </c>
      <c r="C3" s="2" t="s">
        <v>81</v>
      </c>
      <c r="D3" s="2" t="s">
        <v>82</v>
      </c>
    </row>
    <row r="4" spans="1:9">
      <c r="A4" t="s">
        <v>59</v>
      </c>
      <c r="B4">
        <f>NIR</f>
        <v>0</v>
      </c>
      <c r="C4">
        <f>1+RevShock</f>
        <v>0</v>
      </c>
      <c r="D4">
        <f>B4*C4</f>
        <v>0</v>
      </c>
    </row>
    <row r="5" spans="1:9">
      <c r="A5" t="s">
        <v>62</v>
      </c>
      <c r="B5">
        <f>NetRevenue-NIR</f>
        <v>0</v>
      </c>
      <c r="C5">
        <f>1+RevShock</f>
        <v>0</v>
      </c>
      <c r="D5">
        <f>B5*C5</f>
        <v>0</v>
      </c>
    </row>
    <row r="6" spans="1:9">
      <c r="A6" t="s">
        <v>63</v>
      </c>
      <c r="B6">
        <f>NetRevenue</f>
        <v>0</v>
      </c>
      <c r="D6">
        <f>D4+D5</f>
        <v>0</v>
      </c>
    </row>
    <row r="8" spans="1:9">
      <c r="A8" t="s">
        <v>83</v>
      </c>
      <c r="B8">
        <f>IntExpense</f>
        <v>0</v>
      </c>
      <c r="D8">
        <f>B8</f>
        <v>0</v>
      </c>
    </row>
    <row r="9" spans="1:9">
      <c r="A9" t="s">
        <v>84</v>
      </c>
      <c r="C9">
        <f>IBLiab*(FundShockBps/10000)/4</f>
        <v>0</v>
      </c>
      <c r="D9">
        <f>C9</f>
        <v>0</v>
      </c>
    </row>
    <row r="10" spans="1:9">
      <c r="A10" t="s">
        <v>85</v>
      </c>
      <c r="D10">
        <f>B8+D9</f>
        <v>0</v>
      </c>
    </row>
    <row r="12" spans="1:9">
      <c r="A12" t="s">
        <v>86</v>
      </c>
      <c r="B12">
        <f>NonIntExpense</f>
        <v>0</v>
      </c>
      <c r="D12">
        <f>B12</f>
        <v>0</v>
      </c>
    </row>
    <row r="13" spans="1:9">
      <c r="A13" t="s">
        <v>87</v>
      </c>
      <c r="B13">
        <f>NonIntExpense*VarOpexPct</f>
        <v>0</v>
      </c>
      <c r="C13">
        <f>D6/B6</f>
        <v>0</v>
      </c>
      <c r="D13">
        <f>B13*C13</f>
        <v>0</v>
      </c>
    </row>
    <row r="14" spans="1:9">
      <c r="A14" t="s">
        <v>88</v>
      </c>
      <c r="B14">
        <f>B12-B13</f>
        <v>0</v>
      </c>
      <c r="D14">
        <f>B14</f>
        <v>0</v>
      </c>
    </row>
    <row r="15" spans="1:9">
      <c r="A15" t="s">
        <v>89</v>
      </c>
      <c r="D15">
        <f>D13+D14</f>
        <v>0</v>
      </c>
    </row>
    <row r="17" spans="1:4">
      <c r="A17" t="s">
        <v>90</v>
      </c>
      <c r="B17">
        <f>Provision</f>
        <v>0</v>
      </c>
      <c r="D17">
        <f>B17</f>
        <v>0</v>
      </c>
    </row>
    <row r="18" spans="1:4">
      <c r="A18" t="s">
        <v>91</v>
      </c>
      <c r="C18">
        <f>ProvUplift*B17</f>
        <v>0</v>
      </c>
      <c r="D18">
        <f>C18</f>
        <v>0</v>
      </c>
    </row>
    <row r="19" spans="1:4">
      <c r="A19" t="s">
        <v>92</v>
      </c>
      <c r="D19">
        <f>D17+D18</f>
        <v>0</v>
      </c>
    </row>
    <row r="21" spans="1:4">
      <c r="A21" t="s">
        <v>93</v>
      </c>
      <c r="C21">
        <f>DSObase</f>
        <v>0</v>
      </c>
    </row>
    <row r="22" spans="1:4">
      <c r="A22" t="s">
        <v>94</v>
      </c>
      <c r="C22">
        <f>DSOshock</f>
        <v>0</v>
      </c>
    </row>
    <row r="23" spans="1:4">
      <c r="A23" t="s">
        <v>95</v>
      </c>
      <c r="C23">
        <f>NIR*(DSOshock/90)</f>
        <v>0</v>
      </c>
      <c r="D23">
        <f>C23</f>
        <v>0</v>
      </c>
    </row>
    <row r="25" spans="1:4">
      <c r="A25" t="s">
        <v>97</v>
      </c>
      <c r="C25">
        <f>InvBase</f>
        <v>0</v>
      </c>
    </row>
    <row r="26" spans="1:4">
      <c r="A26" t="s">
        <v>98</v>
      </c>
      <c r="C26">
        <f>InvShock</f>
        <v>0</v>
      </c>
    </row>
    <row r="27" spans="1:4">
      <c r="A27" t="s">
        <v>99</v>
      </c>
      <c r="C27">
        <f>PTRbase*(InvShock/90)</f>
        <v>0</v>
      </c>
      <c r="D27">
        <f>C27</f>
        <v>0</v>
      </c>
    </row>
    <row r="29" spans="1:4">
      <c r="A29" t="s">
        <v>100</v>
      </c>
      <c r="C29">
        <f>CapexPct*D6</f>
        <v>0</v>
      </c>
      <c r="D29">
        <f>C29</f>
        <v>0</v>
      </c>
    </row>
    <row r="31" spans="1:4">
      <c r="A31" t="s">
        <v>101</v>
      </c>
      <c r="D31">
        <f>D6-D15</f>
        <v>0</v>
      </c>
    </row>
    <row r="32" spans="1:4">
      <c r="A32" t="s">
        <v>102</v>
      </c>
      <c r="D32">
        <f>(D6-D15)-D19-(D10-B8)</f>
        <v>0</v>
      </c>
    </row>
    <row r="33" spans="1:4">
      <c r="A33" t="s">
        <v>103</v>
      </c>
      <c r="D33">
        <f>TaxRate*D32</f>
        <v>0</v>
      </c>
    </row>
    <row r="34" spans="1:4">
      <c r="A34" t="s">
        <v>104</v>
      </c>
      <c r="D34">
        <f>D32-D33</f>
        <v>0</v>
      </c>
    </row>
    <row r="36" spans="1:4">
      <c r="A36" t="s">
        <v>105</v>
      </c>
      <c r="D36">
        <f>D23+D27</f>
        <v>0</v>
      </c>
    </row>
    <row r="37" spans="1:4">
      <c r="A37" t="s">
        <v>106</v>
      </c>
      <c r="D37">
        <f>D34-D36-D29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D10"/>
  <sheetViews>
    <sheetView workbookViewId="0"/>
  </sheetViews>
  <sheetFormatPr defaultRowHeight="15"/>
  <cols>
    <col min="1" max="1" width="54.7109375" customWidth="1"/>
    <col min="2" max="3" width="18.7109375" customWidth="1"/>
    <col min="4" max="4" width="50.7109375" customWidth="1"/>
  </cols>
  <sheetData>
    <row r="1" spans="1:4">
      <c r="A1" s="1" t="s">
        <v>107</v>
      </c>
    </row>
    <row r="3" spans="1:4">
      <c r="A3" s="2" t="s">
        <v>58</v>
      </c>
      <c r="B3" s="2" t="s">
        <v>108</v>
      </c>
      <c r="C3" s="2" t="s">
        <v>109</v>
      </c>
      <c r="D3" s="2" t="s">
        <v>3</v>
      </c>
    </row>
    <row r="4" spans="1:4">
      <c r="A4" t="s">
        <v>110</v>
      </c>
      <c r="B4" s="5">
        <f>IBLiab/CommonEq</f>
        <v>0</v>
      </c>
      <c r="C4" s="5">
        <f>IBLiab/CommonEq</f>
        <v>0</v>
      </c>
      <c r="D4" t="s">
        <v>111</v>
      </c>
    </row>
    <row r="5" spans="1:4">
      <c r="A5" t="s">
        <v>112</v>
      </c>
      <c r="B5" s="5">
        <f>CET1</f>
        <v>0</v>
      </c>
      <c r="C5" s="5">
        <f>CET1</f>
        <v>0</v>
      </c>
      <c r="D5" t="s">
        <v>113</v>
      </c>
    </row>
    <row r="6" spans="1:4">
      <c r="A6" t="s">
        <v>114</v>
      </c>
      <c r="B6" s="6">
        <f>HQLA/4500000</f>
        <v>0</v>
      </c>
      <c r="C6" s="6">
        <f>HQLA/4500000</f>
        <v>0</v>
      </c>
      <c r="D6" t="s">
        <v>115</v>
      </c>
    </row>
    <row r="7" spans="1:4">
      <c r="A7" t="s">
        <v>116</v>
      </c>
      <c r="B7" s="5">
        <f>AvgDeposits/AvgLoans</f>
        <v>0</v>
      </c>
      <c r="C7" s="5">
        <f>AvgDeposits/AvgLoans</f>
        <v>0</v>
      </c>
      <c r="D7" t="s">
        <v>117</v>
      </c>
    </row>
    <row r="8" spans="1:4">
      <c r="A8" t="s">
        <v>118</v>
      </c>
      <c r="B8" s="5">
        <f>NetRevenue/IntExpense</f>
        <v>0</v>
      </c>
      <c r="C8" s="5">
        <f>Stress_Scenario!D6/Stress_Scenario!D10</f>
        <v>0</v>
      </c>
      <c r="D8" t="s">
        <v>119</v>
      </c>
    </row>
    <row r="9" spans="1:4">
      <c r="A9" t="s">
        <v>120</v>
      </c>
      <c r="B9" s="3">
        <f>NetRevenue-NonIntExpense</f>
        <v>0</v>
      </c>
      <c r="C9" s="3">
        <f>Stress_Scenario!D31</f>
        <v>0</v>
      </c>
      <c r="D9" t="s">
        <v>121</v>
      </c>
    </row>
    <row r="10" spans="1:4">
      <c r="A10" t="s">
        <v>122</v>
      </c>
      <c r="B10" s="3">
        <f>NetIncome</f>
        <v>0</v>
      </c>
      <c r="C10" s="3">
        <f>Stress_Scenario!D37</f>
        <v>0</v>
      </c>
      <c r="D10" t="s">
        <v>123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C8"/>
  <sheetViews>
    <sheetView workbookViewId="0"/>
  </sheetViews>
  <sheetFormatPr defaultRowHeight="15"/>
  <cols>
    <col min="1" max="1" width="38.7109375" customWidth="1"/>
    <col min="2" max="3" width="16.7109375" customWidth="1"/>
  </cols>
  <sheetData>
    <row r="1" spans="1:3">
      <c r="A1" s="2" t="s">
        <v>124</v>
      </c>
      <c r="B1" s="2" t="s">
        <v>108</v>
      </c>
      <c r="C1" s="2" t="s">
        <v>109</v>
      </c>
    </row>
    <row r="2" spans="1:3">
      <c r="A2" t="s">
        <v>125</v>
      </c>
      <c r="B2" s="5">
        <f>NetRevenue/1000</f>
        <v>0</v>
      </c>
      <c r="C2" s="5">
        <f>Stress_Scenario!D6/1000</f>
        <v>0</v>
      </c>
    </row>
    <row r="3" spans="1:3">
      <c r="A3" t="s">
        <v>126</v>
      </c>
      <c r="B3" s="5">
        <f>IntExpense/1000</f>
        <v>0</v>
      </c>
      <c r="C3" s="5">
        <f>Stress_Scenario!D10/1000</f>
        <v>0</v>
      </c>
    </row>
    <row r="4" spans="1:3">
      <c r="A4" t="s">
        <v>127</v>
      </c>
      <c r="B4" s="5">
        <f>(NetRevenue-NonIntExpense)/1000</f>
        <v>0</v>
      </c>
      <c r="C4" s="5">
        <f>Stress_Scenario!D31/1000</f>
        <v>0</v>
      </c>
    </row>
    <row r="5" spans="1:3">
      <c r="A5" t="s">
        <v>128</v>
      </c>
      <c r="B5" s="5">
        <f>NetIncome/1000</f>
        <v>0</v>
      </c>
      <c r="C5" s="5">
        <f>Stress_Scenario!D34/1000</f>
        <v>0</v>
      </c>
    </row>
    <row r="6" spans="1:3">
      <c r="A6" t="s">
        <v>129</v>
      </c>
      <c r="B6" s="5">
        <f>NetIncome/1000</f>
        <v>0</v>
      </c>
      <c r="C6" s="5">
        <f>Stress_Scenario!D37/1000</f>
        <v>0</v>
      </c>
    </row>
    <row r="7" spans="1:3">
      <c r="A7" t="s">
        <v>130</v>
      </c>
      <c r="B7" s="5">
        <f>NetRevenue/IntExpense</f>
        <v>0</v>
      </c>
      <c r="C7" s="5">
        <f>Stress_Scenario!D6/Stress_Scenario!D10</f>
        <v>0</v>
      </c>
    </row>
    <row r="8" spans="1:3">
      <c r="A8" t="s">
        <v>131</v>
      </c>
      <c r="B8" s="5">
        <f>CET1*100</f>
        <v>0</v>
      </c>
      <c r="C8" s="5">
        <f>CET1*100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3"/>
  <sheetViews>
    <sheetView workbookViewId="0"/>
  </sheetViews>
  <sheetFormatPr defaultRowHeight="15"/>
  <cols>
    <col min="1" max="1" width="120.7109375" customWidth="1"/>
  </cols>
  <sheetData>
    <row r="1" spans="1:1">
      <c r="A1" t="s">
        <v>132</v>
      </c>
    </row>
    <row r="2" spans="1:1">
      <c r="A2" t="s">
        <v>133</v>
      </c>
    </row>
    <row r="3" spans="1:1">
      <c r="A3" t="s">
        <v>134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25</vt:i4>
      </vt:variant>
    </vt:vector>
  </HeadingPairs>
  <TitlesOfParts>
    <vt:vector size="31" baseType="lpstr">
      <vt:lpstr>Assumptions</vt:lpstr>
      <vt:lpstr>Actuals_Q3'25</vt:lpstr>
      <vt:lpstr>Stress_Scenario</vt:lpstr>
      <vt:lpstr>Ratios_Covenants</vt:lpstr>
      <vt:lpstr>KPI_Dashboard</vt:lpstr>
      <vt:lpstr>Notes</vt:lpstr>
      <vt:lpstr>AvgDeposits</vt:lpstr>
      <vt:lpstr>AvgLoans</vt:lpstr>
      <vt:lpstr>AvgRateIBL</vt:lpstr>
      <vt:lpstr>CapexPct</vt:lpstr>
      <vt:lpstr>CET1</vt:lpstr>
      <vt:lpstr>CommonEq</vt:lpstr>
      <vt:lpstr>DSObase</vt:lpstr>
      <vt:lpstr>DSOshock</vt:lpstr>
      <vt:lpstr>FundShockBps</vt:lpstr>
      <vt:lpstr>HQLA</vt:lpstr>
      <vt:lpstr>IBLiab</vt:lpstr>
      <vt:lpstr>IntExpense</vt:lpstr>
      <vt:lpstr>IntIncome</vt:lpstr>
      <vt:lpstr>InvBase</vt:lpstr>
      <vt:lpstr>InvShock</vt:lpstr>
      <vt:lpstr>NetIncome</vt:lpstr>
      <vt:lpstr>NetRevenue</vt:lpstr>
      <vt:lpstr>NIR</vt:lpstr>
      <vt:lpstr>NonIntExpense</vt:lpstr>
      <vt:lpstr>Provision</vt:lpstr>
      <vt:lpstr>ProvUplift</vt:lpstr>
      <vt:lpstr>PTRbase</vt:lpstr>
      <vt:lpstr>RevShock</vt:lpstr>
      <vt:lpstr>TaxRate</vt:lpstr>
      <vt:lpstr>VarOpexPct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2025-10-21T21:02:54Z</dcterms:created>
  <dcterms:modified xsi:type="dcterms:W3CDTF">2025-10-21T21:02:54Z</dcterms:modified>
</cp:coreProperties>
</file>