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Input" sheetId="6" r:id="rId1"/>
    <sheet name="Temperature_sol" sheetId="1" r:id="rId2"/>
    <sheet name="Temperature_satellite" sheetId="5" r:id="rId3"/>
    <sheet name="Link budget" sheetId="7" r:id="rId4"/>
  </sheets>
  <calcPr calcId="144525" iterateDelta="1E-4"/>
</workbook>
</file>

<file path=xl/calcChain.xml><?xml version="1.0" encoding="utf-8"?>
<calcChain xmlns="http://schemas.openxmlformats.org/spreadsheetml/2006/main">
  <c r="D31" i="1" l="1"/>
  <c r="D32" i="1"/>
  <c r="D47" i="1"/>
  <c r="D48" i="1"/>
  <c r="M30" i="7" l="1"/>
  <c r="N30" i="7"/>
  <c r="L30" i="7"/>
  <c r="L26" i="7"/>
  <c r="M26" i="7"/>
  <c r="N26" i="7"/>
  <c r="L27" i="7"/>
  <c r="M27" i="7"/>
  <c r="N27" i="7"/>
  <c r="L28" i="7"/>
  <c r="M28" i="7"/>
  <c r="N28" i="7"/>
  <c r="L31" i="7"/>
  <c r="M31" i="7"/>
  <c r="N31" i="7"/>
  <c r="K31" i="7"/>
  <c r="K30" i="7"/>
  <c r="K27" i="7"/>
  <c r="K26" i="7"/>
  <c r="F27" i="7"/>
  <c r="G27" i="7"/>
  <c r="E27" i="7"/>
  <c r="D27" i="7"/>
  <c r="E26" i="7"/>
  <c r="F26" i="7"/>
  <c r="G26" i="7"/>
  <c r="E30" i="7"/>
  <c r="F30" i="7"/>
  <c r="G30" i="7"/>
  <c r="E31" i="7"/>
  <c r="F31" i="7"/>
  <c r="G31" i="7"/>
  <c r="M11" i="7"/>
  <c r="N11" i="7"/>
  <c r="L11" i="7"/>
  <c r="L7" i="7"/>
  <c r="M7" i="7"/>
  <c r="N7" i="7"/>
  <c r="L8" i="7"/>
  <c r="M8" i="7"/>
  <c r="N8" i="7"/>
  <c r="L9" i="7"/>
  <c r="M9" i="7"/>
  <c r="N9" i="7"/>
  <c r="L12" i="7"/>
  <c r="M12" i="7"/>
  <c r="N12" i="7"/>
  <c r="L13" i="7"/>
  <c r="M13" i="7"/>
  <c r="N13" i="7"/>
  <c r="L14" i="7"/>
  <c r="M14" i="7"/>
  <c r="N14" i="7"/>
  <c r="L17" i="7"/>
  <c r="M17" i="7"/>
  <c r="N17" i="7"/>
  <c r="L19" i="7"/>
  <c r="M19" i="7"/>
  <c r="N19" i="7"/>
  <c r="K19" i="7"/>
  <c r="K17" i="7"/>
  <c r="K14" i="7"/>
  <c r="K13" i="7"/>
  <c r="K12" i="7"/>
  <c r="K9" i="7"/>
  <c r="K8" i="7"/>
  <c r="K7" i="7"/>
  <c r="G5" i="7"/>
  <c r="G7" i="7"/>
  <c r="G8" i="7"/>
  <c r="G9" i="7"/>
  <c r="G28" i="7" s="1"/>
  <c r="G11" i="7"/>
  <c r="G13" i="7"/>
  <c r="G14" i="7"/>
  <c r="G17" i="7"/>
  <c r="G19" i="7"/>
  <c r="D5" i="7" l="1"/>
  <c r="D8" i="7"/>
  <c r="F8" i="7"/>
  <c r="E8" i="7"/>
  <c r="D31" i="7"/>
  <c r="D30" i="7"/>
  <c r="D26" i="7"/>
  <c r="F19" i="7"/>
  <c r="F17" i="7"/>
  <c r="F14" i="7"/>
  <c r="F13" i="7"/>
  <c r="F11" i="7"/>
  <c r="F9" i="7"/>
  <c r="F28" i="7" s="1"/>
  <c r="F7" i="7"/>
  <c r="F5" i="7"/>
  <c r="E11" i="7"/>
  <c r="E5" i="7"/>
  <c r="E19" i="7"/>
  <c r="E17" i="7"/>
  <c r="E14" i="7"/>
  <c r="E13" i="7"/>
  <c r="E9" i="7"/>
  <c r="E28" i="7" s="1"/>
  <c r="E7" i="7"/>
  <c r="D19" i="7"/>
  <c r="D17" i="7"/>
  <c r="D14" i="7"/>
  <c r="D13" i="7"/>
  <c r="D9" i="7"/>
  <c r="D7" i="7"/>
  <c r="D10" i="7" l="1"/>
  <c r="L5" i="7"/>
  <c r="M5" i="7"/>
  <c r="N5" i="7"/>
  <c r="K5" i="7"/>
  <c r="G10" i="7"/>
  <c r="E10" i="7"/>
  <c r="E29" i="7" s="1"/>
  <c r="E32" i="7" s="1"/>
  <c r="E33" i="7" s="1"/>
  <c r="F10" i="7"/>
  <c r="F29" i="7" s="1"/>
  <c r="F32" i="7" s="1"/>
  <c r="F34" i="7" l="1"/>
  <c r="F35" i="7" s="1"/>
  <c r="F36" i="7" s="1"/>
  <c r="F33" i="7"/>
  <c r="G16" i="7"/>
  <c r="G20" i="7" s="1"/>
  <c r="G22" i="7" s="1"/>
  <c r="G29" i="7"/>
  <c r="G32" i="7" s="1"/>
  <c r="K10" i="7"/>
  <c r="L10" i="7"/>
  <c r="M10" i="7"/>
  <c r="N10" i="7"/>
  <c r="E34" i="7"/>
  <c r="E35" i="7" s="1"/>
  <c r="E36" i="7" s="1"/>
  <c r="E16" i="7"/>
  <c r="E20" i="7" s="1"/>
  <c r="E22" i="7" s="1"/>
  <c r="F16" i="7"/>
  <c r="F20" i="7" s="1"/>
  <c r="F22" i="7" s="1"/>
  <c r="M29" i="7" l="1"/>
  <c r="M32" i="7" s="1"/>
  <c r="M16" i="7"/>
  <c r="M20" i="7" s="1"/>
  <c r="M22" i="7" s="1"/>
  <c r="N29" i="7"/>
  <c r="N32" i="7" s="1"/>
  <c r="N16" i="7"/>
  <c r="N20" i="7" s="1"/>
  <c r="N22" i="7" s="1"/>
  <c r="L29" i="7"/>
  <c r="L32" i="7" s="1"/>
  <c r="L16" i="7"/>
  <c r="L20" i="7" s="1"/>
  <c r="L22" i="7" s="1"/>
  <c r="G33" i="7"/>
  <c r="G34" i="7"/>
  <c r="G35" i="7" s="1"/>
  <c r="G36" i="7" s="1"/>
  <c r="D55" i="1"/>
  <c r="D54" i="1"/>
  <c r="D57" i="1" l="1"/>
  <c r="D60" i="1" s="1"/>
  <c r="D61" i="1" s="1"/>
  <c r="D58" i="1"/>
  <c r="D59" i="1" s="1"/>
  <c r="D51" i="1"/>
  <c r="D50" i="1"/>
  <c r="D64" i="1" l="1"/>
  <c r="D67" i="1" s="1"/>
  <c r="D66" i="1"/>
  <c r="K11" i="7" l="1"/>
  <c r="K16" i="7" s="1"/>
  <c r="D11" i="7"/>
  <c r="D16" i="7" s="1"/>
  <c r="D20" i="7" s="1"/>
  <c r="K28" i="7"/>
  <c r="D15" i="5"/>
  <c r="D7" i="5"/>
  <c r="D6" i="5"/>
  <c r="D28" i="7"/>
  <c r="D38" i="1"/>
  <c r="D37" i="1"/>
  <c r="D23" i="1"/>
  <c r="D22" i="1"/>
  <c r="D15" i="1"/>
  <c r="D7" i="1"/>
  <c r="D6" i="1"/>
  <c r="D29" i="7" l="1"/>
  <c r="D32" i="7" s="1"/>
  <c r="D35" i="5"/>
  <c r="D31" i="5"/>
  <c r="D34" i="5" s="1"/>
  <c r="D25" i="5"/>
  <c r="D26" i="5" s="1"/>
  <c r="D27" i="5" s="1"/>
  <c r="D19" i="5"/>
  <c r="D20" i="5" s="1"/>
  <c r="D9" i="5"/>
  <c r="D12" i="5" s="1"/>
  <c r="D13" i="5" s="1"/>
  <c r="D34" i="7" l="1"/>
  <c r="D35" i="7" s="1"/>
  <c r="D36" i="7" s="1"/>
  <c r="D33" i="7"/>
  <c r="K29" i="7"/>
  <c r="K32" i="7" s="1"/>
  <c r="D17" i="5"/>
  <c r="D18" i="5" s="1"/>
  <c r="D10" i="5"/>
  <c r="D11" i="5" s="1"/>
  <c r="D28" i="5"/>
  <c r="D29" i="5" s="1"/>
  <c r="D35" i="1"/>
  <c r="D17" i="1"/>
  <c r="D40" i="1"/>
  <c r="D43" i="1" s="1"/>
  <c r="D44" i="1" s="1"/>
  <c r="D25" i="1"/>
  <c r="D28" i="1" s="1"/>
  <c r="D29" i="1" s="1"/>
  <c r="D19" i="1"/>
  <c r="D20" i="1" s="1"/>
  <c r="D9" i="1"/>
  <c r="D10" i="1" s="1"/>
  <c r="D11" i="1" s="1"/>
  <c r="D39" i="5" l="1"/>
  <c r="K20" i="7" s="1"/>
  <c r="D41" i="1"/>
  <c r="D42" i="1" s="1"/>
  <c r="D34" i="1"/>
  <c r="D69" i="1" s="1"/>
  <c r="D26" i="1"/>
  <c r="D27" i="1" s="1"/>
  <c r="D12" i="1"/>
  <c r="D13" i="1" s="1"/>
  <c r="D18" i="1"/>
  <c r="K22" i="7" l="1"/>
  <c r="D70" i="1"/>
  <c r="D22" i="7" l="1"/>
</calcChain>
</file>

<file path=xl/sharedStrings.xml><?xml version="1.0" encoding="utf-8"?>
<sst xmlns="http://schemas.openxmlformats.org/spreadsheetml/2006/main" count="339" uniqueCount="120">
  <si>
    <t>Pertes</t>
  </si>
  <si>
    <t>Longueur</t>
  </si>
  <si>
    <t>Pertes totales</t>
  </si>
  <si>
    <t xml:space="preserve">Facteur de bruit </t>
  </si>
  <si>
    <t>CABLE 1</t>
  </si>
  <si>
    <t>dB/m</t>
  </si>
  <si>
    <t>m</t>
  </si>
  <si>
    <t>dB</t>
  </si>
  <si>
    <t>K</t>
  </si>
  <si>
    <t>Gain ou pertes</t>
  </si>
  <si>
    <t>Pertes d'insertion</t>
  </si>
  <si>
    <t>Diplexer</t>
  </si>
  <si>
    <t>CABLE 2</t>
  </si>
  <si>
    <t>LNA</t>
  </si>
  <si>
    <t>CABLE 3</t>
  </si>
  <si>
    <t>/</t>
  </si>
  <si>
    <t>Température de référence (T0)</t>
  </si>
  <si>
    <t>Tempérture ciel (Tsky)</t>
  </si>
  <si>
    <t>Température de bruit (T1)</t>
  </si>
  <si>
    <t>Gain ou pertes (G1)</t>
  </si>
  <si>
    <t>Température de bruit (Td)</t>
  </si>
  <si>
    <t>Gain ou pertes (Gd)</t>
  </si>
  <si>
    <t>Température de bruit (T2)</t>
  </si>
  <si>
    <t>Gain ou pertes (G2)</t>
  </si>
  <si>
    <t>Température de bruit (Tl)</t>
  </si>
  <si>
    <t>Gain ou pertes (Gl)</t>
  </si>
  <si>
    <t>Température de bruit (T3)</t>
  </si>
  <si>
    <t>Gain ou pertes (G3)</t>
  </si>
  <si>
    <t>Température de bruit système (Tsys)</t>
  </si>
  <si>
    <t>Tempérture Terre (Tearth)</t>
  </si>
  <si>
    <t>Altitude</t>
  </si>
  <si>
    <t>km</t>
  </si>
  <si>
    <t>fréquence</t>
  </si>
  <si>
    <t>Hz</t>
  </si>
  <si>
    <t>bit rate</t>
  </si>
  <si>
    <t>kbps</t>
  </si>
  <si>
    <t>TEB requis</t>
  </si>
  <si>
    <t>Marge système</t>
  </si>
  <si>
    <t>Pertes polarisation</t>
  </si>
  <si>
    <t>Pertes atmosphériques</t>
  </si>
  <si>
    <t>Puissance TX</t>
  </si>
  <si>
    <t>W</t>
  </si>
  <si>
    <t>Gain antenne</t>
  </si>
  <si>
    <t>Pertes connecteurs</t>
  </si>
  <si>
    <t>Pertes coupleurs</t>
  </si>
  <si>
    <t>Pertes de pointage</t>
  </si>
  <si>
    <t>DOWNLINK</t>
  </si>
  <si>
    <t>SATELLITE</t>
  </si>
  <si>
    <t>Gain antenne RX</t>
  </si>
  <si>
    <t>Longueur câble source --&gt; diplexeur</t>
  </si>
  <si>
    <t>Pertes câbles source --&gt; diplexeur</t>
  </si>
  <si>
    <t>Pertes diplexeur</t>
  </si>
  <si>
    <t>GROUND STATION</t>
  </si>
  <si>
    <t>k</t>
  </si>
  <si>
    <t>c</t>
  </si>
  <si>
    <t>m/s</t>
  </si>
  <si>
    <t>Elevation</t>
  </si>
  <si>
    <t>°</t>
  </si>
  <si>
    <t>Distance bord-sol</t>
  </si>
  <si>
    <t>Rayon de la terre</t>
  </si>
  <si>
    <t>dBm</t>
  </si>
  <si>
    <t>Pertes émetteur</t>
  </si>
  <si>
    <t>Gain émetteur</t>
  </si>
  <si>
    <t>Pertes de propagation</t>
  </si>
  <si>
    <t xml:space="preserve">G/T sol </t>
  </si>
  <si>
    <t>dBK</t>
  </si>
  <si>
    <t>Bit rate</t>
  </si>
  <si>
    <t xml:space="preserve">Eb/N0 requis </t>
  </si>
  <si>
    <t xml:space="preserve">Marge </t>
  </si>
  <si>
    <t>Eb/N0 réel</t>
  </si>
  <si>
    <t>Longueur câbles antenne --&gt; diplexeur</t>
  </si>
  <si>
    <t>Pertes câbles antenne --&gt; diplexeur</t>
  </si>
  <si>
    <t>COMMUN</t>
  </si>
  <si>
    <t>UPLINK</t>
  </si>
  <si>
    <t>INPUTS</t>
  </si>
  <si>
    <t>Puissance</t>
  </si>
  <si>
    <t>Puissance émission</t>
  </si>
  <si>
    <t>G/T satellite</t>
  </si>
  <si>
    <t>Puissance en entrée du SATCORE</t>
  </si>
  <si>
    <t>dBW</t>
  </si>
  <si>
    <t>Cette puissance doit être comprise entre -15dBm et -105dBm</t>
  </si>
  <si>
    <t>Puissance émetteur</t>
  </si>
  <si>
    <t xml:space="preserve">dB </t>
  </si>
  <si>
    <t>Pertes propagation</t>
  </si>
  <si>
    <t>Pertes pointage sol</t>
  </si>
  <si>
    <t>Pertes pointage satellite</t>
  </si>
  <si>
    <t xml:space="preserve">Pertes sol </t>
  </si>
  <si>
    <t xml:space="preserve">Gain sol </t>
  </si>
  <si>
    <t>Pertes satellite</t>
  </si>
  <si>
    <t>Gain satellite</t>
  </si>
  <si>
    <t>Puissance en entrée du DUPLEXEUR</t>
  </si>
  <si>
    <t>Cette puissance doit être comprise entre -115dBm et -50dBm</t>
  </si>
  <si>
    <t>Le LNA sature à 25 dBm</t>
  </si>
  <si>
    <t>Longueur câble Ampli --&gt; source</t>
  </si>
  <si>
    <t>Pertes câbles Ampli --&gt; source</t>
  </si>
  <si>
    <t>SATCORE</t>
  </si>
  <si>
    <t>Longueur câble diplexeur --&gt; LNA 1</t>
  </si>
  <si>
    <t>Pertes câbles diplexeur --&gt; LNA 1</t>
  </si>
  <si>
    <t>Gain LNA 1</t>
  </si>
  <si>
    <t>Facteur de bruit LNA 1</t>
  </si>
  <si>
    <t>CABLE 4</t>
  </si>
  <si>
    <t>Longueur câble LNA 1 --&gt; LNA 2</t>
  </si>
  <si>
    <t>Pertes câbles LNA 1 --&gt; LNA 2</t>
  </si>
  <si>
    <t>Gain LNA 2</t>
  </si>
  <si>
    <t>Facteur de bruit LNA 2</t>
  </si>
  <si>
    <t>Longueur câble LNA 2 --&gt; SATCORE</t>
  </si>
  <si>
    <t>Pertes câbles LNA 2 --&gt; SATCORE</t>
  </si>
  <si>
    <t>LNA 1</t>
  </si>
  <si>
    <t>LNA 2</t>
  </si>
  <si>
    <t>Facteur de bruit SATCORE</t>
  </si>
  <si>
    <t>Puissance en sortie du LNA 1</t>
  </si>
  <si>
    <t>Puissance en sortie du LNA 2</t>
  </si>
  <si>
    <t>Puissance en entrée du LNA 2</t>
  </si>
  <si>
    <t>Puissance en entrée du LNA 1</t>
  </si>
  <si>
    <t>Eb/N0 calculé</t>
  </si>
  <si>
    <t>Eb/N0 réel margé</t>
  </si>
  <si>
    <t xml:space="preserve">Eb/N0 calculé </t>
  </si>
  <si>
    <t>On considère l'amplificateur en pied d'antenne (cela évite les pertes câbles)</t>
  </si>
  <si>
    <t>dB/K</t>
  </si>
  <si>
    <t>G/T système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</si>
</sst>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/>
    <xf numFmtId="0" fontId="0" fillId="3" borderId="2" xfId="0" applyNumberFormat="1" applyFill="1" applyBorder="1" applyAlignment="1">
      <alignment horizontal="center" vertical="center"/>
    </xf>
    <xf numFmtId="0" fontId="1" fillId="2" borderId="1" xfId="1"/>
    <xf numFmtId="0" fontId="0" fillId="4" borderId="2" xfId="0" applyFill="1" applyBorder="1"/>
    <xf numFmtId="0" fontId="0" fillId="3" borderId="2" xfId="0" applyFill="1" applyBorder="1" applyAlignment="1">
      <alignment horizontal="center"/>
    </xf>
    <xf numFmtId="0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/>
    <xf numFmtId="0" fontId="0" fillId="5" borderId="0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6" xfId="0" applyFill="1" applyBorder="1"/>
    <xf numFmtId="0" fontId="0" fillId="0" borderId="0" xfId="0" applyAlignment="1">
      <alignment horizontal="left" vertical="center"/>
    </xf>
    <xf numFmtId="0" fontId="0" fillId="0" borderId="0" xfId="0" applyBorder="1" applyAlignment="1">
      <alignment vertical="center" textRotation="90"/>
    </xf>
    <xf numFmtId="0" fontId="0" fillId="8" borderId="2" xfId="0" applyFill="1" applyBorder="1" applyAlignment="1">
      <alignment horizontal="center" vertical="center" wrapText="1"/>
    </xf>
    <xf numFmtId="2" fontId="0" fillId="8" borderId="2" xfId="0" applyNumberFormat="1" applyFill="1" applyBorder="1" applyAlignment="1">
      <alignment vertical="center"/>
    </xf>
    <xf numFmtId="0" fontId="0" fillId="8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wrapText="1"/>
    </xf>
    <xf numFmtId="2" fontId="0" fillId="8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2" xfId="0" quotePrefix="1" applyNumberFormat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2">
    <cellStyle name="Calcul" xfId="1" builtinId="22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672353</xdr:colOff>
      <xdr:row>6</xdr:row>
      <xdr:rowOff>22412</xdr:rowOff>
    </xdr:from>
    <xdr:to>
      <xdr:col>19</xdr:col>
      <xdr:colOff>470647</xdr:colOff>
      <xdr:row>21</xdr:row>
      <xdr:rowOff>89647</xdr:rowOff>
    </xdr:to>
    <xdr:sp macro="" textlink="">
      <xdr:nvSpPr>
        <xdr:cNvPr id="18" name="ZoneTexte 17"/>
        <xdr:cNvSpPr txBox="1"/>
      </xdr:nvSpPr>
      <xdr:spPr>
        <a:xfrm>
          <a:off x="6600265" y="1165412"/>
          <a:ext cx="8684558" cy="26782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100"/>
        </a:p>
      </xdr:txBody>
    </xdr:sp>
    <xdr:clientData/>
  </xdr:twoCellAnchor>
  <xdr:twoCellAnchor>
    <xdr:from>
      <xdr:col>7</xdr:col>
      <xdr:colOff>885265</xdr:colOff>
      <xdr:row>6</xdr:row>
      <xdr:rowOff>156882</xdr:rowOff>
    </xdr:from>
    <xdr:to>
      <xdr:col>7</xdr:col>
      <xdr:colOff>1821369</xdr:colOff>
      <xdr:row>9</xdr:row>
      <xdr:rowOff>140695</xdr:rowOff>
    </xdr:to>
    <xdr:sp macro="" textlink="">
      <xdr:nvSpPr>
        <xdr:cNvPr id="19" name="Rectangle 18"/>
        <xdr:cNvSpPr/>
      </xdr:nvSpPr>
      <xdr:spPr>
        <a:xfrm>
          <a:off x="6813177" y="1299882"/>
          <a:ext cx="936104" cy="43204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>
              <a:solidFill>
                <a:sysClr val="windowText" lastClr="000000"/>
              </a:solidFill>
            </a:rPr>
            <a:t>Source</a:t>
          </a:r>
        </a:p>
      </xdr:txBody>
    </xdr:sp>
    <xdr:clientData/>
  </xdr:twoCellAnchor>
  <xdr:twoCellAnchor>
    <xdr:from>
      <xdr:col>7</xdr:col>
      <xdr:colOff>1569341</xdr:colOff>
      <xdr:row>10</xdr:row>
      <xdr:rowOff>175765</xdr:rowOff>
    </xdr:from>
    <xdr:to>
      <xdr:col>8</xdr:col>
      <xdr:colOff>275474</xdr:colOff>
      <xdr:row>13</xdr:row>
      <xdr:rowOff>180329</xdr:rowOff>
    </xdr:to>
    <xdr:sp macro="" textlink="">
      <xdr:nvSpPr>
        <xdr:cNvPr id="20" name="Rectangle 19"/>
        <xdr:cNvSpPr/>
      </xdr:nvSpPr>
      <xdr:spPr>
        <a:xfrm>
          <a:off x="7172282" y="1957500"/>
          <a:ext cx="936104" cy="57606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>
              <a:solidFill>
                <a:sysClr val="windowText" lastClr="000000"/>
              </a:solidFill>
            </a:rPr>
            <a:t>Câble 1</a:t>
          </a:r>
        </a:p>
        <a:p>
          <a:pPr algn="ctr"/>
          <a:r>
            <a:rPr lang="fr-FR">
              <a:solidFill>
                <a:sysClr val="windowText" lastClr="000000"/>
              </a:solidFill>
            </a:rPr>
            <a:t>T1, G1</a:t>
          </a:r>
        </a:p>
      </xdr:txBody>
    </xdr:sp>
    <xdr:clientData/>
  </xdr:twoCellAnchor>
  <xdr:twoCellAnchor>
    <xdr:from>
      <xdr:col>8</xdr:col>
      <xdr:colOff>527502</xdr:colOff>
      <xdr:row>10</xdr:row>
      <xdr:rowOff>175765</xdr:rowOff>
    </xdr:from>
    <xdr:to>
      <xdr:col>10</xdr:col>
      <xdr:colOff>397387</xdr:colOff>
      <xdr:row>13</xdr:row>
      <xdr:rowOff>180329</xdr:rowOff>
    </xdr:to>
    <xdr:sp macro="" textlink="">
      <xdr:nvSpPr>
        <xdr:cNvPr id="21" name="Rectangle 20"/>
        <xdr:cNvSpPr/>
      </xdr:nvSpPr>
      <xdr:spPr>
        <a:xfrm>
          <a:off x="8360414" y="1957500"/>
          <a:ext cx="1080120" cy="57606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>
              <a:solidFill>
                <a:sysClr val="windowText" lastClr="000000"/>
              </a:solidFill>
            </a:rPr>
            <a:t>Diplexer</a:t>
          </a:r>
        </a:p>
        <a:p>
          <a:pPr algn="ctr"/>
          <a:r>
            <a:rPr lang="fr-FR">
              <a:solidFill>
                <a:sysClr val="windowText" lastClr="000000"/>
              </a:solidFill>
            </a:rPr>
            <a:t>Td, Gd</a:t>
          </a:r>
        </a:p>
      </xdr:txBody>
    </xdr:sp>
    <xdr:clientData/>
  </xdr:twoCellAnchor>
  <xdr:twoCellAnchor>
    <xdr:from>
      <xdr:col>11</xdr:col>
      <xdr:colOff>80301</xdr:colOff>
      <xdr:row>10</xdr:row>
      <xdr:rowOff>175765</xdr:rowOff>
    </xdr:from>
    <xdr:to>
      <xdr:col>12</xdr:col>
      <xdr:colOff>555304</xdr:colOff>
      <xdr:row>13</xdr:row>
      <xdr:rowOff>180329</xdr:rowOff>
    </xdr:to>
    <xdr:sp macro="" textlink="">
      <xdr:nvSpPr>
        <xdr:cNvPr id="22" name="Rectangle 21"/>
        <xdr:cNvSpPr/>
      </xdr:nvSpPr>
      <xdr:spPr>
        <a:xfrm>
          <a:off x="9728566" y="1957500"/>
          <a:ext cx="1080120" cy="57606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>
              <a:solidFill>
                <a:sysClr val="windowText" lastClr="000000"/>
              </a:solidFill>
            </a:rPr>
            <a:t>Câble 2</a:t>
          </a:r>
        </a:p>
        <a:p>
          <a:pPr algn="ctr"/>
          <a:r>
            <a:rPr lang="fr-FR">
              <a:solidFill>
                <a:sysClr val="windowText" lastClr="000000"/>
              </a:solidFill>
            </a:rPr>
            <a:t>T2, G2</a:t>
          </a:r>
        </a:p>
      </xdr:txBody>
    </xdr:sp>
    <xdr:clientData/>
  </xdr:twoCellAnchor>
  <xdr:twoCellAnchor>
    <xdr:from>
      <xdr:col>13</xdr:col>
      <xdr:colOff>166210</xdr:colOff>
      <xdr:row>10</xdr:row>
      <xdr:rowOff>175765</xdr:rowOff>
    </xdr:from>
    <xdr:to>
      <xdr:col>15</xdr:col>
      <xdr:colOff>36095</xdr:colOff>
      <xdr:row>13</xdr:row>
      <xdr:rowOff>180329</xdr:rowOff>
    </xdr:to>
    <xdr:sp macro="" textlink="">
      <xdr:nvSpPr>
        <xdr:cNvPr id="23" name="Rectangle 22"/>
        <xdr:cNvSpPr/>
      </xdr:nvSpPr>
      <xdr:spPr>
        <a:xfrm>
          <a:off x="11024710" y="1957500"/>
          <a:ext cx="1080120" cy="57606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>
              <a:solidFill>
                <a:sysClr val="windowText" lastClr="000000"/>
              </a:solidFill>
            </a:rPr>
            <a:t>LNA</a:t>
          </a:r>
        </a:p>
        <a:p>
          <a:pPr algn="ctr"/>
          <a:r>
            <a:rPr lang="fr-FR">
              <a:solidFill>
                <a:sysClr val="windowText" lastClr="000000"/>
              </a:solidFill>
            </a:rPr>
            <a:t>Tl, Gl</a:t>
          </a:r>
        </a:p>
      </xdr:txBody>
    </xdr:sp>
    <xdr:clientData/>
  </xdr:twoCellAnchor>
  <xdr:twoCellAnchor>
    <xdr:from>
      <xdr:col>15</xdr:col>
      <xdr:colOff>252119</xdr:colOff>
      <xdr:row>10</xdr:row>
      <xdr:rowOff>175765</xdr:rowOff>
    </xdr:from>
    <xdr:to>
      <xdr:col>17</xdr:col>
      <xdr:colOff>122003</xdr:colOff>
      <xdr:row>13</xdr:row>
      <xdr:rowOff>180329</xdr:rowOff>
    </xdr:to>
    <xdr:sp macro="" textlink="">
      <xdr:nvSpPr>
        <xdr:cNvPr id="24" name="Rectangle 23"/>
        <xdr:cNvSpPr/>
      </xdr:nvSpPr>
      <xdr:spPr>
        <a:xfrm>
          <a:off x="12320854" y="1957500"/>
          <a:ext cx="1080120" cy="57606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>
              <a:solidFill>
                <a:sysClr val="windowText" lastClr="000000"/>
              </a:solidFill>
            </a:rPr>
            <a:t>Câble 3</a:t>
          </a:r>
        </a:p>
        <a:p>
          <a:pPr algn="ctr"/>
          <a:r>
            <a:rPr lang="fr-FR">
              <a:solidFill>
                <a:sysClr val="windowText" lastClr="000000"/>
              </a:solidFill>
            </a:rPr>
            <a:t>T3, G3</a:t>
          </a:r>
        </a:p>
      </xdr:txBody>
    </xdr:sp>
    <xdr:clientData/>
  </xdr:twoCellAnchor>
  <xdr:twoCellAnchor>
    <xdr:from>
      <xdr:col>8</xdr:col>
      <xdr:colOff>275474</xdr:colOff>
      <xdr:row>12</xdr:row>
      <xdr:rowOff>82797</xdr:rowOff>
    </xdr:from>
    <xdr:to>
      <xdr:col>8</xdr:col>
      <xdr:colOff>527502</xdr:colOff>
      <xdr:row>12</xdr:row>
      <xdr:rowOff>82797</xdr:rowOff>
    </xdr:to>
    <xdr:cxnSp macro="">
      <xdr:nvCxnSpPr>
        <xdr:cNvPr id="25" name="Connecteur droit avec flèche 24"/>
        <xdr:cNvCxnSpPr>
          <a:stCxn id="20" idx="3"/>
          <a:endCxn id="21" idx="1"/>
        </xdr:cNvCxnSpPr>
      </xdr:nvCxnSpPr>
      <xdr:spPr>
        <a:xfrm>
          <a:off x="8108386" y="2245532"/>
          <a:ext cx="252028" cy="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397387</xdr:colOff>
      <xdr:row>12</xdr:row>
      <xdr:rowOff>82797</xdr:rowOff>
    </xdr:from>
    <xdr:to>
      <xdr:col>11</xdr:col>
      <xdr:colOff>80301</xdr:colOff>
      <xdr:row>12</xdr:row>
      <xdr:rowOff>82797</xdr:rowOff>
    </xdr:to>
    <xdr:cxnSp macro="">
      <xdr:nvCxnSpPr>
        <xdr:cNvPr id="26" name="Connecteur droit avec flèche 25"/>
        <xdr:cNvCxnSpPr>
          <a:stCxn id="21" idx="3"/>
          <a:endCxn id="22" idx="1"/>
        </xdr:cNvCxnSpPr>
      </xdr:nvCxnSpPr>
      <xdr:spPr>
        <a:xfrm>
          <a:off x="9440534" y="2245532"/>
          <a:ext cx="288032" cy="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555304</xdr:colOff>
      <xdr:row>12</xdr:row>
      <xdr:rowOff>82797</xdr:rowOff>
    </xdr:from>
    <xdr:to>
      <xdr:col>13</xdr:col>
      <xdr:colOff>166210</xdr:colOff>
      <xdr:row>12</xdr:row>
      <xdr:rowOff>82797</xdr:rowOff>
    </xdr:to>
    <xdr:cxnSp macro="">
      <xdr:nvCxnSpPr>
        <xdr:cNvPr id="27" name="Connecteur droit avec flèche 26"/>
        <xdr:cNvCxnSpPr>
          <a:stCxn id="22" idx="3"/>
          <a:endCxn id="23" idx="1"/>
        </xdr:cNvCxnSpPr>
      </xdr:nvCxnSpPr>
      <xdr:spPr>
        <a:xfrm>
          <a:off x="10808686" y="2245532"/>
          <a:ext cx="216024" cy="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36095</xdr:colOff>
      <xdr:row>12</xdr:row>
      <xdr:rowOff>23543</xdr:rowOff>
    </xdr:from>
    <xdr:to>
      <xdr:col>15</xdr:col>
      <xdr:colOff>252119</xdr:colOff>
      <xdr:row>12</xdr:row>
      <xdr:rowOff>23543</xdr:rowOff>
    </xdr:to>
    <xdr:cxnSp macro="">
      <xdr:nvCxnSpPr>
        <xdr:cNvPr id="28" name="Connecteur droit avec flèche 27"/>
        <xdr:cNvCxnSpPr/>
      </xdr:nvCxnSpPr>
      <xdr:spPr>
        <a:xfrm>
          <a:off x="12104830" y="2186278"/>
          <a:ext cx="216024" cy="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122003</xdr:colOff>
      <xdr:row>12</xdr:row>
      <xdr:rowOff>82797</xdr:rowOff>
    </xdr:from>
    <xdr:to>
      <xdr:col>17</xdr:col>
      <xdr:colOff>410035</xdr:colOff>
      <xdr:row>12</xdr:row>
      <xdr:rowOff>82797</xdr:rowOff>
    </xdr:to>
    <xdr:cxnSp macro="">
      <xdr:nvCxnSpPr>
        <xdr:cNvPr id="29" name="Connecteur droit avec flèche 28"/>
        <xdr:cNvCxnSpPr>
          <a:stCxn id="24" idx="3"/>
          <a:endCxn id="30" idx="1"/>
        </xdr:cNvCxnSpPr>
      </xdr:nvCxnSpPr>
      <xdr:spPr>
        <a:xfrm>
          <a:off x="13400974" y="2245532"/>
          <a:ext cx="288032" cy="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410035</xdr:colOff>
      <xdr:row>10</xdr:row>
      <xdr:rowOff>175765</xdr:rowOff>
    </xdr:from>
    <xdr:to>
      <xdr:col>19</xdr:col>
      <xdr:colOff>279920</xdr:colOff>
      <xdr:row>13</xdr:row>
      <xdr:rowOff>180329</xdr:rowOff>
    </xdr:to>
    <xdr:sp macro="" textlink="">
      <xdr:nvSpPr>
        <xdr:cNvPr id="30" name="Rectangle 29"/>
        <xdr:cNvSpPr/>
      </xdr:nvSpPr>
      <xdr:spPr>
        <a:xfrm>
          <a:off x="13689006" y="1957500"/>
          <a:ext cx="1080120" cy="57606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>
              <a:solidFill>
                <a:sysClr val="windowText" lastClr="000000"/>
              </a:solidFill>
            </a:rPr>
            <a:t>SATCORE</a:t>
          </a:r>
        </a:p>
      </xdr:txBody>
    </xdr:sp>
    <xdr:clientData/>
  </xdr:twoCellAnchor>
  <xdr:twoCellAnchor>
    <xdr:from>
      <xdr:col>7</xdr:col>
      <xdr:colOff>1353317</xdr:colOff>
      <xdr:row>9</xdr:row>
      <xdr:rowOff>140695</xdr:rowOff>
    </xdr:from>
    <xdr:to>
      <xdr:col>7</xdr:col>
      <xdr:colOff>1569341</xdr:colOff>
      <xdr:row>12</xdr:row>
      <xdr:rowOff>82797</xdr:rowOff>
    </xdr:to>
    <xdr:cxnSp macro="">
      <xdr:nvCxnSpPr>
        <xdr:cNvPr id="31" name="Connecteur en angle 30"/>
        <xdr:cNvCxnSpPr>
          <a:stCxn id="19" idx="2"/>
          <a:endCxn id="20" idx="1"/>
        </xdr:cNvCxnSpPr>
      </xdr:nvCxnSpPr>
      <xdr:spPr>
        <a:xfrm rot="16200000" flipH="1">
          <a:off x="7132440" y="1880719"/>
          <a:ext cx="513602" cy="216024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131458</xdr:colOff>
      <xdr:row>16</xdr:row>
      <xdr:rowOff>165174</xdr:rowOff>
    </xdr:from>
    <xdr:to>
      <xdr:col>17</xdr:col>
      <xdr:colOff>590055</xdr:colOff>
      <xdr:row>20</xdr:row>
      <xdr:rowOff>60855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ZoneTexte 34"/>
            <xdr:cNvSpPr txBox="1"/>
          </xdr:nvSpPr>
          <xdr:spPr>
            <a:xfrm>
              <a:off x="7964370" y="2966645"/>
              <a:ext cx="5904656" cy="65768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fr-FR" b="0" i="1">
                            <a:latin typeface="Cambria Math"/>
                          </a:rPr>
                          <m:t>𝑇</m:t>
                        </m:r>
                      </m:e>
                      <m:sub>
                        <m:r>
                          <a:rPr lang="fr-FR" b="0" i="1">
                            <a:latin typeface="Cambria Math"/>
                          </a:rPr>
                          <m:t>𝑠𝑦𝑠</m:t>
                        </m:r>
                      </m:sub>
                    </m:sSub>
                    <m:r>
                      <a:rPr lang="fr-FR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fr-FR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fr-FR" b="0" i="1">
                            <a:latin typeface="Cambria Math"/>
                          </a:rPr>
                          <m:t>𝑇</m:t>
                        </m:r>
                      </m:e>
                      <m:sub>
                        <m:r>
                          <a:rPr lang="fr-FR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fr-FR" b="0" i="1">
                        <a:latin typeface="Cambria Math"/>
                      </a:rPr>
                      <m:t>+</m:t>
                    </m:r>
                    <m:f>
                      <m:fPr>
                        <m:ctrlPr>
                          <a:rPr lang="fr-FR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fr-FR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fr-FR" b="0" i="1">
                                <a:latin typeface="Cambria Math"/>
                              </a:rPr>
                              <m:t>𝑇</m:t>
                            </m:r>
                          </m:e>
                          <m:sub>
                            <m:r>
                              <a:rPr lang="fr-FR" b="0" i="1">
                                <a:latin typeface="Cambria Math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fr-FR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fr-FR" b="0" i="1">
                                <a:latin typeface="Cambria Math"/>
                              </a:rPr>
                              <m:t>𝐺</m:t>
                            </m:r>
                          </m:e>
                          <m:sub>
                            <m:r>
                              <a:rPr lang="fr-FR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fr-FR" b="0" i="1">
                        <a:latin typeface="Cambria Math"/>
                      </a:rPr>
                      <m:t>+ </m:t>
                    </m:r>
                    <m:f>
                      <m:fPr>
                        <m:ctrlPr>
                          <a:rPr lang="fr-FR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fr-FR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fr-FR" b="0" i="1">
                                <a:latin typeface="Cambria Math"/>
                              </a:rPr>
                              <m:t>𝑇</m:t>
                            </m:r>
                          </m:e>
                          <m:sub>
                            <m:r>
                              <a:rPr lang="fr-FR" b="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fr-FR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fr-FR" b="0" i="1">
                                <a:latin typeface="Cambria Math"/>
                              </a:rPr>
                              <m:t>𝐺</m:t>
                            </m:r>
                          </m:e>
                          <m:sub>
                            <m:r>
                              <a:rPr lang="fr-FR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fr-FR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fr-FR" b="0" i="1">
                                <a:latin typeface="Cambria Math"/>
                              </a:rPr>
                              <m:t>𝐺</m:t>
                            </m:r>
                          </m:e>
                          <m:sub>
                            <m:r>
                              <a:rPr lang="fr-FR" b="0" i="1">
                                <a:latin typeface="Cambria Math"/>
                              </a:rPr>
                              <m:t>𝑑</m:t>
                            </m:r>
                          </m:sub>
                        </m:sSub>
                      </m:den>
                    </m:f>
                    <m:r>
                      <a:rPr lang="fr-FR" b="0" i="1">
                        <a:latin typeface="Cambria Math"/>
                      </a:rPr>
                      <m:t>+</m:t>
                    </m:r>
                    <m:f>
                      <m:fPr>
                        <m:ctrlPr>
                          <a:rPr lang="fr-FR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fr-FR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fr-FR" b="0" i="1">
                                <a:latin typeface="Cambria Math"/>
                              </a:rPr>
                              <m:t>𝑇</m:t>
                            </m:r>
                          </m:e>
                          <m:sub>
                            <m:r>
                              <a:rPr lang="fr-FR" b="0" i="1">
                                <a:latin typeface="Cambria Math"/>
                              </a:rPr>
                              <m:t>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fr-FR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fr-FR" b="0" i="1">
                                <a:latin typeface="Cambria Math"/>
                              </a:rPr>
                              <m:t>𝐺</m:t>
                            </m:r>
                          </m:e>
                          <m:sub>
                            <m:r>
                              <a:rPr lang="fr-FR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fr-FR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fr-FR" b="0" i="1">
                                <a:latin typeface="Cambria Math"/>
                              </a:rPr>
                              <m:t>𝐺</m:t>
                            </m:r>
                          </m:e>
                          <m:sub>
                            <m:r>
                              <a:rPr lang="fr-FR" b="0" i="1">
                                <a:latin typeface="Cambria Math"/>
                              </a:rPr>
                              <m:t>𝑑</m:t>
                            </m:r>
                          </m:sub>
                        </m:sSub>
                        <m:sSub>
                          <m:sSubPr>
                            <m:ctrlPr>
                              <a:rPr lang="fr-FR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fr-FR" b="0" i="1">
                                <a:latin typeface="Cambria Math"/>
                              </a:rPr>
                              <m:t>𝐺</m:t>
                            </m:r>
                          </m:e>
                          <m:sub>
                            <m:r>
                              <a:rPr lang="fr-FR" b="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fr-FR" b="0" i="1">
                        <a:latin typeface="Cambria Math"/>
                      </a:rPr>
                      <m:t> + </m:t>
                    </m:r>
                    <m:f>
                      <m:fPr>
                        <m:ctrlPr>
                          <a:rPr lang="fr-FR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fr-FR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fr-FR" b="0" i="1">
                                <a:latin typeface="Cambria Math"/>
                              </a:rPr>
                              <m:t>𝑇</m:t>
                            </m:r>
                          </m:e>
                          <m:sub>
                            <m:r>
                              <a:rPr lang="fr-FR" b="0" i="1">
                                <a:latin typeface="Cambria Math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fr-FR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fr-FR" b="0" i="1">
                                <a:latin typeface="Cambria Math"/>
                              </a:rPr>
                              <m:t>𝐺</m:t>
                            </m:r>
                          </m:e>
                          <m:sub>
                            <m:r>
                              <a:rPr lang="fr-FR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fr-FR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fr-FR" b="0" i="1">
                                <a:latin typeface="Cambria Math"/>
                              </a:rPr>
                              <m:t>𝐺</m:t>
                            </m:r>
                          </m:e>
                          <m:sub>
                            <m:r>
                              <a:rPr lang="fr-FR" b="0" i="1">
                                <a:latin typeface="Cambria Math"/>
                              </a:rPr>
                              <m:t>𝑑</m:t>
                            </m:r>
                          </m:sub>
                        </m:sSub>
                        <m:sSub>
                          <m:sSubPr>
                            <m:ctrlPr>
                              <a:rPr lang="fr-FR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fr-FR" b="0" i="1">
                                <a:latin typeface="Cambria Math"/>
                              </a:rPr>
                              <m:t>𝐺</m:t>
                            </m:r>
                          </m:e>
                          <m:sub>
                            <m:r>
                              <a:rPr lang="fr-FR" b="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fr-FR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fr-FR" b="0" i="1">
                                <a:latin typeface="Cambria Math"/>
                              </a:rPr>
                              <m:t>𝐺</m:t>
                            </m:r>
                          </m:e>
                          <m:sub>
                            <m:r>
                              <a:rPr lang="fr-FR" b="0" i="1">
                                <a:latin typeface="Cambria Math"/>
                              </a:rPr>
                              <m:t>𝑙</m:t>
                            </m:r>
                          </m:sub>
                        </m:sSub>
                      </m:den>
                    </m:f>
                    <m:r>
                      <a:rPr lang="fr-FR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lang="fr-FR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fr-FR" b="0" i="1">
                            <a:latin typeface="Cambria Math"/>
                          </a:rPr>
                          <m:t>𝑇</m:t>
                        </m:r>
                      </m:e>
                      <m:sub>
                        <m:r>
                          <a:rPr lang="fr-FR" b="0" i="1">
                            <a:latin typeface="Cambria Math"/>
                          </a:rPr>
                          <m:t>𝑠𝑘𝑦</m:t>
                        </m:r>
                      </m:sub>
                    </m:sSub>
                  </m:oMath>
                </m:oMathPara>
              </a14:m>
              <a:endParaRPr lang="fr-FR"/>
            </a:p>
          </xdr:txBody>
        </xdr:sp>
      </mc:Choice>
      <mc:Fallback xmlns="">
        <xdr:sp macro="" textlink="">
          <xdr:nvSpPr>
            <xdr:cNvPr id="32" name="ZoneTexte 34"/>
            <xdr:cNvSpPr txBox="1"/>
          </xdr:nvSpPr>
          <xdr:spPr>
            <a:xfrm>
              <a:off x="7964370" y="2966645"/>
              <a:ext cx="5904656" cy="65768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fr-FR" b="0" i="0">
                  <a:latin typeface="Cambria Math"/>
                </a:rPr>
                <a:t>𝑇_𝑠𝑦𝑠=𝑇_1+𝑇_𝑑/𝐺_1 +  𝑇_2/(𝐺_1 𝐺_𝑑 )+𝑇_𝑙/(𝐺_1 𝐺_𝑑 𝐺_2 )  +  𝑇_3/(𝐺_1 𝐺_𝑑 𝐺_2 𝐺_𝑙 )+𝑇_𝑠𝑘𝑦</a:t>
              </a:r>
              <a:endParaRPr lang="fr-FR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zoomScale="115" zoomScaleNormal="115" workbookViewId="0">
      <selection activeCell="D9" sqref="D9"/>
    </sheetView>
  </sheetViews>
  <sheetFormatPr baseColWidth="10" defaultRowHeight="15" x14ac:dyDescent="0.25"/>
  <cols>
    <col min="2" max="2" width="4.85546875" customWidth="1"/>
    <col min="3" max="3" width="41.7109375" customWidth="1"/>
    <col min="4" max="4" width="11.5703125" customWidth="1"/>
    <col min="5" max="5" width="6" customWidth="1"/>
    <col min="11" max="11" width="15.7109375" customWidth="1"/>
  </cols>
  <sheetData>
    <row r="2" spans="3:5" ht="26.45" customHeight="1" x14ac:dyDescent="0.3">
      <c r="C2" s="37" t="s">
        <v>74</v>
      </c>
      <c r="D2" s="37"/>
      <c r="E2" s="37"/>
    </row>
    <row r="4" spans="3:5" ht="14.45" x14ac:dyDescent="0.3">
      <c r="C4" s="2" t="s">
        <v>30</v>
      </c>
      <c r="D4" s="8">
        <v>600</v>
      </c>
      <c r="E4" s="3" t="s">
        <v>31</v>
      </c>
    </row>
    <row r="5" spans="3:5" ht="14.45" x14ac:dyDescent="0.3">
      <c r="C5" s="2" t="s">
        <v>53</v>
      </c>
      <c r="D5" s="8">
        <v>228.6</v>
      </c>
      <c r="E5" s="3" t="s">
        <v>7</v>
      </c>
    </row>
    <row r="6" spans="3:5" ht="14.45" x14ac:dyDescent="0.3">
      <c r="C6" s="2" t="s">
        <v>54</v>
      </c>
      <c r="D6" s="8">
        <v>299792458</v>
      </c>
      <c r="E6" s="3" t="s">
        <v>55</v>
      </c>
    </row>
    <row r="7" spans="3:5" ht="14.45" x14ac:dyDescent="0.3">
      <c r="C7" s="2" t="s">
        <v>59</v>
      </c>
      <c r="D7" s="8">
        <v>6378.1360000000004</v>
      </c>
      <c r="E7" s="3" t="s">
        <v>31</v>
      </c>
    </row>
    <row r="8" spans="3:5" x14ac:dyDescent="0.25">
      <c r="C8" s="2" t="s">
        <v>56</v>
      </c>
      <c r="D8" s="8">
        <v>10</v>
      </c>
      <c r="E8" s="3" t="s">
        <v>57</v>
      </c>
    </row>
    <row r="9" spans="3:5" ht="14.45" x14ac:dyDescent="0.3">
      <c r="C9" s="2"/>
      <c r="D9" s="2"/>
      <c r="E9" s="3"/>
    </row>
    <row r="10" spans="3:5" ht="14.45" x14ac:dyDescent="0.3">
      <c r="C10" s="39" t="s">
        <v>46</v>
      </c>
      <c r="D10" s="39"/>
      <c r="E10" s="39"/>
    </row>
    <row r="11" spans="3:5" x14ac:dyDescent="0.25">
      <c r="C11" s="2" t="s">
        <v>32</v>
      </c>
      <c r="D11" s="8">
        <v>2263500000</v>
      </c>
      <c r="E11" s="3" t="s">
        <v>33</v>
      </c>
    </row>
    <row r="12" spans="3:5" ht="14.45" x14ac:dyDescent="0.3">
      <c r="C12" s="2" t="s">
        <v>34</v>
      </c>
      <c r="D12" s="8">
        <v>85</v>
      </c>
      <c r="E12" s="3" t="s">
        <v>35</v>
      </c>
    </row>
    <row r="13" spans="3:5" ht="14.45" x14ac:dyDescent="0.3">
      <c r="C13" s="2" t="s">
        <v>36</v>
      </c>
      <c r="D13" s="8">
        <v>2.5</v>
      </c>
      <c r="E13" s="3"/>
    </row>
    <row r="14" spans="3:5" x14ac:dyDescent="0.25">
      <c r="C14" s="2" t="s">
        <v>37</v>
      </c>
      <c r="D14" s="8">
        <v>1.5</v>
      </c>
      <c r="E14" s="3" t="s">
        <v>7</v>
      </c>
    </row>
    <row r="15" spans="3:5" ht="14.45" x14ac:dyDescent="0.3">
      <c r="C15" s="2"/>
      <c r="D15" s="8"/>
      <c r="E15" s="3"/>
    </row>
    <row r="16" spans="3:5" ht="14.45" x14ac:dyDescent="0.3">
      <c r="C16" s="40" t="s">
        <v>73</v>
      </c>
      <c r="D16" s="41"/>
      <c r="E16" s="42"/>
    </row>
    <row r="17" spans="2:8" x14ac:dyDescent="0.25">
      <c r="C17" s="2" t="s">
        <v>32</v>
      </c>
      <c r="D17" s="8">
        <v>2086000000</v>
      </c>
      <c r="E17" s="3" t="s">
        <v>33</v>
      </c>
    </row>
    <row r="18" spans="2:8" ht="14.45" x14ac:dyDescent="0.3">
      <c r="C18" s="2" t="s">
        <v>34</v>
      </c>
      <c r="D18" s="8">
        <v>16</v>
      </c>
      <c r="E18" s="3" t="s">
        <v>35</v>
      </c>
    </row>
    <row r="19" spans="2:8" ht="14.45" x14ac:dyDescent="0.3">
      <c r="C19" s="2" t="s">
        <v>36</v>
      </c>
      <c r="D19" s="8">
        <v>9.6</v>
      </c>
      <c r="E19" s="3"/>
    </row>
    <row r="20" spans="2:8" x14ac:dyDescent="0.25">
      <c r="C20" s="2" t="s">
        <v>37</v>
      </c>
      <c r="D20" s="8">
        <v>1.5</v>
      </c>
      <c r="E20" s="3" t="s">
        <v>7</v>
      </c>
    </row>
    <row r="21" spans="2:8" ht="14.45" x14ac:dyDescent="0.3">
      <c r="C21" s="2"/>
      <c r="D21" s="8"/>
      <c r="E21" s="3"/>
    </row>
    <row r="22" spans="2:8" ht="14.45" x14ac:dyDescent="0.3">
      <c r="C22" s="40" t="s">
        <v>72</v>
      </c>
      <c r="D22" s="41"/>
      <c r="E22" s="42"/>
    </row>
    <row r="23" spans="2:8" ht="14.45" x14ac:dyDescent="0.3">
      <c r="C23" s="2" t="s">
        <v>38</v>
      </c>
      <c r="D23" s="8">
        <v>3</v>
      </c>
      <c r="E23" s="3" t="s">
        <v>7</v>
      </c>
    </row>
    <row r="24" spans="2:8" x14ac:dyDescent="0.25">
      <c r="C24" s="2" t="s">
        <v>39</v>
      </c>
      <c r="D24" s="8">
        <v>1.1000000000000001</v>
      </c>
      <c r="E24" s="3" t="s">
        <v>7</v>
      </c>
    </row>
    <row r="25" spans="2:8" ht="14.45" x14ac:dyDescent="0.3">
      <c r="C25" s="2"/>
      <c r="D25" s="8"/>
      <c r="E25" s="3"/>
    </row>
    <row r="26" spans="2:8" x14ac:dyDescent="0.25">
      <c r="B26" s="38" t="s">
        <v>47</v>
      </c>
      <c r="C26" s="2" t="s">
        <v>75</v>
      </c>
      <c r="D26" s="8">
        <v>2</v>
      </c>
      <c r="E26" s="3" t="s">
        <v>41</v>
      </c>
    </row>
    <row r="27" spans="2:8" x14ac:dyDescent="0.25">
      <c r="B27" s="38"/>
      <c r="C27" s="2" t="s">
        <v>42</v>
      </c>
      <c r="D27" s="8">
        <v>5</v>
      </c>
      <c r="E27" s="3" t="s">
        <v>7</v>
      </c>
    </row>
    <row r="28" spans="2:8" x14ac:dyDescent="0.25">
      <c r="B28" s="38"/>
      <c r="C28" s="2" t="s">
        <v>71</v>
      </c>
      <c r="D28" s="8">
        <v>1</v>
      </c>
      <c r="E28" s="3" t="s">
        <v>5</v>
      </c>
    </row>
    <row r="29" spans="2:8" x14ac:dyDescent="0.25">
      <c r="B29" s="38"/>
      <c r="C29" s="2" t="s">
        <v>70</v>
      </c>
      <c r="D29" s="8">
        <v>0.2</v>
      </c>
      <c r="E29" s="3" t="s">
        <v>6</v>
      </c>
    </row>
    <row r="30" spans="2:8" x14ac:dyDescent="0.25">
      <c r="B30" s="38"/>
      <c r="C30" s="2" t="s">
        <v>43</v>
      </c>
      <c r="D30" s="8">
        <v>0.1</v>
      </c>
      <c r="E30" s="3" t="s">
        <v>7</v>
      </c>
    </row>
    <row r="31" spans="2:8" x14ac:dyDescent="0.25">
      <c r="B31" s="38"/>
      <c r="C31" s="2" t="s">
        <v>44</v>
      </c>
      <c r="D31" s="8">
        <v>4.5</v>
      </c>
      <c r="E31" s="3" t="s">
        <v>7</v>
      </c>
    </row>
    <row r="32" spans="2:8" x14ac:dyDescent="0.25">
      <c r="B32" s="38"/>
      <c r="C32" s="2" t="s">
        <v>45</v>
      </c>
      <c r="D32" s="8">
        <v>0</v>
      </c>
      <c r="E32" s="3" t="s">
        <v>7</v>
      </c>
      <c r="F32" s="1">
        <v>16.649999999999999</v>
      </c>
      <c r="G32" s="1">
        <v>24</v>
      </c>
      <c r="H32" s="35">
        <v>30</v>
      </c>
    </row>
    <row r="33" spans="2:5" ht="14.45" x14ac:dyDescent="0.3">
      <c r="C33" s="2"/>
      <c r="D33" s="8"/>
      <c r="E33" s="3"/>
    </row>
    <row r="34" spans="2:5" ht="14.45" customHeight="1" x14ac:dyDescent="0.25">
      <c r="B34" s="38" t="s">
        <v>52</v>
      </c>
      <c r="C34" s="2" t="s">
        <v>48</v>
      </c>
      <c r="D34" s="8">
        <v>34</v>
      </c>
      <c r="E34" s="3" t="s">
        <v>7</v>
      </c>
    </row>
    <row r="35" spans="2:5" x14ac:dyDescent="0.25">
      <c r="B35" s="38"/>
      <c r="C35" s="2" t="s">
        <v>76</v>
      </c>
      <c r="D35" s="8">
        <v>50</v>
      </c>
      <c r="E35" s="3" t="s">
        <v>41</v>
      </c>
    </row>
    <row r="36" spans="2:5" x14ac:dyDescent="0.25">
      <c r="B36" s="38"/>
      <c r="C36" s="2" t="s">
        <v>45</v>
      </c>
      <c r="D36" s="8">
        <v>3</v>
      </c>
      <c r="E36" s="3" t="s">
        <v>7</v>
      </c>
    </row>
    <row r="37" spans="2:5" x14ac:dyDescent="0.25">
      <c r="B37" s="38"/>
      <c r="C37" s="2" t="s">
        <v>43</v>
      </c>
      <c r="D37" s="8">
        <v>0.1</v>
      </c>
      <c r="E37" s="3" t="s">
        <v>7</v>
      </c>
    </row>
    <row r="38" spans="2:5" x14ac:dyDescent="0.25">
      <c r="B38" s="38"/>
      <c r="C38" s="2" t="s">
        <v>49</v>
      </c>
      <c r="D38" s="8">
        <v>0.2</v>
      </c>
      <c r="E38" s="3" t="s">
        <v>6</v>
      </c>
    </row>
    <row r="39" spans="2:5" x14ac:dyDescent="0.25">
      <c r="B39" s="38"/>
      <c r="C39" s="2" t="s">
        <v>50</v>
      </c>
      <c r="D39" s="8">
        <v>1</v>
      </c>
      <c r="E39" s="3" t="s">
        <v>5</v>
      </c>
    </row>
    <row r="40" spans="2:5" x14ac:dyDescent="0.25">
      <c r="B40" s="38"/>
      <c r="C40" s="2" t="s">
        <v>51</v>
      </c>
      <c r="D40" s="8">
        <v>0.6</v>
      </c>
      <c r="E40" s="3" t="s">
        <v>7</v>
      </c>
    </row>
    <row r="41" spans="2:5" x14ac:dyDescent="0.25">
      <c r="B41" s="38"/>
      <c r="C41" s="2" t="s">
        <v>96</v>
      </c>
      <c r="D41" s="8">
        <v>0.3</v>
      </c>
      <c r="E41" s="3" t="s">
        <v>6</v>
      </c>
    </row>
    <row r="42" spans="2:5" x14ac:dyDescent="0.25">
      <c r="B42" s="38"/>
      <c r="C42" s="2" t="s">
        <v>97</v>
      </c>
      <c r="D42" s="8">
        <v>1</v>
      </c>
      <c r="E42" s="3" t="s">
        <v>5</v>
      </c>
    </row>
    <row r="43" spans="2:5" x14ac:dyDescent="0.25">
      <c r="B43" s="38"/>
      <c r="C43" s="2" t="s">
        <v>98</v>
      </c>
      <c r="D43" s="8">
        <v>43</v>
      </c>
      <c r="E43" s="3" t="s">
        <v>7</v>
      </c>
    </row>
    <row r="44" spans="2:5" x14ac:dyDescent="0.25">
      <c r="B44" s="38"/>
      <c r="C44" s="2" t="s">
        <v>99</v>
      </c>
      <c r="D44" s="8">
        <v>0.45</v>
      </c>
      <c r="E44" s="3"/>
    </row>
    <row r="45" spans="2:5" x14ac:dyDescent="0.25">
      <c r="B45" s="38"/>
      <c r="C45" s="2" t="s">
        <v>101</v>
      </c>
      <c r="D45" s="8">
        <v>40</v>
      </c>
      <c r="E45" s="3" t="s">
        <v>6</v>
      </c>
    </row>
    <row r="46" spans="2:5" x14ac:dyDescent="0.25">
      <c r="B46" s="38"/>
      <c r="C46" s="2" t="s">
        <v>102</v>
      </c>
      <c r="D46" s="8">
        <v>0.4</v>
      </c>
      <c r="E46" s="3" t="s">
        <v>5</v>
      </c>
    </row>
    <row r="47" spans="2:5" x14ac:dyDescent="0.25">
      <c r="B47" s="38"/>
      <c r="C47" s="2" t="s">
        <v>103</v>
      </c>
      <c r="D47" s="8">
        <v>25</v>
      </c>
      <c r="E47" s="3" t="s">
        <v>7</v>
      </c>
    </row>
    <row r="48" spans="2:5" x14ac:dyDescent="0.25">
      <c r="B48" s="38"/>
      <c r="C48" s="2" t="s">
        <v>104</v>
      </c>
      <c r="D48" s="8">
        <v>1.3</v>
      </c>
      <c r="E48" s="3"/>
    </row>
    <row r="49" spans="2:5" x14ac:dyDescent="0.25">
      <c r="B49" s="38"/>
      <c r="C49" s="2" t="s">
        <v>105</v>
      </c>
      <c r="D49" s="8">
        <v>1</v>
      </c>
      <c r="E49" s="3" t="s">
        <v>6</v>
      </c>
    </row>
    <row r="50" spans="2:5" x14ac:dyDescent="0.25">
      <c r="B50" s="38"/>
      <c r="C50" s="2" t="s">
        <v>106</v>
      </c>
      <c r="D50" s="8">
        <v>0.5</v>
      </c>
      <c r="E50" s="3" t="s">
        <v>5</v>
      </c>
    </row>
    <row r="51" spans="2:5" x14ac:dyDescent="0.25">
      <c r="B51" s="38"/>
      <c r="C51" s="2" t="s">
        <v>109</v>
      </c>
      <c r="D51" s="8">
        <v>9</v>
      </c>
      <c r="E51" s="3"/>
    </row>
    <row r="52" spans="2:5" x14ac:dyDescent="0.25">
      <c r="B52" s="38"/>
      <c r="C52" s="7" t="s">
        <v>93</v>
      </c>
      <c r="D52" s="8">
        <v>4</v>
      </c>
      <c r="E52" s="31" t="s">
        <v>6</v>
      </c>
    </row>
    <row r="53" spans="2:5" x14ac:dyDescent="0.25">
      <c r="B53" s="38"/>
      <c r="C53" s="7" t="s">
        <v>94</v>
      </c>
      <c r="D53" s="8">
        <v>0.4</v>
      </c>
      <c r="E53" s="31" t="s">
        <v>5</v>
      </c>
    </row>
  </sheetData>
  <mergeCells count="6">
    <mergeCell ref="C2:E2"/>
    <mergeCell ref="B34:B53"/>
    <mergeCell ref="C10:E10"/>
    <mergeCell ref="B26:B32"/>
    <mergeCell ref="C22:E22"/>
    <mergeCell ref="C16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0"/>
  <sheetViews>
    <sheetView tabSelected="1" zoomScale="85" zoomScaleNormal="85" workbookViewId="0">
      <selection activeCell="K28" sqref="K28"/>
    </sheetView>
  </sheetViews>
  <sheetFormatPr baseColWidth="10" defaultColWidth="9.140625" defaultRowHeight="15" x14ac:dyDescent="0.25"/>
  <cols>
    <col min="3" max="3" width="34.42578125" customWidth="1"/>
    <col min="8" max="8" width="33.42578125" customWidth="1"/>
  </cols>
  <sheetData>
    <row r="3" spans="2:5" x14ac:dyDescent="0.25">
      <c r="C3" s="2" t="s">
        <v>16</v>
      </c>
      <c r="D3" s="11">
        <v>290</v>
      </c>
      <c r="E3" s="3" t="s">
        <v>8</v>
      </c>
    </row>
    <row r="4" spans="2:5" x14ac:dyDescent="0.25">
      <c r="C4" s="2" t="s">
        <v>17</v>
      </c>
      <c r="D4" s="11">
        <v>50</v>
      </c>
      <c r="E4" s="3" t="s">
        <v>8</v>
      </c>
    </row>
    <row r="5" spans="2:5" ht="14.45" x14ac:dyDescent="0.3">
      <c r="D5" s="1"/>
      <c r="E5" s="1"/>
    </row>
    <row r="6" spans="2:5" x14ac:dyDescent="0.25">
      <c r="B6" s="46" t="s">
        <v>4</v>
      </c>
      <c r="C6" s="2" t="s">
        <v>0</v>
      </c>
      <c r="D6" s="8">
        <f>Input!D39</f>
        <v>1</v>
      </c>
      <c r="E6" s="4" t="s">
        <v>5</v>
      </c>
    </row>
    <row r="7" spans="2:5" x14ac:dyDescent="0.25">
      <c r="B7" s="46"/>
      <c r="C7" s="2" t="s">
        <v>1</v>
      </c>
      <c r="D7" s="8">
        <f>Input!D38</f>
        <v>0.2</v>
      </c>
      <c r="E7" s="4" t="s">
        <v>6</v>
      </c>
    </row>
    <row r="8" spans="2:5" ht="5.25" customHeight="1" x14ac:dyDescent="0.25">
      <c r="B8" s="46"/>
      <c r="C8" s="15"/>
      <c r="D8" s="16"/>
      <c r="E8" s="17"/>
    </row>
    <row r="9" spans="2:5" x14ac:dyDescent="0.25">
      <c r="B9" s="46"/>
      <c r="C9" s="2" t="s">
        <v>2</v>
      </c>
      <c r="D9" s="12">
        <f>D6*D7</f>
        <v>0.2</v>
      </c>
      <c r="E9" s="4" t="s">
        <v>7</v>
      </c>
    </row>
    <row r="10" spans="2:5" x14ac:dyDescent="0.25">
      <c r="B10" s="46"/>
      <c r="C10" s="2" t="s">
        <v>3</v>
      </c>
      <c r="D10" s="12">
        <f>D9</f>
        <v>0.2</v>
      </c>
      <c r="E10" s="5" t="s">
        <v>7</v>
      </c>
    </row>
    <row r="11" spans="2:5" x14ac:dyDescent="0.25">
      <c r="B11" s="46"/>
      <c r="C11" s="2" t="s">
        <v>18</v>
      </c>
      <c r="D11" s="12">
        <f>( 10^(D10/10)  - 1   )*$D$3</f>
        <v>13.667278934760887</v>
      </c>
      <c r="E11" s="4" t="s">
        <v>8</v>
      </c>
    </row>
    <row r="12" spans="2:5" x14ac:dyDescent="0.25">
      <c r="B12" s="46"/>
      <c r="C12" s="7" t="s">
        <v>9</v>
      </c>
      <c r="D12" s="13">
        <f>-D9</f>
        <v>-0.2</v>
      </c>
      <c r="E12" s="5" t="s">
        <v>7</v>
      </c>
    </row>
    <row r="13" spans="2:5" x14ac:dyDescent="0.25">
      <c r="B13" s="46"/>
      <c r="C13" s="7" t="s">
        <v>19</v>
      </c>
      <c r="D13" s="13">
        <f>10^(D12/10)</f>
        <v>0.95499258602143589</v>
      </c>
      <c r="E13" s="5" t="s">
        <v>15</v>
      </c>
    </row>
    <row r="14" spans="2:5" ht="14.45" x14ac:dyDescent="0.3">
      <c r="D14" s="6"/>
      <c r="E14" s="1"/>
    </row>
    <row r="15" spans="2:5" x14ac:dyDescent="0.25">
      <c r="B15" s="46" t="s">
        <v>11</v>
      </c>
      <c r="C15" s="2" t="s">
        <v>10</v>
      </c>
      <c r="D15" s="8">
        <f>Input!D40</f>
        <v>0.6</v>
      </c>
      <c r="E15" s="4" t="s">
        <v>7</v>
      </c>
    </row>
    <row r="16" spans="2:5" ht="5.25" customHeight="1" x14ac:dyDescent="0.25">
      <c r="B16" s="46"/>
      <c r="C16" s="15"/>
      <c r="D16" s="16"/>
      <c r="E16" s="17"/>
    </row>
    <row r="17" spans="2:5" x14ac:dyDescent="0.25">
      <c r="B17" s="46"/>
      <c r="C17" s="2" t="s">
        <v>3</v>
      </c>
      <c r="D17" s="12">
        <f>D15</f>
        <v>0.6</v>
      </c>
      <c r="E17" s="5" t="s">
        <v>7</v>
      </c>
    </row>
    <row r="18" spans="2:5" x14ac:dyDescent="0.25">
      <c r="B18" s="46"/>
      <c r="C18" s="2" t="s">
        <v>20</v>
      </c>
      <c r="D18" s="12">
        <f>( 10^(D17/10)  - 1   )*$D$3</f>
        <v>42.964550234096016</v>
      </c>
      <c r="E18" s="4" t="s">
        <v>8</v>
      </c>
    </row>
    <row r="19" spans="2:5" x14ac:dyDescent="0.25">
      <c r="B19" s="46"/>
      <c r="C19" s="7" t="s">
        <v>9</v>
      </c>
      <c r="D19" s="13">
        <f>-D15</f>
        <v>-0.6</v>
      </c>
      <c r="E19" s="5" t="s">
        <v>7</v>
      </c>
    </row>
    <row r="20" spans="2:5" x14ac:dyDescent="0.25">
      <c r="B20" s="46"/>
      <c r="C20" s="7" t="s">
        <v>21</v>
      </c>
      <c r="D20" s="13">
        <f>10^(D19/10)</f>
        <v>0.87096358995608059</v>
      </c>
      <c r="E20" s="5" t="s">
        <v>15</v>
      </c>
    </row>
    <row r="21" spans="2:5" ht="14.45" x14ac:dyDescent="0.3">
      <c r="D21" s="6"/>
      <c r="E21" s="1"/>
    </row>
    <row r="22" spans="2:5" x14ac:dyDescent="0.25">
      <c r="B22" s="46" t="s">
        <v>12</v>
      </c>
      <c r="C22" s="2" t="s">
        <v>0</v>
      </c>
      <c r="D22" s="8">
        <f>Input!D42</f>
        <v>1</v>
      </c>
      <c r="E22" s="4" t="s">
        <v>5</v>
      </c>
    </row>
    <row r="23" spans="2:5" x14ac:dyDescent="0.25">
      <c r="B23" s="46"/>
      <c r="C23" s="2" t="s">
        <v>1</v>
      </c>
      <c r="D23" s="8">
        <f>Input!D41</f>
        <v>0.3</v>
      </c>
      <c r="E23" s="4" t="s">
        <v>6</v>
      </c>
    </row>
    <row r="24" spans="2:5" ht="5.25" customHeight="1" x14ac:dyDescent="0.25">
      <c r="B24" s="46"/>
      <c r="C24" s="15"/>
      <c r="D24" s="16"/>
      <c r="E24" s="17"/>
    </row>
    <row r="25" spans="2:5" x14ac:dyDescent="0.25">
      <c r="B25" s="46"/>
      <c r="C25" s="2" t="s">
        <v>2</v>
      </c>
      <c r="D25" s="12">
        <f>D22*D23</f>
        <v>0.3</v>
      </c>
      <c r="E25" s="4" t="s">
        <v>7</v>
      </c>
    </row>
    <row r="26" spans="2:5" x14ac:dyDescent="0.25">
      <c r="B26" s="46"/>
      <c r="C26" s="2" t="s">
        <v>3</v>
      </c>
      <c r="D26" s="12">
        <f>D25</f>
        <v>0.3</v>
      </c>
      <c r="E26" s="5" t="s">
        <v>7</v>
      </c>
    </row>
    <row r="27" spans="2:5" x14ac:dyDescent="0.25">
      <c r="B27" s="46"/>
      <c r="C27" s="2" t="s">
        <v>22</v>
      </c>
      <c r="D27" s="12">
        <f>( 10^(D26/10)  - 1   )*$D$3</f>
        <v>20.740598518905859</v>
      </c>
      <c r="E27" s="4" t="s">
        <v>8</v>
      </c>
    </row>
    <row r="28" spans="2:5" x14ac:dyDescent="0.25">
      <c r="B28" s="46"/>
      <c r="C28" s="7" t="s">
        <v>9</v>
      </c>
      <c r="D28" s="13">
        <f>-D25</f>
        <v>-0.3</v>
      </c>
      <c r="E28" s="5" t="s">
        <v>7</v>
      </c>
    </row>
    <row r="29" spans="2:5" x14ac:dyDescent="0.25">
      <c r="B29" s="46"/>
      <c r="C29" s="7" t="s">
        <v>23</v>
      </c>
      <c r="D29" s="13">
        <f>10^(D28/10)</f>
        <v>0.93325430079699101</v>
      </c>
      <c r="E29" s="5" t="s">
        <v>15</v>
      </c>
    </row>
    <row r="30" spans="2:5" ht="14.45" x14ac:dyDescent="0.3">
      <c r="D30" s="6"/>
      <c r="E30" s="1"/>
    </row>
    <row r="31" spans="2:5" x14ac:dyDescent="0.25">
      <c r="B31" s="46" t="s">
        <v>107</v>
      </c>
      <c r="C31" s="2" t="s">
        <v>3</v>
      </c>
      <c r="D31" s="8">
        <f>Input!D44</f>
        <v>0.45</v>
      </c>
      <c r="E31" s="5" t="s">
        <v>7</v>
      </c>
    </row>
    <row r="32" spans="2:5" x14ac:dyDescent="0.25">
      <c r="B32" s="46"/>
      <c r="C32" s="7" t="s">
        <v>9</v>
      </c>
      <c r="D32" s="14">
        <f>Input!D43</f>
        <v>43</v>
      </c>
      <c r="E32" s="5" t="s">
        <v>7</v>
      </c>
    </row>
    <row r="33" spans="2:5" ht="5.25" customHeight="1" x14ac:dyDescent="0.25">
      <c r="B33" s="46"/>
      <c r="C33" s="15"/>
      <c r="D33" s="16"/>
      <c r="E33" s="17"/>
    </row>
    <row r="34" spans="2:5" x14ac:dyDescent="0.25">
      <c r="B34" s="46"/>
      <c r="C34" s="2" t="s">
        <v>24</v>
      </c>
      <c r="D34" s="12">
        <f>( 10^(D31/10)  - 1   )*$D$3</f>
        <v>31.660696426096298</v>
      </c>
      <c r="E34" s="4" t="s">
        <v>8</v>
      </c>
    </row>
    <row r="35" spans="2:5" x14ac:dyDescent="0.25">
      <c r="B35" s="46"/>
      <c r="C35" s="7" t="s">
        <v>25</v>
      </c>
      <c r="D35" s="13">
        <f>10^(D32/10)</f>
        <v>19952.623149688792</v>
      </c>
      <c r="E35" s="5" t="s">
        <v>15</v>
      </c>
    </row>
    <row r="36" spans="2:5" ht="14.45" x14ac:dyDescent="0.3">
      <c r="D36" s="6"/>
      <c r="E36" s="1"/>
    </row>
    <row r="37" spans="2:5" x14ac:dyDescent="0.25">
      <c r="B37" s="46" t="s">
        <v>14</v>
      </c>
      <c r="C37" s="2" t="s">
        <v>0</v>
      </c>
      <c r="D37" s="8">
        <f>Input!D46</f>
        <v>0.4</v>
      </c>
      <c r="E37" s="4" t="s">
        <v>5</v>
      </c>
    </row>
    <row r="38" spans="2:5" x14ac:dyDescent="0.25">
      <c r="B38" s="46"/>
      <c r="C38" s="2" t="s">
        <v>1</v>
      </c>
      <c r="D38" s="8">
        <f>Input!D45</f>
        <v>40</v>
      </c>
      <c r="E38" s="4" t="s">
        <v>6</v>
      </c>
    </row>
    <row r="39" spans="2:5" ht="5.25" customHeight="1" x14ac:dyDescent="0.25">
      <c r="B39" s="46"/>
      <c r="C39" s="15"/>
      <c r="D39" s="16"/>
      <c r="E39" s="17"/>
    </row>
    <row r="40" spans="2:5" x14ac:dyDescent="0.25">
      <c r="B40" s="46"/>
      <c r="C40" s="2" t="s">
        <v>2</v>
      </c>
      <c r="D40" s="12">
        <f>D37*D38</f>
        <v>16</v>
      </c>
      <c r="E40" s="4" t="s">
        <v>7</v>
      </c>
    </row>
    <row r="41" spans="2:5" x14ac:dyDescent="0.25">
      <c r="B41" s="46"/>
      <c r="C41" s="2" t="s">
        <v>3</v>
      </c>
      <c r="D41" s="12">
        <f>D40</f>
        <v>16</v>
      </c>
      <c r="E41" s="5" t="s">
        <v>7</v>
      </c>
    </row>
    <row r="42" spans="2:5" x14ac:dyDescent="0.25">
      <c r="B42" s="46"/>
      <c r="C42" s="2" t="s">
        <v>26</v>
      </c>
      <c r="D42" s="12">
        <f>( 10^(D41/10)  - 1   )*$D$3</f>
        <v>11255.107946051428</v>
      </c>
      <c r="E42" s="4" t="s">
        <v>8</v>
      </c>
    </row>
    <row r="43" spans="2:5" x14ac:dyDescent="0.25">
      <c r="B43" s="46"/>
      <c r="C43" s="7" t="s">
        <v>9</v>
      </c>
      <c r="D43" s="13">
        <f>-D40</f>
        <v>-16</v>
      </c>
      <c r="E43" s="5" t="s">
        <v>7</v>
      </c>
    </row>
    <row r="44" spans="2:5" x14ac:dyDescent="0.25">
      <c r="B44" s="46"/>
      <c r="C44" s="7" t="s">
        <v>27</v>
      </c>
      <c r="D44" s="13">
        <f>10^(D43/10)</f>
        <v>2.511886431509578E-2</v>
      </c>
      <c r="E44" s="5" t="s">
        <v>15</v>
      </c>
    </row>
    <row r="45" spans="2:5" x14ac:dyDescent="0.25">
      <c r="C45" s="32"/>
      <c r="D45" s="13"/>
      <c r="E45" s="33"/>
    </row>
    <row r="46" spans="2:5" x14ac:dyDescent="0.25">
      <c r="C46" s="32"/>
      <c r="D46" s="13"/>
      <c r="E46" s="33"/>
    </row>
    <row r="47" spans="2:5" x14ac:dyDescent="0.25">
      <c r="B47" s="46" t="s">
        <v>108</v>
      </c>
      <c r="C47" s="2" t="s">
        <v>3</v>
      </c>
      <c r="D47" s="8">
        <f>Input!D48</f>
        <v>1.3</v>
      </c>
      <c r="E47" s="5" t="s">
        <v>7</v>
      </c>
    </row>
    <row r="48" spans="2:5" x14ac:dyDescent="0.25">
      <c r="B48" s="46"/>
      <c r="C48" s="7" t="s">
        <v>9</v>
      </c>
      <c r="D48" s="14">
        <f>Input!D47</f>
        <v>25</v>
      </c>
      <c r="E48" s="5" t="s">
        <v>7</v>
      </c>
    </row>
    <row r="49" spans="2:5" x14ac:dyDescent="0.25">
      <c r="B49" s="46"/>
      <c r="C49" s="15"/>
      <c r="D49" s="16"/>
      <c r="E49" s="17"/>
    </row>
    <row r="50" spans="2:5" x14ac:dyDescent="0.25">
      <c r="B50" s="46"/>
      <c r="C50" s="2" t="s">
        <v>24</v>
      </c>
      <c r="D50" s="12">
        <f>( 10^(D47/10)  - 1   )*$D$3</f>
        <v>101.1992359515796</v>
      </c>
      <c r="E50" s="4" t="s">
        <v>8</v>
      </c>
    </row>
    <row r="51" spans="2:5" x14ac:dyDescent="0.25">
      <c r="B51" s="46"/>
      <c r="C51" s="7" t="s">
        <v>25</v>
      </c>
      <c r="D51" s="13">
        <f>10^(D48/10)</f>
        <v>316.22776601683825</v>
      </c>
      <c r="E51" s="5" t="s">
        <v>15</v>
      </c>
    </row>
    <row r="52" spans="2:5" x14ac:dyDescent="0.25">
      <c r="C52" s="32"/>
      <c r="D52" s="32"/>
      <c r="E52" s="33"/>
    </row>
    <row r="53" spans="2:5" x14ac:dyDescent="0.25">
      <c r="C53" s="32"/>
      <c r="D53" s="32"/>
      <c r="E53" s="33"/>
    </row>
    <row r="54" spans="2:5" x14ac:dyDescent="0.25">
      <c r="B54" s="46" t="s">
        <v>100</v>
      </c>
      <c r="C54" s="2" t="s">
        <v>0</v>
      </c>
      <c r="D54" s="8">
        <f>Input!D50</f>
        <v>0.5</v>
      </c>
      <c r="E54" s="4" t="s">
        <v>5</v>
      </c>
    </row>
    <row r="55" spans="2:5" x14ac:dyDescent="0.25">
      <c r="B55" s="46"/>
      <c r="C55" s="2" t="s">
        <v>1</v>
      </c>
      <c r="D55" s="8">
        <f>Input!D49</f>
        <v>1</v>
      </c>
      <c r="E55" s="4" t="s">
        <v>6</v>
      </c>
    </row>
    <row r="56" spans="2:5" x14ac:dyDescent="0.25">
      <c r="B56" s="46"/>
      <c r="C56" s="15"/>
      <c r="D56" s="16"/>
      <c r="E56" s="17"/>
    </row>
    <row r="57" spans="2:5" ht="13.15" customHeight="1" x14ac:dyDescent="0.25">
      <c r="B57" s="46"/>
      <c r="C57" s="2" t="s">
        <v>2</v>
      </c>
      <c r="D57" s="12">
        <f>D54*D55</f>
        <v>0.5</v>
      </c>
      <c r="E57" s="4" t="s">
        <v>7</v>
      </c>
    </row>
    <row r="58" spans="2:5" x14ac:dyDescent="0.25">
      <c r="B58" s="46"/>
      <c r="C58" s="2" t="s">
        <v>3</v>
      </c>
      <c r="D58" s="12">
        <f>D57</f>
        <v>0.5</v>
      </c>
      <c r="E58" s="5" t="s">
        <v>7</v>
      </c>
    </row>
    <row r="59" spans="2:5" x14ac:dyDescent="0.25">
      <c r="B59" s="46"/>
      <c r="C59" s="2" t="s">
        <v>26</v>
      </c>
      <c r="D59" s="12">
        <f>( 10^(D58/10)  - 1   )*$D$3</f>
        <v>35.38535174756943</v>
      </c>
      <c r="E59" s="4" t="s">
        <v>8</v>
      </c>
    </row>
    <row r="60" spans="2:5" x14ac:dyDescent="0.25">
      <c r="B60" s="46"/>
      <c r="C60" s="7" t="s">
        <v>9</v>
      </c>
      <c r="D60" s="13">
        <f>-D57</f>
        <v>-0.5</v>
      </c>
      <c r="E60" s="5" t="s">
        <v>7</v>
      </c>
    </row>
    <row r="61" spans="2:5" x14ac:dyDescent="0.25">
      <c r="B61" s="46"/>
      <c r="C61" s="7" t="s">
        <v>27</v>
      </c>
      <c r="D61" s="13">
        <f>10^(D60/10)</f>
        <v>0.89125093813374545</v>
      </c>
      <c r="E61" s="5" t="s">
        <v>15</v>
      </c>
    </row>
    <row r="62" spans="2:5" x14ac:dyDescent="0.25">
      <c r="D62" s="32"/>
    </row>
    <row r="63" spans="2:5" x14ac:dyDescent="0.25">
      <c r="B63" s="43" t="s">
        <v>95</v>
      </c>
      <c r="C63" s="2" t="s">
        <v>3</v>
      </c>
      <c r="D63" s="8">
        <v>8</v>
      </c>
      <c r="E63" s="5" t="s">
        <v>7</v>
      </c>
    </row>
    <row r="64" spans="2:5" x14ac:dyDescent="0.25">
      <c r="B64" s="44"/>
      <c r="C64" s="7" t="s">
        <v>9</v>
      </c>
      <c r="D64" s="14">
        <f>Input!D63</f>
        <v>0</v>
      </c>
      <c r="E64" s="5" t="s">
        <v>7</v>
      </c>
    </row>
    <row r="65" spans="2:5" x14ac:dyDescent="0.25">
      <c r="B65" s="44"/>
      <c r="C65" s="15"/>
      <c r="D65" s="16"/>
      <c r="E65" s="17"/>
    </row>
    <row r="66" spans="2:5" x14ac:dyDescent="0.25">
      <c r="B66" s="44"/>
      <c r="C66" s="2" t="s">
        <v>24</v>
      </c>
      <c r="D66" s="12">
        <f>( 10^(D63/10)  - 1   )*$D$3</f>
        <v>1539.7762989925609</v>
      </c>
      <c r="E66" s="4" t="s">
        <v>8</v>
      </c>
    </row>
    <row r="67" spans="2:5" x14ac:dyDescent="0.25">
      <c r="B67" s="45"/>
      <c r="C67" s="7" t="s">
        <v>25</v>
      </c>
      <c r="D67" s="13">
        <f>10^(D64/10)</f>
        <v>1</v>
      </c>
      <c r="E67" s="5" t="s">
        <v>15</v>
      </c>
    </row>
    <row r="69" spans="2:5" x14ac:dyDescent="0.25">
      <c r="C69" s="10" t="s">
        <v>28</v>
      </c>
      <c r="D69" s="9">
        <f>D11 + D18/D13 + D27/(D13*D20) + D34/(D13*D20*D29) + D42/(D13*D20*D29*D35) + D4  + D50/(D44*D35*D29*D20*D13) + D59/ (D51*D44*D35*D29*D20*D13)+ D66/(D13*D20*D29*D35*D44*D51*D61)</f>
        <v>175.38039141157611</v>
      </c>
      <c r="E69" s="3" t="s">
        <v>8</v>
      </c>
    </row>
    <row r="70" spans="2:5" x14ac:dyDescent="0.25">
      <c r="C70" s="10" t="s">
        <v>119</v>
      </c>
      <c r="D70" s="9">
        <f xml:space="preserve"> Input!$D$34 - 10*LOG(Temperature_sol!$D$69)</f>
        <v>11.560189650053108</v>
      </c>
      <c r="E70" s="3" t="s">
        <v>118</v>
      </c>
    </row>
  </sheetData>
  <mergeCells count="8">
    <mergeCell ref="B63:B67"/>
    <mergeCell ref="B37:B44"/>
    <mergeCell ref="B6:B13"/>
    <mergeCell ref="B22:B29"/>
    <mergeCell ref="B15:B20"/>
    <mergeCell ref="B31:B35"/>
    <mergeCell ref="B47:B51"/>
    <mergeCell ref="B54:B6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9"/>
  <sheetViews>
    <sheetView zoomScale="85" zoomScaleNormal="85" workbookViewId="0">
      <selection activeCell="D39" sqref="D39"/>
    </sheetView>
  </sheetViews>
  <sheetFormatPr baseColWidth="10" defaultColWidth="9.140625" defaultRowHeight="15" x14ac:dyDescent="0.25"/>
  <cols>
    <col min="3" max="3" width="34.42578125" customWidth="1"/>
    <col min="8" max="8" width="33.42578125" customWidth="1"/>
  </cols>
  <sheetData>
    <row r="3" spans="2:5" x14ac:dyDescent="0.25">
      <c r="C3" s="2" t="s">
        <v>16</v>
      </c>
      <c r="D3" s="11">
        <v>290</v>
      </c>
      <c r="E3" s="3" t="s">
        <v>8</v>
      </c>
    </row>
    <row r="4" spans="2:5" x14ac:dyDescent="0.25">
      <c r="C4" s="2" t="s">
        <v>29</v>
      </c>
      <c r="D4" s="11">
        <v>300</v>
      </c>
      <c r="E4" s="3" t="s">
        <v>8</v>
      </c>
    </row>
    <row r="5" spans="2:5" ht="14.45" x14ac:dyDescent="0.3">
      <c r="D5" s="1"/>
      <c r="E5" s="1"/>
    </row>
    <row r="6" spans="2:5" x14ac:dyDescent="0.25">
      <c r="B6" s="46" t="s">
        <v>4</v>
      </c>
      <c r="C6" s="2" t="s">
        <v>0</v>
      </c>
      <c r="D6" s="8">
        <f>Input!D28</f>
        <v>1</v>
      </c>
      <c r="E6" s="4" t="s">
        <v>5</v>
      </c>
    </row>
    <row r="7" spans="2:5" x14ac:dyDescent="0.25">
      <c r="B7" s="46"/>
      <c r="C7" s="2" t="s">
        <v>1</v>
      </c>
      <c r="D7" s="8">
        <f>Input!D29</f>
        <v>0.2</v>
      </c>
      <c r="E7" s="4" t="s">
        <v>6</v>
      </c>
    </row>
    <row r="8" spans="2:5" ht="5.25" customHeight="1" x14ac:dyDescent="0.25">
      <c r="B8" s="46"/>
      <c r="C8" s="15"/>
      <c r="D8" s="16"/>
      <c r="E8" s="17"/>
    </row>
    <row r="9" spans="2:5" x14ac:dyDescent="0.25">
      <c r="B9" s="46"/>
      <c r="C9" s="2" t="s">
        <v>2</v>
      </c>
      <c r="D9" s="12">
        <f>D6*D7</f>
        <v>0.2</v>
      </c>
      <c r="E9" s="4" t="s">
        <v>7</v>
      </c>
    </row>
    <row r="10" spans="2:5" x14ac:dyDescent="0.25">
      <c r="B10" s="46"/>
      <c r="C10" s="2" t="s">
        <v>3</v>
      </c>
      <c r="D10" s="12">
        <f>D9</f>
        <v>0.2</v>
      </c>
      <c r="E10" s="5" t="s">
        <v>7</v>
      </c>
    </row>
    <row r="11" spans="2:5" x14ac:dyDescent="0.25">
      <c r="B11" s="46"/>
      <c r="C11" s="2" t="s">
        <v>18</v>
      </c>
      <c r="D11" s="12">
        <f>( 10^(D10/10)  - 1   )*$D$3</f>
        <v>13.667278934760887</v>
      </c>
      <c r="E11" s="4" t="s">
        <v>8</v>
      </c>
    </row>
    <row r="12" spans="2:5" x14ac:dyDescent="0.25">
      <c r="B12" s="46"/>
      <c r="C12" s="7" t="s">
        <v>9</v>
      </c>
      <c r="D12" s="13">
        <f>-D9</f>
        <v>-0.2</v>
      </c>
      <c r="E12" s="5" t="s">
        <v>7</v>
      </c>
    </row>
    <row r="13" spans="2:5" x14ac:dyDescent="0.25">
      <c r="B13" s="46"/>
      <c r="C13" s="7" t="s">
        <v>19</v>
      </c>
      <c r="D13" s="13">
        <f>10^(D12/10)</f>
        <v>0.95499258602143589</v>
      </c>
      <c r="E13" s="5" t="s">
        <v>15</v>
      </c>
    </row>
    <row r="14" spans="2:5" ht="14.45" x14ac:dyDescent="0.3">
      <c r="D14" s="6"/>
      <c r="E14" s="1"/>
    </row>
    <row r="15" spans="2:5" x14ac:dyDescent="0.25">
      <c r="B15" s="46" t="s">
        <v>11</v>
      </c>
      <c r="C15" s="2" t="s">
        <v>10</v>
      </c>
      <c r="D15" s="8">
        <f>Input!D31-3</f>
        <v>1.5</v>
      </c>
      <c r="E15" s="4" t="s">
        <v>7</v>
      </c>
    </row>
    <row r="16" spans="2:5" ht="5.25" customHeight="1" x14ac:dyDescent="0.25">
      <c r="B16" s="46"/>
      <c r="C16" s="15"/>
      <c r="D16" s="16"/>
      <c r="E16" s="17"/>
    </row>
    <row r="17" spans="2:5" x14ac:dyDescent="0.25">
      <c r="B17" s="46"/>
      <c r="C17" s="2" t="s">
        <v>3</v>
      </c>
      <c r="D17" s="12">
        <f>D15</f>
        <v>1.5</v>
      </c>
      <c r="E17" s="5" t="s">
        <v>7</v>
      </c>
    </row>
    <row r="18" spans="2:5" x14ac:dyDescent="0.25">
      <c r="B18" s="46"/>
      <c r="C18" s="2" t="s">
        <v>20</v>
      </c>
      <c r="D18" s="12">
        <f>( 10^(D17/10)  - 1   )*$D$3</f>
        <v>119.63588794059876</v>
      </c>
      <c r="E18" s="4" t="s">
        <v>8</v>
      </c>
    </row>
    <row r="19" spans="2:5" x14ac:dyDescent="0.25">
      <c r="B19" s="46"/>
      <c r="C19" s="7" t="s">
        <v>9</v>
      </c>
      <c r="D19" s="13">
        <f>-D15</f>
        <v>-1.5</v>
      </c>
      <c r="E19" s="5" t="s">
        <v>7</v>
      </c>
    </row>
    <row r="20" spans="2:5" x14ac:dyDescent="0.25">
      <c r="B20" s="46"/>
      <c r="C20" s="7" t="s">
        <v>21</v>
      </c>
      <c r="D20" s="13">
        <f>10^(D19/10)</f>
        <v>0.70794578438413791</v>
      </c>
      <c r="E20" s="5" t="s">
        <v>15</v>
      </c>
    </row>
    <row r="21" spans="2:5" ht="14.45" x14ac:dyDescent="0.3">
      <c r="D21" s="6"/>
      <c r="E21" s="1"/>
    </row>
    <row r="22" spans="2:5" x14ac:dyDescent="0.25">
      <c r="B22" s="46" t="s">
        <v>12</v>
      </c>
      <c r="C22" s="2" t="s">
        <v>0</v>
      </c>
      <c r="D22" s="8">
        <v>1</v>
      </c>
      <c r="E22" s="4" t="s">
        <v>5</v>
      </c>
    </row>
    <row r="23" spans="2:5" x14ac:dyDescent="0.25">
      <c r="B23" s="46"/>
      <c r="C23" s="2" t="s">
        <v>1</v>
      </c>
      <c r="D23" s="8">
        <v>0.05</v>
      </c>
      <c r="E23" s="4" t="s">
        <v>6</v>
      </c>
    </row>
    <row r="24" spans="2:5" ht="5.25" customHeight="1" x14ac:dyDescent="0.25">
      <c r="B24" s="46"/>
      <c r="C24" s="15"/>
      <c r="D24" s="16"/>
      <c r="E24" s="17"/>
    </row>
    <row r="25" spans="2:5" x14ac:dyDescent="0.25">
      <c r="B25" s="46"/>
      <c r="C25" s="2" t="s">
        <v>2</v>
      </c>
      <c r="D25" s="12">
        <f>D22*D23</f>
        <v>0.05</v>
      </c>
      <c r="E25" s="4" t="s">
        <v>7</v>
      </c>
    </row>
    <row r="26" spans="2:5" x14ac:dyDescent="0.25">
      <c r="B26" s="46"/>
      <c r="C26" s="2" t="s">
        <v>3</v>
      </c>
      <c r="D26" s="12">
        <f>D25</f>
        <v>0.05</v>
      </c>
      <c r="E26" s="5" t="s">
        <v>7</v>
      </c>
    </row>
    <row r="27" spans="2:5" x14ac:dyDescent="0.25">
      <c r="B27" s="46"/>
      <c r="C27" s="2" t="s">
        <v>22</v>
      </c>
      <c r="D27" s="12">
        <f>( 10^(D26/10)  - 1   )*$D$3</f>
        <v>3.3580417353705916</v>
      </c>
      <c r="E27" s="4" t="s">
        <v>8</v>
      </c>
    </row>
    <row r="28" spans="2:5" x14ac:dyDescent="0.25">
      <c r="B28" s="46"/>
      <c r="C28" s="7" t="s">
        <v>9</v>
      </c>
      <c r="D28" s="13">
        <f>-D25</f>
        <v>-0.05</v>
      </c>
      <c r="E28" s="5" t="s">
        <v>7</v>
      </c>
    </row>
    <row r="29" spans="2:5" x14ac:dyDescent="0.25">
      <c r="B29" s="46"/>
      <c r="C29" s="7" t="s">
        <v>23</v>
      </c>
      <c r="D29" s="13">
        <f>10^(D28/10)</f>
        <v>0.98855309465693875</v>
      </c>
      <c r="E29" s="5" t="s">
        <v>15</v>
      </c>
    </row>
    <row r="30" spans="2:5" ht="14.45" x14ac:dyDescent="0.3">
      <c r="D30" s="6"/>
      <c r="E30" s="1"/>
    </row>
    <row r="31" spans="2:5" x14ac:dyDescent="0.25">
      <c r="B31" s="46" t="s">
        <v>13</v>
      </c>
      <c r="C31" s="2" t="s">
        <v>3</v>
      </c>
      <c r="D31" s="8">
        <f>1.3</f>
        <v>1.3</v>
      </c>
      <c r="E31" s="5" t="s">
        <v>7</v>
      </c>
    </row>
    <row r="32" spans="2:5" x14ac:dyDescent="0.25">
      <c r="B32" s="46"/>
      <c r="C32" s="7" t="s">
        <v>9</v>
      </c>
      <c r="D32" s="14">
        <v>20</v>
      </c>
      <c r="E32" s="5" t="s">
        <v>7</v>
      </c>
    </row>
    <row r="33" spans="2:5" ht="5.25" customHeight="1" x14ac:dyDescent="0.25">
      <c r="B33" s="46"/>
      <c r="C33" s="15"/>
      <c r="D33" s="16"/>
      <c r="E33" s="17"/>
    </row>
    <row r="34" spans="2:5" x14ac:dyDescent="0.25">
      <c r="B34" s="46"/>
      <c r="C34" s="2" t="s">
        <v>24</v>
      </c>
      <c r="D34" s="12">
        <f>( 10^(D31/10)  - 1   )*$D$3</f>
        <v>101.1992359515796</v>
      </c>
      <c r="E34" s="4" t="s">
        <v>8</v>
      </c>
    </row>
    <row r="35" spans="2:5" x14ac:dyDescent="0.25">
      <c r="B35" s="46"/>
      <c r="C35" s="7" t="s">
        <v>25</v>
      </c>
      <c r="D35" s="13">
        <f>10^(D32/10)</f>
        <v>100</v>
      </c>
      <c r="E35" s="5" t="s">
        <v>15</v>
      </c>
    </row>
    <row r="36" spans="2:5" ht="14.45" x14ac:dyDescent="0.3">
      <c r="D36" s="6"/>
      <c r="E36" s="1"/>
    </row>
    <row r="39" spans="2:5" x14ac:dyDescent="0.25">
      <c r="C39" s="10" t="s">
        <v>28</v>
      </c>
      <c r="D39" s="9">
        <f>D11 + D18/D13 + D27/(D13*D20) + D34/(D13*D20*D29) + D4</f>
        <v>595.32624546765283</v>
      </c>
      <c r="E39" s="3" t="s">
        <v>8</v>
      </c>
    </row>
  </sheetData>
  <mergeCells count="4">
    <mergeCell ref="B6:B13"/>
    <mergeCell ref="B15:B20"/>
    <mergeCell ref="B22:B29"/>
    <mergeCell ref="B31:B3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36"/>
  <sheetViews>
    <sheetView showGridLines="0" topLeftCell="A16" zoomScaleNormal="100" workbookViewId="0">
      <selection activeCell="N11" sqref="N11"/>
    </sheetView>
  </sheetViews>
  <sheetFormatPr baseColWidth="10" defaultRowHeight="15" x14ac:dyDescent="0.25"/>
  <cols>
    <col min="1" max="1" width="11.5703125" customWidth="1"/>
    <col min="2" max="2" width="3.7109375" customWidth="1"/>
    <col min="3" max="3" width="20.5703125" customWidth="1"/>
    <col min="4" max="4" width="10.140625" customWidth="1"/>
    <col min="5" max="5" width="9.85546875" customWidth="1"/>
    <col min="6" max="7" width="9.28515625" customWidth="1"/>
    <col min="8" max="8" width="6.7109375" customWidth="1"/>
    <col min="9" max="9" width="61.5703125" customWidth="1"/>
    <col min="10" max="10" width="24.5703125" customWidth="1"/>
    <col min="15" max="15" width="7.5703125" customWidth="1"/>
    <col min="16" max="16" width="69.7109375" customWidth="1"/>
  </cols>
  <sheetData>
    <row r="4" spans="3:15" x14ac:dyDescent="0.25">
      <c r="C4" s="39" t="s">
        <v>46</v>
      </c>
      <c r="D4" s="39"/>
      <c r="E4" s="39"/>
      <c r="F4" s="39"/>
      <c r="G4" s="39"/>
      <c r="H4" s="39"/>
      <c r="J4" s="39" t="s">
        <v>73</v>
      </c>
      <c r="K4" s="39"/>
      <c r="L4" s="39"/>
      <c r="M4" s="39"/>
      <c r="N4" s="39"/>
      <c r="O4" s="39"/>
    </row>
    <row r="5" spans="3:15" x14ac:dyDescent="0.25">
      <c r="C5" s="2" t="s">
        <v>58</v>
      </c>
      <c r="D5" s="19">
        <f>Input!D7*(SQRT((Input!$D$7+Input!$D$4)^2 / Input!$D$7^2 - COS(Input!$D$8*PI()/180)^2) - SIN(Input!$D$8*PI()/180))</f>
        <v>1932.2565166510703</v>
      </c>
      <c r="E5" s="19">
        <f>Input!$D$7*(SQRT((Input!$D$7+Input!$D$4)^2 / Input!$D$7^2 - COS(Input!$D$8*PI()/180)^2) - SIN(Input!$D$8*PI()/180))</f>
        <v>1932.2565166510703</v>
      </c>
      <c r="F5" s="19">
        <f>Input!$D$7*(SQRT((Input!$D$7+Input!$D$4)^2 / Input!$D$7^2 - COS(Input!$D$8*PI()/180)^2) - SIN(Input!$D$8*PI()/180))</f>
        <v>1932.2565166510703</v>
      </c>
      <c r="G5" s="19">
        <f>Input!$D$7*(SQRT((Input!$D$7+Input!$D$4)^2 / Input!$D$7^2 - COS(Input!$D$8*PI()/180)^2) - SIN(Input!$D$8*PI()/180))</f>
        <v>1932.2565166510703</v>
      </c>
      <c r="H5" s="3" t="s">
        <v>31</v>
      </c>
      <c r="J5" s="2" t="s">
        <v>58</v>
      </c>
      <c r="K5" s="19">
        <f>$D$5</f>
        <v>1932.2565166510703</v>
      </c>
      <c r="L5" s="19">
        <f t="shared" ref="L5:N5" si="0">$D$5</f>
        <v>1932.2565166510703</v>
      </c>
      <c r="M5" s="19">
        <f t="shared" si="0"/>
        <v>1932.2565166510703</v>
      </c>
      <c r="N5" s="19">
        <f t="shared" si="0"/>
        <v>1932.2565166510703</v>
      </c>
      <c r="O5" s="3" t="s">
        <v>31</v>
      </c>
    </row>
    <row r="6" spans="3:15" x14ac:dyDescent="0.25">
      <c r="C6" s="2"/>
      <c r="D6" s="19"/>
      <c r="E6" s="19"/>
      <c r="F6" s="19"/>
      <c r="G6" s="19"/>
      <c r="H6" s="3"/>
      <c r="J6" s="2"/>
      <c r="K6" s="19"/>
      <c r="L6" s="19"/>
      <c r="M6" s="19"/>
      <c r="N6" s="19"/>
      <c r="O6" s="3"/>
    </row>
    <row r="7" spans="3:15" ht="14.45" customHeight="1" x14ac:dyDescent="0.25">
      <c r="C7" s="2" t="s">
        <v>40</v>
      </c>
      <c r="D7" s="19">
        <f>10*LOG(Input!$D$26)</f>
        <v>3.0102999566398121</v>
      </c>
      <c r="E7" s="19">
        <f>10*LOG(Input!$D$26)</f>
        <v>3.0102999566398121</v>
      </c>
      <c r="F7" s="19">
        <f>10*LOG(Input!$D$26)</f>
        <v>3.0102999566398121</v>
      </c>
      <c r="G7" s="19">
        <f>10*LOG(Input!$D$26)</f>
        <v>3.0102999566398121</v>
      </c>
      <c r="H7" s="3" t="s">
        <v>79</v>
      </c>
      <c r="J7" s="2" t="s">
        <v>40</v>
      </c>
      <c r="K7" s="19">
        <f>10*LOG(Input!$D$35)</f>
        <v>16.989700043360187</v>
      </c>
      <c r="L7" s="19">
        <f>10*LOG(Input!$D$35)</f>
        <v>16.989700043360187</v>
      </c>
      <c r="M7" s="19">
        <f>10*LOG(Input!$D$35)</f>
        <v>16.989700043360187</v>
      </c>
      <c r="N7" s="19">
        <f>10*LOG(Input!$D$35)</f>
        <v>16.989700043360187</v>
      </c>
      <c r="O7" s="3" t="s">
        <v>79</v>
      </c>
    </row>
    <row r="8" spans="3:15" x14ac:dyDescent="0.25">
      <c r="C8" s="2" t="s">
        <v>61</v>
      </c>
      <c r="D8" s="34">
        <f>Input!$D$28*Input!$D$29+Input!$D$30+Input!D32</f>
        <v>0.30000000000000004</v>
      </c>
      <c r="E8" s="34">
        <f>Input!$D$28*Input!$D$29+Input!$D$30+Input!F32</f>
        <v>16.95</v>
      </c>
      <c r="F8" s="34">
        <f>Input!$D$28*Input!$D$29+Input!$D$30+Input!G32</f>
        <v>24.3</v>
      </c>
      <c r="G8" s="34">
        <f>Input!$D$28*Input!$D$29+Input!$D$30+Input!H32</f>
        <v>30.3</v>
      </c>
      <c r="H8" s="3" t="s">
        <v>7</v>
      </c>
      <c r="J8" s="2" t="s">
        <v>61</v>
      </c>
      <c r="K8" s="19">
        <f>Input!$D$52*Input!$D$53+Input!$D$37+Input!$D$36</f>
        <v>4.7</v>
      </c>
      <c r="L8" s="19">
        <f>Input!$D$52*Input!$D$53+Input!$D$37+Input!$D$36</f>
        <v>4.7</v>
      </c>
      <c r="M8" s="19">
        <f>Input!$D$52*Input!$D$53+Input!$D$37+Input!$D$36</f>
        <v>4.7</v>
      </c>
      <c r="N8" s="19">
        <f>Input!$D$52*Input!$D$53+Input!$D$37+Input!$D$36</f>
        <v>4.7</v>
      </c>
      <c r="O8" s="3" t="s">
        <v>7</v>
      </c>
    </row>
    <row r="9" spans="3:15" x14ac:dyDescent="0.25">
      <c r="C9" s="2" t="s">
        <v>62</v>
      </c>
      <c r="D9" s="19">
        <f>Input!$D$27</f>
        <v>5</v>
      </c>
      <c r="E9" s="19">
        <f>Input!$D$27</f>
        <v>5</v>
      </c>
      <c r="F9" s="19">
        <f>Input!$D$27</f>
        <v>5</v>
      </c>
      <c r="G9" s="19">
        <f>Input!$D$27</f>
        <v>5</v>
      </c>
      <c r="H9" s="3" t="s">
        <v>7</v>
      </c>
      <c r="J9" s="2" t="s">
        <v>62</v>
      </c>
      <c r="K9" s="19">
        <f>Input!$D$34</f>
        <v>34</v>
      </c>
      <c r="L9" s="19">
        <f>Input!$D$34</f>
        <v>34</v>
      </c>
      <c r="M9" s="19">
        <f>Input!$D$34</f>
        <v>34</v>
      </c>
      <c r="N9" s="19">
        <f>Input!$D$34</f>
        <v>34</v>
      </c>
      <c r="O9" s="3" t="s">
        <v>7</v>
      </c>
    </row>
    <row r="10" spans="3:15" x14ac:dyDescent="0.25">
      <c r="C10" s="2" t="s">
        <v>63</v>
      </c>
      <c r="D10" s="19">
        <f xml:space="preserve"> 10*LOG10( (4*PI()*'Link budget'!$D$5*1000*Input!$D$11/Input!$D$6)^2)+ Input!$D$23 + Input!$D$24</f>
        <v>169.3646888116412</v>
      </c>
      <c r="E10" s="19">
        <f xml:space="preserve"> 10*LOG10( (4*PI()*'Link budget'!$D$5*1000*Input!$D$11/Input!$D$6)^2) + Input!$D$23 + Input!$D$24</f>
        <v>169.3646888116412</v>
      </c>
      <c r="F10" s="19">
        <f xml:space="preserve"> 10*LOG10( (4*PI()*'Link budget'!$D$5*1000*Input!$D$11/Input!$D$6)^2) + Input!$D$23 + Input!$D$24</f>
        <v>169.3646888116412</v>
      </c>
      <c r="G10" s="19">
        <f xml:space="preserve"> 10*LOG10( (4*PI()*'Link budget'!$D$5*1000*Input!$D$11/Input!$D$6)^2) + Input!$D$23 + Input!$D$24</f>
        <v>169.3646888116412</v>
      </c>
      <c r="H10" s="3" t="s">
        <v>7</v>
      </c>
      <c r="J10" s="2" t="s">
        <v>63</v>
      </c>
      <c r="K10" s="19">
        <f xml:space="preserve"> 10*LOG10( (4*PI()*'Link budget'!$K$5*1000*Input!$D$17/Input!$D$6)^2)+ Input!$D$23 + Input!$D$24</f>
        <v>168.65536491682604</v>
      </c>
      <c r="L10" s="19">
        <f xml:space="preserve"> 10*LOG10( (4*PI()*'Link budget'!$K$5*1000*Input!$D$17/Input!$D$6)^2)+ Input!$D$23 + Input!$D$24</f>
        <v>168.65536491682604</v>
      </c>
      <c r="M10" s="19">
        <f xml:space="preserve"> 10*LOG10( (4*PI()*'Link budget'!$K$5*1000*Input!$D$17/Input!$D$6)^2)+ Input!$D$23 + Input!$D$24</f>
        <v>168.65536491682604</v>
      </c>
      <c r="N10" s="19">
        <f xml:space="preserve"> 10*LOG10( (4*PI()*'Link budget'!$K$5*1000*Input!$D$17/Input!$D$6)^2)+ Input!$D$23 + Input!$D$24</f>
        <v>168.65536491682604</v>
      </c>
      <c r="O10" s="3" t="s">
        <v>7</v>
      </c>
    </row>
    <row r="11" spans="3:15" ht="14.45" x14ac:dyDescent="0.3">
      <c r="C11" s="2" t="s">
        <v>84</v>
      </c>
      <c r="D11" s="19">
        <f>Input!D36</f>
        <v>3</v>
      </c>
      <c r="E11" s="19">
        <f>Input!$D$36</f>
        <v>3</v>
      </c>
      <c r="F11" s="19">
        <f>Input!$D$36</f>
        <v>3</v>
      </c>
      <c r="G11" s="19">
        <f>Input!$D$36</f>
        <v>3</v>
      </c>
      <c r="H11" s="3" t="s">
        <v>7</v>
      </c>
      <c r="J11" s="2" t="s">
        <v>85</v>
      </c>
      <c r="K11" s="34">
        <f>Input!D32</f>
        <v>0</v>
      </c>
      <c r="L11" s="34">
        <f>Input!F32</f>
        <v>16.649999999999999</v>
      </c>
      <c r="M11" s="34">
        <f>Input!G32</f>
        <v>24</v>
      </c>
      <c r="N11" s="34">
        <f>Input!H32</f>
        <v>30</v>
      </c>
      <c r="O11" s="3" t="s">
        <v>7</v>
      </c>
    </row>
    <row r="12" spans="3:15" x14ac:dyDescent="0.25">
      <c r="C12" s="2" t="s">
        <v>64</v>
      </c>
      <c r="D12" s="36">
        <v>10</v>
      </c>
      <c r="E12" s="36">
        <v>10</v>
      </c>
      <c r="F12" s="36">
        <v>10</v>
      </c>
      <c r="G12" s="36">
        <v>10</v>
      </c>
      <c r="H12" s="3" t="s">
        <v>65</v>
      </c>
      <c r="J12" s="2" t="s">
        <v>77</v>
      </c>
      <c r="K12" s="19">
        <f>Input!$D$27-10*LOG(Temperature_satellite!$D$39)</f>
        <v>-22.747550292181767</v>
      </c>
      <c r="L12" s="19">
        <f>Input!$D$27-10*LOG(Temperature_satellite!$D$39)</f>
        <v>-22.747550292181767</v>
      </c>
      <c r="M12" s="19">
        <f>Input!$D$27-10*LOG(Temperature_satellite!$D$39)</f>
        <v>-22.747550292181767</v>
      </c>
      <c r="N12" s="19">
        <f>Input!$D$27-10*LOG(Temperature_satellite!$D$39)</f>
        <v>-22.747550292181767</v>
      </c>
      <c r="O12" s="3" t="s">
        <v>65</v>
      </c>
    </row>
    <row r="13" spans="3:15" x14ac:dyDescent="0.25">
      <c r="C13" s="2" t="s">
        <v>53</v>
      </c>
      <c r="D13" s="19">
        <f>Input!$D$5</f>
        <v>228.6</v>
      </c>
      <c r="E13" s="19">
        <f>Input!$D$5</f>
        <v>228.6</v>
      </c>
      <c r="F13" s="19">
        <f>Input!$D$5</f>
        <v>228.6</v>
      </c>
      <c r="G13" s="19">
        <f>Input!$D$5</f>
        <v>228.6</v>
      </c>
      <c r="H13" s="3" t="s">
        <v>7</v>
      </c>
      <c r="J13" s="2" t="s">
        <v>53</v>
      </c>
      <c r="K13" s="19">
        <f>Input!$D$5</f>
        <v>228.6</v>
      </c>
      <c r="L13" s="19">
        <f>Input!$D$5</f>
        <v>228.6</v>
      </c>
      <c r="M13" s="19">
        <f>Input!$D$5</f>
        <v>228.6</v>
      </c>
      <c r="N13" s="19">
        <f>Input!$D$5</f>
        <v>228.6</v>
      </c>
      <c r="O13" s="3" t="s">
        <v>7</v>
      </c>
    </row>
    <row r="14" spans="3:15" x14ac:dyDescent="0.25">
      <c r="C14" s="2" t="s">
        <v>66</v>
      </c>
      <c r="D14" s="19">
        <f xml:space="preserve"> 10*LOG(Input!$D$12*1000)</f>
        <v>49.294189257142932</v>
      </c>
      <c r="E14" s="19">
        <f xml:space="preserve"> 10*LOG(Input!$D$12*1000)</f>
        <v>49.294189257142932</v>
      </c>
      <c r="F14" s="19">
        <f xml:space="preserve"> 10*LOG(Input!$D$12*1000)</f>
        <v>49.294189257142932</v>
      </c>
      <c r="G14" s="19">
        <f xml:space="preserve"> 10*LOG(Input!$D$12*1000)</f>
        <v>49.294189257142932</v>
      </c>
      <c r="H14" s="3" t="s">
        <v>7</v>
      </c>
      <c r="J14" s="2" t="s">
        <v>66</v>
      </c>
      <c r="K14" s="19">
        <f>10*LOG(Input!$D$18*1000)</f>
        <v>42.04119982655925</v>
      </c>
      <c r="L14" s="19">
        <f>10*LOG(Input!$D$18*1000)</f>
        <v>42.04119982655925</v>
      </c>
      <c r="M14" s="19">
        <f>10*LOG(Input!$D$18*1000)</f>
        <v>42.04119982655925</v>
      </c>
      <c r="N14" s="19">
        <f>10*LOG(Input!$D$18*1000)</f>
        <v>42.04119982655925</v>
      </c>
      <c r="O14" s="3" t="s">
        <v>7</v>
      </c>
    </row>
    <row r="15" spans="3:15" ht="14.45" x14ac:dyDescent="0.3">
      <c r="C15" s="2"/>
      <c r="D15" s="19"/>
      <c r="E15" s="19"/>
      <c r="F15" s="19"/>
      <c r="G15" s="19"/>
      <c r="H15" s="3"/>
      <c r="J15" s="2"/>
      <c r="K15" s="19"/>
      <c r="L15" s="19"/>
      <c r="M15" s="19"/>
      <c r="N15" s="19"/>
      <c r="O15" s="3"/>
    </row>
    <row r="16" spans="3:15" x14ac:dyDescent="0.25">
      <c r="C16" s="2" t="s">
        <v>114</v>
      </c>
      <c r="D16" s="19">
        <f>D7-D8+D9-D10-D11+D12+D13-D14</f>
        <v>24.651421887855662</v>
      </c>
      <c r="E16" s="19">
        <f>E7-E8+E9-E10-E11+E12+E13-E14</f>
        <v>8.0014218878556846</v>
      </c>
      <c r="F16" s="19">
        <f>F7-F8+F9-F10-F11+F12+F13-F14</f>
        <v>0.65142188785566191</v>
      </c>
      <c r="G16" s="19">
        <f>G7-G8+G9-G10-G11+G12+G13-G14</f>
        <v>-5.3485781121443381</v>
      </c>
      <c r="H16" s="3" t="s">
        <v>7</v>
      </c>
      <c r="J16" s="2" t="s">
        <v>116</v>
      </c>
      <c r="K16" s="19">
        <f>K7-K8+K9-K10-K11+K12+K13-K14</f>
        <v>41.445585007793113</v>
      </c>
      <c r="L16" s="19">
        <f t="shared" ref="L16:N16" si="1">L7-L8+L9-L10-L11+L12+L13-L14</f>
        <v>24.795585007793136</v>
      </c>
      <c r="M16" s="19">
        <f t="shared" si="1"/>
        <v>17.445585007793142</v>
      </c>
      <c r="N16" s="19">
        <f t="shared" si="1"/>
        <v>11.445585007793142</v>
      </c>
      <c r="O16" s="3"/>
    </row>
    <row r="17" spans="2:16" x14ac:dyDescent="0.25">
      <c r="C17" s="2" t="s">
        <v>37</v>
      </c>
      <c r="D17" s="19">
        <f>Input!$D$14</f>
        <v>1.5</v>
      </c>
      <c r="E17" s="19">
        <f>Input!$D$14</f>
        <v>1.5</v>
      </c>
      <c r="F17" s="19">
        <f>Input!$D$14</f>
        <v>1.5</v>
      </c>
      <c r="G17" s="19">
        <f>Input!$D$14</f>
        <v>1.5</v>
      </c>
      <c r="H17" s="3" t="s">
        <v>7</v>
      </c>
      <c r="J17" s="2" t="s">
        <v>37</v>
      </c>
      <c r="K17" s="19">
        <f>Input!$D$20</f>
        <v>1.5</v>
      </c>
      <c r="L17" s="19">
        <f>Input!$D$20</f>
        <v>1.5</v>
      </c>
      <c r="M17" s="19">
        <f>Input!$D$20</f>
        <v>1.5</v>
      </c>
      <c r="N17" s="19">
        <f>Input!$D$20</f>
        <v>1.5</v>
      </c>
      <c r="O17" s="3" t="s">
        <v>7</v>
      </c>
    </row>
    <row r="18" spans="2:16" ht="14.45" x14ac:dyDescent="0.3">
      <c r="C18" s="2"/>
      <c r="D18" s="19"/>
      <c r="E18" s="19"/>
      <c r="F18" s="19"/>
      <c r="G18" s="19"/>
      <c r="H18" s="3"/>
      <c r="J18" s="2"/>
      <c r="K18" s="19"/>
      <c r="L18" s="19"/>
      <c r="M18" s="19"/>
      <c r="N18" s="19"/>
      <c r="O18" s="3"/>
    </row>
    <row r="19" spans="2:16" ht="14.45" x14ac:dyDescent="0.3">
      <c r="C19" s="2" t="s">
        <v>67</v>
      </c>
      <c r="D19" s="19">
        <f>Input!$D$13</f>
        <v>2.5</v>
      </c>
      <c r="E19" s="19">
        <f>Input!$D$13</f>
        <v>2.5</v>
      </c>
      <c r="F19" s="19">
        <f>Input!$D$13</f>
        <v>2.5</v>
      </c>
      <c r="G19" s="19">
        <f>Input!$D$13</f>
        <v>2.5</v>
      </c>
      <c r="H19" s="3"/>
      <c r="J19" s="2" t="s">
        <v>67</v>
      </c>
      <c r="K19" s="19">
        <f>Input!$D$19</f>
        <v>9.6</v>
      </c>
      <c r="L19" s="19">
        <f>Input!$D$19</f>
        <v>9.6</v>
      </c>
      <c r="M19" s="19">
        <f>Input!$D$19</f>
        <v>9.6</v>
      </c>
      <c r="N19" s="19">
        <f>Input!$D$19</f>
        <v>9.6</v>
      </c>
      <c r="O19" s="3"/>
    </row>
    <row r="20" spans="2:16" x14ac:dyDescent="0.25">
      <c r="C20" s="2" t="s">
        <v>115</v>
      </c>
      <c r="D20" s="19">
        <f>D16-D17</f>
        <v>23.151421887855662</v>
      </c>
      <c r="E20" s="19">
        <f>E16-E17</f>
        <v>6.5014218878556846</v>
      </c>
      <c r="F20" s="19">
        <f>F16-F17</f>
        <v>-0.84857811214433809</v>
      </c>
      <c r="G20" s="19">
        <f>G16-G17</f>
        <v>-6.8485781121443381</v>
      </c>
      <c r="H20" s="3"/>
      <c r="J20" s="2" t="s">
        <v>69</v>
      </c>
      <c r="K20" s="19">
        <f>K16-K17</f>
        <v>39.945585007793113</v>
      </c>
      <c r="L20" s="19">
        <f t="shared" ref="L20:N20" si="2">L16-L17</f>
        <v>23.295585007793136</v>
      </c>
      <c r="M20" s="19">
        <f t="shared" si="2"/>
        <v>15.945585007793142</v>
      </c>
      <c r="N20" s="19">
        <f t="shared" si="2"/>
        <v>9.9455850077931416</v>
      </c>
      <c r="O20" s="3"/>
    </row>
    <row r="21" spans="2:16" ht="14.45" x14ac:dyDescent="0.3">
      <c r="C21" s="2"/>
      <c r="D21" s="19"/>
      <c r="E21" s="19"/>
      <c r="F21" s="19"/>
      <c r="G21" s="19"/>
      <c r="H21" s="3"/>
      <c r="J21" s="2"/>
      <c r="K21" s="19"/>
      <c r="L21" s="19"/>
      <c r="M21" s="19"/>
      <c r="N21" s="19"/>
      <c r="O21" s="3"/>
    </row>
    <row r="22" spans="2:16" ht="14.45" x14ac:dyDescent="0.3">
      <c r="C22" s="2" t="s">
        <v>68</v>
      </c>
      <c r="D22" s="20">
        <f>D20-D19</f>
        <v>20.651421887855662</v>
      </c>
      <c r="E22" s="20">
        <f>E20-E19</f>
        <v>4.0014218878556846</v>
      </c>
      <c r="F22" s="20">
        <f>F20-F19</f>
        <v>-3.3485781121443381</v>
      </c>
      <c r="G22" s="20">
        <f>G20-G19</f>
        <v>-9.3485781121443381</v>
      </c>
      <c r="H22" s="3" t="s">
        <v>7</v>
      </c>
      <c r="J22" s="2" t="s">
        <v>68</v>
      </c>
      <c r="K22" s="20">
        <f>K20-K19</f>
        <v>30.345585007793112</v>
      </c>
      <c r="L22" s="20">
        <f t="shared" ref="L22:N22" si="3">L20-L19</f>
        <v>13.695585007793136</v>
      </c>
      <c r="M22" s="20">
        <f t="shared" si="3"/>
        <v>6.3455850077931419</v>
      </c>
      <c r="N22" s="20">
        <f t="shared" si="3"/>
        <v>0.34558500779314194</v>
      </c>
      <c r="O22" s="3"/>
    </row>
    <row r="25" spans="2:16" ht="14.45" x14ac:dyDescent="0.3">
      <c r="J25" s="21"/>
    </row>
    <row r="26" spans="2:16" x14ac:dyDescent="0.25">
      <c r="B26" s="25"/>
      <c r="C26" s="2" t="s">
        <v>81</v>
      </c>
      <c r="D26" s="3">
        <f>10*LOG(Input!$D$26/0.001)</f>
        <v>33.010299956639813</v>
      </c>
      <c r="E26" s="3">
        <f>10*LOG(Input!$D$26/0.001)</f>
        <v>33.010299956639813</v>
      </c>
      <c r="F26" s="3">
        <f>10*LOG(Input!$D$26/0.001)</f>
        <v>33.010299956639813</v>
      </c>
      <c r="G26" s="3">
        <f>10*LOG(Input!$D$26/0.001)</f>
        <v>33.010299956639813</v>
      </c>
      <c r="H26" s="4" t="s">
        <v>60</v>
      </c>
      <c r="J26" s="2" t="s">
        <v>81</v>
      </c>
      <c r="K26" s="2">
        <f>10*LOG(Input!$D$35/0.001)</f>
        <v>46.989700043360187</v>
      </c>
      <c r="L26" s="2">
        <f>10*LOG(Input!$D$35/0.001)</f>
        <v>46.989700043360187</v>
      </c>
      <c r="M26" s="2">
        <f>10*LOG(Input!$D$35/0.001)</f>
        <v>46.989700043360187</v>
      </c>
      <c r="N26" s="2">
        <f>10*LOG(Input!$D$35/0.001)</f>
        <v>46.989700043360187</v>
      </c>
      <c r="O26" s="2" t="s">
        <v>60</v>
      </c>
    </row>
    <row r="27" spans="2:16" x14ac:dyDescent="0.25">
      <c r="B27" s="25"/>
      <c r="C27" s="2" t="s">
        <v>61</v>
      </c>
      <c r="D27" s="3">
        <f>Input!$D$28*Input!$D$29+Input!$D$30+Input!D32</f>
        <v>0.30000000000000004</v>
      </c>
      <c r="E27" s="3">
        <f>Input!$D$28*Input!$D$29+Input!$D$30+Input!F32</f>
        <v>16.95</v>
      </c>
      <c r="F27" s="3">
        <f>Input!$D$28*Input!$D$29+Input!$D$30+Input!G32</f>
        <v>24.3</v>
      </c>
      <c r="G27" s="3">
        <f>Input!$D$28*Input!$D$29+Input!$D$30+Input!H32</f>
        <v>30.3</v>
      </c>
      <c r="H27" s="4" t="s">
        <v>7</v>
      </c>
      <c r="J27" s="2" t="s">
        <v>61</v>
      </c>
      <c r="K27" s="18">
        <f>K8</f>
        <v>4.7</v>
      </c>
      <c r="L27" s="18">
        <f t="shared" ref="L27:N27" si="4">L8</f>
        <v>4.7</v>
      </c>
      <c r="M27" s="18">
        <f t="shared" si="4"/>
        <v>4.7</v>
      </c>
      <c r="N27" s="18">
        <f t="shared" si="4"/>
        <v>4.7</v>
      </c>
      <c r="O27" s="2" t="s">
        <v>7</v>
      </c>
      <c r="P27" s="23" t="s">
        <v>117</v>
      </c>
    </row>
    <row r="28" spans="2:16" x14ac:dyDescent="0.25">
      <c r="B28" s="25"/>
      <c r="C28" s="2" t="s">
        <v>62</v>
      </c>
      <c r="D28" s="19">
        <f t="shared" ref="D28:D29" si="5">D9</f>
        <v>5</v>
      </c>
      <c r="E28" s="19">
        <f t="shared" ref="E28:G28" si="6">E9</f>
        <v>5</v>
      </c>
      <c r="F28" s="19">
        <f t="shared" si="6"/>
        <v>5</v>
      </c>
      <c r="G28" s="19">
        <f t="shared" si="6"/>
        <v>5</v>
      </c>
      <c r="H28" s="4" t="s">
        <v>82</v>
      </c>
      <c r="J28" s="2" t="s">
        <v>62</v>
      </c>
      <c r="K28" s="18">
        <f>K9</f>
        <v>34</v>
      </c>
      <c r="L28" s="18">
        <f t="shared" ref="L28:N28" si="7">L9</f>
        <v>34</v>
      </c>
      <c r="M28" s="18">
        <f t="shared" si="7"/>
        <v>34</v>
      </c>
      <c r="N28" s="18">
        <f t="shared" si="7"/>
        <v>34</v>
      </c>
      <c r="O28" s="2" t="s">
        <v>82</v>
      </c>
    </row>
    <row r="29" spans="2:16" x14ac:dyDescent="0.25">
      <c r="B29" s="25"/>
      <c r="C29" s="2" t="s">
        <v>83</v>
      </c>
      <c r="D29" s="19">
        <f t="shared" si="5"/>
        <v>169.3646888116412</v>
      </c>
      <c r="E29" s="19">
        <f t="shared" ref="E29:G29" si="8">E10</f>
        <v>169.3646888116412</v>
      </c>
      <c r="F29" s="19">
        <f t="shared" si="8"/>
        <v>169.3646888116412</v>
      </c>
      <c r="G29" s="19">
        <f t="shared" si="8"/>
        <v>169.3646888116412</v>
      </c>
      <c r="H29" s="4" t="s">
        <v>7</v>
      </c>
      <c r="J29" s="2" t="s">
        <v>83</v>
      </c>
      <c r="K29" s="18">
        <f>K10</f>
        <v>168.65536491682604</v>
      </c>
      <c r="L29" s="18">
        <f t="shared" ref="L29:N29" si="9">L10</f>
        <v>168.65536491682604</v>
      </c>
      <c r="M29" s="18">
        <f t="shared" si="9"/>
        <v>168.65536491682604</v>
      </c>
      <c r="N29" s="18">
        <f t="shared" si="9"/>
        <v>168.65536491682604</v>
      </c>
      <c r="O29" s="2" t="s">
        <v>7</v>
      </c>
    </row>
    <row r="30" spans="2:16" x14ac:dyDescent="0.25">
      <c r="B30" s="25"/>
      <c r="C30" s="2" t="s">
        <v>86</v>
      </c>
      <c r="D30" s="3">
        <f>Input!$D$36+Input!$D$37+Input!$D$38*Input!$D$39+Input!$D$40+Input!$D$41*Input!$D$42+Input!$D$45*Input!$D$46+Input!$D$49*Input!$D$50</f>
        <v>20.7</v>
      </c>
      <c r="E30" s="3">
        <f>Input!$D$36+Input!$D$37+Input!$D$38*Input!$D$39+Input!$D$40+Input!$D$41*Input!$D$42+Input!$D$45*Input!$D$46+Input!$D$49*Input!$D$50</f>
        <v>20.7</v>
      </c>
      <c r="F30" s="3">
        <f>Input!$D$36+Input!$D$37+Input!$D$38*Input!$D$39+Input!$D$40+Input!$D$41*Input!$D$42+Input!$D$45*Input!$D$46+Input!$D$49*Input!$D$50</f>
        <v>20.7</v>
      </c>
      <c r="G30" s="3">
        <f>Input!$D$36+Input!$D$37+Input!$D$38*Input!$D$39+Input!$D$40+Input!$D$41*Input!$D$42+Input!$D$45*Input!$D$46+Input!$D$49*Input!$D$50</f>
        <v>20.7</v>
      </c>
      <c r="H30" s="4" t="s">
        <v>7</v>
      </c>
      <c r="J30" s="2" t="s">
        <v>88</v>
      </c>
      <c r="K30" s="2">
        <f>Input!$D$28*Input!$D$29+Input!$D$30+Input!D32</f>
        <v>0.30000000000000004</v>
      </c>
      <c r="L30" s="2">
        <f>Input!$D$28*Input!$D$29+Input!$D$30+Input!F32</f>
        <v>16.95</v>
      </c>
      <c r="M30" s="2">
        <f>Input!$D$28*Input!$D$29+Input!$D$30+Input!G32</f>
        <v>24.3</v>
      </c>
      <c r="N30" s="2">
        <f>Input!$D$28*Input!$D$29+Input!$D$30+Input!H32</f>
        <v>30.3</v>
      </c>
      <c r="O30" s="2" t="s">
        <v>7</v>
      </c>
    </row>
    <row r="31" spans="2:16" x14ac:dyDescent="0.25">
      <c r="B31" s="25"/>
      <c r="C31" s="2" t="s">
        <v>87</v>
      </c>
      <c r="D31" s="3">
        <f>Input!$D$34+Input!$D$43+Input!$D$47</f>
        <v>102</v>
      </c>
      <c r="E31" s="3">
        <f>Input!$D$34+Input!$D$43+Input!$D$47</f>
        <v>102</v>
      </c>
      <c r="F31" s="3">
        <f>Input!$D$34+Input!$D$43+Input!$D$47</f>
        <v>102</v>
      </c>
      <c r="G31" s="3">
        <f>Input!$D$34+Input!$D$43+Input!$D$47</f>
        <v>102</v>
      </c>
      <c r="H31" s="4" t="s">
        <v>7</v>
      </c>
      <c r="J31" s="2" t="s">
        <v>89</v>
      </c>
      <c r="K31" s="2">
        <f>Input!$D$27</f>
        <v>5</v>
      </c>
      <c r="L31" s="2">
        <f>Input!$D$27</f>
        <v>5</v>
      </c>
      <c r="M31" s="2">
        <f>Input!$D$27</f>
        <v>5</v>
      </c>
      <c r="N31" s="2">
        <f>Input!$D$27</f>
        <v>5</v>
      </c>
      <c r="O31" s="2" t="s">
        <v>7</v>
      </c>
    </row>
    <row r="32" spans="2:16" ht="30" x14ac:dyDescent="0.25">
      <c r="B32" s="25"/>
      <c r="C32" s="26" t="s">
        <v>78</v>
      </c>
      <c r="D32" s="30">
        <f>D26-D27+D28-D29-D30+D31</f>
        <v>-50.354388855001389</v>
      </c>
      <c r="E32" s="30">
        <f t="shared" ref="E32:G32" si="10">E26-E27+E28-E29-E30+E31</f>
        <v>-67.004388855001366</v>
      </c>
      <c r="F32" s="30">
        <f t="shared" si="10"/>
        <v>-74.354388855001389</v>
      </c>
      <c r="G32" s="30">
        <f t="shared" si="10"/>
        <v>-80.354388855001389</v>
      </c>
      <c r="H32" s="28" t="s">
        <v>60</v>
      </c>
      <c r="I32" s="22" t="s">
        <v>80</v>
      </c>
      <c r="J32" s="26" t="s">
        <v>90</v>
      </c>
      <c r="K32" s="27">
        <f>K26-K27+K28-K29-K30+K31</f>
        <v>-87.665664873465857</v>
      </c>
      <c r="L32" s="27">
        <f t="shared" ref="L32:N32" si="11">L26-L27+L28-L29-L30+L31</f>
        <v>-104.31566487346586</v>
      </c>
      <c r="M32" s="27">
        <f t="shared" si="11"/>
        <v>-111.66566487346586</v>
      </c>
      <c r="N32" s="27">
        <f t="shared" si="11"/>
        <v>-117.66566487346586</v>
      </c>
      <c r="O32" s="28" t="s">
        <v>60</v>
      </c>
      <c r="P32" s="24" t="s">
        <v>91</v>
      </c>
    </row>
    <row r="33" spans="3:9" ht="30" x14ac:dyDescent="0.25">
      <c r="C33" s="29" t="s">
        <v>111</v>
      </c>
      <c r="D33" s="30">
        <f>D32 + Input!$D$49*Input!$D$50</f>
        <v>-49.854388855001389</v>
      </c>
      <c r="E33" s="30">
        <f>E32 + Input!$D$49*Input!$D$50</f>
        <v>-66.504388855001366</v>
      </c>
      <c r="F33" s="30">
        <f>F32 + Input!$D$49*Input!$D$50</f>
        <v>-73.854388855001389</v>
      </c>
      <c r="G33" s="30">
        <f>G32 + Input!$D$49*Input!$D$50</f>
        <v>-79.854388855001389</v>
      </c>
      <c r="H33" s="28" t="s">
        <v>60</v>
      </c>
      <c r="I33" s="24" t="s">
        <v>92</v>
      </c>
    </row>
    <row r="34" spans="3:9" ht="30" x14ac:dyDescent="0.25">
      <c r="C34" s="29" t="s">
        <v>112</v>
      </c>
      <c r="D34" s="30">
        <f>D32 + Input!$D$49*Input!$D$50 - Input!$D$47</f>
        <v>-74.854388855001389</v>
      </c>
      <c r="E34" s="30">
        <f>E32 + Input!$D$49*Input!$D$50 - Input!$D$47</f>
        <v>-91.504388855001366</v>
      </c>
      <c r="F34" s="30">
        <f>F32 + Input!$D$49*Input!$D$50 - Input!$D$47</f>
        <v>-98.854388855001389</v>
      </c>
      <c r="G34" s="30">
        <f>G32 + Input!$D$49*Input!$D$50 - Input!$D$47</f>
        <v>-104.85438885500139</v>
      </c>
      <c r="H34" s="28" t="s">
        <v>60</v>
      </c>
    </row>
    <row r="35" spans="3:9" ht="30" x14ac:dyDescent="0.25">
      <c r="C35" s="29" t="s">
        <v>110</v>
      </c>
      <c r="D35" s="30">
        <f>'Link budget'!D34 + Input!$D$45*Input!$D$46</f>
        <v>-58.854388855001389</v>
      </c>
      <c r="E35" s="30">
        <f>'Link budget'!E34 + Input!$D$45*Input!$D$46</f>
        <v>-75.504388855001366</v>
      </c>
      <c r="F35" s="30">
        <f>'Link budget'!F34 + Input!$D$45*Input!$D$46</f>
        <v>-82.854388855001389</v>
      </c>
      <c r="G35" s="30">
        <f>'Link budget'!G34 + Input!$D$45*Input!$D$46</f>
        <v>-88.854388855001389</v>
      </c>
      <c r="H35" s="28" t="s">
        <v>60</v>
      </c>
    </row>
    <row r="36" spans="3:9" ht="30" x14ac:dyDescent="0.25">
      <c r="C36" s="29" t="s">
        <v>113</v>
      </c>
      <c r="D36" s="30">
        <f>D35-Input!$D$43</f>
        <v>-101.85438885500139</v>
      </c>
      <c r="E36" s="30">
        <f>E35-Input!$D$43</f>
        <v>-118.50438885500137</v>
      </c>
      <c r="F36" s="30">
        <f>F35-Input!$D$43</f>
        <v>-125.85438885500139</v>
      </c>
      <c r="G36" s="30">
        <f>G35-Input!$D$43</f>
        <v>-131.85438885500139</v>
      </c>
      <c r="H36" s="28" t="s">
        <v>60</v>
      </c>
    </row>
  </sheetData>
  <mergeCells count="2">
    <mergeCell ref="C4:H4"/>
    <mergeCell ref="J4:O4"/>
  </mergeCells>
  <conditionalFormatting sqref="D22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K22:N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E2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F22:G22">
    <cfRule type="cellIs" dxfId="1" priority="1" operator="lessThan">
      <formula>0</formula>
    </cfRule>
    <cfRule type="cellIs" dxfId="0" priority="2" operator="greaterThan">
      <formula>0</formula>
    </cfRule>
  </conditionalFormatting>
  <dataValidations count="1">
    <dataValidation type="list" allowBlank="1" showInputMessage="1" showErrorMessage="1" sqref="D12:G12">
      <formula1>"6,10,11,14, 15,22, =Temperature_sol!$D$70"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Input</vt:lpstr>
      <vt:lpstr>Temperature_sol</vt:lpstr>
      <vt:lpstr>Temperature_satellite</vt:lpstr>
      <vt:lpstr>Link budget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2022-02-08T07:53:27Z</dcterms:modified>
</cp:coreProperties>
</file>