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c651f52a76c0d64/Desktop/"/>
    </mc:Choice>
  </mc:AlternateContent>
  <xr:revisionPtr revIDLastSave="147" documentId="11_F123FF39AEFD7747A772366A10415906752E6CB0" xr6:coauthVersionLast="47" xr6:coauthVersionMax="47" xr10:uidLastSave="{B8FF22FA-B38F-44D9-949C-641835E4A5B4}"/>
  <bookViews>
    <workbookView xWindow="-120" yWindow="-120" windowWidth="29040" windowHeight="15720" activeTab="3" xr2:uid="{00000000-000D-0000-FFFF-FFFF00000000}"/>
  </bookViews>
  <sheets>
    <sheet name="NVIDIA" sheetId="1" r:id="rId1"/>
    <sheet name="AMD" sheetId="2" r:id="rId2"/>
    <sheet name="Intel" sheetId="3" r:id="rId3"/>
    <sheet name="Macroeconomicos" sheetId="4" r:id="rId4"/>
  </sheets>
  <definedNames>
    <definedName name="DatosExternos_1" localSheetId="1" hidden="1">AMD!$A$1:$G$7</definedName>
    <definedName name="DatosExternos_1" localSheetId="0" hidden="1">NVIDIA!#REF!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F12" i="3"/>
  <c r="E12" i="3"/>
  <c r="C12" i="3"/>
  <c r="G11" i="3"/>
  <c r="F11" i="3"/>
  <c r="E11" i="3"/>
  <c r="C11" i="3"/>
  <c r="G10" i="3"/>
  <c r="F10" i="3"/>
  <c r="E10" i="3"/>
  <c r="C10" i="3"/>
  <c r="G9" i="3"/>
  <c r="F9" i="3"/>
  <c r="E9" i="3"/>
  <c r="C9" i="3"/>
  <c r="G8" i="3"/>
  <c r="F8" i="3"/>
  <c r="E8" i="3"/>
  <c r="C8" i="3"/>
  <c r="G7" i="3"/>
  <c r="F7" i="3"/>
  <c r="E7" i="3"/>
  <c r="C7" i="3"/>
  <c r="G6" i="3"/>
  <c r="F6" i="3"/>
  <c r="E6" i="3"/>
  <c r="C6" i="3"/>
  <c r="G5" i="3"/>
  <c r="F5" i="3"/>
  <c r="E5" i="3"/>
  <c r="C5" i="3"/>
  <c r="G4" i="3"/>
  <c r="F4" i="3"/>
  <c r="E4" i="3"/>
  <c r="C4" i="3"/>
  <c r="G3" i="3"/>
  <c r="F3" i="3"/>
  <c r="E3" i="3"/>
  <c r="C3" i="3"/>
  <c r="G2" i="3"/>
  <c r="F2" i="3"/>
  <c r="E2" i="3"/>
  <c r="C2" i="3"/>
  <c r="G12" i="2"/>
  <c r="F12" i="2"/>
  <c r="E12" i="2"/>
  <c r="C12" i="2"/>
  <c r="G11" i="2"/>
  <c r="F11" i="2"/>
  <c r="E11" i="2"/>
  <c r="C11" i="2"/>
  <c r="G10" i="2"/>
  <c r="F10" i="2"/>
  <c r="E10" i="2"/>
  <c r="C10" i="2"/>
  <c r="G9" i="2"/>
  <c r="F9" i="2"/>
  <c r="E9" i="2"/>
  <c r="C9" i="2"/>
  <c r="G8" i="2"/>
  <c r="F8" i="2"/>
  <c r="E8" i="2"/>
  <c r="C8" i="2"/>
  <c r="G7" i="2"/>
  <c r="F7" i="2"/>
  <c r="E7" i="2"/>
  <c r="C7" i="2"/>
  <c r="G6" i="2"/>
  <c r="F6" i="2"/>
  <c r="E6" i="2"/>
  <c r="C6" i="2"/>
  <c r="G5" i="2"/>
  <c r="F5" i="2"/>
  <c r="E5" i="2"/>
  <c r="C5" i="2"/>
  <c r="G4" i="2"/>
  <c r="F4" i="2"/>
  <c r="E4" i="2"/>
  <c r="C4" i="2"/>
  <c r="G3" i="2"/>
  <c r="F3" i="2"/>
  <c r="E3" i="2"/>
  <c r="C3" i="2"/>
  <c r="G2" i="2"/>
  <c r="F2" i="2"/>
  <c r="E2" i="2"/>
  <c r="C2" i="2"/>
  <c r="G12" i="1"/>
  <c r="F12" i="1"/>
  <c r="E12" i="1"/>
  <c r="C12" i="1"/>
  <c r="G11" i="1"/>
  <c r="F11" i="1"/>
  <c r="E11" i="1"/>
  <c r="C11" i="1"/>
  <c r="G10" i="1"/>
  <c r="F10" i="1"/>
  <c r="E10" i="1"/>
  <c r="C10" i="1"/>
  <c r="G9" i="1"/>
  <c r="F9" i="1"/>
  <c r="E9" i="1"/>
  <c r="C9" i="1"/>
  <c r="G8" i="1"/>
  <c r="F8" i="1"/>
  <c r="E8" i="1"/>
  <c r="C8" i="1"/>
  <c r="G7" i="1"/>
  <c r="F7" i="1"/>
  <c r="E7" i="1"/>
  <c r="C7" i="1"/>
  <c r="G6" i="1"/>
  <c r="F6" i="1"/>
  <c r="E6" i="1"/>
  <c r="C6" i="1"/>
  <c r="G5" i="1"/>
  <c r="F5" i="1"/>
  <c r="E5" i="1"/>
  <c r="C5" i="1"/>
  <c r="G4" i="1"/>
  <c r="F4" i="1"/>
  <c r="E4" i="1"/>
  <c r="C4" i="1"/>
  <c r="G3" i="1"/>
  <c r="F3" i="1"/>
  <c r="E3" i="1"/>
  <c r="C3" i="1"/>
  <c r="G2" i="1"/>
  <c r="F2" i="1"/>
  <c r="E2" i="1"/>
  <c r="C2" i="1"/>
</calcChain>
</file>

<file path=xl/sharedStrings.xml><?xml version="1.0" encoding="utf-8"?>
<sst xmlns="http://schemas.openxmlformats.org/spreadsheetml/2006/main" count="61" uniqueCount="14">
  <si>
    <t>IPC</t>
  </si>
  <si>
    <t>Tasa de interes</t>
  </si>
  <si>
    <t>TRIMESTRE</t>
  </si>
  <si>
    <t>NASDAQ 100</t>
  </si>
  <si>
    <t>Intel</t>
  </si>
  <si>
    <t>Precio</t>
  </si>
  <si>
    <t>Revenue</t>
  </si>
  <si>
    <t>Gross Margin</t>
  </si>
  <si>
    <t>Net Income</t>
  </si>
  <si>
    <t>Data Center</t>
  </si>
  <si>
    <t>Free cashflow</t>
  </si>
  <si>
    <t>Empresa</t>
  </si>
  <si>
    <t>NVIDIA</t>
  </si>
  <si>
    <t>AMD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</si>
</sst>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0.0"/>
    <numFmt numFmtId="165" formatCode="0.0%"/>
    <numFmt numFmtId="166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9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rgb="FFBABABA"/>
      </top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40">
    <xf numFmtId="0" fontId="0" fillId="0" borderId="0" xfId="0"/>
    <xf numFmtId="2" fontId="1" fillId="3" borderId="0" xfId="1" applyNumberFormat="1" applyFill="1"/>
    <xf numFmtId="2" fontId="0" fillId="3" borderId="0" xfId="0" applyNumberFormat="1" applyFill="1"/>
    <xf numFmtId="2" fontId="0" fillId="3" borderId="0" xfId="1" applyNumberFormat="1" applyFont="1" applyFill="1"/>
    <xf numFmtId="164" fontId="0" fillId="3" borderId="0" xfId="1" applyNumberFormat="1" applyFont="1" applyFill="1"/>
    <xf numFmtId="164" fontId="3" fillId="3" borderId="0" xfId="1" applyNumberFormat="1" applyFont="1" applyFill="1"/>
    <xf numFmtId="164" fontId="1" fillId="3" borderId="0" xfId="1" applyNumberFormat="1" applyFill="1"/>
    <xf numFmtId="165" fontId="0" fillId="3" borderId="0" xfId="2" applyNumberFormat="1" applyFont="1" applyFill="1"/>
    <xf numFmtId="164" fontId="0" fillId="3" borderId="0" xfId="0" applyNumberFormat="1" applyFill="1"/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4" borderId="1" xfId="1" applyNumberFormat="1" applyFont="1" applyFill="1" applyBorder="1"/>
    <xf numFmtId="164" fontId="0" fillId="4" borderId="2" xfId="1" applyNumberFormat="1" applyFont="1" applyFill="1" applyBorder="1"/>
    <xf numFmtId="164" fontId="3" fillId="3" borderId="0" xfId="1" applyNumberFormat="1" applyFont="1" applyFill="1" applyAlignment="1">
      <alignment horizontal="right" vertical="center" wrapText="1" readingOrder="1"/>
    </xf>
    <xf numFmtId="164" fontId="0" fillId="0" borderId="0" xfId="0" applyNumberFormat="1"/>
    <xf numFmtId="1" fontId="0" fillId="3" borderId="0" xfId="1" applyNumberFormat="1" applyFont="1" applyFill="1"/>
    <xf numFmtId="1" fontId="0" fillId="4" borderId="1" xfId="1" applyNumberFormat="1" applyFont="1" applyFill="1" applyBorder="1"/>
    <xf numFmtId="1" fontId="0" fillId="4" borderId="2" xfId="1" applyNumberFormat="1" applyFont="1" applyFill="1" applyBorder="1"/>
    <xf numFmtId="1" fontId="0" fillId="0" borderId="0" xfId="0" applyNumberFormat="1"/>
    <xf numFmtId="1" fontId="0" fillId="3" borderId="3" xfId="1" applyNumberFormat="1" applyFont="1" applyFill="1" applyBorder="1" applyAlignment="1">
      <alignment horizontal="right"/>
    </xf>
    <xf numFmtId="164" fontId="0" fillId="3" borderId="1" xfId="1" applyNumberFormat="1" applyFont="1" applyFill="1" applyBorder="1" applyAlignment="1">
      <alignment horizontal="right"/>
    </xf>
    <xf numFmtId="164" fontId="0" fillId="3" borderId="4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4" fontId="0" fillId="3" borderId="4" xfId="1" applyNumberFormat="1" applyFont="1" applyFill="1" applyBorder="1"/>
    <xf numFmtId="2" fontId="0" fillId="3" borderId="0" xfId="2" applyNumberFormat="1" applyFont="1" applyFill="1"/>
    <xf numFmtId="2" fontId="0" fillId="4" borderId="1" xfId="2" applyNumberFormat="1" applyFont="1" applyFill="1" applyBorder="1"/>
    <xf numFmtId="2" fontId="0" fillId="4" borderId="2" xfId="2" applyNumberFormat="1" applyFont="1" applyFill="1" applyBorder="1"/>
    <xf numFmtId="2" fontId="0" fillId="0" borderId="0" xfId="0" applyNumberFormat="1"/>
    <xf numFmtId="2" fontId="4" fillId="3" borderId="0" xfId="2" applyNumberFormat="1" applyFont="1" applyFill="1"/>
    <xf numFmtId="2" fontId="4" fillId="3" borderId="5" xfId="2" applyNumberFormat="1" applyFont="1" applyFill="1" applyBorder="1" applyAlignment="1">
      <alignment horizontal="right" vertical="center"/>
    </xf>
    <xf numFmtId="2" fontId="0" fillId="3" borderId="1" xfId="2" applyNumberFormat="1" applyFont="1" applyFill="1" applyBorder="1"/>
    <xf numFmtId="2" fontId="0" fillId="3" borderId="2" xfId="2" applyNumberFormat="1" applyFont="1" applyFill="1" applyBorder="1"/>
    <xf numFmtId="2" fontId="0" fillId="3" borderId="1" xfId="2" applyNumberFormat="1" applyFont="1" applyFill="1" applyBorder="1" applyAlignment="1">
      <alignment horizontal="right"/>
    </xf>
    <xf numFmtId="166" fontId="5" fillId="3" borderId="0" xfId="2" applyNumberFormat="1" applyFont="1" applyFill="1"/>
    <xf numFmtId="0" fontId="0" fillId="3" borderId="0" xfId="1" applyNumberFormat="1" applyFont="1" applyFill="1"/>
    <xf numFmtId="0" fontId="0" fillId="3" borderId="0" xfId="2" applyNumberFormat="1" applyFont="1" applyFill="1"/>
    <xf numFmtId="0" fontId="0" fillId="3" borderId="0" xfId="0" applyFill="1"/>
    <xf numFmtId="14" fontId="2" fillId="2" borderId="2" xfId="0" applyNumberFormat="1" applyFont="1" applyFill="1" applyBorder="1"/>
    <xf numFmtId="14" fontId="2" fillId="2" borderId="1" xfId="0" applyNumberFormat="1" applyFont="1" applyFill="1" applyBorder="1"/>
    <xf numFmtId="1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zoomScale="80" zoomScaleNormal="80" workbookViewId="0">
      <selection sqref="A1:A12"/>
    </sheetView>
  </sheetViews>
  <sheetFormatPr baseColWidth="10" defaultRowHeight="15" x14ac:dyDescent="0.25"/>
  <cols>
    <col min="1" max="1" width="10.85546875" bestFit="1" customWidth="1"/>
    <col min="2" max="2" width="14.5703125" bestFit="1" customWidth="1"/>
    <col min="3" max="3" width="16.5703125" style="14" bestFit="1" customWidth="1"/>
    <col min="4" max="4" width="21" style="27" bestFit="1" customWidth="1"/>
    <col min="5" max="5" width="19.28515625" bestFit="1" customWidth="1"/>
    <col min="6" max="6" width="20" bestFit="1" customWidth="1"/>
    <col min="7" max="7" width="21.85546875" bestFit="1" customWidth="1"/>
  </cols>
  <sheetData>
    <row r="1" spans="1:8" x14ac:dyDescent="0.25">
      <c r="A1" s="39" t="s">
        <v>2</v>
      </c>
      <c r="B1" s="34" t="s">
        <v>5</v>
      </c>
      <c r="C1" s="36" t="s">
        <v>6</v>
      </c>
      <c r="D1" s="35" t="s">
        <v>7</v>
      </c>
      <c r="E1" s="36" t="s">
        <v>8</v>
      </c>
      <c r="F1" s="36" t="s">
        <v>9</v>
      </c>
      <c r="G1" s="36" t="s">
        <v>10</v>
      </c>
      <c r="H1" s="36" t="s">
        <v>11</v>
      </c>
    </row>
    <row r="2" spans="1:8" s="6" customFormat="1" ht="16.5" customHeight="1" x14ac:dyDescent="0.3">
      <c r="A2" s="37">
        <v>44743</v>
      </c>
      <c r="B2" s="5">
        <v>14.96</v>
      </c>
      <c r="C2" s="4">
        <f>1000000*6704</f>
        <v>6704000000</v>
      </c>
      <c r="D2" s="24">
        <v>0.435</v>
      </c>
      <c r="E2" s="4">
        <f>1000000*656</f>
        <v>656000000</v>
      </c>
      <c r="F2" s="4">
        <f>1000000*3806</f>
        <v>3806000000</v>
      </c>
      <c r="G2" s="4">
        <f>1000000*824</f>
        <v>824000000</v>
      </c>
      <c r="H2" s="4" t="s">
        <v>12</v>
      </c>
    </row>
    <row r="3" spans="1:8" s="2" customFormat="1" ht="16.5" customHeight="1" x14ac:dyDescent="0.3">
      <c r="A3" s="37">
        <v>44835</v>
      </c>
      <c r="B3" s="5">
        <v>12.51</v>
      </c>
      <c r="C3" s="4">
        <f>1000000*5931</f>
        <v>5931000000</v>
      </c>
      <c r="D3" s="24">
        <v>0.53600000000000003</v>
      </c>
      <c r="E3" s="4">
        <f>1000000*680</f>
        <v>680000000</v>
      </c>
      <c r="F3" s="4">
        <f>1000000*3833</f>
        <v>3833000000</v>
      </c>
      <c r="G3" s="4">
        <f>1000000*-156</f>
        <v>-156000000</v>
      </c>
      <c r="H3" s="4" t="s">
        <v>12</v>
      </c>
    </row>
    <row r="4" spans="1:8" s="7" customFormat="1" ht="14.25" customHeight="1" x14ac:dyDescent="0.3">
      <c r="A4" s="37">
        <v>44927</v>
      </c>
      <c r="B4" s="5">
        <v>14.31</v>
      </c>
      <c r="C4" s="9">
        <f>1000000*6051</f>
        <v>6051000000</v>
      </c>
      <c r="D4" s="25">
        <v>0.63300000000000001</v>
      </c>
      <c r="E4" s="9">
        <f>1000000*1414</f>
        <v>1414000000</v>
      </c>
      <c r="F4" s="11">
        <f>1000000*3616</f>
        <v>3616000000</v>
      </c>
      <c r="G4" s="4">
        <f>1000000*1736</f>
        <v>1736000000</v>
      </c>
      <c r="H4" s="4" t="s">
        <v>12</v>
      </c>
    </row>
    <row r="5" spans="1:8" s="8" customFormat="1" ht="16.5" customHeight="1" x14ac:dyDescent="0.3">
      <c r="A5" s="37">
        <v>45017</v>
      </c>
      <c r="B5" s="5">
        <v>27.97</v>
      </c>
      <c r="C5" s="4">
        <f>1000000*7192</f>
        <v>7192000000</v>
      </c>
      <c r="D5" s="24">
        <v>0.64600000000000002</v>
      </c>
      <c r="E5" s="4">
        <f>1000000*2043</f>
        <v>2043000000</v>
      </c>
      <c r="F5" s="4">
        <f>1000000*4284</f>
        <v>4284000000</v>
      </c>
      <c r="G5" s="4">
        <f>1000000*2643</f>
        <v>2643000000</v>
      </c>
      <c r="H5" s="4" t="s">
        <v>12</v>
      </c>
    </row>
    <row r="6" spans="1:8" s="8" customFormat="1" ht="16.5" customHeight="1" x14ac:dyDescent="0.3">
      <c r="A6" s="37">
        <v>45108</v>
      </c>
      <c r="B6" s="5">
        <v>42.41</v>
      </c>
      <c r="C6" s="4">
        <f>1000000*13507</f>
        <v>13507000000</v>
      </c>
      <c r="D6" s="24">
        <v>0.70099999999999996</v>
      </c>
      <c r="E6" s="4">
        <f>1000000*6188</f>
        <v>6188000000</v>
      </c>
      <c r="F6" s="4">
        <f>1000000*10323</f>
        <v>10323000000</v>
      </c>
      <c r="G6" s="4">
        <f>1000000*6048</f>
        <v>6048000000</v>
      </c>
      <c r="H6" s="4" t="s">
        <v>12</v>
      </c>
    </row>
    <row r="7" spans="1:8" s="8" customFormat="1" ht="16.5" customHeight="1" x14ac:dyDescent="0.3">
      <c r="A7" s="37">
        <v>45200</v>
      </c>
      <c r="B7" s="5">
        <v>44.78</v>
      </c>
      <c r="C7" s="9">
        <f>1000000*18120</f>
        <v>18120000000</v>
      </c>
      <c r="D7" s="25">
        <v>0.74</v>
      </c>
      <c r="E7" s="9">
        <f>1000000*9243</f>
        <v>9243000000</v>
      </c>
      <c r="F7" s="11">
        <f>1000000*14514</f>
        <v>14514000000</v>
      </c>
      <c r="G7" s="4">
        <f>1000000*7042</f>
        <v>7042000000</v>
      </c>
      <c r="H7" s="4" t="s">
        <v>12</v>
      </c>
    </row>
    <row r="8" spans="1:8" ht="16.5" customHeight="1" x14ac:dyDescent="0.3">
      <c r="A8" s="37">
        <v>45292</v>
      </c>
      <c r="B8" s="5">
        <v>48.17</v>
      </c>
      <c r="C8" s="10">
        <f>1000000*22103</f>
        <v>22103000000</v>
      </c>
      <c r="D8" s="26">
        <v>0.76</v>
      </c>
      <c r="E8" s="10">
        <f>1000000*12285</f>
        <v>12285000000</v>
      </c>
      <c r="F8" s="12">
        <f>1000000*18404</f>
        <v>18404000000</v>
      </c>
      <c r="G8" s="4">
        <f>1000000*11217</f>
        <v>11217000000</v>
      </c>
      <c r="H8" s="4" t="s">
        <v>12</v>
      </c>
    </row>
    <row r="9" spans="1:8" ht="16.5" customHeight="1" x14ac:dyDescent="0.3">
      <c r="A9" s="37">
        <v>45383</v>
      </c>
      <c r="B9" s="5">
        <v>89.45</v>
      </c>
      <c r="C9" s="4">
        <f>1000000*26044</f>
        <v>26044000000</v>
      </c>
      <c r="D9" s="24">
        <v>0.78400000000000003</v>
      </c>
      <c r="E9" s="4">
        <f>1000000*14881</f>
        <v>14881000000</v>
      </c>
      <c r="F9" s="4">
        <f>1000000*22563</f>
        <v>22563000000</v>
      </c>
      <c r="G9" s="4">
        <f>1000000*14936</f>
        <v>14936000000</v>
      </c>
      <c r="H9" s="4" t="s">
        <v>12</v>
      </c>
    </row>
    <row r="10" spans="1:8" ht="16.5" customHeight="1" x14ac:dyDescent="0.3">
      <c r="A10" s="37">
        <v>45474</v>
      </c>
      <c r="B10" s="5">
        <v>122.67</v>
      </c>
      <c r="C10" s="4">
        <f>1000000*30040</f>
        <v>30040000000</v>
      </c>
      <c r="D10" s="24">
        <v>0.751</v>
      </c>
      <c r="E10" s="4">
        <f>1000000*16599</f>
        <v>16599000000</v>
      </c>
      <c r="F10" s="4">
        <f>1000000*26272</f>
        <v>26272000000</v>
      </c>
      <c r="G10" s="4">
        <f>1000000*13483</f>
        <v>13483000000</v>
      </c>
      <c r="H10" s="4" t="s">
        <v>12</v>
      </c>
    </row>
    <row r="11" spans="1:8" ht="16.5" customHeight="1" x14ac:dyDescent="0.3">
      <c r="A11" s="38">
        <v>45566</v>
      </c>
      <c r="B11" s="5">
        <v>118.85</v>
      </c>
      <c r="C11" s="4">
        <f>1000000*35082</f>
        <v>35082000000</v>
      </c>
      <c r="D11" s="24">
        <v>0.746</v>
      </c>
      <c r="E11" s="4">
        <f>1000000*19309</f>
        <v>19309000000</v>
      </c>
      <c r="F11" s="4">
        <f>1000000*30771</f>
        <v>30771000000</v>
      </c>
      <c r="G11" s="4">
        <f>1000000*16787</f>
        <v>16787000000</v>
      </c>
      <c r="H11" s="4" t="s">
        <v>12</v>
      </c>
    </row>
    <row r="12" spans="1:8" ht="16.5" customHeight="1" x14ac:dyDescent="0.3">
      <c r="A12" s="38">
        <v>45658</v>
      </c>
      <c r="B12" s="5">
        <v>138.31</v>
      </c>
      <c r="C12" s="4">
        <f>1000000*39331</f>
        <v>39331000000</v>
      </c>
      <c r="D12" s="24">
        <v>0.73</v>
      </c>
      <c r="E12" s="4">
        <f>1000000*22091</f>
        <v>22091000000</v>
      </c>
      <c r="F12" s="4">
        <f>1000000*35580</f>
        <v>35580000000</v>
      </c>
      <c r="G12" s="4">
        <f>1000000*15519</f>
        <v>15519000000</v>
      </c>
      <c r="H12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sqref="A1:A12"/>
    </sheetView>
  </sheetViews>
  <sheetFormatPr baseColWidth="10" defaultRowHeight="15" x14ac:dyDescent="0.25"/>
  <cols>
    <col min="1" max="1" width="10.42578125" bestFit="1" customWidth="1"/>
    <col min="2" max="2" width="12.42578125" style="14" bestFit="1" customWidth="1"/>
    <col min="3" max="3" width="14.140625" style="18" bestFit="1" customWidth="1"/>
    <col min="4" max="4" width="18.85546875" style="27" bestFit="1" customWidth="1"/>
    <col min="5" max="5" width="17" bestFit="1" customWidth="1"/>
    <col min="6" max="6" width="17.140625" bestFit="1" customWidth="1"/>
    <col min="7" max="7" width="19.5703125" bestFit="1" customWidth="1"/>
  </cols>
  <sheetData>
    <row r="1" spans="1:8" x14ac:dyDescent="0.25">
      <c r="A1" s="39" t="s">
        <v>2</v>
      </c>
      <c r="B1" s="34" t="s">
        <v>5</v>
      </c>
      <c r="C1" s="36" t="s">
        <v>6</v>
      </c>
      <c r="D1" s="35" t="s">
        <v>7</v>
      </c>
      <c r="E1" s="36" t="s">
        <v>8</v>
      </c>
      <c r="F1" s="36" t="s">
        <v>9</v>
      </c>
      <c r="G1" s="36" t="s">
        <v>10</v>
      </c>
      <c r="H1" s="36" t="s">
        <v>11</v>
      </c>
    </row>
    <row r="2" spans="1:8" s="1" customFormat="1" ht="16.5" customHeight="1" x14ac:dyDescent="0.3">
      <c r="A2" s="37">
        <v>44743</v>
      </c>
      <c r="B2" s="5">
        <v>75.2</v>
      </c>
      <c r="C2" s="15">
        <f>1000000*655</f>
        <v>655000000</v>
      </c>
      <c r="D2" s="24">
        <v>0.46</v>
      </c>
      <c r="E2" s="4">
        <f>1000000*447</f>
        <v>447000000</v>
      </c>
      <c r="F2" s="4">
        <f>1000000*1486</f>
        <v>1486000000</v>
      </c>
      <c r="G2" s="4">
        <f>1000000*906</f>
        <v>906000000</v>
      </c>
      <c r="H2" s="3" t="s">
        <v>13</v>
      </c>
    </row>
    <row r="3" spans="1:8" s="2" customFormat="1" ht="16.5" customHeight="1" x14ac:dyDescent="0.3">
      <c r="A3" s="37">
        <v>44835</v>
      </c>
      <c r="B3" s="5">
        <v>66.11</v>
      </c>
      <c r="C3" s="15">
        <f>1000000*5565</f>
        <v>5565000000</v>
      </c>
      <c r="D3" s="24">
        <v>0.42</v>
      </c>
      <c r="E3" s="4">
        <f>1000000*66</f>
        <v>66000000</v>
      </c>
      <c r="F3" s="4">
        <f>1000000*1609</f>
        <v>1609000000</v>
      </c>
      <c r="G3" s="4">
        <f>1000000*842</f>
        <v>842000000</v>
      </c>
      <c r="H3" s="3" t="s">
        <v>13</v>
      </c>
    </row>
    <row r="4" spans="1:8" s="7" customFormat="1" ht="16.5" customHeight="1" x14ac:dyDescent="0.25">
      <c r="A4" s="37">
        <v>44927</v>
      </c>
      <c r="B4" s="13">
        <v>64.02</v>
      </c>
      <c r="C4" s="15">
        <f>1000000*5599</f>
        <v>5599000000</v>
      </c>
      <c r="D4" s="24">
        <v>0.43</v>
      </c>
      <c r="E4" s="4">
        <f>1000000*21</f>
        <v>21000000</v>
      </c>
      <c r="F4" s="4">
        <f>1000000*1655</f>
        <v>1655000000</v>
      </c>
      <c r="G4" s="4">
        <f>1000000*443</f>
        <v>443000000</v>
      </c>
      <c r="H4" s="3" t="s">
        <v>13</v>
      </c>
    </row>
    <row r="5" spans="1:8" s="8" customFormat="1" ht="16.5" customHeight="1" x14ac:dyDescent="0.3">
      <c r="A5" s="37">
        <v>45017</v>
      </c>
      <c r="B5" s="5">
        <v>96.56</v>
      </c>
      <c r="C5" s="16">
        <f>1000000*5353</f>
        <v>5353000000</v>
      </c>
      <c r="D5" s="30">
        <v>0.44</v>
      </c>
      <c r="E5" s="11">
        <f>1000000*-139</f>
        <v>-139000000</v>
      </c>
      <c r="F5" s="9">
        <f>1000000*1295</f>
        <v>1295000000</v>
      </c>
      <c r="G5" s="11">
        <f>1000000*328</f>
        <v>328000000</v>
      </c>
      <c r="H5" s="3" t="s">
        <v>13</v>
      </c>
    </row>
    <row r="6" spans="1:8" s="8" customFormat="1" ht="16.5" customHeight="1" x14ac:dyDescent="0.3">
      <c r="A6" s="37">
        <v>45108</v>
      </c>
      <c r="B6" s="5">
        <v>115.82</v>
      </c>
      <c r="C6" s="16">
        <f>1000000*5359</f>
        <v>5359000000</v>
      </c>
      <c r="D6" s="30">
        <v>0.46</v>
      </c>
      <c r="E6" s="11">
        <f>1000000*27</f>
        <v>27000000</v>
      </c>
      <c r="F6" s="4">
        <f>1000000*1321</f>
        <v>1321000000</v>
      </c>
      <c r="G6" s="4">
        <f>1000000*254</f>
        <v>254000000</v>
      </c>
      <c r="H6" s="3" t="s">
        <v>13</v>
      </c>
    </row>
    <row r="7" spans="1:8" s="8" customFormat="1" ht="16.5" customHeight="1" x14ac:dyDescent="0.3">
      <c r="A7" s="37">
        <v>45200</v>
      </c>
      <c r="B7" s="5">
        <v>103.27</v>
      </c>
      <c r="C7" s="17">
        <f>5800*1000000</f>
        <v>5800000000</v>
      </c>
      <c r="D7" s="31">
        <v>0.47</v>
      </c>
      <c r="E7" s="12">
        <f>299*1000000</f>
        <v>299000000</v>
      </c>
      <c r="F7" s="9">
        <f>1598*1000000</f>
        <v>1598000000</v>
      </c>
      <c r="G7" s="11">
        <f>297*1000000</f>
        <v>297000000</v>
      </c>
      <c r="H7" s="3" t="s">
        <v>13</v>
      </c>
    </row>
    <row r="8" spans="1:8" ht="16.5" customHeight="1" x14ac:dyDescent="0.3">
      <c r="A8" s="37">
        <v>45292</v>
      </c>
      <c r="B8" s="5">
        <v>138.58000000000001</v>
      </c>
      <c r="C8" s="16">
        <f>1000000*6168</f>
        <v>6168000000</v>
      </c>
      <c r="D8" s="30">
        <v>0.47</v>
      </c>
      <c r="E8" s="11">
        <f>1000000*667</f>
        <v>667000000</v>
      </c>
      <c r="F8" s="9">
        <f>1000000*2282</f>
        <v>2282000000</v>
      </c>
      <c r="G8" s="11">
        <f>1000000*242</f>
        <v>242000000</v>
      </c>
      <c r="H8" s="3" t="s">
        <v>13</v>
      </c>
    </row>
    <row r="9" spans="1:8" ht="16.5" customHeight="1" x14ac:dyDescent="0.3">
      <c r="A9" s="37">
        <v>45383</v>
      </c>
      <c r="B9" s="5">
        <v>178.7</v>
      </c>
      <c r="C9" s="16">
        <f>1000000*5473</f>
        <v>5473000000</v>
      </c>
      <c r="D9" s="30">
        <v>0.47</v>
      </c>
      <c r="E9" s="11">
        <f>1000000*123</f>
        <v>123000000</v>
      </c>
      <c r="F9" s="9">
        <f>1000000*2337</f>
        <v>2337000000</v>
      </c>
      <c r="G9" s="11">
        <f>1000000*379</f>
        <v>379000000</v>
      </c>
      <c r="H9" s="3" t="s">
        <v>13</v>
      </c>
    </row>
    <row r="10" spans="1:8" ht="16.5" customHeight="1" x14ac:dyDescent="0.3">
      <c r="A10" s="37">
        <v>45474</v>
      </c>
      <c r="B10" s="5">
        <v>163.9</v>
      </c>
      <c r="C10" s="16">
        <f>1000000*5835</f>
        <v>5835000000</v>
      </c>
      <c r="D10" s="30">
        <v>0.49</v>
      </c>
      <c r="E10" s="11">
        <f>1000000*265</f>
        <v>265000000</v>
      </c>
      <c r="F10" s="9">
        <f>1000000*2834</f>
        <v>2834000000</v>
      </c>
      <c r="G10" s="11">
        <f>1000000*439</f>
        <v>439000000</v>
      </c>
      <c r="H10" s="3" t="s">
        <v>13</v>
      </c>
    </row>
    <row r="11" spans="1:8" ht="16.5" customHeight="1" x14ac:dyDescent="0.3">
      <c r="A11" s="38">
        <v>45566</v>
      </c>
      <c r="B11" s="5">
        <v>159.78</v>
      </c>
      <c r="C11" s="16">
        <f>6819*1000000</f>
        <v>6819000000</v>
      </c>
      <c r="D11" s="30">
        <v>0.5</v>
      </c>
      <c r="E11" s="11">
        <f>771*1000000</f>
        <v>771000000</v>
      </c>
      <c r="F11" s="9">
        <f>1000000*3549</f>
        <v>3549000000</v>
      </c>
      <c r="G11" s="11">
        <f>1000000*496</f>
        <v>496000000</v>
      </c>
      <c r="H11" s="3" t="s">
        <v>13</v>
      </c>
    </row>
    <row r="12" spans="1:8" s="22" customFormat="1" ht="16.5" customHeight="1" x14ac:dyDescent="0.25">
      <c r="A12" s="38">
        <v>45658</v>
      </c>
      <c r="B12" s="13">
        <v>120.63</v>
      </c>
      <c r="C12" s="19">
        <f>7658*1000000</f>
        <v>7658000000</v>
      </c>
      <c r="D12" s="32">
        <v>0.51</v>
      </c>
      <c r="E12" s="20">
        <f>482*1000000</f>
        <v>482000000</v>
      </c>
      <c r="F12" s="20">
        <f>3859*1000000</f>
        <v>3859000000</v>
      </c>
      <c r="G12" s="21">
        <f>1000000*1091</f>
        <v>1091000000</v>
      </c>
      <c r="H12" s="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sqref="A1:A12"/>
    </sheetView>
  </sheetViews>
  <sheetFormatPr baseColWidth="10" defaultColWidth="15.5703125" defaultRowHeight="15" x14ac:dyDescent="0.25"/>
  <cols>
    <col min="1" max="1" width="10.42578125" bestFit="1" customWidth="1"/>
    <col min="2" max="2" width="12.28515625" bestFit="1" customWidth="1"/>
    <col min="3" max="3" width="14" style="14" bestFit="1" customWidth="1"/>
    <col min="4" max="4" width="18.7109375" style="27" bestFit="1" customWidth="1"/>
    <col min="5" max="5" width="16.85546875" bestFit="1" customWidth="1"/>
    <col min="6" max="6" width="17" bestFit="1" customWidth="1"/>
    <col min="7" max="7" width="19.42578125" bestFit="1" customWidth="1"/>
  </cols>
  <sheetData>
    <row r="1" spans="1:8" x14ac:dyDescent="0.25">
      <c r="A1" s="39" t="s">
        <v>2</v>
      </c>
      <c r="B1" s="34" t="s">
        <v>5</v>
      </c>
      <c r="C1" s="36" t="s">
        <v>6</v>
      </c>
      <c r="D1" s="35" t="s">
        <v>7</v>
      </c>
      <c r="E1" s="36" t="s">
        <v>8</v>
      </c>
      <c r="F1" s="36" t="s">
        <v>9</v>
      </c>
      <c r="G1" s="36" t="s">
        <v>10</v>
      </c>
      <c r="H1" s="36" t="s">
        <v>11</v>
      </c>
    </row>
    <row r="2" spans="1:8" s="6" customFormat="1" ht="16.5" customHeight="1" x14ac:dyDescent="0.3">
      <c r="A2" s="37">
        <v>44743</v>
      </c>
      <c r="B2" s="5">
        <v>36.69</v>
      </c>
      <c r="C2" s="4">
        <f>1000000000*15.3</f>
        <v>15300000000</v>
      </c>
      <c r="D2" s="24">
        <v>0.36499999999999999</v>
      </c>
      <c r="E2" s="4">
        <f>1000000000*-0.5</f>
        <v>-500000000</v>
      </c>
      <c r="F2" s="4">
        <f>1000000000*4.6</f>
        <v>4600000000</v>
      </c>
      <c r="G2" s="4">
        <f>1000000*-6.381</f>
        <v>-6381000</v>
      </c>
      <c r="H2" s="4" t="s">
        <v>4</v>
      </c>
    </row>
    <row r="3" spans="1:8" s="3" customFormat="1" ht="16.5" customHeight="1" x14ac:dyDescent="0.3">
      <c r="A3" s="37">
        <v>44835</v>
      </c>
      <c r="B3" s="5">
        <v>26.97</v>
      </c>
      <c r="C3" s="4">
        <f>1000000000*15.3</f>
        <v>15300000000</v>
      </c>
      <c r="D3" s="24">
        <v>0.42599999999999999</v>
      </c>
      <c r="E3" s="4">
        <f>1000000000*1</f>
        <v>1000000000</v>
      </c>
      <c r="F3" s="4">
        <f>1000000000*4.2</f>
        <v>4200000000</v>
      </c>
      <c r="G3" s="4">
        <f>1000000*-6308</f>
        <v>-6308000000</v>
      </c>
      <c r="H3" s="4" t="s">
        <v>4</v>
      </c>
    </row>
    <row r="4" spans="1:8" s="7" customFormat="1" ht="16.5" customHeight="1" x14ac:dyDescent="0.3">
      <c r="A4" s="37">
        <v>44927</v>
      </c>
      <c r="B4" s="5">
        <v>26.73</v>
      </c>
      <c r="C4" s="4">
        <f>1000000000*14</f>
        <v>14000000000</v>
      </c>
      <c r="D4" s="24">
        <v>0.39200000000000002</v>
      </c>
      <c r="E4" s="4">
        <f>1000000000*-0.7</f>
        <v>-700000000</v>
      </c>
      <c r="F4" s="4">
        <f>1000000000*4.3</f>
        <v>4300000000</v>
      </c>
      <c r="G4" s="4">
        <f>1000000*3064</f>
        <v>3064000000</v>
      </c>
      <c r="H4" s="4" t="s">
        <v>4</v>
      </c>
    </row>
    <row r="5" spans="1:8" s="4" customFormat="1" ht="16.5" customHeight="1" x14ac:dyDescent="0.3">
      <c r="A5" s="37">
        <v>45017</v>
      </c>
      <c r="B5" s="5">
        <v>32.89</v>
      </c>
      <c r="C5" s="4">
        <f>1000000000*11.7</f>
        <v>11700000000</v>
      </c>
      <c r="D5" s="24">
        <v>0.34200000000000003</v>
      </c>
      <c r="E5" s="11">
        <f>1000000000*-2.8</f>
        <v>-2800000000</v>
      </c>
      <c r="F5" s="4">
        <f>1000000000*3.7</f>
        <v>3700000000</v>
      </c>
      <c r="G5" s="4">
        <f>1000000*-8.764</f>
        <v>-8764000</v>
      </c>
      <c r="H5" s="4" t="s">
        <v>4</v>
      </c>
    </row>
    <row r="6" spans="1:8" s="8" customFormat="1" ht="16.5" customHeight="1" x14ac:dyDescent="0.3">
      <c r="A6" s="37">
        <v>45108</v>
      </c>
      <c r="B6" s="5">
        <v>33.619999999999997</v>
      </c>
      <c r="C6" s="4">
        <f>1000000000*12.9</f>
        <v>12900000000</v>
      </c>
      <c r="D6" s="24">
        <v>0.35799999999999998</v>
      </c>
      <c r="E6" s="4">
        <f>1000000000*1.5</f>
        <v>1500000000</v>
      </c>
      <c r="F6" s="4">
        <f>1000000000*4</f>
        <v>4000000000</v>
      </c>
      <c r="G6" s="4">
        <f>-1000000*2727</f>
        <v>-2727000000</v>
      </c>
      <c r="H6" s="4" t="s">
        <v>4</v>
      </c>
    </row>
    <row r="7" spans="1:8" s="4" customFormat="1" ht="16.5" customHeight="1" x14ac:dyDescent="0.3">
      <c r="A7" s="37">
        <v>45200</v>
      </c>
      <c r="B7" s="5">
        <v>35.69</v>
      </c>
      <c r="C7" s="4">
        <f>1000000000*14.2</f>
        <v>14200000000</v>
      </c>
      <c r="D7" s="24">
        <v>0.42499999999999999</v>
      </c>
      <c r="E7" s="4">
        <f>1000000000*0.3</f>
        <v>300000000</v>
      </c>
      <c r="F7" s="4">
        <f>1000000000*3.8</f>
        <v>3800000000</v>
      </c>
      <c r="G7" s="11">
        <f>1000000*943</f>
        <v>943000000</v>
      </c>
      <c r="H7" s="4" t="s">
        <v>4</v>
      </c>
    </row>
    <row r="8" spans="1:8" ht="16.5" customHeight="1" x14ac:dyDescent="0.3">
      <c r="A8" s="37">
        <v>45292</v>
      </c>
      <c r="B8" s="5">
        <v>47.8</v>
      </c>
      <c r="C8" s="4">
        <f>1000000000*15.4</f>
        <v>15400000000</v>
      </c>
      <c r="D8" s="24">
        <v>0.45700000000000002</v>
      </c>
      <c r="E8" s="4">
        <f>1000000000*2.7</f>
        <v>2700000000</v>
      </c>
      <c r="F8" s="4">
        <f>1000000000*4</f>
        <v>4000000000</v>
      </c>
      <c r="G8" s="11">
        <f>1000000*-1305</f>
        <v>-1305000000</v>
      </c>
      <c r="H8" s="4" t="s">
        <v>4</v>
      </c>
    </row>
    <row r="9" spans="1:8" ht="16.5" customHeight="1" x14ac:dyDescent="0.3">
      <c r="A9" s="37">
        <v>45383</v>
      </c>
      <c r="B9" s="5">
        <v>43.94</v>
      </c>
      <c r="C9" s="4">
        <f>1000000000*12.7</f>
        <v>12700000000</v>
      </c>
      <c r="D9" s="24">
        <v>0.41</v>
      </c>
      <c r="E9" s="11">
        <f>1000000000*-0.4</f>
        <v>-400000000</v>
      </c>
      <c r="F9" s="4">
        <f>1000000000*3</f>
        <v>3000000000</v>
      </c>
      <c r="G9" s="4">
        <f>-1000000*6178</f>
        <v>-6178000000</v>
      </c>
      <c r="H9" s="4" t="s">
        <v>4</v>
      </c>
    </row>
    <row r="10" spans="1:8" ht="16.5" customHeight="1" x14ac:dyDescent="0.3">
      <c r="A10" s="37">
        <v>45474</v>
      </c>
      <c r="B10" s="5">
        <v>31.07</v>
      </c>
      <c r="C10" s="4">
        <f>1000000000*12.8</f>
        <v>12800000000</v>
      </c>
      <c r="D10" s="24">
        <v>0.35399999999999998</v>
      </c>
      <c r="E10" s="4">
        <f>1000000000*1.6</f>
        <v>1600000000</v>
      </c>
      <c r="F10" s="4">
        <f>1000000000*3</f>
        <v>3000000000</v>
      </c>
      <c r="G10" s="4">
        <f>8155*1000000</f>
        <v>8155000000</v>
      </c>
      <c r="H10" s="4" t="s">
        <v>4</v>
      </c>
    </row>
    <row r="11" spans="1:8" ht="16.5" customHeight="1" x14ac:dyDescent="0.3">
      <c r="A11" s="38">
        <v>45566</v>
      </c>
      <c r="B11" s="5">
        <v>22.26</v>
      </c>
      <c r="C11" s="4">
        <f>1000000000*13.3</f>
        <v>13300000000</v>
      </c>
      <c r="D11" s="24">
        <v>0.15</v>
      </c>
      <c r="E11" s="4">
        <f>1000000000*-16.6</f>
        <v>-16600000000.000002</v>
      </c>
      <c r="F11" s="9">
        <f>1000000000*3.3</f>
        <v>3300000000</v>
      </c>
      <c r="G11" s="11">
        <f>-2702*1000000</f>
        <v>-2702000000</v>
      </c>
      <c r="H11" s="4" t="s">
        <v>4</v>
      </c>
    </row>
    <row r="12" spans="1:8" ht="16.5" customHeight="1" x14ac:dyDescent="0.3">
      <c r="A12" s="38">
        <v>45658</v>
      </c>
      <c r="B12" s="5">
        <v>20.22</v>
      </c>
      <c r="C12" s="4">
        <f>14.3*1000000000</f>
        <v>14300000000</v>
      </c>
      <c r="D12" s="24">
        <v>0.39200000000000002</v>
      </c>
      <c r="E12" s="4">
        <f>1000000000*-0.1</f>
        <v>-100000000</v>
      </c>
      <c r="F12" s="4">
        <f>1000000000*3.4</f>
        <v>3400000000</v>
      </c>
      <c r="G12" s="23">
        <f>-1503*1000000</f>
        <v>-1503000000</v>
      </c>
      <c r="H12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4BB7-171B-4E5B-B2FD-6291C2EC45C9}">
  <dimension ref="A1:D12"/>
  <sheetViews>
    <sheetView tabSelected="1" workbookViewId="0">
      <selection activeCell="I13" sqref="I13"/>
    </sheetView>
  </sheetViews>
  <sheetFormatPr baseColWidth="10" defaultRowHeight="15" x14ac:dyDescent="0.25"/>
  <cols>
    <col min="1" max="1" width="23.42578125" bestFit="1" customWidth="1"/>
    <col min="4" max="4" width="20" bestFit="1" customWidth="1"/>
  </cols>
  <sheetData>
    <row r="1" spans="1:4" x14ac:dyDescent="0.25">
      <c r="A1" s="39" t="s">
        <v>2</v>
      </c>
      <c r="B1" s="35" t="s">
        <v>0</v>
      </c>
      <c r="C1" s="35" t="s">
        <v>1</v>
      </c>
      <c r="D1" s="34" t="s">
        <v>3</v>
      </c>
    </row>
    <row r="2" spans="1:4" ht="16.5" x14ac:dyDescent="0.25">
      <c r="A2" s="37">
        <v>44743</v>
      </c>
      <c r="B2" s="28">
        <v>9.0999999999999998E-2</v>
      </c>
      <c r="C2" s="33">
        <v>2.5000000000000001E-3</v>
      </c>
      <c r="D2" s="13">
        <v>11322.24</v>
      </c>
    </row>
    <row r="3" spans="1:4" ht="16.5" x14ac:dyDescent="0.25">
      <c r="A3" s="37">
        <v>44835</v>
      </c>
      <c r="B3" s="28">
        <v>8.2000000000000003E-2</v>
      </c>
      <c r="C3" s="33">
        <v>0.03</v>
      </c>
      <c r="D3" s="13">
        <v>10815.43</v>
      </c>
    </row>
    <row r="4" spans="1:4" ht="16.5" x14ac:dyDescent="0.3">
      <c r="A4" s="37">
        <v>44927</v>
      </c>
      <c r="B4" s="28">
        <v>6.5000000000000002E-2</v>
      </c>
      <c r="C4" s="33">
        <v>4.2500000000000003E-2</v>
      </c>
      <c r="D4" s="5">
        <v>10386.99</v>
      </c>
    </row>
    <row r="5" spans="1:4" ht="16.5" x14ac:dyDescent="0.25">
      <c r="A5" s="37">
        <v>45017</v>
      </c>
      <c r="B5" s="28">
        <v>0.05</v>
      </c>
      <c r="C5" s="33">
        <v>4.7500000000000001E-2</v>
      </c>
      <c r="D5" s="13">
        <v>12189.45</v>
      </c>
    </row>
    <row r="6" spans="1:4" ht="17.25" thickBot="1" x14ac:dyDescent="0.3">
      <c r="A6" s="37">
        <v>45108</v>
      </c>
      <c r="B6" s="28">
        <v>0.03</v>
      </c>
      <c r="C6" s="33">
        <v>5.2499999999999998E-2</v>
      </c>
      <c r="D6" s="13">
        <v>13816.77</v>
      </c>
    </row>
    <row r="7" spans="1:4" ht="16.5" x14ac:dyDescent="0.3">
      <c r="A7" s="37">
        <v>45200</v>
      </c>
      <c r="B7" s="29">
        <v>3.6999999999999998E-2</v>
      </c>
      <c r="C7" s="33">
        <v>5.2499999999999998E-2</v>
      </c>
      <c r="D7" s="5">
        <v>13307.77</v>
      </c>
    </row>
    <row r="8" spans="1:4" ht="17.25" thickBot="1" x14ac:dyDescent="0.3">
      <c r="A8" s="37">
        <v>45292</v>
      </c>
      <c r="B8" s="28">
        <v>3.4000000000000002E-2</v>
      </c>
      <c r="C8" s="33">
        <v>5.2499999999999998E-2</v>
      </c>
      <c r="D8" s="13">
        <v>14765.94</v>
      </c>
    </row>
    <row r="9" spans="1:4" ht="17.25" thickBot="1" x14ac:dyDescent="0.35">
      <c r="A9" s="37">
        <v>45383</v>
      </c>
      <c r="B9" s="29">
        <v>3.5000000000000003E-2</v>
      </c>
      <c r="C9" s="33">
        <v>5.2499999999999998E-2</v>
      </c>
      <c r="D9" s="5">
        <v>16240.45</v>
      </c>
    </row>
    <row r="10" spans="1:4" ht="17.25" thickBot="1" x14ac:dyDescent="0.3">
      <c r="A10" s="37">
        <v>45474</v>
      </c>
      <c r="B10" s="29">
        <v>0.03</v>
      </c>
      <c r="C10" s="33">
        <v>5.2499999999999998E-2</v>
      </c>
      <c r="D10" s="13">
        <v>18028.759999999998</v>
      </c>
    </row>
    <row r="11" spans="1:4" ht="17.25" thickBot="1" x14ac:dyDescent="0.35">
      <c r="A11" s="38">
        <v>45566</v>
      </c>
      <c r="B11" s="29">
        <v>2.4E-2</v>
      </c>
      <c r="C11" s="33">
        <v>4.7500000000000001E-2</v>
      </c>
      <c r="D11" s="5">
        <v>17925.12</v>
      </c>
    </row>
    <row r="12" spans="1:4" ht="16.5" x14ac:dyDescent="0.25">
      <c r="A12" s="38">
        <v>45658</v>
      </c>
      <c r="B12" s="29">
        <v>2.9000000000000001E-2</v>
      </c>
      <c r="C12" s="33">
        <v>4.2500000000000003E-2</v>
      </c>
      <c r="D12" s="13">
        <v>19280.79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NVIDIA</vt:lpstr>
      <vt:lpstr>AMD</vt:lpstr>
      <vt:lpstr>Intel</vt:lpstr>
      <vt:lpstr>Macroeconomicos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Forero</dc:creator>
  <cp:lastModifiedBy>Daniel Forero</cp:lastModifiedBy>
  <dcterms:created xsi:type="dcterms:W3CDTF">2025-02-27T15:20:20Z</dcterms:created>
  <dcterms:modified xsi:type="dcterms:W3CDTF">2025-03-04T00:07:12Z</dcterms:modified>
</cp:coreProperties>
</file>