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<sst xmlns="http://schemas.openxmlformats.org/spreadsheetml/2006/main" count="386" uniqueCount="116">
  <si>
    <t xml:space="preserve">Kann ein Gebäude der Größe „Standardhaus“ mit durchschnittlichem Energiewert an einer Vorlaufleitung mit 45°C über eine Fußbodenheizung ausreichend versorgt werden? (Ergebnis unten)</t>
  </si>
  <si>
    <t xml:space="preserve"> </t>
  </si>
  <si>
    <t xml:space="preserve">Parametereingabe:</t>
  </si>
  <si>
    <t xml:space="preserve">Wert</t>
  </si>
  <si>
    <t xml:space="preserve">Einheit</t>
  </si>
  <si>
    <t xml:space="preserve">Quelle / Bemerkungen</t>
  </si>
  <si>
    <t xml:space="preserve">Innentemperatur</t>
  </si>
  <si>
    <t xml:space="preserve">°C</t>
  </si>
  <si>
    <t xml:space="preserve">gesetzt</t>
  </si>
  <si>
    <t xml:space="preserve">Temperatur Untergrund</t>
  </si>
  <si>
    <t xml:space="preserve">Mittlere Lufttemperatur; Berlin; Nov.bis Apr.</t>
  </si>
  <si>
    <r>
      <rPr>
        <sz val="6"/>
        <color rgb="FF0000FF"/>
        <rFont val="Liberation Sans Narrow"/>
        <family val="2"/>
      </rPr>
      <t xml:space="preserve">https://www.dwd.de/DE/leistungen/klimadatendeutschland/mittelwerte/temp_8110_fest_html.html?view=nasPublication&amp;nn=16102</t>
    </r>
    <r>
      <rPr>
        <sz val="6"/>
        <rFont val="Liberation Sans Narrow"/>
        <family val="2"/>
      </rPr>
      <t xml:space="preserve">; Tegel</t>
    </r>
  </si>
  <si>
    <t xml:space="preserve">Luftwechselrate</t>
  </si>
  <si>
    <t xml:space="preserve">m³/h/Kopf</t>
  </si>
  <si>
    <t xml:space="preserve">Pettenkofer-Wert;  DIN 1946-6</t>
  </si>
  <si>
    <t xml:space="preserve">Spezifische Wärmekapazität der Luft </t>
  </si>
  <si>
    <t xml:space="preserve">KJ/kg/K</t>
  </si>
  <si>
    <t xml:space="preserve">Dichte der Luft bei Zimmertemperatur</t>
  </si>
  <si>
    <t xml:space="preserve">kg/m³</t>
  </si>
  <si>
    <t xml:space="preserve">Durchschnittliche Wohnfläche pro Kopf</t>
  </si>
  <si>
    <t xml:space="preserve">m²/Kopf</t>
  </si>
  <si>
    <t xml:space="preserve">Jährliche Globalstrahlung am Ort</t>
  </si>
  <si>
    <t xml:space="preserve">kWh/a/m²</t>
  </si>
  <si>
    <t xml:space="preserve">https://www.dwd.de/DE/leistungen/solarenergie/lstrahlungskarten_mi.html</t>
  </si>
  <si>
    <t xml:space="preserve">Jahresertrag der Kollektoren</t>
  </si>
  <si>
    <t xml:space="preserve">Röhrenkollektoren Ritter CPC XL 1921, Würzburg bei T=75°C</t>
  </si>
  <si>
    <t xml:space="preserve">Ausnutzung der Dachfläche</t>
  </si>
  <si>
    <t xml:space="preserve">%</t>
  </si>
  <si>
    <t xml:space="preserve">Effizienznachlass der Kollektoren auf</t>
  </si>
  <si>
    <t xml:space="preserve">Faktor für Brutto-Grundfläche</t>
  </si>
  <si>
    <t xml:space="preserve">https://de.wikipedia.org/wiki/Energiebezugsfläche; BGF/NGF</t>
  </si>
  <si>
    <t xml:space="preserve">Wärmeleitwert Ziegel</t>
  </si>
  <si>
    <t xml:space="preserve">W/m/K</t>
  </si>
  <si>
    <t xml:space="preserve">Wärmeleitwert Dämmstoff</t>
  </si>
  <si>
    <t xml:space="preserve">Wärmeleitwert trockener Füllboden</t>
  </si>
  <si>
    <t xml:space="preserve">Stärke der Dämmschicht, Grund</t>
  </si>
  <si>
    <t xml:space="preserve">m </t>
  </si>
  <si>
    <t xml:space="preserve">Stärke der Dämmschicht, Wand</t>
  </si>
  <si>
    <t xml:space="preserve">Stärke der Dämmschicht, Dach</t>
  </si>
  <si>
    <t xml:space="preserve">Wärmewiderstand für 1m² Hüllfläche</t>
  </si>
  <si>
    <t xml:space="preserve">Standardhaus; Wohnung für 2 Personen, eingeschossig</t>
  </si>
  <si>
    <t xml:space="preserve">Flächen- inhalt</t>
  </si>
  <si>
    <t xml:space="preserve">Übergang extern</t>
  </si>
  <si>
    <t xml:space="preserve">Konstruktion</t>
  </si>
  <si>
    <t xml:space="preserve">Dämmung</t>
  </si>
  <si>
    <t xml:space="preserve">Zusatz, z.B.Parkett Paneele</t>
  </si>
  <si>
    <t xml:space="preserve">Übergang intern</t>
  </si>
  <si>
    <t xml:space="preserve">Summe</t>
  </si>
  <si>
    <t xml:space="preserve">U-Wert</t>
  </si>
  <si>
    <t xml:space="preserve">Leistung für alle m² dieser Hüllfläche</t>
  </si>
  <si>
    <t xml:space="preserve">Heizenergie für diese Hüllfläche pro Jahr</t>
  </si>
  <si>
    <t xml:space="preserve">Heizenergie pro m² Wohnfläche pro Jahr</t>
  </si>
  <si>
    <t xml:space="preserve">Ergebnis</t>
  </si>
  <si>
    <t xml:space="preserve">A</t>
  </si>
  <si>
    <t xml:space="preserve">Rüe</t>
  </si>
  <si>
    <t xml:space="preserve">R1</t>
  </si>
  <si>
    <t xml:space="preserve">R2</t>
  </si>
  <si>
    <t xml:space="preserve">R3</t>
  </si>
  <si>
    <t xml:space="preserve">Rüi</t>
  </si>
  <si>
    <t xml:space="preserve">Rges</t>
  </si>
  <si>
    <t xml:space="preserve">U</t>
  </si>
  <si>
    <t xml:space="preserve">P</t>
  </si>
  <si>
    <t xml:space="preserve">E</t>
  </si>
  <si>
    <t xml:space="preserve">Größe</t>
  </si>
  <si>
    <t xml:space="preserve">m²</t>
  </si>
  <si>
    <t xml:space="preserve">K*m²/W</t>
  </si>
  <si>
    <t xml:space="preserve">W/m²/K</t>
  </si>
  <si>
    <t xml:space="preserve">W/K</t>
  </si>
  <si>
    <t xml:space="preserve">kWh/a</t>
  </si>
  <si>
    <t xml:space="preserve">Grund</t>
  </si>
  <si>
    <t xml:space="preserve">Dachfläche pro Kopf</t>
  </si>
  <si>
    <t xml:space="preserve">Wand</t>
  </si>
  <si>
    <t xml:space="preserve">Solarwärme pro Kopf, Jahresernte Dach Standardgebäude</t>
  </si>
  <si>
    <t xml:space="preserve">kWh/a/Kopf</t>
  </si>
  <si>
    <t xml:space="preserve">Dach</t>
  </si>
  <si>
    <t xml:space="preserve">Solarwärme pro m² Brutto-Wohnfläche, Jahresernte </t>
  </si>
  <si>
    <t xml:space="preserve">Fenster</t>
  </si>
  <si>
    <t xml:space="preserve">Tür</t>
  </si>
  <si>
    <t xml:space="preserve">nötige Auslegungsleistung einer Flächenheizung pro m² *)</t>
  </si>
  <si>
    <t xml:space="preserve">W/m²</t>
  </si>
  <si>
    <t xml:space="preserve">Dazu der Luftwechsel, gesamt</t>
  </si>
  <si>
    <t xml:space="preserve">Heizwärmebedarf zur Heizperiode in 2-Personen-Standardwohnung</t>
  </si>
  <si>
    <t xml:space="preserve">Heizwärmebedarf zur Heizperiode pro Kopf</t>
  </si>
  <si>
    <t xml:space="preserve">Wohnung für 2 Personen, zweigeschossig</t>
  </si>
  <si>
    <t xml:space="preserve">Solarwärme pro Kopf,Jahresernte auf dem Dach des Gebäudes</t>
  </si>
  <si>
    <t xml:space="preserve">Heizwärmebedarf zur Heizperiode pro 2-Personen-Haushalt</t>
  </si>
  <si>
    <t xml:space="preserve">Wohnung für 4 Personen, Einfamilienhaus, zweigeschossig</t>
  </si>
  <si>
    <t xml:space="preserve">Solarwärme pro Kopf,Jahresernte auf dem Dach des  Gebäudes</t>
  </si>
  <si>
    <t xml:space="preserve">Wohnungen für 8 Personen, Doppelhaus, zweigeschossig</t>
  </si>
  <si>
    <t xml:space="preserve">Wohnungen für 12 Personen, Doppelhaus, dreigeschossig</t>
  </si>
  <si>
    <t xml:space="preserve">Fußbodenheizung:</t>
  </si>
  <si>
    <t xml:space="preserve">Quelle:</t>
  </si>
  <si>
    <t xml:space="preserve">[90]</t>
  </si>
  <si>
    <r>
      <rPr>
        <b val="true"/>
        <sz val="10"/>
        <rFont val="Arial"/>
        <family val="2"/>
      </rPr>
      <t xml:space="preserve">Vorlauftemperatur Q</t>
    </r>
    <r>
      <rPr>
        <b val="true"/>
        <vertAlign val="subscript"/>
        <sz val="10"/>
        <rFont val="Arial"/>
        <family val="2"/>
      </rPr>
      <t xml:space="preserve">V</t>
    </r>
    <r>
      <rPr>
        <b val="true"/>
        <sz val="10"/>
        <rFont val="Arial"/>
        <family val="2"/>
      </rPr>
      <t xml:space="preserve"> :</t>
    </r>
  </si>
  <si>
    <r>
      <rPr>
        <b val="true"/>
        <sz val="10"/>
        <rFont val="Arial"/>
        <family val="2"/>
      </rPr>
      <t xml:space="preserve">Rücklauftemperatur </t>
    </r>
    <r>
      <rPr>
        <b val="true"/>
        <sz val="10"/>
        <rFont val="GreekC"/>
        <family val="0"/>
      </rPr>
      <t xml:space="preserve">Q</t>
    </r>
    <r>
      <rPr>
        <b val="true"/>
        <vertAlign val="subscript"/>
        <sz val="10"/>
        <rFont val="Arial"/>
        <family val="2"/>
      </rPr>
      <t xml:space="preserve">R </t>
    </r>
    <r>
      <rPr>
        <b val="true"/>
        <sz val="10"/>
        <rFont val="Arial"/>
        <family val="2"/>
      </rPr>
      <t xml:space="preserve">:</t>
    </r>
  </si>
  <si>
    <t xml:space="preserve">*)</t>
  </si>
  <si>
    <t xml:space="preserve">Raum-</t>
  </si>
  <si>
    <r>
      <rPr>
        <b val="true"/>
        <sz val="10"/>
        <rFont val="Arial"/>
        <family val="2"/>
      </rPr>
      <t xml:space="preserve">Wärmeleistung q [W/m</t>
    </r>
    <r>
      <rPr>
        <b val="true"/>
        <vertAlign val="superscript"/>
        <sz val="10"/>
        <rFont val="Arial"/>
        <family val="2"/>
      </rPr>
      <t xml:space="preserve">2</t>
    </r>
    <r>
      <rPr>
        <b val="true"/>
        <sz val="10"/>
        <rFont val="Arial"/>
        <family val="2"/>
      </rPr>
      <t xml:space="preserve">]</t>
    </r>
  </si>
  <si>
    <t xml:space="preserve">Boden-</t>
  </si>
  <si>
    <t xml:space="preserve">temperatur</t>
  </si>
  <si>
    <t xml:space="preserve">Verlegeabstand der Heizrohre [mm]</t>
  </si>
  <si>
    <t xml:space="preserve">belag</t>
  </si>
  <si>
    <r>
      <rPr>
        <b val="true"/>
        <sz val="10"/>
        <rFont val="GreekC"/>
        <family val="0"/>
      </rPr>
      <t xml:space="preserve">Q</t>
    </r>
    <r>
      <rPr>
        <b val="true"/>
        <vertAlign val="subscript"/>
        <sz val="10"/>
        <rFont val="Arial"/>
        <family val="2"/>
      </rPr>
      <t xml:space="preserve">i</t>
    </r>
    <r>
      <rPr>
        <b val="true"/>
        <sz val="10"/>
        <rFont val="Arial"/>
        <family val="2"/>
      </rPr>
      <t xml:space="preserve"> [°C]</t>
    </r>
  </si>
  <si>
    <r>
      <rPr>
        <b val="true"/>
        <sz val="10"/>
        <rFont val="Arial"/>
        <family val="2"/>
      </rPr>
      <t xml:space="preserve">[m</t>
    </r>
    <r>
      <rPr>
        <b val="true"/>
        <vertAlign val="superscript"/>
        <sz val="10"/>
        <rFont val="Arial"/>
        <family val="2"/>
      </rPr>
      <t xml:space="preserve">2</t>
    </r>
    <r>
      <rPr>
        <b val="true"/>
        <sz val="10"/>
        <rFont val="Arial"/>
        <family val="2"/>
      </rPr>
      <t xml:space="preserve">K/W]</t>
    </r>
  </si>
  <si>
    <r>
      <rPr>
        <b val="true"/>
        <sz val="8"/>
        <rFont val="Arial"/>
        <family val="2"/>
      </rPr>
      <t xml:space="preserve">R</t>
    </r>
    <r>
      <rPr>
        <b val="true"/>
        <vertAlign val="subscript"/>
        <sz val="8"/>
        <rFont val="Symbol"/>
        <family val="1"/>
        <charset val="2"/>
      </rPr>
      <t xml:space="preserve">l</t>
    </r>
    <r>
      <rPr>
        <b val="true"/>
        <sz val="8"/>
        <rFont val="Arial"/>
        <family val="2"/>
      </rPr>
      <t xml:space="preserve">=0,00 m</t>
    </r>
    <r>
      <rPr>
        <b val="true"/>
        <vertAlign val="superscript"/>
        <sz val="8"/>
        <rFont val="Arial"/>
        <family val="2"/>
      </rPr>
      <t xml:space="preserve">2</t>
    </r>
    <r>
      <rPr>
        <b val="true"/>
        <sz val="8"/>
        <rFont val="Arial"/>
        <family val="2"/>
      </rPr>
      <t xml:space="preserve">K/W</t>
    </r>
  </si>
  <si>
    <t xml:space="preserve">ohne Belag</t>
  </si>
  <si>
    <r>
      <rPr>
        <b val="true"/>
        <sz val="8"/>
        <rFont val="Arial"/>
        <family val="2"/>
      </rPr>
      <t xml:space="preserve">R</t>
    </r>
    <r>
      <rPr>
        <b val="true"/>
        <vertAlign val="subscript"/>
        <sz val="8"/>
        <rFont val="Symbol"/>
        <family val="1"/>
        <charset val="2"/>
      </rPr>
      <t xml:space="preserve">l</t>
    </r>
    <r>
      <rPr>
        <b val="true"/>
        <sz val="8"/>
        <rFont val="Arial"/>
        <family val="2"/>
      </rPr>
      <t xml:space="preserve">=0,05 m</t>
    </r>
    <r>
      <rPr>
        <b val="true"/>
        <vertAlign val="superscript"/>
        <sz val="8"/>
        <rFont val="Arial"/>
        <family val="2"/>
      </rPr>
      <t xml:space="preserve">2</t>
    </r>
    <r>
      <rPr>
        <b val="true"/>
        <sz val="8"/>
        <rFont val="Arial"/>
        <family val="2"/>
      </rPr>
      <t xml:space="preserve">K/W</t>
    </r>
  </si>
  <si>
    <t xml:space="preserve">Fliesen</t>
  </si>
  <si>
    <r>
      <rPr>
        <b val="true"/>
        <sz val="8"/>
        <rFont val="Arial"/>
        <family val="2"/>
      </rPr>
      <t xml:space="preserve">R</t>
    </r>
    <r>
      <rPr>
        <b val="true"/>
        <vertAlign val="subscript"/>
        <sz val="8"/>
        <rFont val="Symbol"/>
        <family val="1"/>
        <charset val="2"/>
      </rPr>
      <t xml:space="preserve">l</t>
    </r>
    <r>
      <rPr>
        <b val="true"/>
        <sz val="8"/>
        <rFont val="Arial"/>
        <family val="2"/>
      </rPr>
      <t xml:space="preserve">=0,10 m</t>
    </r>
    <r>
      <rPr>
        <b val="true"/>
        <vertAlign val="superscript"/>
        <sz val="8"/>
        <rFont val="Arial"/>
        <family val="2"/>
      </rPr>
      <t xml:space="preserve">2</t>
    </r>
    <r>
      <rPr>
        <b val="true"/>
        <sz val="8"/>
        <rFont val="Arial"/>
        <family val="2"/>
      </rPr>
      <t xml:space="preserve">K/W</t>
    </r>
  </si>
  <si>
    <t xml:space="preserve">Teppich</t>
  </si>
  <si>
    <r>
      <rPr>
        <b val="true"/>
        <sz val="8"/>
        <rFont val="Arial"/>
        <family val="2"/>
      </rPr>
      <t xml:space="preserve">R</t>
    </r>
    <r>
      <rPr>
        <b val="true"/>
        <vertAlign val="subscript"/>
        <sz val="8"/>
        <rFont val="Symbol"/>
        <family val="1"/>
        <charset val="2"/>
      </rPr>
      <t xml:space="preserve">l</t>
    </r>
    <r>
      <rPr>
        <b val="true"/>
        <sz val="8"/>
        <rFont val="Arial"/>
        <family val="2"/>
      </rPr>
      <t xml:space="preserve">=0,15 m</t>
    </r>
    <r>
      <rPr>
        <b val="true"/>
        <vertAlign val="superscript"/>
        <sz val="8"/>
        <rFont val="Arial"/>
        <family val="2"/>
      </rPr>
      <t xml:space="preserve">2</t>
    </r>
    <r>
      <rPr>
        <b val="true"/>
        <sz val="8"/>
        <rFont val="Arial"/>
        <family val="2"/>
      </rPr>
      <t xml:space="preserve">K/W</t>
    </r>
  </si>
  <si>
    <t xml:space="preserve">Parkett</t>
  </si>
  <si>
    <t xml:space="preserve">Für einen Wärmeverbrauch bis 183 kWh/m²/a ist die Beheizung möglich (bei einem Heizrohr-Verlegeabstand von 50 mm unter Teppichboden auf der gesamten Wohnfläche); </t>
  </si>
  <si>
    <t xml:space="preserve">36-iger Ziegelmauer, herkömmliche Doppelfenster, 10cm Dämmung im Dach, 5cm Dämmung unter Fußbodenheizung, bis zu Außentemperaturen von  -12°C.</t>
  </si>
  <si>
    <t xml:space="preserve">Auch adäquate Flächenheizungen (Wand, Decke) sind gleichwertig anwendbar.</t>
  </si>
  <si>
    <t xml:space="preserve">(Durchschnittlicher Wärmebedarf aller Gebäude in Deutschland: 160 kWh/m²/a)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</si>
</sst>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\ [$€-407];[RED]\-#,##0.00\ [$€-407]"/>
    <numFmt numFmtId="166" formatCode="0.0"/>
    <numFmt numFmtId="167" formatCode="0.00"/>
    <numFmt numFmtId="168" formatCode="General"/>
    <numFmt numFmtId="169" formatCode="#,##0"/>
    <numFmt numFmtId="170" formatCode="0"/>
  </numFmts>
  <fonts count="2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name val="FreeSans"/>
      <family val="2"/>
    </font>
    <font>
      <b val="true"/>
      <sz val="16"/>
      <name val="Liberation Sans Narrow"/>
      <family val="2"/>
    </font>
    <font>
      <sz val="12"/>
      <name val="Liberation Sans Narrow"/>
      <family val="2"/>
    </font>
    <font>
      <b val="true"/>
      <sz val="12"/>
      <name val="Liberation Sans Narrow"/>
      <family val="2"/>
    </font>
    <font>
      <b val="true"/>
      <sz val="10"/>
      <name val="Arial"/>
      <family val="2"/>
    </font>
    <font>
      <sz val="6"/>
      <color rgb="FF0000FF"/>
      <name val="Liberation Sans Narrow"/>
      <family val="2"/>
    </font>
    <font>
      <sz val="6"/>
      <name val="Liberation Sans Narrow"/>
      <family val="2"/>
    </font>
    <font>
      <sz val="8"/>
      <name val="Liberation Sans Narrow"/>
      <family val="2"/>
    </font>
    <font>
      <sz val="12"/>
      <color rgb="FF0000FF"/>
      <name val="Liberation Sans Narrow"/>
      <family val="2"/>
    </font>
    <font>
      <b val="true"/>
      <sz val="9"/>
      <name val="Liberation Sans Narrow"/>
      <family val="2"/>
    </font>
    <font>
      <b val="true"/>
      <i val="true"/>
      <sz val="9"/>
      <name val="Liberation Sans Narrow"/>
      <family val="2"/>
    </font>
    <font>
      <i val="true"/>
      <sz val="10"/>
      <name val="Liberation Sans Narrow"/>
      <family val="2"/>
    </font>
    <font>
      <b val="true"/>
      <u val="single"/>
      <sz val="12"/>
      <name val="Liberation Sans Narrow"/>
      <family val="2"/>
    </font>
    <font>
      <sz val="12"/>
      <name val="Arial"/>
      <family val="2"/>
    </font>
    <font>
      <b val="true"/>
      <vertAlign val="subscript"/>
      <sz val="10"/>
      <name val="Arial"/>
      <family val="2"/>
    </font>
    <font>
      <b val="true"/>
      <sz val="12"/>
      <name val="Arial"/>
      <family val="2"/>
    </font>
    <font>
      <b val="true"/>
      <sz val="12"/>
      <color rgb="FFFF0000"/>
      <name val="Arial"/>
      <family val="2"/>
    </font>
    <font>
      <b val="true"/>
      <sz val="10"/>
      <name val="GreekC"/>
      <family val="0"/>
    </font>
    <font>
      <b val="true"/>
      <vertAlign val="superscript"/>
      <sz val="10"/>
      <name val="Arial"/>
      <family val="2"/>
    </font>
    <font>
      <b val="true"/>
      <sz val="8"/>
      <name val="Arial"/>
      <family val="2"/>
    </font>
    <font>
      <b val="true"/>
      <vertAlign val="subscript"/>
      <sz val="8"/>
      <name val="Symbol"/>
      <family val="1"/>
      <charset val="2"/>
    </font>
    <font>
      <b val="true"/>
      <vertAlign val="superscript"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66CCFF"/>
        <bgColor rgb="FF33CCCC"/>
      </patternFill>
    </fill>
    <fill>
      <patternFill patternType="solid">
        <fgColor rgb="FFFF99FF"/>
        <bgColor rgb="FFEC9BA4"/>
      </patternFill>
    </fill>
    <fill>
      <patternFill patternType="solid">
        <fgColor rgb="FFB2B2B2"/>
        <bgColor rgb="FF969696"/>
      </patternFill>
    </fill>
    <fill>
      <patternFill patternType="solid">
        <fgColor rgb="FFFFFF99"/>
        <bgColor rgb="FFFFFFCC"/>
      </patternFill>
    </fill>
    <fill>
      <patternFill patternType="solid">
        <fgColor rgb="FFEEEEEE"/>
        <bgColor rgb="FFE3E3E3"/>
      </patternFill>
    </fill>
    <fill>
      <patternFill patternType="solid">
        <fgColor rgb="FFFF9999"/>
        <bgColor rgb="FFEC9BA4"/>
      </patternFill>
    </fill>
    <fill>
      <patternFill patternType="solid">
        <fgColor rgb="FFC8FAD5"/>
        <bgColor rgb="FFCCFFFF"/>
      </patternFill>
    </fill>
    <fill>
      <patternFill patternType="solid">
        <fgColor rgb="FFEC9BA4"/>
        <bgColor rgb="FFFF9999"/>
      </patternFill>
    </fill>
    <fill>
      <patternFill patternType="solid">
        <fgColor rgb="FFE3E3E3"/>
        <bgColor rgb="FFEEEEEE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/>
      <right/>
      <top style="thin">
        <color rgb="FF212121"/>
      </top>
      <bottom style="hair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hair">
        <color rgb="FF212121"/>
      </right>
      <top style="hair">
        <color rgb="FF212121"/>
      </top>
      <bottom style="hair">
        <color rgb="FF212121"/>
      </bottom>
      <diagonal/>
    </border>
    <border diagonalUp="false" diagonalDown="false">
      <left style="hair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 diagonalUp="false" diagonalDown="false">
      <left style="hair">
        <color rgb="FF212121"/>
      </left>
      <right/>
      <top style="hair">
        <color rgb="FF212121"/>
      </top>
      <bottom style="hair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hair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hair">
        <color rgb="FF212121"/>
      </top>
      <bottom style="hair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hair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hair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hair">
        <color rgb="FF212121"/>
      </top>
      <bottom/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2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0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9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11" borderId="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11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9" fillId="11" borderId="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11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1" borderId="11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20" fillId="11" borderId="12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20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11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11" borderId="1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11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4" fillId="2" borderId="11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20" fillId="2" borderId="12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2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1" borderId="17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20" fillId="11" borderId="18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6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gebnis" xfId="20"/>
    <cellStyle name="Ergebnis 2" xfId="21"/>
    <cellStyle name="Überschrift" xfId="22"/>
    <cellStyle name="Überschrift 1" xfId="23"/>
  </cellStyles>
  <dxfs count="2">
    <dxf>
      <font>
        <name val="FreeSans"/>
        <family val="2"/>
        <b val="1"/>
        <i val="0"/>
        <color rgb="FFFF0000"/>
      </font>
    </dxf>
    <dxf>
      <font>
        <name val="FreeSans"/>
        <family val="2"/>
        <b val="1"/>
        <i val="0"/>
        <color rgb="FFFF0000"/>
      </font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EC9BA4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AD5"/>
      <rgbColor rgb="FFFFFF99"/>
      <rgbColor rgb="FF66CCFF"/>
      <rgbColor rgb="FFFF9999"/>
      <rgbColor rgb="FFFF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wd.de/DE/leistungen/klimadatendeutschland/mittelwerte/temp_8110_fest_html.html?view=nasPublication&amp;nn=16102" TargetMode="External"/><Relationship Id="rId2" Type="http://schemas.openxmlformats.org/officeDocument/2006/relationships/hyperlink" Target="https://www.dwd.de/DE/leistungen/solarenergie/lstrahlungskarten_mi.html" TargetMode="External"/><Relationship Id="rId3" Type="http://schemas.openxmlformats.org/officeDocument/2006/relationships/hyperlink" Target="https://heliogaia.de/t/quellen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85" activeCellId="0" sqref="O85"/>
    </sheetView>
  </sheetViews>
  <sheetFormatPr defaultColWidth="11.53515625" defaultRowHeight="14.45" zeroHeight="false" outlineLevelRow="0" outlineLevelCol="0"/>
  <cols>
    <col collapsed="false" customWidth="true" hidden="false" outlineLevel="0" max="1" min="1" style="1" width="2.67"/>
    <col collapsed="false" customWidth="true" hidden="false" outlineLevel="0" max="2" min="2" style="2" width="37.92"/>
    <col collapsed="false" customWidth="true" hidden="false" outlineLevel="0" max="3" min="3" style="2" width="8.03"/>
    <col collapsed="false" customWidth="true" hidden="false" outlineLevel="0" max="4" min="4" style="2" width="8.2"/>
    <col collapsed="false" customWidth="true" hidden="false" outlineLevel="0" max="5" min="5" style="2" width="9.87"/>
    <col collapsed="false" customWidth="true" hidden="false" outlineLevel="0" max="7" min="6" style="3" width="8.86"/>
    <col collapsed="false" customWidth="true" hidden="false" outlineLevel="0" max="8" min="8" style="3" width="7.69"/>
    <col collapsed="false" customWidth="true" hidden="false" outlineLevel="0" max="9" min="9" style="3" width="7.03"/>
    <col collapsed="false" customWidth="true" hidden="false" outlineLevel="0" max="10" min="10" style="3" width="7.42"/>
    <col collapsed="false" customWidth="true" hidden="false" outlineLevel="0" max="11" min="11" style="3" width="9.7"/>
    <col collapsed="false" customWidth="true" hidden="false" outlineLevel="0" max="12" min="12" style="3" width="10.92"/>
    <col collapsed="false" customWidth="true" hidden="false" outlineLevel="0" max="13" min="13" style="3" width="10.71"/>
    <col collapsed="false" customWidth="true" hidden="false" outlineLevel="0" max="14" min="14" style="3" width="3.61"/>
    <col collapsed="false" customWidth="true" hidden="false" outlineLevel="0" max="15" min="15" style="3" width="55.29"/>
    <col collapsed="false" customWidth="true" hidden="false" outlineLevel="0" max="16" min="16" style="3" width="9.04"/>
    <col collapsed="false" customWidth="true" hidden="false" outlineLevel="0" max="17" min="17" style="3" width="10.63"/>
    <col collapsed="false" customWidth="false" hidden="false" outlineLevel="0" max="64" min="18" style="2" width="11.52"/>
  </cols>
  <sheetData>
    <row r="1" customFormat="false" ht="19.45" hidden="false" customHeight="true" outlineLevel="0" collapsed="false">
      <c r="A1" s="4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AJZ1" s="8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</row>
    <row r="2" customFormat="false" ht="19.45" hidden="false" customHeight="true" outlineLevel="0" collapsed="false">
      <c r="A2" s="10" t="s">
        <v>1</v>
      </c>
      <c r="B2" s="11" t="s">
        <v>2</v>
      </c>
      <c r="C2" s="12"/>
      <c r="D2" s="11" t="s">
        <v>3</v>
      </c>
      <c r="E2" s="7" t="s">
        <v>4</v>
      </c>
      <c r="F2" s="7"/>
      <c r="G2" s="7"/>
      <c r="H2" s="7"/>
      <c r="I2" s="7"/>
      <c r="J2" s="7"/>
      <c r="K2" s="7"/>
      <c r="L2" s="7"/>
      <c r="M2" s="13"/>
      <c r="N2" s="14"/>
      <c r="O2" s="7" t="s">
        <v>5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AJZ2" s="15"/>
    </row>
    <row r="3" customFormat="false" ht="14.45" hidden="false" customHeight="true" outlineLevel="0" collapsed="false">
      <c r="A3" s="10" t="s">
        <v>1</v>
      </c>
      <c r="B3" s="16" t="s">
        <v>6</v>
      </c>
      <c r="C3" s="16" t="s">
        <v>1</v>
      </c>
      <c r="D3" s="17" t="n">
        <v>20</v>
      </c>
      <c r="E3" s="16" t="s">
        <v>7</v>
      </c>
      <c r="F3" s="16"/>
      <c r="G3" s="16"/>
      <c r="H3" s="16"/>
      <c r="I3" s="16"/>
      <c r="J3" s="16"/>
      <c r="K3" s="16"/>
      <c r="L3" s="16"/>
      <c r="M3" s="18"/>
      <c r="N3" s="19"/>
      <c r="O3" s="20" t="s">
        <v>8</v>
      </c>
      <c r="P3" s="20" t="s">
        <v>1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</row>
    <row r="4" customFormat="false" ht="14.45" hidden="false" customHeight="true" outlineLevel="0" collapsed="false">
      <c r="A4" s="10"/>
      <c r="B4" s="16" t="s">
        <v>9</v>
      </c>
      <c r="C4" s="16"/>
      <c r="D4" s="17" t="n">
        <v>12</v>
      </c>
      <c r="E4" s="16" t="s">
        <v>7</v>
      </c>
      <c r="F4" s="16"/>
      <c r="G4" s="16"/>
      <c r="H4" s="16"/>
      <c r="I4" s="16"/>
      <c r="J4" s="16"/>
      <c r="K4" s="16"/>
      <c r="L4" s="16"/>
      <c r="M4" s="18"/>
      <c r="N4" s="19"/>
      <c r="O4" s="20" t="s">
        <v>8</v>
      </c>
      <c r="P4" s="20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</row>
    <row r="5" customFormat="false" ht="14.45" hidden="false" customHeight="true" outlineLevel="0" collapsed="false">
      <c r="A5" s="21"/>
      <c r="B5" s="16" t="s">
        <v>10</v>
      </c>
      <c r="C5" s="16" t="s">
        <v>1</v>
      </c>
      <c r="D5" s="17" t="n">
        <v>3.97</v>
      </c>
      <c r="E5" s="16" t="s">
        <v>7</v>
      </c>
      <c r="F5" s="16"/>
      <c r="G5" s="16"/>
      <c r="H5" s="16"/>
      <c r="I5" s="16"/>
      <c r="J5" s="16"/>
      <c r="K5" s="16"/>
      <c r="L5" s="16"/>
      <c r="M5" s="18"/>
      <c r="N5" s="19"/>
      <c r="O5" s="22" t="s">
        <v>11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</row>
    <row r="6" customFormat="false" ht="14.45" hidden="false" customHeight="true" outlineLevel="0" collapsed="false">
      <c r="A6" s="21"/>
      <c r="B6" s="16" t="s">
        <v>12</v>
      </c>
      <c r="C6" s="16" t="s">
        <v>1</v>
      </c>
      <c r="D6" s="17" t="n">
        <v>30</v>
      </c>
      <c r="E6" s="16" t="s">
        <v>13</v>
      </c>
      <c r="F6" s="16"/>
      <c r="G6" s="16"/>
      <c r="H6" s="16"/>
      <c r="I6" s="16"/>
      <c r="J6" s="16"/>
      <c r="K6" s="16"/>
      <c r="L6" s="16"/>
      <c r="M6" s="18"/>
      <c r="N6" s="19"/>
      <c r="O6" s="20" t="s">
        <v>14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</row>
    <row r="7" customFormat="false" ht="14.45" hidden="false" customHeight="true" outlineLevel="0" collapsed="false">
      <c r="A7" s="21"/>
      <c r="B7" s="16" t="s">
        <v>15</v>
      </c>
      <c r="C7" s="16" t="s">
        <v>1</v>
      </c>
      <c r="D7" s="17" t="n">
        <v>1.005</v>
      </c>
      <c r="E7" s="16" t="s">
        <v>16</v>
      </c>
      <c r="F7" s="16"/>
      <c r="G7" s="16"/>
      <c r="H7" s="23" t="s">
        <v>1</v>
      </c>
      <c r="I7" s="16"/>
      <c r="J7" s="16"/>
      <c r="K7" s="16"/>
      <c r="L7" s="16"/>
      <c r="M7" s="18"/>
      <c r="N7" s="19"/>
      <c r="O7" s="20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</row>
    <row r="8" customFormat="false" ht="14.45" hidden="false" customHeight="true" outlineLevel="0" collapsed="false">
      <c r="A8" s="21"/>
      <c r="B8" s="16" t="s">
        <v>17</v>
      </c>
      <c r="C8" s="16" t="s">
        <v>1</v>
      </c>
      <c r="D8" s="17" t="n">
        <v>1.2</v>
      </c>
      <c r="E8" s="16" t="s">
        <v>18</v>
      </c>
      <c r="F8" s="16" t="s">
        <v>1</v>
      </c>
      <c r="G8" s="16"/>
      <c r="H8" s="24" t="s">
        <v>1</v>
      </c>
      <c r="I8" s="16"/>
      <c r="J8" s="16"/>
      <c r="K8" s="16"/>
      <c r="L8" s="16"/>
      <c r="M8" s="18"/>
      <c r="N8" s="19"/>
      <c r="O8" s="20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</row>
    <row r="9" customFormat="false" ht="14.45" hidden="false" customHeight="true" outlineLevel="0" collapsed="false">
      <c r="A9" s="21"/>
      <c r="B9" s="16" t="s">
        <v>19</v>
      </c>
      <c r="C9" s="16" t="s">
        <v>1</v>
      </c>
      <c r="D9" s="17" t="n">
        <v>46.7</v>
      </c>
      <c r="E9" s="16" t="s">
        <v>20</v>
      </c>
      <c r="F9" s="16"/>
      <c r="G9" s="16"/>
      <c r="H9" s="16"/>
      <c r="I9" s="16"/>
      <c r="J9" s="16"/>
      <c r="K9" s="16"/>
      <c r="L9" s="16"/>
      <c r="M9" s="18"/>
      <c r="N9" s="19"/>
      <c r="O9" s="25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</row>
    <row r="10" customFormat="false" ht="14.45" hidden="false" customHeight="true" outlineLevel="0" collapsed="false">
      <c r="A10" s="21"/>
      <c r="B10" s="16" t="s">
        <v>21</v>
      </c>
      <c r="C10" s="16"/>
      <c r="D10" s="17" t="n">
        <v>1050</v>
      </c>
      <c r="E10" s="16" t="s">
        <v>22</v>
      </c>
      <c r="F10" s="16"/>
      <c r="G10" s="16"/>
      <c r="H10" s="16"/>
      <c r="I10" s="16"/>
      <c r="J10" s="16"/>
      <c r="K10" s="26"/>
      <c r="L10" s="16"/>
      <c r="M10" s="18"/>
      <c r="N10" s="19"/>
      <c r="O10" s="27" t="s">
        <v>23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</row>
    <row r="11" customFormat="false" ht="14.45" hidden="false" customHeight="true" outlineLevel="0" collapsed="false">
      <c r="A11" s="21"/>
      <c r="B11" s="16" t="s">
        <v>24</v>
      </c>
      <c r="C11" s="16"/>
      <c r="D11" s="17" t="n">
        <v>529</v>
      </c>
      <c r="E11" s="16" t="s">
        <v>22</v>
      </c>
      <c r="F11" s="16"/>
      <c r="G11" s="16"/>
      <c r="H11" s="16"/>
      <c r="I11" s="16"/>
      <c r="J11" s="16"/>
      <c r="K11" s="16"/>
      <c r="L11" s="16"/>
      <c r="M11" s="18"/>
      <c r="N11" s="19"/>
      <c r="O11" s="20" t="s">
        <v>25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</row>
    <row r="12" customFormat="false" ht="14.45" hidden="false" customHeight="true" outlineLevel="0" collapsed="false">
      <c r="A12" s="21"/>
      <c r="B12" s="16" t="s">
        <v>26</v>
      </c>
      <c r="C12" s="16"/>
      <c r="D12" s="17" t="n">
        <v>80</v>
      </c>
      <c r="E12" s="16" t="s">
        <v>27</v>
      </c>
      <c r="F12" s="16"/>
      <c r="G12" s="16"/>
      <c r="H12" s="16"/>
      <c r="I12" s="16"/>
      <c r="J12" s="16"/>
      <c r="K12" s="16"/>
      <c r="L12" s="16"/>
      <c r="M12" s="18"/>
      <c r="N12" s="19"/>
      <c r="O12" s="20" t="s">
        <v>8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</row>
    <row r="13" customFormat="false" ht="14.45" hidden="false" customHeight="true" outlineLevel="0" collapsed="false">
      <c r="A13" s="21"/>
      <c r="B13" s="16" t="s">
        <v>28</v>
      </c>
      <c r="C13" s="16"/>
      <c r="D13" s="17" t="n">
        <v>80</v>
      </c>
      <c r="E13" s="16" t="s">
        <v>27</v>
      </c>
      <c r="F13" s="16"/>
      <c r="G13" s="16"/>
      <c r="H13" s="16"/>
      <c r="I13" s="16"/>
      <c r="J13" s="16"/>
      <c r="K13" s="16"/>
      <c r="L13" s="16"/>
      <c r="M13" s="18"/>
      <c r="N13" s="19"/>
      <c r="O13" s="20" t="s">
        <v>8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</row>
    <row r="14" customFormat="false" ht="14.45" hidden="false" customHeight="true" outlineLevel="0" collapsed="false">
      <c r="A14" s="21"/>
      <c r="B14" s="16" t="s">
        <v>29</v>
      </c>
      <c r="C14" s="16"/>
      <c r="D14" s="17" t="n">
        <v>1.15</v>
      </c>
      <c r="E14" s="28"/>
      <c r="F14" s="16"/>
      <c r="G14" s="16"/>
      <c r="H14" s="16"/>
      <c r="I14" s="16"/>
      <c r="J14" s="16"/>
      <c r="K14" s="16"/>
      <c r="L14" s="16"/>
      <c r="M14" s="18" t="s">
        <v>1</v>
      </c>
      <c r="N14" s="19"/>
      <c r="O14" s="20" t="s">
        <v>30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</row>
    <row r="15" customFormat="false" ht="14.45" hidden="false" customHeight="true" outlineLevel="0" collapsed="false">
      <c r="A15" s="21"/>
      <c r="B15" s="16" t="s">
        <v>31</v>
      </c>
      <c r="C15" s="16"/>
      <c r="D15" s="17" t="n">
        <v>0.7</v>
      </c>
      <c r="E15" s="16" t="s">
        <v>32</v>
      </c>
      <c r="F15" s="16"/>
      <c r="G15" s="16"/>
      <c r="H15" s="16"/>
      <c r="I15" s="16"/>
      <c r="J15" s="16"/>
      <c r="K15" s="16"/>
      <c r="L15" s="16"/>
      <c r="M15" s="18"/>
      <c r="N15" s="19"/>
      <c r="O15" s="20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customFormat="false" ht="14.45" hidden="false" customHeight="true" outlineLevel="0" collapsed="false">
      <c r="A16" s="21"/>
      <c r="B16" s="16" t="s">
        <v>33</v>
      </c>
      <c r="C16" s="16"/>
      <c r="D16" s="17" t="n">
        <v>0.04</v>
      </c>
      <c r="E16" s="16" t="s">
        <v>32</v>
      </c>
      <c r="F16" s="16"/>
      <c r="G16" s="16"/>
      <c r="H16" s="16"/>
      <c r="I16" s="16"/>
      <c r="J16" s="16"/>
      <c r="K16" s="16"/>
      <c r="L16" s="16"/>
      <c r="M16" s="18"/>
      <c r="N16" s="19"/>
      <c r="O16" s="20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</row>
    <row r="17" customFormat="false" ht="14.45" hidden="false" customHeight="true" outlineLevel="0" collapsed="false">
      <c r="A17" s="21"/>
      <c r="B17" s="16" t="s">
        <v>34</v>
      </c>
      <c r="C17" s="16"/>
      <c r="D17" s="17" t="n">
        <v>0.4</v>
      </c>
      <c r="E17" s="16" t="s">
        <v>32</v>
      </c>
      <c r="F17" s="16"/>
      <c r="G17" s="16"/>
      <c r="H17" s="16"/>
      <c r="I17" s="16"/>
      <c r="J17" s="16"/>
      <c r="K17" s="16"/>
      <c r="L17" s="16"/>
      <c r="M17" s="18"/>
      <c r="N17" s="19"/>
      <c r="O17" s="20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</row>
    <row r="18" customFormat="false" ht="14.45" hidden="false" customHeight="true" outlineLevel="0" collapsed="false">
      <c r="A18" s="21"/>
      <c r="B18" s="16" t="s">
        <v>35</v>
      </c>
      <c r="C18" s="29"/>
      <c r="D18" s="17" t="n">
        <v>0.05</v>
      </c>
      <c r="E18" s="16" t="s">
        <v>36</v>
      </c>
      <c r="F18" s="16"/>
      <c r="G18" s="16"/>
      <c r="H18" s="16"/>
      <c r="I18" s="16"/>
      <c r="J18" s="16"/>
      <c r="K18" s="16"/>
      <c r="L18" s="16"/>
      <c r="M18" s="18"/>
      <c r="N18" s="19"/>
      <c r="O18" s="20" t="s">
        <v>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</row>
    <row r="19" customFormat="false" ht="14.45" hidden="false" customHeight="true" outlineLevel="0" collapsed="false">
      <c r="A19" s="21"/>
      <c r="B19" s="16" t="s">
        <v>37</v>
      </c>
      <c r="C19" s="16"/>
      <c r="D19" s="17" t="n">
        <v>0</v>
      </c>
      <c r="E19" s="16" t="s">
        <v>36</v>
      </c>
      <c r="F19" s="16"/>
      <c r="G19" s="16"/>
      <c r="H19" s="16"/>
      <c r="I19" s="16"/>
      <c r="J19" s="16"/>
      <c r="K19" s="16"/>
      <c r="L19" s="16"/>
      <c r="M19" s="18"/>
      <c r="N19" s="19"/>
      <c r="O19" s="20" t="s">
        <v>8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</row>
    <row r="20" customFormat="false" ht="14.45" hidden="false" customHeight="true" outlineLevel="0" collapsed="false">
      <c r="A20" s="21"/>
      <c r="B20" s="16" t="s">
        <v>38</v>
      </c>
      <c r="C20" s="29"/>
      <c r="D20" s="17" t="n">
        <v>0.1</v>
      </c>
      <c r="E20" s="16" t="s">
        <v>36</v>
      </c>
      <c r="F20" s="16"/>
      <c r="G20" s="16"/>
      <c r="H20" s="16"/>
      <c r="I20" s="16"/>
      <c r="J20" s="16"/>
      <c r="K20" s="16"/>
      <c r="L20" s="16"/>
      <c r="M20" s="18"/>
      <c r="N20" s="19"/>
      <c r="O20" s="20" t="s">
        <v>8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</row>
    <row r="21" customFormat="false" ht="7.45" hidden="false" customHeight="true" outlineLevel="0" collapsed="false">
      <c r="A21" s="3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31"/>
      <c r="N21" s="19"/>
      <c r="O21" s="19"/>
      <c r="P21" s="19"/>
      <c r="Q21" s="19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</row>
    <row r="22" customFormat="false" ht="14.45" hidden="false" customHeight="true" outlineLevel="0" collapsed="false">
      <c r="A22" s="21"/>
      <c r="B22" s="16"/>
      <c r="C22" s="16"/>
      <c r="D22" s="32" t="s">
        <v>39</v>
      </c>
      <c r="E22" s="32"/>
      <c r="F22" s="32"/>
      <c r="G22" s="32"/>
      <c r="H22" s="32"/>
      <c r="I22" s="32"/>
      <c r="J22" s="16"/>
      <c r="K22" s="16"/>
      <c r="L22" s="16"/>
      <c r="M22" s="18"/>
      <c r="N22" s="19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</row>
    <row r="23" customFormat="false" ht="48.5" hidden="false" customHeight="true" outlineLevel="0" collapsed="false">
      <c r="A23" s="33" t="n">
        <v>1</v>
      </c>
      <c r="B23" s="34" t="s">
        <v>40</v>
      </c>
      <c r="C23" s="35" t="s">
        <v>41</v>
      </c>
      <c r="D23" s="36" t="s">
        <v>42</v>
      </c>
      <c r="E23" s="36" t="s">
        <v>43</v>
      </c>
      <c r="F23" s="36" t="s">
        <v>44</v>
      </c>
      <c r="G23" s="36" t="s">
        <v>45</v>
      </c>
      <c r="H23" s="36" t="s">
        <v>46</v>
      </c>
      <c r="I23" s="37" t="s">
        <v>47</v>
      </c>
      <c r="J23" s="35" t="s">
        <v>48</v>
      </c>
      <c r="K23" s="35" t="s">
        <v>49</v>
      </c>
      <c r="L23" s="35" t="s">
        <v>50</v>
      </c>
      <c r="M23" s="38" t="s">
        <v>51</v>
      </c>
      <c r="N23" s="39"/>
      <c r="O23" s="40"/>
      <c r="P23" s="41" t="s">
        <v>52</v>
      </c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</row>
    <row r="24" customFormat="false" ht="14.45" hidden="false" customHeight="true" outlineLevel="0" collapsed="false">
      <c r="A24" s="21"/>
      <c r="B24" s="7" t="s">
        <v>1</v>
      </c>
      <c r="C24" s="7" t="s">
        <v>53</v>
      </c>
      <c r="D24" s="42" t="s">
        <v>54</v>
      </c>
      <c r="E24" s="42" t="s">
        <v>55</v>
      </c>
      <c r="F24" s="42" t="s">
        <v>56</v>
      </c>
      <c r="G24" s="42" t="s">
        <v>57</v>
      </c>
      <c r="H24" s="42" t="s">
        <v>58</v>
      </c>
      <c r="I24" s="42" t="s">
        <v>59</v>
      </c>
      <c r="J24" s="7" t="s">
        <v>60</v>
      </c>
      <c r="K24" s="7" t="s">
        <v>61</v>
      </c>
      <c r="L24" s="7" t="s">
        <v>62</v>
      </c>
      <c r="M24" s="13" t="s">
        <v>62</v>
      </c>
      <c r="N24" s="14"/>
      <c r="O24" s="7" t="s">
        <v>63</v>
      </c>
      <c r="P24" s="7" t="s">
        <v>3</v>
      </c>
      <c r="Q24" s="7" t="s">
        <v>4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4.45" hidden="false" customHeight="true" outlineLevel="0" collapsed="false">
      <c r="A25" s="21"/>
      <c r="B25" s="7"/>
      <c r="C25" s="7" t="s">
        <v>64</v>
      </c>
      <c r="D25" s="42" t="s">
        <v>65</v>
      </c>
      <c r="E25" s="42" t="s">
        <v>65</v>
      </c>
      <c r="F25" s="42" t="s">
        <v>65</v>
      </c>
      <c r="G25" s="42" t="s">
        <v>65</v>
      </c>
      <c r="H25" s="42" t="s">
        <v>65</v>
      </c>
      <c r="I25" s="42" t="s">
        <v>65</v>
      </c>
      <c r="J25" s="7" t="s">
        <v>66</v>
      </c>
      <c r="K25" s="7" t="s">
        <v>67</v>
      </c>
      <c r="L25" s="7" t="s">
        <v>68</v>
      </c>
      <c r="M25" s="13" t="s">
        <v>22</v>
      </c>
      <c r="N25" s="14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</row>
    <row r="26" customFormat="false" ht="14.45" hidden="false" customHeight="true" outlineLevel="0" collapsed="false">
      <c r="A26" s="21"/>
      <c r="B26" s="16" t="s">
        <v>69</v>
      </c>
      <c r="C26" s="18" t="n">
        <f aca="false">D$9*2*D$14</f>
        <v>107.41</v>
      </c>
      <c r="D26" s="43"/>
      <c r="E26" s="44" t="n">
        <f aca="false">0.5/D$17</f>
        <v>1.25</v>
      </c>
      <c r="F26" s="44" t="n">
        <f aca="false">D$18/D$16</f>
        <v>1.25</v>
      </c>
      <c r="G26" s="45" t="n">
        <f aca="false">0.03/0.14</f>
        <v>0.214285714285714</v>
      </c>
      <c r="H26" s="43" t="n">
        <v>0.17</v>
      </c>
      <c r="I26" s="45" t="n">
        <f aca="false">SUM(D26:H26)</f>
        <v>2.88428571428571</v>
      </c>
      <c r="J26" s="46" t="n">
        <f aca="false">1/I26</f>
        <v>0.346706290242694</v>
      </c>
      <c r="K26" s="18" t="n">
        <f aca="false">C26*J26</f>
        <v>37.2397226349678</v>
      </c>
      <c r="L26" s="47" t="n">
        <f aca="false">K26*(D$3-D$4)*24*180/1000</f>
        <v>1287.00481426449</v>
      </c>
      <c r="M26" s="18" t="n">
        <f aca="false">L26/C$26</f>
        <v>11.9821693907875</v>
      </c>
      <c r="N26" s="19"/>
      <c r="O26" s="48" t="s">
        <v>70</v>
      </c>
      <c r="P26" s="49" t="n">
        <f aca="false">C28/2</f>
        <v>53.705</v>
      </c>
      <c r="Q26" s="48" t="s">
        <v>64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</row>
    <row r="27" customFormat="false" ht="14.45" hidden="false" customHeight="true" outlineLevel="0" collapsed="false">
      <c r="A27" s="21"/>
      <c r="B27" s="16" t="s">
        <v>71</v>
      </c>
      <c r="C27" s="50" t="n">
        <f aca="false">C26^0.5*4*(2.6+0.5)-C29-C30</f>
        <v>109.512106822665</v>
      </c>
      <c r="D27" s="43" t="n">
        <v>0.04</v>
      </c>
      <c r="E27" s="43" t="n">
        <f aca="false">0.38/D$15</f>
        <v>0.542857142857143</v>
      </c>
      <c r="F27" s="44" t="n">
        <f aca="false">D$19/D$16</f>
        <v>0</v>
      </c>
      <c r="G27" s="44"/>
      <c r="H27" s="43" t="n">
        <v>0.13</v>
      </c>
      <c r="I27" s="45" t="n">
        <f aca="false">SUM(D27:H27)</f>
        <v>0.712857142857143</v>
      </c>
      <c r="J27" s="46" t="n">
        <f aca="false">1/I27</f>
        <v>1.40280561122245</v>
      </c>
      <c r="K27" s="18" t="n">
        <f aca="false">C27*J27</f>
        <v>153.624197947626</v>
      </c>
      <c r="L27" s="47" t="n">
        <f aca="false">K27*(D$3-D$5)*24*180/1000</f>
        <v>10638.4142581939</v>
      </c>
      <c r="M27" s="18" t="n">
        <f aca="false">L27/C$26</f>
        <v>99.0449144231815</v>
      </c>
      <c r="N27" s="19"/>
      <c r="O27" s="48" t="s">
        <v>72</v>
      </c>
      <c r="P27" s="51" t="n">
        <f aca="false">P26*D$11*D$12/100*D$13/100*(D$10/1244)</f>
        <v>15346.851318328</v>
      </c>
      <c r="Q27" s="48" t="s">
        <v>73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</row>
    <row r="28" customFormat="false" ht="14.45" hidden="false" customHeight="true" outlineLevel="0" collapsed="false">
      <c r="A28" s="21"/>
      <c r="B28" s="16" t="s">
        <v>74</v>
      </c>
      <c r="C28" s="18" t="n">
        <f aca="false">C26</f>
        <v>107.41</v>
      </c>
      <c r="D28" s="43" t="n">
        <v>0.04</v>
      </c>
      <c r="E28" s="44" t="s">
        <v>1</v>
      </c>
      <c r="F28" s="44" t="n">
        <f aca="false">D$20/D$16</f>
        <v>2.5</v>
      </c>
      <c r="G28" s="45" t="n">
        <f aca="false">0.012/0.14</f>
        <v>0.0857142857142857</v>
      </c>
      <c r="H28" s="43" t="n">
        <v>0.1</v>
      </c>
      <c r="I28" s="45" t="n">
        <f aca="false">SUM(D28:H28)</f>
        <v>2.72571428571429</v>
      </c>
      <c r="J28" s="46" t="n">
        <f aca="false">1/I28</f>
        <v>0.366876310272537</v>
      </c>
      <c r="K28" s="18" t="n">
        <f aca="false">C28*J28</f>
        <v>39.4061844863732</v>
      </c>
      <c r="L28" s="47" t="n">
        <f aca="false">K28*(D$3-D$5)*24*180/1000</f>
        <v>2728.86251320755</v>
      </c>
      <c r="M28" s="18" t="n">
        <f aca="false">L28/C$26</f>
        <v>25.406037735849</v>
      </c>
      <c r="N28" s="19"/>
      <c r="O28" s="48" t="s">
        <v>75</v>
      </c>
      <c r="P28" s="51" t="n">
        <f aca="false">P27/(D$9*D$14)</f>
        <v>285.762057877814</v>
      </c>
      <c r="Q28" s="48" t="s">
        <v>22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</row>
    <row r="29" customFormat="false" ht="14.45" hidden="false" customHeight="true" outlineLevel="0" collapsed="false">
      <c r="A29" s="21"/>
      <c r="B29" s="16" t="s">
        <v>76</v>
      </c>
      <c r="C29" s="16" t="n">
        <v>16</v>
      </c>
      <c r="D29" s="44"/>
      <c r="E29" s="44"/>
      <c r="F29" s="44"/>
      <c r="G29" s="44"/>
      <c r="H29" s="44"/>
      <c r="I29" s="44" t="s">
        <v>1</v>
      </c>
      <c r="J29" s="52" t="n">
        <v>2.8</v>
      </c>
      <c r="K29" s="18" t="n">
        <f aca="false">C29*J29</f>
        <v>44.8</v>
      </c>
      <c r="L29" s="47" t="n">
        <f aca="false">K29*(D$3-D$5)*24*180/1000</f>
        <v>3102.38208</v>
      </c>
      <c r="M29" s="18" t="n">
        <f aca="false">L29/C$26</f>
        <v>28.8835497625919</v>
      </c>
      <c r="N29" s="19"/>
      <c r="O29" s="48"/>
      <c r="P29" s="53"/>
      <c r="Q29" s="48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</row>
    <row r="30" customFormat="false" ht="14.45" hidden="false" customHeight="true" outlineLevel="0" collapsed="false">
      <c r="A30" s="21"/>
      <c r="B30" s="16" t="s">
        <v>77</v>
      </c>
      <c r="C30" s="16" t="n">
        <v>3</v>
      </c>
      <c r="D30" s="44"/>
      <c r="E30" s="44"/>
      <c r="F30" s="44"/>
      <c r="G30" s="44"/>
      <c r="H30" s="44"/>
      <c r="I30" s="44" t="s">
        <v>1</v>
      </c>
      <c r="J30" s="52" t="n">
        <v>2.8</v>
      </c>
      <c r="K30" s="18" t="n">
        <f aca="false">C30*J30</f>
        <v>8.4</v>
      </c>
      <c r="L30" s="47" t="n">
        <f aca="false">K30*(D$3-D$5)*24*180/1000</f>
        <v>581.69664</v>
      </c>
      <c r="M30" s="18" t="n">
        <f aca="false">L30/C$26</f>
        <v>5.41566558048599</v>
      </c>
      <c r="N30" s="19"/>
      <c r="O30" s="48" t="s">
        <v>78</v>
      </c>
      <c r="P30" s="54" t="n">
        <f aca="false">M32*1000/24/180*2</f>
        <v>85.0422458150405</v>
      </c>
      <c r="Q30" s="48" t="s">
        <v>79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</row>
    <row r="31" customFormat="false" ht="14.45" hidden="false" customHeight="true" outlineLevel="0" collapsed="false">
      <c r="A31" s="21"/>
      <c r="B31" s="55" t="s">
        <v>80</v>
      </c>
      <c r="C31" s="55"/>
      <c r="D31" s="56"/>
      <c r="E31" s="56"/>
      <c r="F31" s="56"/>
      <c r="G31" s="56"/>
      <c r="H31" s="56"/>
      <c r="I31" s="56"/>
      <c r="J31" s="57"/>
      <c r="K31" s="58" t="n">
        <f aca="false">2*D$6*D$8*D$7*1000/3600</f>
        <v>20.1</v>
      </c>
      <c r="L31" s="59" t="n">
        <f aca="false">K31*(D$3-D$5)*24*180/1000</f>
        <v>1391.91696</v>
      </c>
      <c r="M31" s="58" t="n">
        <f aca="false">L31/C$26</f>
        <v>12.9589140675915</v>
      </c>
      <c r="N31" s="19"/>
      <c r="O31" s="48" t="s">
        <v>81</v>
      </c>
      <c r="P31" s="51" t="n">
        <f aca="false">M32*D$9*D$14*2</f>
        <v>19730.277265666</v>
      </c>
      <c r="Q31" s="48" t="s">
        <v>68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</row>
    <row r="32" customFormat="false" ht="14.45" hidden="false" customHeight="true" outlineLevel="0" collapsed="false">
      <c r="A32" s="60"/>
      <c r="B32" s="61" t="s">
        <v>47</v>
      </c>
      <c r="C32" s="62"/>
      <c r="D32" s="63"/>
      <c r="E32" s="62"/>
      <c r="F32" s="63"/>
      <c r="G32" s="63"/>
      <c r="H32" s="62"/>
      <c r="I32" s="63"/>
      <c r="J32" s="63"/>
      <c r="K32" s="63" t="s">
        <v>1</v>
      </c>
      <c r="L32" s="64" t="n">
        <f aca="false">SUM(L26:L31)</f>
        <v>19730.277265666</v>
      </c>
      <c r="M32" s="65" t="n">
        <f aca="false">SUM(M26:M31)</f>
        <v>183.691250960487</v>
      </c>
      <c r="N32" s="31"/>
      <c r="O32" s="48" t="s">
        <v>82</v>
      </c>
      <c r="P32" s="66" t="n">
        <f aca="false">P31/2</f>
        <v>9865.13863283298</v>
      </c>
      <c r="Q32" s="48" t="s">
        <v>73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</row>
    <row r="33" customFormat="false" ht="48.5" hidden="false" customHeight="true" outlineLevel="0" collapsed="false">
      <c r="A33" s="10" t="n">
        <v>2</v>
      </c>
      <c r="B33" s="40" t="s">
        <v>83</v>
      </c>
      <c r="C33" s="35" t="s">
        <v>41</v>
      </c>
      <c r="D33" s="36" t="s">
        <v>42</v>
      </c>
      <c r="E33" s="36" t="s">
        <v>43</v>
      </c>
      <c r="F33" s="36" t="s">
        <v>44</v>
      </c>
      <c r="G33" s="36" t="s">
        <v>45</v>
      </c>
      <c r="H33" s="36" t="s">
        <v>46</v>
      </c>
      <c r="I33" s="37" t="s">
        <v>47</v>
      </c>
      <c r="J33" s="35" t="s">
        <v>48</v>
      </c>
      <c r="K33" s="35" t="s">
        <v>49</v>
      </c>
      <c r="L33" s="35" t="s">
        <v>50</v>
      </c>
      <c r="M33" s="38" t="s">
        <v>51</v>
      </c>
      <c r="N33" s="67"/>
      <c r="O33" s="68"/>
      <c r="P33" s="68"/>
      <c r="Q33" s="68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customFormat="false" ht="14.45" hidden="false" customHeight="true" outlineLevel="0" collapsed="false">
      <c r="A34" s="21"/>
      <c r="B34" s="69" t="s">
        <v>1</v>
      </c>
      <c r="C34" s="7" t="s">
        <v>53</v>
      </c>
      <c r="D34" s="42" t="s">
        <v>54</v>
      </c>
      <c r="E34" s="42" t="s">
        <v>55</v>
      </c>
      <c r="F34" s="42" t="s">
        <v>56</v>
      </c>
      <c r="G34" s="42" t="s">
        <v>57</v>
      </c>
      <c r="H34" s="42" t="s">
        <v>58</v>
      </c>
      <c r="I34" s="42" t="s">
        <v>59</v>
      </c>
      <c r="J34" s="7" t="s">
        <v>60</v>
      </c>
      <c r="K34" s="7" t="s">
        <v>61</v>
      </c>
      <c r="L34" s="7" t="s">
        <v>62</v>
      </c>
      <c r="M34" s="13" t="s">
        <v>62</v>
      </c>
      <c r="N34" s="70"/>
      <c r="O34" s="13"/>
      <c r="P34" s="13"/>
      <c r="Q34" s="13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4.45" hidden="false" customHeight="true" outlineLevel="0" collapsed="false">
      <c r="A35" s="21"/>
      <c r="B35" s="7"/>
      <c r="C35" s="7" t="s">
        <v>64</v>
      </c>
      <c r="D35" s="42" t="s">
        <v>65</v>
      </c>
      <c r="E35" s="42" t="s">
        <v>65</v>
      </c>
      <c r="F35" s="42" t="s">
        <v>65</v>
      </c>
      <c r="G35" s="42" t="s">
        <v>65</v>
      </c>
      <c r="H35" s="42" t="s">
        <v>65</v>
      </c>
      <c r="I35" s="42" t="s">
        <v>65</v>
      </c>
      <c r="J35" s="7" t="s">
        <v>66</v>
      </c>
      <c r="K35" s="7" t="s">
        <v>67</v>
      </c>
      <c r="L35" s="7" t="s">
        <v>68</v>
      </c>
      <c r="M35" s="13" t="s">
        <v>22</v>
      </c>
      <c r="N35" s="70"/>
      <c r="O35" s="13"/>
      <c r="P35" s="13"/>
      <c r="Q35" s="13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4.45" hidden="false" customHeight="true" outlineLevel="0" collapsed="false">
      <c r="A36" s="21"/>
      <c r="B36" s="16" t="s">
        <v>69</v>
      </c>
      <c r="C36" s="18" t="n">
        <f aca="false">D$9*2*D$14/2</f>
        <v>53.705</v>
      </c>
      <c r="D36" s="43"/>
      <c r="E36" s="44" t="n">
        <f aca="false">0.5/D$17</f>
        <v>1.25</v>
      </c>
      <c r="F36" s="44" t="n">
        <f aca="false">D$18/D$16</f>
        <v>1.25</v>
      </c>
      <c r="G36" s="45" t="n">
        <f aca="false">0.03/0.14</f>
        <v>0.214285714285714</v>
      </c>
      <c r="H36" s="43" t="n">
        <v>0.17</v>
      </c>
      <c r="I36" s="45" t="n">
        <f aca="false">SUM(D36:H36)</f>
        <v>2.88428571428571</v>
      </c>
      <c r="J36" s="46" t="n">
        <f aca="false">1/I36</f>
        <v>0.346706290242694</v>
      </c>
      <c r="K36" s="18" t="n">
        <f aca="false">C36*J36</f>
        <v>18.6198613174839</v>
      </c>
      <c r="L36" s="47" t="n">
        <f aca="false">K36*(D$3-D$4)*24*180/1000</f>
        <v>643.502407132244</v>
      </c>
      <c r="M36" s="18" t="n">
        <f aca="false">L36/C$26</f>
        <v>5.99108469539376</v>
      </c>
      <c r="N36" s="31"/>
      <c r="O36" s="48" t="s">
        <v>70</v>
      </c>
      <c r="P36" s="49" t="n">
        <f aca="false">C38/2</f>
        <v>26.8525</v>
      </c>
      <c r="Q36" s="48" t="s">
        <v>64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</row>
    <row r="37" customFormat="false" ht="14.45" hidden="false" customHeight="true" outlineLevel="0" collapsed="false">
      <c r="A37" s="21"/>
      <c r="B37" s="16" t="s">
        <v>71</v>
      </c>
      <c r="C37" s="50" t="n">
        <f aca="false">C36^0.5*4*(2.6+0.4)*2-C39-C40</f>
        <v>154.880868772019</v>
      </c>
      <c r="D37" s="43" t="n">
        <v>0.04</v>
      </c>
      <c r="E37" s="43" t="n">
        <f aca="false">0.38/D$15</f>
        <v>0.542857142857143</v>
      </c>
      <c r="F37" s="44" t="n">
        <f aca="false">D$19/D$16</f>
        <v>0</v>
      </c>
      <c r="G37" s="44"/>
      <c r="H37" s="43" t="n">
        <v>0.13</v>
      </c>
      <c r="I37" s="45" t="n">
        <f aca="false">SUM(D37:H37)</f>
        <v>0.712857142857143</v>
      </c>
      <c r="J37" s="46" t="n">
        <f aca="false">1/I37</f>
        <v>1.40280561122245</v>
      </c>
      <c r="K37" s="18" t="n">
        <f aca="false">C37*J37</f>
        <v>217.267751784395</v>
      </c>
      <c r="L37" s="47" t="n">
        <f aca="false">K37*(D$3-D$5)*24*180/1000</f>
        <v>15045.7049039686</v>
      </c>
      <c r="M37" s="18" t="n">
        <f aca="false">L37/C$26</f>
        <v>140.077319653371</v>
      </c>
      <c r="N37" s="31"/>
      <c r="O37" s="48" t="s">
        <v>84</v>
      </c>
      <c r="P37" s="51" t="n">
        <f aca="false">P36*D$11*D$12/100*D$13/100*(D$10/1244)</f>
        <v>7673.42565916399</v>
      </c>
      <c r="Q37" s="48" t="s">
        <v>73</v>
      </c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</row>
    <row r="38" customFormat="false" ht="14.45" hidden="false" customHeight="true" outlineLevel="0" collapsed="false">
      <c r="A38" s="21"/>
      <c r="B38" s="16" t="s">
        <v>74</v>
      </c>
      <c r="C38" s="18" t="n">
        <f aca="false">C36</f>
        <v>53.705</v>
      </c>
      <c r="D38" s="43" t="n">
        <v>0.04</v>
      </c>
      <c r="E38" s="44" t="s">
        <v>1</v>
      </c>
      <c r="F38" s="44" t="n">
        <f aca="false">D$20/D$16</f>
        <v>2.5</v>
      </c>
      <c r="G38" s="45" t="n">
        <f aca="false">0.012/0.14</f>
        <v>0.0857142857142857</v>
      </c>
      <c r="H38" s="43" t="n">
        <v>0.1</v>
      </c>
      <c r="I38" s="45" t="n">
        <f aca="false">SUM(D38:H38)</f>
        <v>2.72571428571429</v>
      </c>
      <c r="J38" s="46" t="n">
        <f aca="false">1/I38</f>
        <v>0.366876310272537</v>
      </c>
      <c r="K38" s="18" t="n">
        <f aca="false">C38*J38</f>
        <v>19.7030922431866</v>
      </c>
      <c r="L38" s="47" t="n">
        <f aca="false">K38*(D$3-D$5)*24*180/1000</f>
        <v>1364.43125660377</v>
      </c>
      <c r="M38" s="18" t="n">
        <f aca="false">L38/C$26</f>
        <v>12.7030188679245</v>
      </c>
      <c r="N38" s="31"/>
      <c r="O38" s="48" t="s">
        <v>75</v>
      </c>
      <c r="P38" s="51" t="n">
        <f aca="false">P37/(D$9*D$14)</f>
        <v>142.881028938907</v>
      </c>
      <c r="Q38" s="48" t="s">
        <v>22</v>
      </c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</row>
    <row r="39" customFormat="false" ht="14.45" hidden="false" customHeight="true" outlineLevel="0" collapsed="false">
      <c r="A39" s="21"/>
      <c r="B39" s="16" t="s">
        <v>76</v>
      </c>
      <c r="C39" s="16" t="n">
        <v>18</v>
      </c>
      <c r="D39" s="44"/>
      <c r="E39" s="44"/>
      <c r="F39" s="44"/>
      <c r="G39" s="44"/>
      <c r="H39" s="44"/>
      <c r="I39" s="44" t="s">
        <v>1</v>
      </c>
      <c r="J39" s="46" t="n">
        <v>2.8</v>
      </c>
      <c r="K39" s="18" t="n">
        <f aca="false">C39*J39</f>
        <v>50.4</v>
      </c>
      <c r="L39" s="47" t="n">
        <f aca="false">K39*(D$3-D$5)*24*180/1000</f>
        <v>3490.17984</v>
      </c>
      <c r="M39" s="18" t="n">
        <f aca="false">L39/C$26</f>
        <v>32.4939934829159</v>
      </c>
      <c r="N39" s="31"/>
      <c r="O39" s="48"/>
      <c r="P39" s="53"/>
      <c r="Q39" s="48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</row>
    <row r="40" customFormat="false" ht="14.45" hidden="false" customHeight="true" outlineLevel="0" collapsed="false">
      <c r="A40" s="21"/>
      <c r="B40" s="16" t="s">
        <v>77</v>
      </c>
      <c r="C40" s="16" t="n">
        <v>3</v>
      </c>
      <c r="D40" s="44"/>
      <c r="E40" s="44"/>
      <c r="F40" s="44"/>
      <c r="G40" s="44"/>
      <c r="H40" s="44"/>
      <c r="I40" s="44" t="s">
        <v>1</v>
      </c>
      <c r="J40" s="46" t="n">
        <v>2.8</v>
      </c>
      <c r="K40" s="18" t="n">
        <f aca="false">C40*J40</f>
        <v>8.4</v>
      </c>
      <c r="L40" s="47" t="n">
        <f aca="false">K40*(D$3-D$5)*24*180/1000</f>
        <v>581.69664</v>
      </c>
      <c r="M40" s="18" t="n">
        <f aca="false">L40/C$26</f>
        <v>5.41566558048599</v>
      </c>
      <c r="N40" s="31"/>
      <c r="O40" s="48" t="s">
        <v>78</v>
      </c>
      <c r="P40" s="51" t="n">
        <f aca="false">M42*1000/24/180*2</f>
        <v>97.0555538646681</v>
      </c>
      <c r="Q40" s="48" t="s">
        <v>79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</row>
    <row r="41" customFormat="false" ht="14.45" hidden="false" customHeight="true" outlineLevel="0" collapsed="false">
      <c r="A41" s="21"/>
      <c r="B41" s="55" t="s">
        <v>80</v>
      </c>
      <c r="C41" s="55"/>
      <c r="D41" s="56"/>
      <c r="E41" s="56"/>
      <c r="F41" s="56"/>
      <c r="G41" s="56"/>
      <c r="H41" s="56"/>
      <c r="I41" s="56"/>
      <c r="J41" s="57"/>
      <c r="K41" s="58" t="n">
        <f aca="false">2*D$6*D$8*D$7*1000/3600</f>
        <v>20.1</v>
      </c>
      <c r="L41" s="59" t="n">
        <f aca="false">K41*(D$3-D$5)*24*180/1000</f>
        <v>1391.91696</v>
      </c>
      <c r="M41" s="58" t="n">
        <f aca="false">L41/C$26</f>
        <v>12.9589140675915</v>
      </c>
      <c r="N41" s="31"/>
      <c r="O41" s="48" t="s">
        <v>85</v>
      </c>
      <c r="P41" s="51" t="n">
        <f aca="false">M42*D$9*D$14*2</f>
        <v>22517.4320077046</v>
      </c>
      <c r="Q41" s="48" t="s">
        <v>68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</row>
    <row r="42" customFormat="false" ht="14.45" hidden="false" customHeight="true" outlineLevel="0" collapsed="false">
      <c r="A42" s="60"/>
      <c r="B42" s="61" t="s">
        <v>47</v>
      </c>
      <c r="C42" s="61"/>
      <c r="D42" s="71"/>
      <c r="E42" s="61"/>
      <c r="F42" s="71"/>
      <c r="G42" s="71"/>
      <c r="H42" s="61"/>
      <c r="I42" s="71"/>
      <c r="J42" s="71"/>
      <c r="K42" s="71"/>
      <c r="L42" s="64" t="n">
        <f aca="false">SUM(L36:L41)</f>
        <v>22517.4320077046</v>
      </c>
      <c r="M42" s="72" t="n">
        <f aca="false">SUM(M36:M41)</f>
        <v>209.639996347683</v>
      </c>
      <c r="N42" s="70"/>
      <c r="O42" s="48" t="s">
        <v>82</v>
      </c>
      <c r="P42" s="73" t="n">
        <f aca="false">P41/2</f>
        <v>11258.7160038523</v>
      </c>
      <c r="Q42" s="48" t="s">
        <v>73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48.5" hidden="false" customHeight="true" outlineLevel="0" collapsed="false">
      <c r="A43" s="10" t="n">
        <v>3</v>
      </c>
      <c r="B43" s="40" t="s">
        <v>86</v>
      </c>
      <c r="C43" s="35" t="s">
        <v>41</v>
      </c>
      <c r="D43" s="36" t="s">
        <v>42</v>
      </c>
      <c r="E43" s="36" t="s">
        <v>43</v>
      </c>
      <c r="F43" s="36" t="s">
        <v>44</v>
      </c>
      <c r="G43" s="36" t="s">
        <v>45</v>
      </c>
      <c r="H43" s="36" t="s">
        <v>46</v>
      </c>
      <c r="I43" s="37" t="s">
        <v>47</v>
      </c>
      <c r="J43" s="35" t="s">
        <v>48</v>
      </c>
      <c r="K43" s="35" t="s">
        <v>49</v>
      </c>
      <c r="L43" s="35" t="s">
        <v>50</v>
      </c>
      <c r="M43" s="38" t="s">
        <v>51</v>
      </c>
      <c r="N43" s="67"/>
      <c r="O43" s="74"/>
      <c r="P43" s="74"/>
      <c r="Q43" s="74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</row>
    <row r="44" customFormat="false" ht="14.45" hidden="false" customHeight="true" outlineLevel="0" collapsed="false">
      <c r="A44" s="21"/>
      <c r="B44" s="69" t="s">
        <v>1</v>
      </c>
      <c r="C44" s="7" t="s">
        <v>53</v>
      </c>
      <c r="D44" s="42" t="s">
        <v>54</v>
      </c>
      <c r="E44" s="42" t="s">
        <v>55</v>
      </c>
      <c r="F44" s="42" t="s">
        <v>56</v>
      </c>
      <c r="G44" s="42" t="s">
        <v>57</v>
      </c>
      <c r="H44" s="42" t="s">
        <v>58</v>
      </c>
      <c r="I44" s="42" t="s">
        <v>59</v>
      </c>
      <c r="J44" s="7" t="s">
        <v>60</v>
      </c>
      <c r="K44" s="7" t="s">
        <v>61</v>
      </c>
      <c r="L44" s="7" t="s">
        <v>62</v>
      </c>
      <c r="M44" s="13" t="s">
        <v>62</v>
      </c>
      <c r="N44" s="70"/>
      <c r="O44" s="13"/>
      <c r="P44" s="13"/>
      <c r="Q44" s="13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4.45" hidden="false" customHeight="true" outlineLevel="0" collapsed="false">
      <c r="A45" s="21"/>
      <c r="B45" s="7"/>
      <c r="C45" s="7" t="s">
        <v>64</v>
      </c>
      <c r="D45" s="42" t="s">
        <v>65</v>
      </c>
      <c r="E45" s="42" t="s">
        <v>65</v>
      </c>
      <c r="F45" s="42" t="s">
        <v>65</v>
      </c>
      <c r="G45" s="42" t="s">
        <v>65</v>
      </c>
      <c r="H45" s="42" t="s">
        <v>65</v>
      </c>
      <c r="I45" s="42" t="s">
        <v>65</v>
      </c>
      <c r="J45" s="7" t="s">
        <v>66</v>
      </c>
      <c r="K45" s="7" t="s">
        <v>67</v>
      </c>
      <c r="L45" s="7" t="s">
        <v>68</v>
      </c>
      <c r="M45" s="13" t="s">
        <v>22</v>
      </c>
      <c r="N45" s="70"/>
      <c r="O45" s="13"/>
      <c r="P45" s="13"/>
      <c r="Q45" s="13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4.45" hidden="false" customHeight="true" outlineLevel="0" collapsed="false">
      <c r="A46" s="21"/>
      <c r="B46" s="16" t="s">
        <v>69</v>
      </c>
      <c r="C46" s="18" t="n">
        <f aca="false">D$9*2*D$14</f>
        <v>107.41</v>
      </c>
      <c r="D46" s="43"/>
      <c r="E46" s="44" t="n">
        <f aca="false">0.5/D$17</f>
        <v>1.25</v>
      </c>
      <c r="F46" s="44" t="n">
        <f aca="false">D$18/D$16</f>
        <v>1.25</v>
      </c>
      <c r="G46" s="45" t="n">
        <f aca="false">0.03/0.14</f>
        <v>0.214285714285714</v>
      </c>
      <c r="H46" s="43" t="n">
        <v>0.17</v>
      </c>
      <c r="I46" s="45" t="n">
        <f aca="false">SUM(D46:H46)</f>
        <v>2.88428571428571</v>
      </c>
      <c r="J46" s="46" t="n">
        <f aca="false">1/I46</f>
        <v>0.346706290242694</v>
      </c>
      <c r="K46" s="18" t="n">
        <f aca="false">C46*J46</f>
        <v>37.2397226349678</v>
      </c>
      <c r="L46" s="47" t="n">
        <f aca="false">K46*(D$3-D$4)*24*180/1000</f>
        <v>1287.00481426449</v>
      </c>
      <c r="M46" s="18" t="n">
        <f aca="false">L46/C$26/2</f>
        <v>5.99108469539376</v>
      </c>
      <c r="N46" s="31"/>
      <c r="O46" s="48" t="s">
        <v>70</v>
      </c>
      <c r="P46" s="49" t="n">
        <f aca="false">C48/4</f>
        <v>26.8525</v>
      </c>
      <c r="Q46" s="48" t="s">
        <v>64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</row>
    <row r="47" customFormat="false" ht="14.45" hidden="false" customHeight="true" outlineLevel="0" collapsed="false">
      <c r="A47" s="21"/>
      <c r="B47" s="16" t="s">
        <v>71</v>
      </c>
      <c r="C47" s="50" t="n">
        <f aca="false">(C46^0.5*4*(2.6+0.4)*2-C49-C50)</f>
        <v>213.733109979351</v>
      </c>
      <c r="D47" s="43" t="n">
        <v>0.04</v>
      </c>
      <c r="E47" s="43" t="n">
        <f aca="false">0.38/D$15</f>
        <v>0.542857142857143</v>
      </c>
      <c r="F47" s="44" t="n">
        <f aca="false">D$19/D$16</f>
        <v>0</v>
      </c>
      <c r="G47" s="44"/>
      <c r="H47" s="43" t="n">
        <v>0.13</v>
      </c>
      <c r="I47" s="45" t="n">
        <f aca="false">SUM(D47:H47)</f>
        <v>0.712857142857143</v>
      </c>
      <c r="J47" s="46" t="n">
        <f aca="false">1/I47</f>
        <v>1.40280561122245</v>
      </c>
      <c r="K47" s="18" t="n">
        <f aca="false">C47*J47</f>
        <v>299.826005983058</v>
      </c>
      <c r="L47" s="47" t="n">
        <f aca="false">K47*(D$3-D$5)*24*180/1000</f>
        <v>20762.8309839244</v>
      </c>
      <c r="M47" s="18" t="n">
        <f aca="false">L47/C$26/2</f>
        <v>96.652225043871</v>
      </c>
      <c r="N47" s="31"/>
      <c r="O47" s="48" t="s">
        <v>87</v>
      </c>
      <c r="P47" s="51" t="n">
        <f aca="false">P46*D$11*D$12/100*D$13/100*(D$10/1244)</f>
        <v>7673.42565916399</v>
      </c>
      <c r="Q47" s="48" t="s">
        <v>73</v>
      </c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customFormat="false" ht="14.45" hidden="false" customHeight="true" outlineLevel="0" collapsed="false">
      <c r="A48" s="21"/>
      <c r="B48" s="16" t="s">
        <v>74</v>
      </c>
      <c r="C48" s="18" t="n">
        <f aca="false">C46</f>
        <v>107.41</v>
      </c>
      <c r="D48" s="43" t="n">
        <v>0.04</v>
      </c>
      <c r="E48" s="44" t="s">
        <v>1</v>
      </c>
      <c r="F48" s="44" t="n">
        <f aca="false">D$20/D$16</f>
        <v>2.5</v>
      </c>
      <c r="G48" s="45" t="n">
        <f aca="false">0.012/0.14</f>
        <v>0.0857142857142857</v>
      </c>
      <c r="H48" s="43" t="n">
        <v>0.1</v>
      </c>
      <c r="I48" s="45" t="n">
        <f aca="false">SUM(D48:H48)</f>
        <v>2.72571428571429</v>
      </c>
      <c r="J48" s="46" t="n">
        <f aca="false">1/I48</f>
        <v>0.366876310272537</v>
      </c>
      <c r="K48" s="18" t="n">
        <f aca="false">C48*J48</f>
        <v>39.4061844863732</v>
      </c>
      <c r="L48" s="47" t="n">
        <f aca="false">K48*(D$3-D$5)*24*180/1000</f>
        <v>2728.86251320755</v>
      </c>
      <c r="M48" s="18" t="n">
        <f aca="false">L48/C$26/2</f>
        <v>12.7030188679245</v>
      </c>
      <c r="N48" s="31"/>
      <c r="O48" s="48" t="s">
        <v>75</v>
      </c>
      <c r="P48" s="51" t="n">
        <f aca="false">P47/(D$9*D$14)</f>
        <v>142.881028938907</v>
      </c>
      <c r="Q48" s="48" t="s">
        <v>22</v>
      </c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</row>
    <row r="49" customFormat="false" ht="14.45" hidden="false" customHeight="true" outlineLevel="0" collapsed="false">
      <c r="A49" s="21"/>
      <c r="B49" s="16" t="s">
        <v>76</v>
      </c>
      <c r="C49" s="16" t="n">
        <v>32</v>
      </c>
      <c r="D49" s="44"/>
      <c r="E49" s="44"/>
      <c r="F49" s="44"/>
      <c r="G49" s="44"/>
      <c r="H49" s="44"/>
      <c r="I49" s="44" t="s">
        <v>1</v>
      </c>
      <c r="J49" s="46" t="n">
        <v>2.8</v>
      </c>
      <c r="K49" s="18" t="n">
        <f aca="false">C49*J49</f>
        <v>89.6</v>
      </c>
      <c r="L49" s="47" t="n">
        <f aca="false">K49*(D$3-D$5)*24*180/1000</f>
        <v>6204.76416</v>
      </c>
      <c r="M49" s="18" t="n">
        <f aca="false">L49/C$26/2</f>
        <v>28.8835497625919</v>
      </c>
      <c r="N49" s="31"/>
      <c r="O49" s="48"/>
      <c r="P49" s="53"/>
      <c r="Q49" s="48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</row>
    <row r="50" customFormat="false" ht="14.45" hidden="false" customHeight="true" outlineLevel="0" collapsed="false">
      <c r="A50" s="21"/>
      <c r="B50" s="16" t="s">
        <v>77</v>
      </c>
      <c r="C50" s="16" t="n">
        <v>3</v>
      </c>
      <c r="D50" s="44"/>
      <c r="E50" s="44"/>
      <c r="F50" s="44"/>
      <c r="G50" s="44"/>
      <c r="H50" s="44"/>
      <c r="I50" s="44" t="s">
        <v>1</v>
      </c>
      <c r="J50" s="46" t="n">
        <v>2.8</v>
      </c>
      <c r="K50" s="18" t="n">
        <f aca="false">C50*J50</f>
        <v>8.4</v>
      </c>
      <c r="L50" s="47" t="n">
        <f aca="false">K50*(D$3-D$5)*24*180/1000</f>
        <v>581.69664</v>
      </c>
      <c r="M50" s="18" t="n">
        <f aca="false">L50/C$26/2</f>
        <v>2.70783279024299</v>
      </c>
      <c r="N50" s="31"/>
      <c r="O50" s="48" t="s">
        <v>78</v>
      </c>
      <c r="P50" s="51" t="n">
        <f aca="false">M52*1000/24/180*2</f>
        <v>74.0262153831554</v>
      </c>
      <c r="Q50" s="48" t="s">
        <v>79</v>
      </c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</row>
    <row r="51" customFormat="false" ht="14.45" hidden="false" customHeight="true" outlineLevel="0" collapsed="false">
      <c r="A51" s="21"/>
      <c r="B51" s="55" t="s">
        <v>80</v>
      </c>
      <c r="C51" s="55"/>
      <c r="D51" s="56"/>
      <c r="E51" s="56"/>
      <c r="F51" s="56"/>
      <c r="G51" s="56"/>
      <c r="H51" s="56"/>
      <c r="I51" s="56"/>
      <c r="J51" s="57"/>
      <c r="K51" s="58" t="n">
        <f aca="false">4*D$6*D$8*D$7*1000/3600</f>
        <v>40.2</v>
      </c>
      <c r="L51" s="59" t="n">
        <f aca="false">K51*(D$3-D$5)*24*180/1000</f>
        <v>2783.83392</v>
      </c>
      <c r="M51" s="58" t="n">
        <f aca="false">L51/C$26/2</f>
        <v>12.9589140675915</v>
      </c>
      <c r="N51" s="31"/>
      <c r="O51" s="48" t="s">
        <v>85</v>
      </c>
      <c r="P51" s="51" t="n">
        <f aca="false">M52*D$9*D$14*2</f>
        <v>17174.4965156982</v>
      </c>
      <c r="Q51" s="48" t="s">
        <v>68</v>
      </c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</row>
    <row r="52" customFormat="false" ht="14.45" hidden="false" customHeight="true" outlineLevel="0" collapsed="false">
      <c r="A52" s="60"/>
      <c r="B52" s="61" t="s">
        <v>47</v>
      </c>
      <c r="C52" s="62"/>
      <c r="D52" s="62"/>
      <c r="E52" s="62"/>
      <c r="F52" s="62"/>
      <c r="G52" s="62"/>
      <c r="H52" s="62"/>
      <c r="I52" s="62"/>
      <c r="J52" s="62"/>
      <c r="K52" s="62"/>
      <c r="L52" s="64" t="n">
        <f aca="false">SUM(L46:L51)</f>
        <v>34348.9930313964</v>
      </c>
      <c r="M52" s="72" t="n">
        <f aca="false">SUM(M46:M51)</f>
        <v>159.896625227616</v>
      </c>
      <c r="N52" s="31"/>
      <c r="O52" s="48" t="s">
        <v>82</v>
      </c>
      <c r="P52" s="73" t="n">
        <f aca="false">P51/2</f>
        <v>8587.2482578491</v>
      </c>
      <c r="Q52" s="48" t="s">
        <v>73</v>
      </c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</row>
    <row r="53" s="76" customFormat="true" ht="48.5" hidden="false" customHeight="true" outlineLevel="0" collapsed="false">
      <c r="A53" s="10" t="n">
        <v>4</v>
      </c>
      <c r="B53" s="40" t="s">
        <v>88</v>
      </c>
      <c r="C53" s="35" t="s">
        <v>41</v>
      </c>
      <c r="D53" s="36" t="s">
        <v>42</v>
      </c>
      <c r="E53" s="36" t="s">
        <v>43</v>
      </c>
      <c r="F53" s="36" t="s">
        <v>44</v>
      </c>
      <c r="G53" s="36" t="s">
        <v>45</v>
      </c>
      <c r="H53" s="36" t="s">
        <v>46</v>
      </c>
      <c r="I53" s="37" t="s">
        <v>47</v>
      </c>
      <c r="J53" s="35" t="s">
        <v>48</v>
      </c>
      <c r="K53" s="35" t="s">
        <v>49</v>
      </c>
      <c r="L53" s="35" t="s">
        <v>50</v>
      </c>
      <c r="M53" s="38" t="s">
        <v>51</v>
      </c>
      <c r="N53" s="75"/>
      <c r="O53" s="68"/>
      <c r="P53" s="68"/>
      <c r="Q53" s="68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4.45" hidden="false" customHeight="true" outlineLevel="0" collapsed="false">
      <c r="A54" s="21"/>
      <c r="B54" s="69" t="s">
        <v>1</v>
      </c>
      <c r="C54" s="7" t="s">
        <v>53</v>
      </c>
      <c r="D54" s="42" t="s">
        <v>54</v>
      </c>
      <c r="E54" s="42" t="s">
        <v>55</v>
      </c>
      <c r="F54" s="42" t="s">
        <v>56</v>
      </c>
      <c r="G54" s="42" t="s">
        <v>57</v>
      </c>
      <c r="H54" s="42" t="s">
        <v>58</v>
      </c>
      <c r="I54" s="42" t="s">
        <v>59</v>
      </c>
      <c r="J54" s="7" t="s">
        <v>60</v>
      </c>
      <c r="K54" s="7" t="s">
        <v>61</v>
      </c>
      <c r="L54" s="7" t="s">
        <v>62</v>
      </c>
      <c r="M54" s="13" t="s">
        <v>62</v>
      </c>
      <c r="N54" s="31"/>
      <c r="O54" s="18"/>
      <c r="P54" s="18"/>
      <c r="Q54" s="18"/>
    </row>
    <row r="55" customFormat="false" ht="14.45" hidden="false" customHeight="true" outlineLevel="0" collapsed="false">
      <c r="A55" s="21"/>
      <c r="B55" s="7"/>
      <c r="C55" s="7" t="s">
        <v>64</v>
      </c>
      <c r="D55" s="42" t="s">
        <v>65</v>
      </c>
      <c r="E55" s="42" t="s">
        <v>65</v>
      </c>
      <c r="F55" s="42" t="s">
        <v>65</v>
      </c>
      <c r="G55" s="42" t="s">
        <v>65</v>
      </c>
      <c r="H55" s="42" t="s">
        <v>65</v>
      </c>
      <c r="I55" s="42" t="s">
        <v>65</v>
      </c>
      <c r="J55" s="7" t="s">
        <v>66</v>
      </c>
      <c r="K55" s="7" t="s">
        <v>67</v>
      </c>
      <c r="L55" s="7" t="s">
        <v>68</v>
      </c>
      <c r="M55" s="13" t="s">
        <v>22</v>
      </c>
      <c r="N55" s="31"/>
    </row>
    <row r="56" customFormat="false" ht="14.45" hidden="false" customHeight="true" outlineLevel="0" collapsed="false">
      <c r="A56" s="21"/>
      <c r="B56" s="16" t="s">
        <v>69</v>
      </c>
      <c r="C56" s="18" t="n">
        <f aca="false">D$9*4*D$14</f>
        <v>214.82</v>
      </c>
      <c r="D56" s="43"/>
      <c r="E56" s="44" t="n">
        <f aca="false">0.5/D$17</f>
        <v>1.25</v>
      </c>
      <c r="F56" s="44" t="n">
        <f aca="false">D$18/D$16</f>
        <v>1.25</v>
      </c>
      <c r="G56" s="45" t="n">
        <f aca="false">0.03/0.14</f>
        <v>0.214285714285714</v>
      </c>
      <c r="H56" s="43" t="n">
        <v>0.17</v>
      </c>
      <c r="I56" s="45" t="n">
        <f aca="false">SUM(D56:H56)</f>
        <v>2.88428571428571</v>
      </c>
      <c r="J56" s="46" t="n">
        <f aca="false">1/I56</f>
        <v>0.346706290242694</v>
      </c>
      <c r="K56" s="18" t="n">
        <f aca="false">C56*J56</f>
        <v>74.4794452699356</v>
      </c>
      <c r="L56" s="47" t="n">
        <f aca="false">K56*(D$3-D$4)*24*180/1000</f>
        <v>2574.00962852897</v>
      </c>
      <c r="M56" s="18" t="n">
        <f aca="false">L56/C$26/4</f>
        <v>5.99108469539376</v>
      </c>
      <c r="N56" s="31"/>
      <c r="O56" s="48" t="s">
        <v>70</v>
      </c>
      <c r="P56" s="49" t="n">
        <f aca="false">C58/8</f>
        <v>26.8525</v>
      </c>
      <c r="Q56" s="48" t="s">
        <v>64</v>
      </c>
    </row>
    <row r="57" customFormat="false" ht="14.45" hidden="false" customHeight="true" outlineLevel="0" collapsed="false">
      <c r="A57" s="21"/>
      <c r="B57" s="16" t="s">
        <v>71</v>
      </c>
      <c r="C57" s="50" t="n">
        <f aca="false">(C56^0.5*4*(2.6+0.4)*2-C59-C60)</f>
        <v>281.761737544037</v>
      </c>
      <c r="D57" s="43" t="n">
        <v>0.04</v>
      </c>
      <c r="E57" s="43" t="n">
        <f aca="false">0.38/D$15</f>
        <v>0.542857142857143</v>
      </c>
      <c r="F57" s="44" t="n">
        <f aca="false">D$19/D$16</f>
        <v>0</v>
      </c>
      <c r="G57" s="44"/>
      <c r="H57" s="43" t="n">
        <v>0.13</v>
      </c>
      <c r="I57" s="45" t="n">
        <f aca="false">SUM(D57:H57)</f>
        <v>0.712857142857143</v>
      </c>
      <c r="J57" s="46" t="n">
        <f aca="false">1/I57</f>
        <v>1.40280561122245</v>
      </c>
      <c r="K57" s="18" t="n">
        <f aca="false">C57*J57</f>
        <v>395.256946454561</v>
      </c>
      <c r="L57" s="47" t="n">
        <f aca="false">K57*(D$3-D$5)*24*180/1000</f>
        <v>27371.3854391998</v>
      </c>
      <c r="M57" s="18" t="n">
        <f aca="false">L57/C$26/4</f>
        <v>63.707721439344</v>
      </c>
      <c r="N57" s="31"/>
      <c r="O57" s="48" t="s">
        <v>87</v>
      </c>
      <c r="P57" s="51" t="n">
        <f aca="false">P56*D$11*D$12/100*D$13/100*(D$10/1244)</f>
        <v>7673.42565916399</v>
      </c>
      <c r="Q57" s="48" t="s">
        <v>73</v>
      </c>
    </row>
    <row r="58" customFormat="false" ht="14.45" hidden="false" customHeight="true" outlineLevel="0" collapsed="false">
      <c r="A58" s="21"/>
      <c r="B58" s="16" t="s">
        <v>74</v>
      </c>
      <c r="C58" s="18" t="n">
        <f aca="false">C56</f>
        <v>214.82</v>
      </c>
      <c r="D58" s="43" t="n">
        <v>0.04</v>
      </c>
      <c r="E58" s="44" t="s">
        <v>1</v>
      </c>
      <c r="F58" s="44" t="n">
        <f aca="false">D$20/D$16</f>
        <v>2.5</v>
      </c>
      <c r="G58" s="45" t="n">
        <f aca="false">0.012/0.14</f>
        <v>0.0857142857142857</v>
      </c>
      <c r="H58" s="43" t="n">
        <v>0.1</v>
      </c>
      <c r="I58" s="45" t="n">
        <f aca="false">SUM(D58:H58)</f>
        <v>2.72571428571429</v>
      </c>
      <c r="J58" s="46" t="n">
        <f aca="false">1/I58</f>
        <v>0.366876310272537</v>
      </c>
      <c r="K58" s="18" t="n">
        <f aca="false">C58*J58</f>
        <v>78.8123689727463</v>
      </c>
      <c r="L58" s="47" t="n">
        <f aca="false">K58*(D$3-D$5)*24*180/1000</f>
        <v>5457.72502641509</v>
      </c>
      <c r="M58" s="18" t="n">
        <f aca="false">L58/C$26/4</f>
        <v>12.7030188679245</v>
      </c>
      <c r="N58" s="31"/>
      <c r="O58" s="48" t="s">
        <v>75</v>
      </c>
      <c r="P58" s="51" t="n">
        <f aca="false">P57/(D$9*D$14)</f>
        <v>142.881028938907</v>
      </c>
      <c r="Q58" s="48" t="s">
        <v>22</v>
      </c>
    </row>
    <row r="59" customFormat="false" ht="14.45" hidden="false" customHeight="true" outlineLevel="0" collapsed="false">
      <c r="A59" s="21"/>
      <c r="B59" s="16" t="s">
        <v>76</v>
      </c>
      <c r="C59" s="16" t="n">
        <v>64</v>
      </c>
      <c r="D59" s="44"/>
      <c r="E59" s="44"/>
      <c r="F59" s="44"/>
      <c r="G59" s="44"/>
      <c r="H59" s="44"/>
      <c r="I59" s="44" t="s">
        <v>1</v>
      </c>
      <c r="J59" s="46" t="n">
        <v>2.8</v>
      </c>
      <c r="K59" s="18" t="n">
        <f aca="false">C59*J59</f>
        <v>179.2</v>
      </c>
      <c r="L59" s="47" t="n">
        <f aca="false">K59*(D$3-D$5)*24*180/1000</f>
        <v>12409.52832</v>
      </c>
      <c r="M59" s="18" t="n">
        <f aca="false">L59/C$26/4</f>
        <v>28.8835497625919</v>
      </c>
      <c r="N59" s="31"/>
      <c r="O59" s="48"/>
      <c r="P59" s="53"/>
      <c r="Q59" s="48"/>
    </row>
    <row r="60" customFormat="false" ht="14.45" hidden="false" customHeight="true" outlineLevel="0" collapsed="false">
      <c r="A60" s="21"/>
      <c r="B60" s="16" t="s">
        <v>77</v>
      </c>
      <c r="C60" s="16" t="n">
        <v>6</v>
      </c>
      <c r="D60" s="44"/>
      <c r="E60" s="44"/>
      <c r="F60" s="44"/>
      <c r="G60" s="44"/>
      <c r="H60" s="44"/>
      <c r="I60" s="44" t="s">
        <v>1</v>
      </c>
      <c r="J60" s="46" t="n">
        <v>2.8</v>
      </c>
      <c r="K60" s="18" t="n">
        <f aca="false">C60*J60</f>
        <v>16.8</v>
      </c>
      <c r="L60" s="47" t="n">
        <f aca="false">K60*(D$3-D$5)*24*180/1000</f>
        <v>1163.39328</v>
      </c>
      <c r="M60" s="18" t="n">
        <f aca="false">L60/C$26/4</f>
        <v>2.70783279024299</v>
      </c>
      <c r="N60" s="31"/>
      <c r="O60" s="48" t="s">
        <v>78</v>
      </c>
      <c r="P60" s="51" t="n">
        <f aca="false">M62*1000/24/180*2</f>
        <v>58.7741303810596</v>
      </c>
      <c r="Q60" s="48" t="s">
        <v>79</v>
      </c>
    </row>
    <row r="61" customFormat="false" ht="14.45" hidden="false" customHeight="true" outlineLevel="0" collapsed="false">
      <c r="A61" s="21"/>
      <c r="B61" s="55" t="s">
        <v>80</v>
      </c>
      <c r="C61" s="55"/>
      <c r="D61" s="56"/>
      <c r="E61" s="56"/>
      <c r="F61" s="56"/>
      <c r="G61" s="56"/>
      <c r="H61" s="56"/>
      <c r="I61" s="56"/>
      <c r="J61" s="57"/>
      <c r="K61" s="58" t="n">
        <f aca="false">8*D$6*D$8*D$7*1000/3600</f>
        <v>80.4</v>
      </c>
      <c r="L61" s="59" t="n">
        <f aca="false">K61*(D$3-D$5)*24*180/1000</f>
        <v>5567.66784</v>
      </c>
      <c r="M61" s="58" t="n">
        <f aca="false">L61/C$26/4</f>
        <v>12.9589140675915</v>
      </c>
      <c r="N61" s="31"/>
      <c r="O61" s="48" t="s">
        <v>85</v>
      </c>
      <c r="P61" s="51" t="n">
        <f aca="false">M62*D$9*D$14*2</f>
        <v>13635.927383536</v>
      </c>
      <c r="Q61" s="48" t="s">
        <v>68</v>
      </c>
    </row>
    <row r="62" customFormat="false" ht="14.45" hidden="false" customHeight="true" outlineLevel="0" collapsed="false">
      <c r="A62" s="60"/>
      <c r="B62" s="61" t="s">
        <v>47</v>
      </c>
      <c r="C62" s="62"/>
      <c r="D62" s="62"/>
      <c r="E62" s="62"/>
      <c r="F62" s="62"/>
      <c r="G62" s="62"/>
      <c r="H62" s="62"/>
      <c r="I62" s="62"/>
      <c r="J62" s="62"/>
      <c r="K62" s="62"/>
      <c r="L62" s="64" t="n">
        <f aca="false">SUM(L56:L61)</f>
        <v>54543.7095341438</v>
      </c>
      <c r="M62" s="72" t="n">
        <f aca="false">SUM(M56:M61)</f>
        <v>126.952121623089</v>
      </c>
      <c r="N62" s="31"/>
      <c r="O62" s="48" t="s">
        <v>82</v>
      </c>
      <c r="P62" s="66" t="n">
        <f aca="false">P61/2</f>
        <v>6817.96369176798</v>
      </c>
      <c r="Q62" s="48" t="s">
        <v>73</v>
      </c>
    </row>
    <row r="63" customFormat="false" ht="48.5" hidden="false" customHeight="true" outlineLevel="0" collapsed="false">
      <c r="A63" s="10" t="n">
        <v>5</v>
      </c>
      <c r="B63" s="40" t="s">
        <v>89</v>
      </c>
      <c r="C63" s="35" t="s">
        <v>41</v>
      </c>
      <c r="D63" s="36" t="s">
        <v>42</v>
      </c>
      <c r="E63" s="36" t="s">
        <v>43</v>
      </c>
      <c r="F63" s="36" t="s">
        <v>44</v>
      </c>
      <c r="G63" s="36" t="s">
        <v>45</v>
      </c>
      <c r="H63" s="36" t="s">
        <v>46</v>
      </c>
      <c r="I63" s="37" t="s">
        <v>47</v>
      </c>
      <c r="J63" s="35" t="s">
        <v>48</v>
      </c>
      <c r="K63" s="35" t="s">
        <v>49</v>
      </c>
      <c r="L63" s="35" t="s">
        <v>50</v>
      </c>
      <c r="M63" s="38" t="s">
        <v>51</v>
      </c>
      <c r="N63" s="75"/>
      <c r="O63" s="68"/>
      <c r="P63" s="68"/>
      <c r="Q63" s="68"/>
    </row>
    <row r="64" customFormat="false" ht="14.45" hidden="false" customHeight="true" outlineLevel="0" collapsed="false">
      <c r="A64" s="21"/>
      <c r="B64" s="69" t="s">
        <v>1</v>
      </c>
      <c r="C64" s="7" t="s">
        <v>53</v>
      </c>
      <c r="D64" s="42" t="s">
        <v>54</v>
      </c>
      <c r="E64" s="42" t="s">
        <v>55</v>
      </c>
      <c r="F64" s="42" t="s">
        <v>56</v>
      </c>
      <c r="G64" s="42" t="s">
        <v>57</v>
      </c>
      <c r="H64" s="42" t="s">
        <v>58</v>
      </c>
      <c r="I64" s="42" t="s">
        <v>59</v>
      </c>
      <c r="J64" s="7" t="s">
        <v>60</v>
      </c>
      <c r="K64" s="7" t="s">
        <v>61</v>
      </c>
      <c r="L64" s="7" t="s">
        <v>62</v>
      </c>
      <c r="M64" s="13" t="s">
        <v>62</v>
      </c>
      <c r="N64" s="31"/>
      <c r="O64" s="18"/>
      <c r="P64" s="18"/>
      <c r="Q64" s="18"/>
    </row>
    <row r="65" customFormat="false" ht="14.45" hidden="false" customHeight="true" outlineLevel="0" collapsed="false">
      <c r="A65" s="21"/>
      <c r="B65" s="7"/>
      <c r="C65" s="7" t="s">
        <v>64</v>
      </c>
      <c r="D65" s="42" t="s">
        <v>65</v>
      </c>
      <c r="E65" s="42" t="s">
        <v>65</v>
      </c>
      <c r="F65" s="42" t="s">
        <v>65</v>
      </c>
      <c r="G65" s="42" t="s">
        <v>65</v>
      </c>
      <c r="H65" s="42" t="s">
        <v>65</v>
      </c>
      <c r="I65" s="42" t="s">
        <v>65</v>
      </c>
      <c r="J65" s="7" t="s">
        <v>66</v>
      </c>
      <c r="K65" s="7" t="s">
        <v>67</v>
      </c>
      <c r="L65" s="7" t="s">
        <v>68</v>
      </c>
      <c r="M65" s="13" t="s">
        <v>22</v>
      </c>
      <c r="N65" s="31"/>
    </row>
    <row r="66" customFormat="false" ht="14.45" hidden="false" customHeight="true" outlineLevel="0" collapsed="false">
      <c r="A66" s="21"/>
      <c r="B66" s="16" t="s">
        <v>69</v>
      </c>
      <c r="C66" s="18" t="n">
        <f aca="false">D$9*4*D$14</f>
        <v>214.82</v>
      </c>
      <c r="D66" s="43"/>
      <c r="E66" s="44" t="n">
        <f aca="false">0.5/D$17</f>
        <v>1.25</v>
      </c>
      <c r="F66" s="44" t="n">
        <f aca="false">D$18/D$16</f>
        <v>1.25</v>
      </c>
      <c r="G66" s="45" t="n">
        <f aca="false">0.03/0.14</f>
        <v>0.214285714285714</v>
      </c>
      <c r="H66" s="43" t="n">
        <v>0.17</v>
      </c>
      <c r="I66" s="45" t="n">
        <f aca="false">SUM(D66:H66)</f>
        <v>2.88428571428571</v>
      </c>
      <c r="J66" s="46" t="n">
        <f aca="false">1/I66</f>
        <v>0.346706290242694</v>
      </c>
      <c r="K66" s="18" t="n">
        <f aca="false">C66*J66</f>
        <v>74.4794452699356</v>
      </c>
      <c r="L66" s="47" t="n">
        <f aca="false">K66*(D$3-D$4)*24*180/1000</f>
        <v>2574.00962852897</v>
      </c>
      <c r="M66" s="18" t="n">
        <f aca="false">L66/C$26/6</f>
        <v>3.99405646359584</v>
      </c>
      <c r="N66" s="31"/>
      <c r="O66" s="48" t="s">
        <v>70</v>
      </c>
      <c r="P66" s="49" t="n">
        <f aca="false">C68/12</f>
        <v>17.9016666666667</v>
      </c>
      <c r="Q66" s="48" t="s">
        <v>64</v>
      </c>
    </row>
    <row r="67" customFormat="false" ht="14.45" hidden="false" customHeight="true" outlineLevel="0" collapsed="false">
      <c r="A67" s="21"/>
      <c r="B67" s="16" t="s">
        <v>71</v>
      </c>
      <c r="C67" s="50" t="n">
        <f aca="false">(C66^0.5*4*(2.6+0.4)*3-C69-C70)</f>
        <v>425.642606316056</v>
      </c>
      <c r="D67" s="43" t="n">
        <v>0.04</v>
      </c>
      <c r="E67" s="43" t="n">
        <f aca="false">0.38/D$15</f>
        <v>0.542857142857143</v>
      </c>
      <c r="F67" s="44" t="n">
        <f aca="false">D$19/D$16</f>
        <v>0</v>
      </c>
      <c r="G67" s="44"/>
      <c r="H67" s="43" t="n">
        <v>0.13</v>
      </c>
      <c r="I67" s="45" t="n">
        <f aca="false">SUM(D67:H67)</f>
        <v>0.712857142857143</v>
      </c>
      <c r="J67" s="46" t="n">
        <f aca="false">1/I67</f>
        <v>1.40280561122245</v>
      </c>
      <c r="K67" s="18" t="n">
        <f aca="false">C67*J67</f>
        <v>597.093836515509</v>
      </c>
      <c r="L67" s="47" t="n">
        <f aca="false">K67*(D$3-D$5)*24*180/1000</f>
        <v>41348.5093411644</v>
      </c>
      <c r="M67" s="18" t="n">
        <f aca="false">L67/C$26/6</f>
        <v>64.1599313241542</v>
      </c>
      <c r="N67" s="31"/>
      <c r="O67" s="48" t="s">
        <v>87</v>
      </c>
      <c r="P67" s="51" t="n">
        <f aca="false">P66*D$11*D$12/100*D$13/100*(D$10/1244)</f>
        <v>5115.61710610932</v>
      </c>
      <c r="Q67" s="48" t="s">
        <v>73</v>
      </c>
    </row>
    <row r="68" customFormat="false" ht="14.45" hidden="false" customHeight="true" outlineLevel="0" collapsed="false">
      <c r="A68" s="21"/>
      <c r="B68" s="16" t="s">
        <v>74</v>
      </c>
      <c r="C68" s="18" t="n">
        <f aca="false">C66</f>
        <v>214.82</v>
      </c>
      <c r="D68" s="43" t="n">
        <v>0.04</v>
      </c>
      <c r="E68" s="44" t="s">
        <v>1</v>
      </c>
      <c r="F68" s="44" t="n">
        <f aca="false">D$20/D$16</f>
        <v>2.5</v>
      </c>
      <c r="G68" s="45" t="n">
        <f aca="false">0.012/0.14</f>
        <v>0.0857142857142857</v>
      </c>
      <c r="H68" s="43" t="n">
        <v>0.1</v>
      </c>
      <c r="I68" s="45" t="n">
        <f aca="false">SUM(D68:H68)</f>
        <v>2.72571428571429</v>
      </c>
      <c r="J68" s="46" t="n">
        <f aca="false">1/I68</f>
        <v>0.366876310272537</v>
      </c>
      <c r="K68" s="18" t="n">
        <f aca="false">C68*J68</f>
        <v>78.8123689727463</v>
      </c>
      <c r="L68" s="47" t="n">
        <f aca="false">K68*(D$3-D$5)*24*180/1000</f>
        <v>5457.72502641509</v>
      </c>
      <c r="M68" s="18" t="n">
        <f aca="false">L68/C$26/6</f>
        <v>8.46867924528302</v>
      </c>
      <c r="N68" s="31"/>
      <c r="O68" s="48" t="s">
        <v>75</v>
      </c>
      <c r="P68" s="51" t="n">
        <f aca="false">P67/(D$9*D$14)</f>
        <v>95.2540192926045</v>
      </c>
      <c r="Q68" s="48" t="s">
        <v>22</v>
      </c>
    </row>
    <row r="69" customFormat="false" ht="14.45" hidden="false" customHeight="true" outlineLevel="0" collapsed="false">
      <c r="A69" s="21"/>
      <c r="B69" s="16" t="s">
        <v>76</v>
      </c>
      <c r="C69" s="16" t="n">
        <v>96</v>
      </c>
      <c r="D69" s="44"/>
      <c r="E69" s="44"/>
      <c r="F69" s="44"/>
      <c r="G69" s="44"/>
      <c r="H69" s="44"/>
      <c r="I69" s="44" t="s">
        <v>1</v>
      </c>
      <c r="J69" s="46" t="n">
        <v>2.8</v>
      </c>
      <c r="K69" s="18" t="n">
        <f aca="false">C69*J69</f>
        <v>268.8</v>
      </c>
      <c r="L69" s="47" t="n">
        <f aca="false">K69*(D$3-D$5)*24*180/1000</f>
        <v>18614.29248</v>
      </c>
      <c r="M69" s="18" t="n">
        <f aca="false">L69/C$26/6</f>
        <v>28.8835497625919</v>
      </c>
      <c r="N69" s="31"/>
      <c r="O69" s="48"/>
      <c r="P69" s="53"/>
      <c r="Q69" s="48"/>
    </row>
    <row r="70" customFormat="false" ht="14.45" hidden="false" customHeight="true" outlineLevel="0" collapsed="false">
      <c r="A70" s="21"/>
      <c r="B70" s="16" t="s">
        <v>77</v>
      </c>
      <c r="C70" s="16" t="n">
        <v>6</v>
      </c>
      <c r="D70" s="44"/>
      <c r="E70" s="44"/>
      <c r="F70" s="44"/>
      <c r="G70" s="44"/>
      <c r="H70" s="44"/>
      <c r="I70" s="44" t="s">
        <v>1</v>
      </c>
      <c r="J70" s="46" t="n">
        <v>2.8</v>
      </c>
      <c r="K70" s="18" t="n">
        <f aca="false">C70*J70</f>
        <v>16.8</v>
      </c>
      <c r="L70" s="47" t="n">
        <f aca="false">K70*(D$3-D$5)*24*180/1000</f>
        <v>1163.39328</v>
      </c>
      <c r="M70" s="18" t="n">
        <f aca="false">L70/C$26/6</f>
        <v>1.805221860162</v>
      </c>
      <c r="N70" s="31"/>
      <c r="O70" s="48" t="s">
        <v>78</v>
      </c>
      <c r="P70" s="51" t="n">
        <f aca="false">M72*1000/24/180*2</f>
        <v>55.6807188534159</v>
      </c>
      <c r="Q70" s="48" t="s">
        <v>79</v>
      </c>
    </row>
    <row r="71" customFormat="false" ht="14.45" hidden="false" customHeight="true" outlineLevel="0" collapsed="false">
      <c r="A71" s="21"/>
      <c r="B71" s="55" t="s">
        <v>80</v>
      </c>
      <c r="C71" s="55"/>
      <c r="D71" s="56"/>
      <c r="E71" s="56"/>
      <c r="F71" s="56"/>
      <c r="G71" s="56"/>
      <c r="H71" s="56"/>
      <c r="I71" s="56"/>
      <c r="J71" s="57"/>
      <c r="K71" s="58" t="n">
        <f aca="false">12*D$6*D$8*D$7*1000/3600</f>
        <v>120.6</v>
      </c>
      <c r="L71" s="59" t="n">
        <f aca="false">K71*(D$3-D$5)*24*180/1000</f>
        <v>8351.50176</v>
      </c>
      <c r="M71" s="58" t="n">
        <f aca="false">L71/C$26/6</f>
        <v>12.9589140675915</v>
      </c>
      <c r="N71" s="31"/>
      <c r="O71" s="48" t="s">
        <v>85</v>
      </c>
      <c r="P71" s="51" t="n">
        <f aca="false">M72*D$9*D$14*2</f>
        <v>12918.2385860181</v>
      </c>
      <c r="Q71" s="48" t="s">
        <v>68</v>
      </c>
    </row>
    <row r="72" customFormat="false" ht="14.45" hidden="false" customHeight="true" outlineLevel="0" collapsed="false">
      <c r="A72" s="60"/>
      <c r="B72" s="61" t="s">
        <v>47</v>
      </c>
      <c r="C72" s="61"/>
      <c r="D72" s="61"/>
      <c r="E72" s="61"/>
      <c r="F72" s="61"/>
      <c r="G72" s="61"/>
      <c r="H72" s="61"/>
      <c r="I72" s="61"/>
      <c r="J72" s="61"/>
      <c r="K72" s="61"/>
      <c r="L72" s="64" t="n">
        <f aca="false">SUM(L66:L71)</f>
        <v>77509.4315161085</v>
      </c>
      <c r="M72" s="72" t="n">
        <f aca="false">SUM(M66:M71)</f>
        <v>120.270352723378</v>
      </c>
      <c r="N72" s="31"/>
      <c r="O72" s="48" t="s">
        <v>82</v>
      </c>
      <c r="P72" s="66" t="n">
        <f aca="false">P71/2</f>
        <v>6459.11929300904</v>
      </c>
      <c r="Q72" s="48" t="s">
        <v>73</v>
      </c>
    </row>
    <row r="73" customFormat="false" ht="7.45" hidden="false" customHeight="true" outlineLevel="0" collapsed="false">
      <c r="A73" s="30"/>
      <c r="B73" s="19"/>
      <c r="C73" s="19"/>
      <c r="D73" s="19"/>
      <c r="E73" s="19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AKA73" s="77"/>
      <c r="AKB73" s="77"/>
      <c r="AKC73" s="77"/>
      <c r="AKD73" s="77"/>
      <c r="AKE73" s="77"/>
      <c r="AKF73" s="77"/>
      <c r="AKG73" s="77"/>
      <c r="AKH73" s="77"/>
      <c r="AKI73" s="77"/>
      <c r="AKJ73" s="77"/>
      <c r="AKK73" s="77"/>
      <c r="AKL73" s="77"/>
      <c r="AKM73" s="77"/>
      <c r="AKN73" s="77"/>
      <c r="AKO73" s="77"/>
      <c r="AKP73" s="77"/>
      <c r="AKQ73" s="77"/>
      <c r="AKR73" s="77"/>
      <c r="AKS73" s="77"/>
      <c r="AKT73" s="77"/>
      <c r="AKU73" s="77"/>
      <c r="AKV73" s="77"/>
      <c r="AKW73" s="77"/>
      <c r="AKX73" s="77"/>
      <c r="AKY73" s="77"/>
      <c r="AKZ73" s="77"/>
      <c r="ALA73" s="77"/>
      <c r="ALB73" s="77"/>
      <c r="ALC73" s="77"/>
      <c r="ALD73" s="77"/>
      <c r="ALE73" s="77"/>
      <c r="ALF73" s="77"/>
      <c r="ALG73" s="77"/>
      <c r="ALH73" s="77"/>
      <c r="ALI73" s="77"/>
      <c r="ALJ73" s="77"/>
      <c r="ALK73" s="77"/>
      <c r="ALL73" s="77"/>
      <c r="ALM73" s="77"/>
      <c r="ALN73" s="77"/>
      <c r="ALO73" s="77"/>
      <c r="ALP73" s="77"/>
      <c r="ALQ73" s="77"/>
      <c r="ALR73" s="77"/>
      <c r="ALS73" s="77"/>
      <c r="ALT73" s="77"/>
      <c r="ALU73" s="77"/>
      <c r="ALV73" s="77"/>
      <c r="ALW73" s="77"/>
      <c r="ALX73" s="77"/>
      <c r="ALY73" s="77"/>
      <c r="ALZ73" s="77"/>
      <c r="AMA73" s="77"/>
      <c r="AMB73" s="77"/>
      <c r="AMC73" s="77"/>
      <c r="AMD73" s="77"/>
      <c r="AME73" s="77"/>
      <c r="AMF73" s="77"/>
      <c r="AMG73" s="77"/>
      <c r="AMH73" s="77"/>
      <c r="AMI73" s="77"/>
      <c r="AMJ73" s="77"/>
    </row>
    <row r="74" customFormat="false" ht="14.45" hidden="false" customHeight="true" outlineLevel="0" collapsed="false">
      <c r="A74" s="69"/>
      <c r="B74" s="69" t="s">
        <v>90</v>
      </c>
      <c r="C74" s="2" t="s">
        <v>91</v>
      </c>
      <c r="D74" s="78" t="s">
        <v>92</v>
      </c>
      <c r="E74" s="78"/>
      <c r="F74" s="79"/>
      <c r="G74" s="79"/>
      <c r="H74" s="79"/>
      <c r="I74" s="79"/>
      <c r="J74" s="79"/>
      <c r="K74" s="79"/>
      <c r="L74" s="79"/>
      <c r="M74" s="79"/>
      <c r="N74" s="79"/>
      <c r="O74" s="79"/>
      <c r="AMH74" s="80"/>
      <c r="AMI74" s="80"/>
      <c r="AMJ74" s="80"/>
    </row>
    <row r="75" customFormat="false" ht="14.45" hidden="false" customHeight="true" outlineLevel="0" collapsed="false">
      <c r="A75" s="69"/>
      <c r="B75" s="81" t="s">
        <v>93</v>
      </c>
      <c r="C75" s="82" t="n">
        <v>45</v>
      </c>
      <c r="D75" s="83" t="s">
        <v>7</v>
      </c>
      <c r="E75" s="84" t="s">
        <v>1</v>
      </c>
      <c r="F75" s="85"/>
      <c r="G75" s="85"/>
      <c r="H75" s="85"/>
      <c r="I75" s="85"/>
      <c r="J75" s="85"/>
      <c r="K75" s="85"/>
      <c r="O75" s="2"/>
      <c r="P75" s="2"/>
      <c r="Q75" s="2"/>
      <c r="AJX75" s="86"/>
      <c r="AJY75" s="86"/>
      <c r="AJZ75" s="86"/>
      <c r="AMH75" s="80"/>
      <c r="AMI75" s="80"/>
      <c r="AMJ75" s="80"/>
    </row>
    <row r="76" customFormat="false" ht="14.45" hidden="false" customHeight="true" outlineLevel="0" collapsed="false">
      <c r="A76" s="69"/>
      <c r="B76" s="81" t="s">
        <v>94</v>
      </c>
      <c r="C76" s="82" t="n">
        <v>35</v>
      </c>
      <c r="D76" s="83" t="s">
        <v>7</v>
      </c>
      <c r="E76" s="84" t="s">
        <v>1</v>
      </c>
      <c r="F76" s="87"/>
      <c r="G76" s="87"/>
      <c r="H76" s="87"/>
      <c r="I76" s="87"/>
      <c r="J76" s="87"/>
      <c r="K76" s="87"/>
      <c r="O76" s="2"/>
      <c r="P76" s="2"/>
      <c r="Q76" s="2"/>
      <c r="AJX76" s="86"/>
      <c r="AJY76" s="86"/>
      <c r="AJZ76" s="86"/>
      <c r="AMH76" s="80"/>
      <c r="AMI76" s="80"/>
      <c r="AMJ76" s="80"/>
    </row>
    <row r="77" customFormat="false" ht="14.45" hidden="false" customHeight="true" outlineLevel="0" collapsed="false">
      <c r="A77" s="69" t="s">
        <v>95</v>
      </c>
      <c r="B77" s="88" t="s">
        <v>96</v>
      </c>
      <c r="C77" s="89" t="s">
        <v>97</v>
      </c>
      <c r="D77" s="89"/>
      <c r="E77" s="89"/>
      <c r="F77" s="89"/>
      <c r="G77" s="89"/>
      <c r="H77" s="89"/>
      <c r="I77" s="89"/>
      <c r="J77" s="89"/>
      <c r="K77" s="89"/>
      <c r="L77" s="89"/>
      <c r="M77" s="88" t="s">
        <v>98</v>
      </c>
      <c r="N77" s="88"/>
    </row>
    <row r="78" customFormat="false" ht="14.45" hidden="false" customHeight="true" outlineLevel="0" collapsed="false">
      <c r="A78" s="69"/>
      <c r="B78" s="90" t="s">
        <v>99</v>
      </c>
      <c r="C78" s="91" t="s">
        <v>100</v>
      </c>
      <c r="D78" s="91"/>
      <c r="E78" s="91"/>
      <c r="F78" s="91"/>
      <c r="G78" s="91"/>
      <c r="H78" s="91"/>
      <c r="I78" s="91"/>
      <c r="J78" s="91"/>
      <c r="K78" s="91"/>
      <c r="L78" s="91"/>
      <c r="M78" s="90" t="s">
        <v>101</v>
      </c>
      <c r="N78" s="90"/>
    </row>
    <row r="79" customFormat="false" ht="14.45" hidden="false" customHeight="true" outlineLevel="0" collapsed="false">
      <c r="A79" s="69"/>
      <c r="B79" s="92" t="s">
        <v>102</v>
      </c>
      <c r="C79" s="93" t="n">
        <v>300</v>
      </c>
      <c r="D79" s="94" t="n">
        <v>250</v>
      </c>
      <c r="E79" s="94" t="n">
        <v>225</v>
      </c>
      <c r="F79" s="94" t="n">
        <v>200</v>
      </c>
      <c r="G79" s="94" t="n">
        <v>175</v>
      </c>
      <c r="H79" s="94" t="n">
        <v>150</v>
      </c>
      <c r="I79" s="94" t="n">
        <v>125</v>
      </c>
      <c r="J79" s="94" t="n">
        <v>100</v>
      </c>
      <c r="K79" s="94" t="n">
        <v>75</v>
      </c>
      <c r="L79" s="95" t="n">
        <v>50</v>
      </c>
      <c r="M79" s="96" t="s">
        <v>103</v>
      </c>
      <c r="N79" s="96"/>
    </row>
    <row r="80" customFormat="false" ht="14.45" hidden="false" customHeight="true" outlineLevel="0" collapsed="false">
      <c r="A80" s="69"/>
      <c r="B80" s="97" t="n">
        <v>15</v>
      </c>
      <c r="C80" s="98" t="n">
        <v>91</v>
      </c>
      <c r="D80" s="98" t="n">
        <v>104</v>
      </c>
      <c r="E80" s="98" t="n">
        <v>111</v>
      </c>
      <c r="F80" s="98" t="n">
        <v>120</v>
      </c>
      <c r="G80" s="98" t="n">
        <v>129</v>
      </c>
      <c r="H80" s="98" t="n">
        <v>138</v>
      </c>
      <c r="I80" s="98" t="n">
        <v>148</v>
      </c>
      <c r="J80" s="98" t="n">
        <v>160</v>
      </c>
      <c r="K80" s="98" t="n">
        <v>172</v>
      </c>
      <c r="L80" s="98" t="n">
        <v>185</v>
      </c>
      <c r="M80" s="99" t="s">
        <v>104</v>
      </c>
      <c r="N80" s="100" t="s">
        <v>105</v>
      </c>
    </row>
    <row r="81" customFormat="false" ht="14.45" hidden="false" customHeight="true" outlineLevel="0" collapsed="false">
      <c r="A81" s="69"/>
      <c r="B81" s="101" t="n">
        <v>18</v>
      </c>
      <c r="C81" s="98" t="n">
        <v>79</v>
      </c>
      <c r="D81" s="98" t="n">
        <v>91</v>
      </c>
      <c r="E81" s="98" t="n">
        <v>97</v>
      </c>
      <c r="F81" s="98" t="n">
        <v>105</v>
      </c>
      <c r="G81" s="98" t="n">
        <v>113</v>
      </c>
      <c r="H81" s="98" t="n">
        <v>121</v>
      </c>
      <c r="I81" s="98" t="n">
        <v>130</v>
      </c>
      <c r="J81" s="98" t="n">
        <v>140</v>
      </c>
      <c r="K81" s="98" t="n">
        <v>151</v>
      </c>
      <c r="L81" s="98" t="n">
        <v>163</v>
      </c>
      <c r="M81" s="99"/>
      <c r="N81" s="100"/>
    </row>
    <row r="82" customFormat="false" ht="14.45" hidden="false" customHeight="true" outlineLevel="0" collapsed="false">
      <c r="A82" s="69"/>
      <c r="B82" s="101" t="n">
        <v>20</v>
      </c>
      <c r="C82" s="98" t="n">
        <v>72</v>
      </c>
      <c r="D82" s="98" t="n">
        <v>82</v>
      </c>
      <c r="E82" s="98" t="n">
        <v>88</v>
      </c>
      <c r="F82" s="98" t="n">
        <v>95</v>
      </c>
      <c r="G82" s="98" t="n">
        <v>102</v>
      </c>
      <c r="H82" s="98" t="n">
        <v>110</v>
      </c>
      <c r="I82" s="98" t="n">
        <v>118</v>
      </c>
      <c r="J82" s="98" t="n">
        <v>127</v>
      </c>
      <c r="K82" s="98" t="n">
        <v>137</v>
      </c>
      <c r="L82" s="98" t="n">
        <v>147</v>
      </c>
      <c r="M82" s="99"/>
      <c r="N82" s="100"/>
    </row>
    <row r="83" customFormat="false" ht="14.45" hidden="false" customHeight="true" outlineLevel="0" collapsed="false">
      <c r="A83" s="69"/>
      <c r="B83" s="101" t="n">
        <v>22</v>
      </c>
      <c r="C83" s="98" t="n">
        <v>64</v>
      </c>
      <c r="D83" s="98" t="n">
        <v>74</v>
      </c>
      <c r="E83" s="98" t="n">
        <v>79</v>
      </c>
      <c r="F83" s="98" t="n">
        <v>85</v>
      </c>
      <c r="G83" s="98" t="n">
        <v>91</v>
      </c>
      <c r="H83" s="98" t="n">
        <v>98</v>
      </c>
      <c r="I83" s="98" t="n">
        <v>105</v>
      </c>
      <c r="J83" s="98" t="n">
        <v>113</v>
      </c>
      <c r="K83" s="98" t="n">
        <v>123</v>
      </c>
      <c r="L83" s="98" t="n">
        <v>132</v>
      </c>
      <c r="M83" s="99"/>
      <c r="N83" s="100"/>
    </row>
    <row r="84" customFormat="false" ht="14.45" hidden="false" customHeight="true" outlineLevel="0" collapsed="false">
      <c r="A84" s="69"/>
      <c r="B84" s="102" t="n">
        <v>24</v>
      </c>
      <c r="C84" s="98" t="n">
        <v>57</v>
      </c>
      <c r="D84" s="98" t="n">
        <v>65</v>
      </c>
      <c r="E84" s="98" t="n">
        <v>70</v>
      </c>
      <c r="F84" s="98" t="n">
        <v>75</v>
      </c>
      <c r="G84" s="98" t="n">
        <v>81</v>
      </c>
      <c r="H84" s="98" t="n">
        <v>87</v>
      </c>
      <c r="I84" s="98" t="n">
        <v>93</v>
      </c>
      <c r="J84" s="98" t="n">
        <v>100</v>
      </c>
      <c r="K84" s="98" t="n">
        <v>108</v>
      </c>
      <c r="L84" s="98" t="n">
        <v>116</v>
      </c>
      <c r="M84" s="99"/>
      <c r="N84" s="100"/>
    </row>
    <row r="85" customFormat="false" ht="14.45" hidden="false" customHeight="true" outlineLevel="0" collapsed="false">
      <c r="A85" s="69"/>
      <c r="B85" s="103" t="n">
        <v>15</v>
      </c>
      <c r="C85" s="98" t="n">
        <v>73</v>
      </c>
      <c r="D85" s="98" t="n">
        <v>82</v>
      </c>
      <c r="E85" s="98" t="n">
        <v>87</v>
      </c>
      <c r="F85" s="98" t="n">
        <v>92</v>
      </c>
      <c r="G85" s="98" t="n">
        <v>98</v>
      </c>
      <c r="H85" s="98" t="n">
        <v>104</v>
      </c>
      <c r="I85" s="98" t="n">
        <v>110</v>
      </c>
      <c r="J85" s="98" t="n">
        <v>117</v>
      </c>
      <c r="K85" s="98" t="n">
        <v>125</v>
      </c>
      <c r="L85" s="98" t="n">
        <v>133</v>
      </c>
      <c r="M85" s="99" t="s">
        <v>106</v>
      </c>
      <c r="N85" s="100" t="s">
        <v>107</v>
      </c>
    </row>
    <row r="86" customFormat="false" ht="14.45" hidden="false" customHeight="true" outlineLevel="0" collapsed="false">
      <c r="A86" s="69"/>
      <c r="B86" s="101" t="n">
        <v>18</v>
      </c>
      <c r="C86" s="98" t="n">
        <v>64</v>
      </c>
      <c r="D86" s="98" t="n">
        <v>72</v>
      </c>
      <c r="E86" s="98" t="n">
        <v>76</v>
      </c>
      <c r="F86" s="98" t="n">
        <v>80</v>
      </c>
      <c r="G86" s="98" t="n">
        <v>86</v>
      </c>
      <c r="H86" s="98" t="n">
        <v>91</v>
      </c>
      <c r="I86" s="98" t="n">
        <v>97</v>
      </c>
      <c r="J86" s="98" t="n">
        <v>103</v>
      </c>
      <c r="K86" s="98" t="n">
        <v>109</v>
      </c>
      <c r="L86" s="98" t="n">
        <v>116</v>
      </c>
      <c r="M86" s="99"/>
      <c r="N86" s="100"/>
    </row>
    <row r="87" customFormat="false" ht="14.45" hidden="false" customHeight="true" outlineLevel="0" collapsed="false">
      <c r="A87" s="69"/>
      <c r="B87" s="101" t="n">
        <v>20</v>
      </c>
      <c r="C87" s="98" t="n">
        <v>58</v>
      </c>
      <c r="D87" s="98" t="n">
        <v>65</v>
      </c>
      <c r="E87" s="98" t="n">
        <v>69</v>
      </c>
      <c r="F87" s="98" t="n">
        <v>73</v>
      </c>
      <c r="G87" s="98" t="n">
        <v>78</v>
      </c>
      <c r="H87" s="98" t="n">
        <v>82</v>
      </c>
      <c r="I87" s="98" t="n">
        <v>88</v>
      </c>
      <c r="J87" s="98" t="n">
        <v>93</v>
      </c>
      <c r="K87" s="98" t="n">
        <v>99</v>
      </c>
      <c r="L87" s="98" t="n">
        <v>105</v>
      </c>
      <c r="M87" s="99"/>
      <c r="N87" s="100"/>
    </row>
    <row r="88" customFormat="false" ht="14.45" hidden="false" customHeight="true" outlineLevel="0" collapsed="false">
      <c r="A88" s="69"/>
      <c r="B88" s="101" t="n">
        <v>22</v>
      </c>
      <c r="C88" s="98" t="n">
        <v>52</v>
      </c>
      <c r="D88" s="98" t="n">
        <v>58</v>
      </c>
      <c r="E88" s="98" t="n">
        <v>62</v>
      </c>
      <c r="F88" s="98" t="n">
        <v>65</v>
      </c>
      <c r="G88" s="98" t="n">
        <v>69</v>
      </c>
      <c r="H88" s="98" t="n">
        <v>74</v>
      </c>
      <c r="I88" s="98" t="n">
        <v>78</v>
      </c>
      <c r="J88" s="98" t="n">
        <v>83</v>
      </c>
      <c r="K88" s="98" t="n">
        <v>89</v>
      </c>
      <c r="L88" s="98" t="n">
        <v>94</v>
      </c>
      <c r="M88" s="99"/>
      <c r="N88" s="100"/>
    </row>
    <row r="89" customFormat="false" ht="14.45" hidden="false" customHeight="true" outlineLevel="0" collapsed="false">
      <c r="A89" s="69"/>
      <c r="B89" s="104" t="n">
        <v>24</v>
      </c>
      <c r="C89" s="98" t="n">
        <v>46</v>
      </c>
      <c r="D89" s="98" t="n">
        <v>51</v>
      </c>
      <c r="E89" s="98" t="n">
        <v>54</v>
      </c>
      <c r="F89" s="98" t="n">
        <v>58</v>
      </c>
      <c r="G89" s="98" t="n">
        <v>61</v>
      </c>
      <c r="H89" s="98" t="n">
        <v>65</v>
      </c>
      <c r="I89" s="98" t="n">
        <v>69</v>
      </c>
      <c r="J89" s="98" t="n">
        <v>73</v>
      </c>
      <c r="K89" s="98" t="n">
        <v>78</v>
      </c>
      <c r="L89" s="98" t="n">
        <v>83</v>
      </c>
      <c r="M89" s="99"/>
      <c r="N89" s="100"/>
    </row>
    <row r="90" customFormat="false" ht="14.45" hidden="false" customHeight="true" outlineLevel="0" collapsed="false">
      <c r="A90" s="69"/>
      <c r="B90" s="97" t="n">
        <v>15</v>
      </c>
      <c r="C90" s="98" t="n">
        <v>62</v>
      </c>
      <c r="D90" s="98" t="n">
        <v>68</v>
      </c>
      <c r="E90" s="98" t="n">
        <v>72</v>
      </c>
      <c r="F90" s="98" t="n">
        <v>76</v>
      </c>
      <c r="G90" s="98" t="n">
        <v>79</v>
      </c>
      <c r="H90" s="98" t="n">
        <v>84</v>
      </c>
      <c r="I90" s="98" t="n">
        <v>88</v>
      </c>
      <c r="J90" s="98" t="n">
        <v>92</v>
      </c>
      <c r="K90" s="98" t="n">
        <v>98</v>
      </c>
      <c r="L90" s="98" t="n">
        <v>103</v>
      </c>
      <c r="M90" s="105" t="s">
        <v>108</v>
      </c>
      <c r="N90" s="106" t="s">
        <v>109</v>
      </c>
    </row>
    <row r="91" customFormat="false" ht="14.45" hidden="false" customHeight="true" outlineLevel="0" collapsed="false">
      <c r="A91" s="69"/>
      <c r="B91" s="107" t="n">
        <v>18</v>
      </c>
      <c r="C91" s="98" t="n">
        <v>54</v>
      </c>
      <c r="D91" s="98" t="n">
        <v>60</v>
      </c>
      <c r="E91" s="98" t="n">
        <v>63</v>
      </c>
      <c r="F91" s="98" t="n">
        <v>66</v>
      </c>
      <c r="G91" s="98" t="n">
        <v>70</v>
      </c>
      <c r="H91" s="98" t="n">
        <v>73</v>
      </c>
      <c r="I91" s="98" t="n">
        <v>77</v>
      </c>
      <c r="J91" s="98" t="n">
        <v>81</v>
      </c>
      <c r="K91" s="108" t="n">
        <v>86</v>
      </c>
      <c r="L91" s="98" t="n">
        <v>90</v>
      </c>
      <c r="M91" s="105"/>
      <c r="N91" s="106"/>
    </row>
    <row r="92" customFormat="false" ht="14.45" hidden="false" customHeight="true" outlineLevel="0" collapsed="false">
      <c r="A92" s="69"/>
      <c r="B92" s="107" t="n">
        <v>20</v>
      </c>
      <c r="C92" s="98" t="n">
        <v>49</v>
      </c>
      <c r="D92" s="98" t="n">
        <v>54</v>
      </c>
      <c r="E92" s="98" t="n">
        <v>57</v>
      </c>
      <c r="F92" s="98" t="n">
        <v>60</v>
      </c>
      <c r="G92" s="98" t="n">
        <v>63</v>
      </c>
      <c r="H92" s="98" t="n">
        <v>66</v>
      </c>
      <c r="I92" s="98" t="n">
        <v>70</v>
      </c>
      <c r="J92" s="98" t="n">
        <v>73</v>
      </c>
      <c r="K92" s="98" t="n">
        <v>78</v>
      </c>
      <c r="L92" s="108" t="n">
        <v>82</v>
      </c>
      <c r="M92" s="105"/>
      <c r="N92" s="106"/>
    </row>
    <row r="93" customFormat="false" ht="14.45" hidden="false" customHeight="true" outlineLevel="0" collapsed="false">
      <c r="A93" s="69"/>
      <c r="B93" s="101" t="n">
        <v>22</v>
      </c>
      <c r="C93" s="98" t="n">
        <v>44</v>
      </c>
      <c r="D93" s="98" t="n">
        <v>49</v>
      </c>
      <c r="E93" s="98" t="n">
        <v>51</v>
      </c>
      <c r="F93" s="98" t="n">
        <v>54</v>
      </c>
      <c r="G93" s="98" t="n">
        <v>56</v>
      </c>
      <c r="H93" s="98" t="n">
        <v>59</v>
      </c>
      <c r="I93" s="98" t="n">
        <v>62</v>
      </c>
      <c r="J93" s="98" t="n">
        <v>66</v>
      </c>
      <c r="K93" s="98" t="n">
        <v>69</v>
      </c>
      <c r="L93" s="98" t="n">
        <v>73</v>
      </c>
      <c r="M93" s="105"/>
      <c r="N93" s="106"/>
    </row>
    <row r="94" customFormat="false" ht="14.45" hidden="false" customHeight="true" outlineLevel="0" collapsed="false">
      <c r="A94" s="69"/>
      <c r="B94" s="102" t="n">
        <v>24</v>
      </c>
      <c r="C94" s="98" t="n">
        <v>39</v>
      </c>
      <c r="D94" s="98" t="n">
        <v>43</v>
      </c>
      <c r="E94" s="98" t="n">
        <v>45</v>
      </c>
      <c r="F94" s="98" t="n">
        <v>47</v>
      </c>
      <c r="G94" s="98" t="n">
        <v>50</v>
      </c>
      <c r="H94" s="98" t="n">
        <v>52</v>
      </c>
      <c r="I94" s="98" t="n">
        <v>55</v>
      </c>
      <c r="J94" s="98" t="n">
        <v>58</v>
      </c>
      <c r="K94" s="98" t="n">
        <v>61</v>
      </c>
      <c r="L94" s="98" t="n">
        <v>64</v>
      </c>
      <c r="M94" s="105"/>
      <c r="N94" s="106"/>
    </row>
    <row r="95" customFormat="false" ht="14.45" hidden="false" customHeight="true" outlineLevel="0" collapsed="false">
      <c r="A95" s="69"/>
      <c r="B95" s="103" t="n">
        <v>15</v>
      </c>
      <c r="C95" s="98" t="n">
        <v>54</v>
      </c>
      <c r="D95" s="98" t="n">
        <v>59</v>
      </c>
      <c r="E95" s="98" t="n">
        <v>61</v>
      </c>
      <c r="F95" s="98" t="n">
        <v>64</v>
      </c>
      <c r="G95" s="98" t="n">
        <v>67</v>
      </c>
      <c r="H95" s="98" t="n">
        <v>70</v>
      </c>
      <c r="I95" s="98" t="n">
        <v>73</v>
      </c>
      <c r="J95" s="98" t="n">
        <v>77</v>
      </c>
      <c r="K95" s="98" t="n">
        <v>80</v>
      </c>
      <c r="L95" s="98" t="n">
        <v>84</v>
      </c>
      <c r="M95" s="109" t="s">
        <v>110</v>
      </c>
      <c r="N95" s="110" t="s">
        <v>111</v>
      </c>
    </row>
    <row r="96" customFormat="false" ht="14.45" hidden="false" customHeight="true" outlineLevel="0" collapsed="false">
      <c r="A96" s="69"/>
      <c r="B96" s="101" t="n">
        <v>18</v>
      </c>
      <c r="C96" s="98" t="n">
        <v>47</v>
      </c>
      <c r="D96" s="98" t="n">
        <v>52</v>
      </c>
      <c r="E96" s="98" t="n">
        <v>54</v>
      </c>
      <c r="F96" s="98" t="n">
        <v>56</v>
      </c>
      <c r="G96" s="98" t="n">
        <v>59</v>
      </c>
      <c r="H96" s="98" t="n">
        <v>62</v>
      </c>
      <c r="I96" s="98" t="n">
        <v>64</v>
      </c>
      <c r="J96" s="98" t="n">
        <v>67</v>
      </c>
      <c r="K96" s="98" t="n">
        <v>70</v>
      </c>
      <c r="L96" s="98" t="n">
        <v>73</v>
      </c>
      <c r="M96" s="109"/>
      <c r="N96" s="110"/>
    </row>
    <row r="97" customFormat="false" ht="14.45" hidden="false" customHeight="true" outlineLevel="0" collapsed="false">
      <c r="A97" s="69"/>
      <c r="B97" s="101" t="n">
        <v>20</v>
      </c>
      <c r="C97" s="98" t="n">
        <v>43</v>
      </c>
      <c r="D97" s="98" t="n">
        <v>47</v>
      </c>
      <c r="E97" s="98" t="n">
        <v>49</v>
      </c>
      <c r="F97" s="98" t="n">
        <v>51</v>
      </c>
      <c r="G97" s="98" t="n">
        <v>53</v>
      </c>
      <c r="H97" s="98" t="n">
        <v>56</v>
      </c>
      <c r="I97" s="98" t="n">
        <v>58</v>
      </c>
      <c r="J97" s="98" t="n">
        <v>61</v>
      </c>
      <c r="K97" s="98" t="n">
        <v>64</v>
      </c>
      <c r="L97" s="98" t="n">
        <v>67</v>
      </c>
      <c r="M97" s="109"/>
      <c r="N97" s="110"/>
    </row>
    <row r="98" customFormat="false" ht="14.45" hidden="false" customHeight="true" outlineLevel="0" collapsed="false">
      <c r="A98" s="69"/>
      <c r="B98" s="101" t="n">
        <v>22</v>
      </c>
      <c r="C98" s="98" t="n">
        <v>38</v>
      </c>
      <c r="D98" s="98" t="n">
        <v>42</v>
      </c>
      <c r="E98" s="98" t="n">
        <v>44</v>
      </c>
      <c r="F98" s="98" t="n">
        <v>46</v>
      </c>
      <c r="G98" s="98" t="n">
        <v>48</v>
      </c>
      <c r="H98" s="98" t="n">
        <v>50</v>
      </c>
      <c r="I98" s="98" t="n">
        <v>52</v>
      </c>
      <c r="J98" s="98" t="n">
        <v>55</v>
      </c>
      <c r="K98" s="98" t="n">
        <v>57</v>
      </c>
      <c r="L98" s="98" t="n">
        <v>60</v>
      </c>
      <c r="M98" s="109"/>
      <c r="N98" s="110"/>
    </row>
    <row r="99" customFormat="false" ht="14.45" hidden="false" customHeight="true" outlineLevel="0" collapsed="false">
      <c r="A99" s="69"/>
      <c r="B99" s="102" t="n">
        <v>24</v>
      </c>
      <c r="C99" s="98" t="n">
        <v>34</v>
      </c>
      <c r="D99" s="98" t="n">
        <v>37</v>
      </c>
      <c r="E99" s="98" t="n">
        <v>39</v>
      </c>
      <c r="F99" s="98" t="n">
        <v>40</v>
      </c>
      <c r="G99" s="98" t="n">
        <v>42</v>
      </c>
      <c r="H99" s="98" t="n">
        <v>44</v>
      </c>
      <c r="I99" s="98" t="n">
        <v>46</v>
      </c>
      <c r="J99" s="98" t="n">
        <v>48</v>
      </c>
      <c r="K99" s="98" t="n">
        <v>50</v>
      </c>
      <c r="L99" s="98" t="n">
        <v>53</v>
      </c>
      <c r="M99" s="109"/>
      <c r="N99" s="110"/>
    </row>
    <row r="100" customFormat="false" ht="14.45" hidden="false" customHeight="true" outlineLevel="0" collapsed="false">
      <c r="A100" s="69"/>
    </row>
    <row r="101" customFormat="false" ht="14.45" hidden="false" customHeight="true" outlineLevel="0" collapsed="false">
      <c r="A101" s="6"/>
      <c r="B101" s="5" t="s">
        <v>112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111"/>
      <c r="Q101" s="13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AKA101" s="112"/>
      <c r="AKB101" s="112"/>
      <c r="AKC101" s="112"/>
      <c r="AKD101" s="112"/>
      <c r="AKE101" s="112"/>
      <c r="AKF101" s="112"/>
      <c r="AKG101" s="112"/>
      <c r="AKH101" s="112"/>
      <c r="AKI101" s="112"/>
      <c r="AKJ101" s="112"/>
      <c r="AKK101" s="112"/>
      <c r="AKL101" s="112"/>
      <c r="AKM101" s="112"/>
      <c r="AKN101" s="112"/>
      <c r="AKO101" s="112"/>
      <c r="AKP101" s="112"/>
      <c r="AKQ101" s="112"/>
      <c r="AKR101" s="112"/>
      <c r="AKS101" s="112"/>
      <c r="AKT101" s="112"/>
      <c r="AKU101" s="112"/>
      <c r="AKV101" s="112"/>
      <c r="AKW101" s="112"/>
      <c r="AKX101" s="112"/>
      <c r="AKY101" s="112"/>
      <c r="AKZ101" s="112"/>
      <c r="ALA101" s="112"/>
      <c r="ALB101" s="112"/>
      <c r="ALC101" s="112"/>
      <c r="ALD101" s="112"/>
      <c r="ALE101" s="112"/>
      <c r="ALF101" s="112"/>
      <c r="ALG101" s="112"/>
      <c r="ALH101" s="112"/>
      <c r="ALI101" s="112"/>
      <c r="ALJ101" s="112"/>
      <c r="ALK101" s="112"/>
      <c r="ALL101" s="112"/>
      <c r="ALM101" s="112"/>
      <c r="ALN101" s="112"/>
      <c r="ALO101" s="112"/>
      <c r="ALP101" s="112"/>
      <c r="ALQ101" s="112"/>
      <c r="ALR101" s="112"/>
      <c r="ALS101" s="112"/>
      <c r="ALT101" s="112"/>
      <c r="ALU101" s="112"/>
      <c r="ALV101" s="112"/>
      <c r="ALW101" s="112"/>
      <c r="ALX101" s="112"/>
      <c r="ALY101" s="112"/>
      <c r="ALZ101" s="112"/>
      <c r="AMA101" s="112"/>
      <c r="AMB101" s="112"/>
      <c r="AMC101" s="112"/>
      <c r="AMD101" s="112"/>
      <c r="AME101" s="112"/>
      <c r="AMF101" s="112"/>
      <c r="AMG101" s="112"/>
      <c r="AMH101" s="112"/>
      <c r="AMI101" s="112"/>
      <c r="AMJ101" s="112"/>
    </row>
    <row r="102" customFormat="false" ht="14.45" hidden="false" customHeight="true" outlineLevel="0" collapsed="false">
      <c r="A102" s="6"/>
      <c r="B102" s="5" t="s">
        <v>113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113"/>
      <c r="Q102" s="18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AKA102" s="114"/>
      <c r="AKB102" s="114"/>
      <c r="AKC102" s="114"/>
      <c r="AKD102" s="114"/>
      <c r="AKE102" s="114"/>
      <c r="AKF102" s="114"/>
      <c r="AKG102" s="114"/>
      <c r="AKH102" s="114"/>
      <c r="AKI102" s="114"/>
      <c r="AKJ102" s="114"/>
      <c r="AKK102" s="114"/>
      <c r="AKL102" s="114"/>
      <c r="AKM102" s="114"/>
      <c r="AKN102" s="114"/>
      <c r="AKO102" s="114"/>
      <c r="AKP102" s="114"/>
      <c r="AKQ102" s="114"/>
      <c r="AKR102" s="114"/>
      <c r="AKS102" s="114"/>
      <c r="AKT102" s="114"/>
      <c r="AKU102" s="114"/>
      <c r="AKV102" s="114"/>
      <c r="AKW102" s="114"/>
      <c r="AKX102" s="114"/>
      <c r="AKY102" s="114"/>
      <c r="AKZ102" s="114"/>
      <c r="ALA102" s="114"/>
      <c r="ALB102" s="114"/>
      <c r="ALC102" s="114"/>
      <c r="ALD102" s="114"/>
      <c r="ALE102" s="114"/>
      <c r="ALF102" s="114"/>
      <c r="ALG102" s="114"/>
      <c r="ALH102" s="114"/>
      <c r="ALI102" s="114"/>
      <c r="ALJ102" s="114"/>
      <c r="ALK102" s="114"/>
      <c r="ALL102" s="114"/>
      <c r="ALM102" s="114"/>
      <c r="ALN102" s="114"/>
      <c r="ALO102" s="114"/>
      <c r="ALP102" s="114"/>
      <c r="ALQ102" s="114"/>
      <c r="ALR102" s="114"/>
      <c r="ALS102" s="114"/>
      <c r="ALT102" s="114"/>
      <c r="ALU102" s="114"/>
      <c r="ALV102" s="114"/>
      <c r="ALW102" s="114"/>
      <c r="ALX102" s="114"/>
      <c r="ALY102" s="114"/>
      <c r="ALZ102" s="114"/>
      <c r="AMA102" s="114"/>
      <c r="AMB102" s="114"/>
      <c r="AMC102" s="114"/>
      <c r="AMD102" s="114"/>
      <c r="AME102" s="114"/>
      <c r="AMF102" s="114"/>
      <c r="AMG102" s="114"/>
      <c r="AMH102" s="114"/>
      <c r="AMI102" s="114"/>
      <c r="AMJ102" s="114"/>
    </row>
    <row r="103" customFormat="false" ht="14.45" hidden="false" customHeight="true" outlineLevel="0" collapsed="false">
      <c r="A103" s="6"/>
      <c r="B103" s="5" t="s">
        <v>114</v>
      </c>
      <c r="C103" s="6"/>
      <c r="D103" s="6"/>
      <c r="E103" s="6"/>
      <c r="F103" s="111"/>
      <c r="G103" s="111"/>
      <c r="H103" s="111"/>
      <c r="I103" s="111"/>
      <c r="J103" s="111"/>
      <c r="K103" s="111"/>
      <c r="L103" s="111"/>
      <c r="M103" s="111"/>
      <c r="N103" s="113"/>
      <c r="O103" s="113"/>
      <c r="P103" s="113"/>
      <c r="Q103" s="18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AKA103" s="114"/>
      <c r="AKB103" s="114"/>
      <c r="AKC103" s="114"/>
      <c r="AKD103" s="114"/>
      <c r="AKE103" s="114"/>
      <c r="AKF103" s="114"/>
      <c r="AKG103" s="114"/>
      <c r="AKH103" s="114"/>
      <c r="AKI103" s="114"/>
      <c r="AKJ103" s="114"/>
      <c r="AKK103" s="114"/>
      <c r="AKL103" s="114"/>
      <c r="AKM103" s="114"/>
      <c r="AKN103" s="114"/>
      <c r="AKO103" s="114"/>
      <c r="AKP103" s="114"/>
      <c r="AKQ103" s="114"/>
      <c r="AKR103" s="114"/>
      <c r="AKS103" s="114"/>
      <c r="AKT103" s="114"/>
      <c r="AKU103" s="114"/>
      <c r="AKV103" s="114"/>
      <c r="AKW103" s="114"/>
      <c r="AKX103" s="114"/>
      <c r="AKY103" s="114"/>
      <c r="AKZ103" s="114"/>
      <c r="ALA103" s="114"/>
      <c r="ALB103" s="114"/>
      <c r="ALC103" s="114"/>
      <c r="ALD103" s="114"/>
      <c r="ALE103" s="114"/>
      <c r="ALF103" s="114"/>
      <c r="ALG103" s="114"/>
      <c r="ALH103" s="114"/>
      <c r="ALI103" s="114"/>
      <c r="ALJ103" s="114"/>
      <c r="ALK103" s="114"/>
      <c r="ALL103" s="114"/>
      <c r="ALM103" s="114"/>
      <c r="ALN103" s="114"/>
      <c r="ALO103" s="114"/>
      <c r="ALP103" s="114"/>
      <c r="ALQ103" s="114"/>
      <c r="ALR103" s="114"/>
      <c r="ALS103" s="114"/>
      <c r="ALT103" s="114"/>
      <c r="ALU103" s="114"/>
      <c r="ALV103" s="114"/>
      <c r="ALW103" s="114"/>
      <c r="ALX103" s="114"/>
      <c r="ALY103" s="114"/>
      <c r="ALZ103" s="114"/>
      <c r="AMA103" s="114"/>
      <c r="AMB103" s="114"/>
      <c r="AMC103" s="114"/>
      <c r="AMD103" s="114"/>
      <c r="AME103" s="114"/>
      <c r="AMF103" s="114"/>
      <c r="AMG103" s="114"/>
      <c r="AMH103" s="114"/>
      <c r="AMI103" s="114"/>
      <c r="AMJ103" s="114"/>
    </row>
    <row r="104" customFormat="false" ht="14.45" hidden="false" customHeight="true" outlineLevel="0" collapsed="false">
      <c r="B104" s="115" t="s">
        <v>115</v>
      </c>
      <c r="C104" s="115"/>
      <c r="D104" s="115"/>
      <c r="E104" s="115"/>
    </row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8">
    <mergeCell ref="B1:O1"/>
    <mergeCell ref="D22:I22"/>
    <mergeCell ref="C77:L77"/>
    <mergeCell ref="M77:N77"/>
    <mergeCell ref="C78:L78"/>
    <mergeCell ref="M78:N78"/>
    <mergeCell ref="M79:N79"/>
    <mergeCell ref="M80:M84"/>
    <mergeCell ref="N80:N84"/>
    <mergeCell ref="M85:M89"/>
    <mergeCell ref="N85:N89"/>
    <mergeCell ref="M90:M94"/>
    <mergeCell ref="N90:N94"/>
    <mergeCell ref="M95:M99"/>
    <mergeCell ref="N95:N99"/>
    <mergeCell ref="B101:O101"/>
    <mergeCell ref="B102:O102"/>
    <mergeCell ref="B104:E104"/>
  </mergeCells>
  <conditionalFormatting sqref="C76">
    <cfRule type="cellIs" priority="2" operator="greaterThanOrEqual" aboveAverage="0" equalAverage="0" bottom="0" percent="0" rank="0" text="" dxfId="0">
      <formula>$E$7</formula>
    </cfRule>
  </conditionalFormatting>
  <conditionalFormatting sqref="C75">
    <cfRule type="cellIs" priority="3" operator="greaterThanOrEqual" aboveAverage="0" equalAverage="0" bottom="0" percent="0" rank="0" text="" dxfId="1">
      <formula>60</formula>
    </cfRule>
  </conditionalFormatting>
  <hyperlinks>
    <hyperlink ref="O5" r:id="rId1" display="https://www.dwd.de/DE/leistungen/klimadatendeutschland/mittelwerte/temp_8110_fest_html.html?view=nasPublication&amp;nn=16102"/>
    <hyperlink ref="O10" r:id="rId2" display="https://www.dwd.de/DE/leistungen/solarenergie/lstrahlungskarten_mi.html"/>
    <hyperlink ref="D74" r:id="rId3" display="[90]"/>
  </hyperlinks>
  <printOptions headings="false" gridLines="true" gridLinesSet="true" horizontalCentered="false" verticalCentered="false"/>
  <pageMargins left="0.7875" right="0.7875" top="1.16388888888889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&amp;L&amp;"Arial,Fett"&amp;20Berechnungen zu Standardhaus und Varianten</oddHeader>
    <oddFooter>&amp;R&amp;D &amp;T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2018-09-20T11:12:18Z</dcterms:created>
  <dc:creator/>
  <dc:description/>
  <dc:language>de-DE</dc:language>
  <cp:lastModifiedBy/>
  <cp:lastPrinted>2020-07-04T10:57:22Z</cp:lastPrinted>
  <dcterms:modified xsi:type="dcterms:W3CDTF">2023-07-08T15:22:13Z</dcterms:modified>
  <cp:revision>123</cp:revision>
  <dc:subject/>
  <dc:title/>
</cp:coreProperties>
</file>