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" sheetId="1" state="visible" r:id="rId2"/>
    <sheet name="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<sst xmlns="http://schemas.openxmlformats.org/spreadsheetml/2006/main" count="787" uniqueCount="368">
  <si>
    <t xml:space="preserve">Eingabe der Parameter: blaue Felder rechts</t>
  </si>
  <si>
    <t xml:space="preserve"> </t>
  </si>
  <si>
    <t xml:space="preserve">Ergebnisse:</t>
  </si>
  <si>
    <t xml:space="preserve">Tag</t>
  </si>
  <si>
    <t xml:space="preserve">Datum</t>
  </si>
  <si>
    <t xml:space="preserve">Endenergie (EE)-Verbrauch  für Heizung &amp; Warmwasser</t>
  </si>
  <si>
    <t xml:space="preserve">Endenergie Direktbezug aus Kollektoren, am Saisonspeicher vorbei</t>
  </si>
  <si>
    <t xml:space="preserve">beim Verbraucher verfügbare EE aus innerstädtischen Kollektoren</t>
  </si>
  <si>
    <t xml:space="preserve">beim Verbraucher verfügbare EE aus  externen   Kollektoren</t>
  </si>
  <si>
    <t xml:space="preserve">sofort verbrauchter Anteil des innerstädtischen Kollektorgewinns </t>
  </si>
  <si>
    <t xml:space="preserve">sofort verbrauchter Anteil des externen Kollektorgewinns, als Fernwärme </t>
  </si>
  <si>
    <t xml:space="preserve">am Saisonspeicher verfügbare Wärme aus innerstädtischen Kollektoren</t>
  </si>
  <si>
    <t xml:space="preserve">am Saisonspeicher verfügbare Wärme aus externen Kollektoren</t>
  </si>
  <si>
    <t xml:space="preserve">Deckungsgrad, allein aus innerstädtischen Kollektoren</t>
  </si>
  <si>
    <t xml:space="preserve">Fernwärmebezug aus externem Kollektorfeld</t>
  </si>
  <si>
    <t xml:space="preserve">Fernwärmebezug aus Saisonspeicher</t>
  </si>
  <si>
    <t xml:space="preserve">Saisonspeicherbelastung</t>
  </si>
  <si>
    <t xml:space="preserve">Fernwärmebezug</t>
  </si>
  <si>
    <t xml:space="preserve">Speicher laden</t>
  </si>
  <si>
    <t xml:space="preserve">Speicher-inhalt</t>
  </si>
  <si>
    <t xml:space="preserve">Speichertemperatur</t>
  </si>
  <si>
    <t xml:space="preserve">Maximal Minimal Temperatur im Saisonspeicher:   Jahr1 Jahr2</t>
  </si>
  <si>
    <t xml:space="preserve">Größe</t>
  </si>
  <si>
    <t xml:space="preserve">Wert</t>
  </si>
  <si>
    <t xml:space="preserve">Einheit</t>
  </si>
  <si>
    <t xml:space="preserve">Quelle/Bemerkung</t>
  </si>
  <si>
    <t xml:space="preserve">kWh/d/Kopf</t>
  </si>
  <si>
    <t xml:space="preserve">%</t>
  </si>
  <si>
    <t xml:space="preserve">kWh/Kopf</t>
  </si>
  <si>
    <t xml:space="preserve">°C</t>
  </si>
  <si>
    <t xml:space="preserve">Eingaben:</t>
  </si>
  <si>
    <t xml:space="preserve">Bevölkerung</t>
  </si>
  <si>
    <t xml:space="preserve">Personen</t>
  </si>
  <si>
    <t xml:space="preserve">https://de.wikipedia.org/wiki/Berlin</t>
  </si>
  <si>
    <t xml:space="preserve">benötigte Endenergie für Heizung+Warmwasser(WW), sanierte Gebäude</t>
  </si>
  <si>
    <t xml:space="preserve">kWh/a/m²</t>
  </si>
  <si>
    <t xml:space="preserve">https://heliogaia.de/Heizspiegel-fuer-Deutschland-2018.pdf</t>
  </si>
  <si>
    <t xml:space="preserve">aus Quelle übernommen</t>
  </si>
  <si>
    <t xml:space="preserve">komplett mit Wärme versorgte Geschossfläche pro Kopf (Wohnung &amp; Gewerbe)</t>
  </si>
  <si>
    <t xml:space="preserve">m²</t>
  </si>
  <si>
    <t xml:space="preserve">errechnet aus Tabellenblatt t dieser Datei</t>
  </si>
  <si>
    <t xml:space="preserve">Die Zahl kann nach Erfordernis ausgetauscht werden</t>
  </si>
  <si>
    <t xml:space="preserve">innerstädtische Dach- und Fassadenflächen für Kollektoren pro Kopf</t>
  </si>
  <si>
    <t xml:space="preserve">m²/Kopf</t>
  </si>
  <si>
    <t xml:space="preserve">https://heliogaia.de/Solare_Flächenpotenziale_Berlin_k806.pdf</t>
  </si>
  <si>
    <t xml:space="preserve">S. 6; Jahr: 2008</t>
  </si>
  <si>
    <t xml:space="preserve">dazu die mögliche Ausnutzung dieser innerstädtischen Flächen für Kollektoren</t>
  </si>
  <si>
    <t xml:space="preserve">gesetzt, Ränder und Zwischenräume </t>
  </si>
  <si>
    <t xml:space="preserve">Preis</t>
  </si>
  <si>
    <t xml:space="preserve">außerhalb zusätzlich nötige Brutto-Kollektorfläche (ohne Aufstellungsumgebung)</t>
  </si>
  <si>
    <t xml:space="preserve">gesetzt</t>
  </si>
  <si>
    <t xml:space="preserve">Globalstrahlung im Dezember, langjähriges Mittel, Berlin </t>
  </si>
  <si>
    <t xml:space="preserve">kWh/m²</t>
  </si>
  <si>
    <t xml:space="preserve">https://www.dwd.de/DE/leistungen/solarenergie/strahlungskarten_sum.html?nn=16102</t>
  </si>
  <si>
    <t xml:space="preserve">€/a/Kopf</t>
  </si>
  <si>
    <t xml:space="preserve">Globalstrahlung im Juni, langjähriges Mittel, Berlin </t>
  </si>
  <si>
    <t xml:space="preserve">bzw.</t>
  </si>
  <si>
    <t xml:space="preserve">Jahresertrag der Röhrenkollektoren, Würzburg bei T=75°C: Ritter CPC XL 1921</t>
  </si>
  <si>
    <t xml:space="preserve">http://www.solarkeymark.nl/DBF/PDF_Downloads/DS_47.pdf</t>
  </si>
  <si>
    <t xml:space="preserve">Referenz ist Globalstrahlung in Würzbug: 1244 kWh/m²/a</t>
  </si>
  <si>
    <t xml:space="preserve">Effizienznachlass der Kollektoren im langjährigen Praxisbetrieb auf</t>
  </si>
  <si>
    <t xml:space="preserve">Transport- und Verschattungsverluste im außerstädtischen Kollektorfeld </t>
  </si>
  <si>
    <t xml:space="preserve">gesetzt (7+4)%</t>
  </si>
  <si>
    <t xml:space="preserve">Fremdenergie:</t>
  </si>
  <si>
    <t xml:space="preserve">Transportverluste beim Speicher-Laden aus innerstädtischen Kollektoren</t>
  </si>
  <si>
    <r>
      <rPr>
        <sz val="8"/>
        <color rgb="FF0000FF"/>
        <rFont val="Liberation Sans Narrow"/>
        <family val="2"/>
      </rPr>
      <t xml:space="preserve">https://irp.cdn-website.com/d00f2507/files/uploaded/RisikenUndWirtschaftlichkeitVonNWP.pdf</t>
    </r>
    <r>
      <rPr>
        <sz val="8"/>
        <rFont val="Liberation Sans Narrow"/>
        <family val="2"/>
      </rPr>
      <t xml:space="preserve">; S. 10f</t>
    </r>
  </si>
  <si>
    <t xml:space="preserve">Transportverluste Fernheizung</t>
  </si>
  <si>
    <t xml:space="preserve">Speicher Starttemperatur</t>
  </si>
  <si>
    <t xml:space="preserve">Speichertiefe</t>
  </si>
  <si>
    <t xml:space="preserve">m</t>
  </si>
  <si>
    <t xml:space="preserve">gesetzt, muss angepasst werden an geologische Gegebenheiten</t>
  </si>
  <si>
    <t xml:space="preserve">Speicherdurchmesser</t>
  </si>
  <si>
    <t xml:space="preserve">errechnet aus Zahlen dieser Datei</t>
  </si>
  <si>
    <t xml:space="preserve">ext. Kollektorfeld</t>
  </si>
  <si>
    <t xml:space="preserve">Speicherverluste pro Jahr</t>
  </si>
  <si>
    <t xml:space="preserve">gesetzt, vergleiche t. F116:</t>
  </si>
  <si>
    <t xml:space="preserve">Wärmespeicherzahl für Erdboden</t>
  </si>
  <si>
    <t xml:space="preserve">kWh/m³/K</t>
  </si>
  <si>
    <t xml:space="preserve">https://heliogaia.de/Geothermisches_Potenzial_spezifische_Wärmeleitfähigkeit_und_spezifische_Entzugsleistung_Berlin_k218.pdf</t>
  </si>
  <si>
    <t xml:space="preserve">eingesetzt, entspricht 2200 kJ/m³/K</t>
  </si>
  <si>
    <t xml:space="preserve">Seite in km</t>
  </si>
  <si>
    <t xml:space="preserve">daraus berechnet:</t>
  </si>
  <si>
    <t xml:space="preserve">Jahresmittelwert der täglichen Globalstrahlung</t>
  </si>
  <si>
    <t xml:space="preserve">kWh/m²/d</t>
  </si>
  <si>
    <t xml:space="preserve">Variation der täglichen Globalstrahlung um dieses Mittel im Jahreslauf:         ±</t>
  </si>
  <si>
    <t xml:space="preserve">Gesamt-Wirkungsgrad der Kollektoren</t>
  </si>
  <si>
    <t xml:space="preserve">Endenergie-Tagesverbrauch für Wärme pro Person, Jahresdurchschnitt</t>
  </si>
  <si>
    <t xml:space="preserve">Speicherdeckfläche pro  Person</t>
  </si>
  <si>
    <t xml:space="preserve">Kapazität im Saisonalspeicher pro Kelvin und Person</t>
  </si>
  <si>
    <t xml:space="preserve">kWh/K/Kopf</t>
  </si>
  <si>
    <t xml:space="preserve">Globalstrahlung in einem Jahr, langjähriges Mittel, Berlin </t>
  </si>
  <si>
    <t xml:space="preserve">kWh/Kopf/a</t>
  </si>
  <si>
    <t xml:space="preserve">Jahressumme</t>
  </si>
  <si>
    <t xml:space="preserve">Direktverbrauch</t>
  </si>
  <si>
    <t xml:space="preserve">Szenario für Berlin</t>
  </si>
  <si>
    <t xml:space="preserve">Ort</t>
  </si>
  <si>
    <t xml:space="preserve">Status</t>
  </si>
  <si>
    <t xml:space="preserve">Einwohner</t>
  </si>
  <si>
    <t xml:space="preserve">Fläche</t>
  </si>
  <si>
    <t xml:space="preserve">nach Sanierung benötigte Wärme</t>
  </si>
  <si>
    <t xml:space="preserve">km²</t>
  </si>
  <si>
    <t xml:space="preserve">kWh/a</t>
  </si>
  <si>
    <t xml:space="preserve">TWh/a</t>
  </si>
  <si>
    <t xml:space="preserve">Berlin</t>
  </si>
  <si>
    <t xml:space="preserve">Stadtstaat</t>
  </si>
  <si>
    <t xml:space="preserve">Merkmale:</t>
  </si>
  <si>
    <t xml:space="preserve">Haupt- und Unterverteilungsleitungen; Kollektoren mit Pufferspeicher soweit möglich innerhalb der Stadt, dadurch großer Anteil an Direktbeheizung; Volldeckung der Wärmelast für sanierte Gebäude (80 kWh/a/m²), ansonsten Teildeckung und zur Unterstützung BHKW; Heizperiode sind 180 Tage</t>
  </si>
  <si>
    <t xml:space="preserve">x= nicht verwendet</t>
  </si>
  <si>
    <t xml:space="preserve">Abschreibung in a</t>
  </si>
  <si>
    <t xml:space="preserve">Quelle/ Bemerkung</t>
  </si>
  <si>
    <t xml:space="preserve">Bemerkungen/ Zusätze</t>
  </si>
  <si>
    <t xml:space="preserve">Parametereingabe</t>
  </si>
  <si>
    <t xml:space="preserve">Eingabefelder blau</t>
  </si>
  <si>
    <t xml:space="preserve">Übernahme aus Blatt e</t>
  </si>
  <si>
    <t xml:space="preserve">außerhalb zusätzlich nötige Brutto-Kollektorfläche ohne Aufstellungsumgebung</t>
  </si>
  <si>
    <t xml:space="preserve">weitere Parameter</t>
  </si>
  <si>
    <t xml:space="preserve">Allgemein</t>
  </si>
  <si>
    <t xml:space="preserve">Fläche, Berlin</t>
  </si>
  <si>
    <r>
      <rPr>
        <sz val="8"/>
        <color rgb="FF0000FF"/>
        <rFont val="Liberation Sans Narrow"/>
        <family val="2"/>
      </rPr>
      <t xml:space="preserve">https://de.wikipedia.org/wiki/Berlin</t>
    </r>
    <r>
      <rPr>
        <sz val="8"/>
        <rFont val="Liberation Sans Narrow"/>
        <family val="2"/>
      </rPr>
      <t xml:space="preserve"> </t>
    </r>
  </si>
  <si>
    <t xml:space="preserve">durchschnittliche Wohnfläche pro Kopf</t>
  </si>
  <si>
    <r>
      <rPr>
        <sz val="6"/>
        <color rgb="FF0000FF"/>
        <rFont val="Liberation Sans Narrow"/>
        <family val="2"/>
      </rPr>
      <t xml:space="preserve">https://www.destatis.de/GPStatistik/servlets/MCRFileNodeServlet/BBHeft_derivate_00019628/SB_F01-01-00_2018j01_BE.pdf;jsessionid=676EC455F25191F2BF68B4E5394D84A0</t>
    </r>
    <r>
      <rPr>
        <sz val="6"/>
        <rFont val="Liberation Sans Narrow"/>
        <family val="2"/>
      </rPr>
      <t xml:space="preserve">; S.8</t>
    </r>
  </si>
  <si>
    <t xml:space="preserve">0_zahlen_energierelevant_BERLIN_BRD.ods</t>
  </si>
  <si>
    <t xml:space="preserve">Anteil der Nichtwohngebäude am Endenergieverbrauch</t>
  </si>
  <si>
    <t xml:space="preserve">https://heliogaia.de/9254_Gebaeudereport_dena_kompakt_2018.pdf</t>
  </si>
  <si>
    <t xml:space="preserve">Endenergie für Heizung+WW (Wohn-&amp;Nichtwohngebäude) nach Sanierung</t>
  </si>
  <si>
    <t xml:space="preserve">kWh/a/Kopf</t>
  </si>
  <si>
    <t xml:space="preserve">Wärmeverbrauch unter 100 Grad (Haushalte,Gewerbe,Industrie)pro Kopf; BRD 2017</t>
  </si>
  <si>
    <t xml:space="preserve">www.umweltbundesamt.de/sites/default/files/medien/384/bilder/dateien/3_tab_energieverbrauch-eev-sektor-waermezwecke_2018-02-14.pdf</t>
  </si>
  <si>
    <t xml:space="preserve">Datei:  0_zahlen_energierelevant_BERLIN_BRD</t>
  </si>
  <si>
    <t xml:space="preserve">Endenergie nur für Warmwasser(WW) für alle Gebäude pro Kopf</t>
  </si>
  <si>
    <t xml:space="preserve">https://www.dena.de/fileadmin/dena/Bilder/Newsroom/Meldungen/2018Q2/Grafik-dena-Gebaeudereport-kompakt-2018-Endenergiebezogener-Gebaeudeenergieverbrauch.jpg</t>
  </si>
  <si>
    <t xml:space="preserve">möglicher Anteil an direkter Beheizung, am Speicher vorbei</t>
  </si>
  <si>
    <t xml:space="preserve">Tabellenblatt e. Zelle D737</t>
  </si>
  <si>
    <t xml:space="preserve">Auslegungsleistung (Maximal nötige Heizleistung,saniert)</t>
  </si>
  <si>
    <t xml:space="preserve">kW/Kopf</t>
  </si>
  <si>
    <t xml:space="preserve">Nebenkosten der gesamten Anlage</t>
  </si>
  <si>
    <r>
      <rPr>
        <sz val="8"/>
        <color rgb="FF0000FF"/>
        <rFont val="Liberation Sans Narrow"/>
        <family val="2"/>
      </rPr>
      <t xml:space="preserve">https://www-docs.b-tu.de/fg-bauoekonomie/public/Forschung/Publikationen/Kalusche-Wolfdietrich/2016/orientierungswerte.pdf</t>
    </r>
    <r>
      <rPr>
        <sz val="8"/>
        <rFont val="Liberation Sans Narrow"/>
        <family val="2"/>
      </rPr>
      <t xml:space="preserve">; S.5</t>
    </r>
  </si>
  <si>
    <t xml:space="preserve">Kollektoren</t>
  </si>
  <si>
    <t xml:space="preserve">Globalstrahlung Würzburg,langjähriges Mittel,Standort für Kollektorvergleich,Keymark</t>
  </si>
  <si>
    <t xml:space="preserve">https://www.dwd.de/DE/leistungen/solarenergie/strahlungskarten_mvs.html?nn=16102</t>
  </si>
  <si>
    <t xml:space="preserve">Maximal mögliche tägliche Globalstrahlung</t>
  </si>
  <si>
    <t xml:space="preserve">kWh/d/m²</t>
  </si>
  <si>
    <t xml:space="preserve">Forst, Juni 2019</t>
  </si>
  <si>
    <t xml:space="preserve">Jahresertrag Röhrenkollektoren bei T=75°C: Ritter CPC XL 1921</t>
  </si>
  <si>
    <t xml:space="preserve">x</t>
  </si>
  <si>
    <t xml:space="preserve">Jahresertrag Flachkollektoren bei T=50°C: SUNEX S.A. AMP 2.</t>
  </si>
  <si>
    <t xml:space="preserve">http://www.solarkeymark.nl/DBF/PDF_Downloads/DS_1575.pdf</t>
  </si>
  <si>
    <t xml:space="preserve">Bruttopreis der eingesetzten Röhrenkollektoren: Ritter CPC XL 1921</t>
  </si>
  <si>
    <t xml:space="preserve">€/m²</t>
  </si>
  <si>
    <t xml:space="preserve">[39]</t>
  </si>
  <si>
    <r>
      <rPr>
        <sz val="8"/>
        <color rgb="FF0000FF"/>
        <rFont val="Liberation Sans Narrow"/>
        <family val="2"/>
      </rPr>
      <t xml:space="preserve">https://www.swissolar.ch/fileadmin/user_upload/Markterhebung/Marktumfrage_2017.pdf</t>
    </r>
    <r>
      <rPr>
        <sz val="8"/>
        <rFont val="Liberation Sans Narrow"/>
        <family val="2"/>
      </rPr>
      <t xml:space="preserve">; S.8 zur Lebensdauer</t>
    </r>
  </si>
  <si>
    <t xml:space="preserve">Bruttopreis der eingesetzten Flachkollektoren: SUNEX S.A. AMP 2.0</t>
  </si>
  <si>
    <t xml:space="preserve">[1]</t>
  </si>
  <si>
    <t xml:space="preserve">Anteil an Röhrenkollektoren</t>
  </si>
  <si>
    <t xml:space="preserve">Brutto/netto-Faktor, externes Kollektorfeld (Verschattung vermeiden, Wege, Ränder)</t>
  </si>
  <si>
    <t xml:space="preserve">Brutto-Kosten für Montage und Installationsmaterial Kollektorfeld</t>
  </si>
  <si>
    <r>
      <rPr>
        <sz val="8"/>
        <color rgb="FF0000FF"/>
        <rFont val="Liberation Sans Narrow"/>
        <family val="2"/>
      </rPr>
      <t xml:space="preserve">https://www.solaranlagen-portal.de/thermische-solaranlage/solarkollektor-preis.html</t>
    </r>
    <r>
      <rPr>
        <sz val="8"/>
        <rFont val="Liberation Sans Narrow"/>
        <family val="2"/>
      </rPr>
      <t xml:space="preserve">; Punkt 1.2: 3000€/16m²</t>
    </r>
  </si>
  <si>
    <t xml:space="preserve">Mengenrabatt Kollektoren und Installation</t>
  </si>
  <si>
    <t xml:space="preserve">Minderung</t>
  </si>
  <si>
    <t xml:space="preserve">Bodenrichtwert Kollektorfeld</t>
  </si>
  <si>
    <t xml:space="preserve">https://www.bodenrichtwerte-boris.de/borisde/?lang=de</t>
  </si>
  <si>
    <t xml:space="preserve">nötiger Pufferspeicher im Haus pro Person</t>
  </si>
  <si>
    <t xml:space="preserve">l/Kopf</t>
  </si>
  <si>
    <t xml:space="preserve">Preis der Pufferspeicher im Haus</t>
  </si>
  <si>
    <t xml:space="preserve">€/l</t>
  </si>
  <si>
    <t xml:space="preserve">Saisonspeicher</t>
  </si>
  <si>
    <t xml:space="preserve">Wärmeleitwert Speicherumgebung</t>
  </si>
  <si>
    <t xml:space="preserve">W/m/K</t>
  </si>
  <si>
    <t xml:space="preserve">Wärmeleitwert, trockener sandiger Füllboden</t>
  </si>
  <si>
    <t xml:space="preserve">Grundwassergeschwindigkeit an Grundwasseroberfläche</t>
  </si>
  <si>
    <t xml:space="preserve">m/d</t>
  </si>
  <si>
    <t xml:space="preserve">Grundwassergeschwindigkeit in Speicherbodentiefe</t>
  </si>
  <si>
    <t xml:space="preserve">strömungsaktives Porenvolumen bzgl. Speichervolumen</t>
  </si>
  <si>
    <r>
      <rPr>
        <sz val="8"/>
        <rFont val="Liberation Sans Narrow"/>
        <family val="2"/>
      </rPr>
      <t xml:space="preserve">hydraulische Leitfähigkeit k</t>
    </r>
    <r>
      <rPr>
        <vertAlign val="subscript"/>
        <sz val="8"/>
        <rFont val="Liberation Sans Narrow"/>
        <family val="2"/>
      </rPr>
      <t xml:space="preserve">f</t>
    </r>
    <r>
      <rPr>
        <sz val="8"/>
        <rFont val="Liberation Sans Narrow"/>
        <family val="2"/>
      </rPr>
      <t xml:space="preserve"> Speicher&amp;Umgebung</t>
    </r>
  </si>
  <si>
    <t xml:space="preserve">m/s</t>
  </si>
  <si>
    <t xml:space="preserve">diese Geschwindigkeit stellt sich ein bei 45°Grundwassergefälle</t>
  </si>
  <si>
    <t xml:space="preserve">mehrjährig gemittelte Niederschlagsmenge</t>
  </si>
  <si>
    <t xml:space="preserve">m/a</t>
  </si>
  <si>
    <t xml:space="preserve">mehrjährig gemittelte Lufttemperatur</t>
  </si>
  <si>
    <t xml:space="preserve">https://www.dwd.de/DE/leistungen/klimadatendeutschland/mittelwerte/temp_8110_fest_html.html?view=nasPublication&amp;nn=16102</t>
  </si>
  <si>
    <t xml:space="preserve">Bodentemperatur in 50m Tiefe </t>
  </si>
  <si>
    <t xml:space="preserve">Speichertemperatur Arbeitsspanne</t>
  </si>
  <si>
    <t xml:space="preserve">K</t>
  </si>
  <si>
    <t xml:space="preserve">Speichertemperatur Mittel</t>
  </si>
  <si>
    <t xml:space="preserve">Überlappung der Speicherabdeckung über den Rand</t>
  </si>
  <si>
    <t xml:space="preserve">Höhe der trockenen Füllbodenabdeckung</t>
  </si>
  <si>
    <t xml:space="preserve">Anzahl der Bohrungen;         zweimal</t>
  </si>
  <si>
    <t xml:space="preserve">Stück</t>
  </si>
  <si>
    <t xml:space="preserve">errechnet aus Tabellenblatt t dieser Datei; je eine Bohrung oben und unten im Speichergrundwasser</t>
  </si>
  <si>
    <t xml:space="preserve">Länge aller Bohrungen</t>
  </si>
  <si>
    <t xml:space="preserve">Förderleistung eines Brunnens</t>
  </si>
  <si>
    <t xml:space="preserve">m³/h</t>
  </si>
  <si>
    <r>
      <rPr>
        <sz val="8"/>
        <rFont val="Liberation Sans Narrow"/>
        <family val="2"/>
      </rPr>
      <t xml:space="preserve">gesetzt, vgl.: </t>
    </r>
    <r>
      <rPr>
        <sz val="8"/>
        <color rgb="FF0000FF"/>
        <rFont val="Liberation Sans Narrow"/>
        <family val="2"/>
      </rPr>
      <t xml:space="preserve">https://www.straelen.de/rathaus-politik/dienstleistungen/ver-und-entsorgung/wasserversorgung/</t>
    </r>
    <r>
      <rPr>
        <sz val="8"/>
        <rFont val="Liberation Sans Narrow"/>
        <family val="2"/>
      </rPr>
      <t xml:space="preserve">  ; Geschichte… 1979…</t>
    </r>
  </si>
  <si>
    <t xml:space="preserve">„1979 Bau eines Tiefenbrunnens...konnte die Förderkapazität um 150 m³/h ... erhöht werden.“</t>
  </si>
  <si>
    <t xml:space="preserve">Kosten für Aushub+Erdbewegung</t>
  </si>
  <si>
    <t xml:space="preserve">€/m³</t>
  </si>
  <si>
    <t xml:space="preserve">http://baupreise24.de/baupreise/erdarbeiten</t>
  </si>
  <si>
    <t xml:space="preserve">Kosten für Abdeckung mit 2 Folien pro m²</t>
  </si>
  <si>
    <t xml:space="preserve">1,5mm doppelt</t>
  </si>
  <si>
    <t xml:space="preserve">Kosten für Dichtwand pro m²</t>
  </si>
  <si>
    <t xml:space="preserve">H.O.Buja,Ingenieurhandbuch Bergbautechnik,Beuth Verlag GmbH 2013, S. 679</t>
  </si>
  <si>
    <r>
      <rPr>
        <sz val="8"/>
        <rFont val="Liberation Sans Narrow"/>
        <family val="2"/>
      </rPr>
      <t xml:space="preserve"> </t>
    </r>
    <r>
      <rPr>
        <sz val="8"/>
        <color rgb="FF0000FF"/>
        <rFont val="Liberation Sans Narrow"/>
        <family val="2"/>
      </rPr>
      <t xml:space="preserve">https://books.google.de/books?id=hRmYJX_u7ykC&amp;printsec=frontcover&amp;hl=de#v=onepage&amp;q&amp;f=false</t>
    </r>
  </si>
  <si>
    <t xml:space="preserve">Kosten für Bohrungen pro m</t>
  </si>
  <si>
    <t xml:space="preserve">€/m</t>
  </si>
  <si>
    <r>
      <rPr>
        <sz val="8"/>
        <color rgb="FF0000FF"/>
        <rFont val="Liberation Sans Narrow"/>
        <family val="2"/>
      </rPr>
      <t xml:space="preserve">https://www.my-hammer.de/preisradar/was-kostet-brunnen-bohren/</t>
    </r>
    <r>
      <rPr>
        <sz val="8"/>
        <rFont val="Liberation Sans Narrow"/>
        <family val="2"/>
      </rPr>
      <t xml:space="preserve"> </t>
    </r>
  </si>
  <si>
    <r>
      <rPr>
        <sz val="8"/>
        <rFont val="Liberation Sans Narrow"/>
        <family val="2"/>
      </rPr>
      <t xml:space="preserve">30...70 €/m;  </t>
    </r>
    <r>
      <rPr>
        <sz val="8"/>
        <color rgb="FF0000FF"/>
        <rFont val="Liberation Sans Narrow"/>
        <family val="2"/>
      </rPr>
      <t xml:space="preserve">https://www.kesselheld.de/tiefenbohrung/</t>
    </r>
  </si>
  <si>
    <t xml:space="preserve">Mengenrabatt Bohren</t>
  </si>
  <si>
    <t xml:space="preserve">Kosten für Pufferspeicher pro m³</t>
  </si>
  <si>
    <t xml:space="preserve">Pro_Keller_Broschuere_Kostenvergleich.pdf; Kostenschätzung anhand von Kellerbau</t>
  </si>
  <si>
    <r>
      <rPr>
        <sz val="8"/>
        <color rgb="FF0000FF"/>
        <rFont val="Liberation Sans Narrow"/>
        <family val="2"/>
      </rPr>
      <t xml:space="preserve">https://cdn.website-start.de/proxy/apps/zook5o/uploads/gleichzwei/instances/BAEE886A-5189-4B80-BB0C-126AD8811398/wcinstances/epaper/7f303bab-bf8c-4d61-bc1d-dd8e2caed8b8/pdf/181231_pro_keller_broschuere_einzelseiten_WEB.pdf</t>
    </r>
    <r>
      <rPr>
        <sz val="8"/>
        <rFont val="Liberation Sans Narrow"/>
        <family val="2"/>
      </rPr>
      <t xml:space="preserve"> </t>
    </r>
  </si>
  <si>
    <t xml:space="preserve">Kosten Technikgebäude am Speicherrand</t>
  </si>
  <si>
    <t xml:space="preserve">€</t>
  </si>
  <si>
    <t xml:space="preserve">Schätzung</t>
  </si>
  <si>
    <t xml:space="preserve">Investitionskosten für Heizkraftwerk</t>
  </si>
  <si>
    <t xml:space="preserve">€/kW</t>
  </si>
  <si>
    <r>
      <rPr>
        <sz val="8"/>
        <color rgb="FF0000FF"/>
        <rFont val="Liberation Sans Narrow"/>
        <family val="2"/>
      </rPr>
      <t xml:space="preserve">https://www.ier.uni-stuttgart.de/publikationen/arbeitsberichte/downloads/Arbeitsbericht_04.pdf</t>
    </r>
    <r>
      <rPr>
        <sz val="8"/>
        <rFont val="Liberation Sans Narrow"/>
        <family val="2"/>
      </rPr>
      <t xml:space="preserve">; inflationsbereinigt 0,48*1,02^10=0,585</t>
    </r>
  </si>
  <si>
    <t xml:space="preserve">Verteilung</t>
  </si>
  <si>
    <t xml:space="preserve">Länge der Hauptverteilung pro Kopf</t>
  </si>
  <si>
    <t xml:space="preserve">Wert geschätzt mittels Karte und Datei: waermeverlust_und_pumpleistung_hauptverteilung_in_abhaengigkeit_von aussentemperatur001.ods; 5*25km</t>
  </si>
  <si>
    <t xml:space="preserve">mittlere Pumpleistung der Hauptverteilung pro Kopf, zur Heizperiode</t>
  </si>
  <si>
    <t xml:space="preserve">W/Kopf</t>
  </si>
  <si>
    <t xml:space="preserve">aus Datei: waermeverlust_und_pumpleistung_hauptverteilung_in_abhaengigkeit_von aussentemperatur001.ods</t>
  </si>
  <si>
    <t xml:space="preserve">Auslegungs-Pumpleistung der Hauptverteilung pro Kopf, zur Heizperiode</t>
  </si>
  <si>
    <t xml:space="preserve">Kosten Hauptverteilung Kanal mit Rohren</t>
  </si>
  <si>
    <t xml:space="preserve">y=35,4*x^0,64; y- Kosten in € pro Meter; x- Rohrdurchmesser in mm (2000mm) nach Unternehmensangaben aus geringeren Durchmessern interpoliert</t>
  </si>
  <si>
    <t xml:space="preserve">aufgerundet</t>
  </si>
  <si>
    <t xml:space="preserve">Kosten Unterverteilung Kanal mit Rohren</t>
  </si>
  <si>
    <t xml:space="preserve">https://www.borderstep.de/wp-content/uploads/2014/07/Clausen-Kosten_-laendliche_-Waermenetze-2012.pdf</t>
  </si>
  <si>
    <t xml:space="preserve">Kosten Hausanschluss</t>
  </si>
  <si>
    <t xml:space="preserve">erforderliche Zusatzleistung Blockheizkraftwerk (BHKW) thermisch</t>
  </si>
  <si>
    <t xml:space="preserve">MW thermisch</t>
  </si>
  <si>
    <t xml:space="preserve">Wirkungsgrad BHKW</t>
  </si>
  <si>
    <r>
      <rPr>
        <sz val="8"/>
        <color rgb="FF0000FF"/>
        <rFont val="Liberation Sans Narrow"/>
        <family val="2"/>
      </rPr>
      <t xml:space="preserve">https://www.ier.uni-stuttgart.de/publikationen/arbeitsberichte/downloads/Arbeitsbericht_04.pdf</t>
    </r>
    <r>
      <rPr>
        <sz val="8"/>
        <rFont val="Liberation Sans Narrow"/>
        <family val="2"/>
      </rPr>
      <t xml:space="preserve">; bis 60%</t>
    </r>
  </si>
  <si>
    <t xml:space="preserve">BHKW elektrische Leistung</t>
  </si>
  <si>
    <t xml:space="preserve">MW elektrisch</t>
  </si>
  <si>
    <t xml:space="preserve">Kosten für Blockheizkraftwerke zur Temperaturanhebung in der dritten Leitung</t>
  </si>
  <si>
    <t xml:space="preserve">Milliarden €</t>
  </si>
  <si>
    <t xml:space="preserve">Leistung Wärmetauscher am Saisonspeicher</t>
  </si>
  <si>
    <t xml:space="preserve">kW </t>
  </si>
  <si>
    <t xml:space="preserve">Kosten Wärmetauscher (Doppelnutzg.Speicher-Fernwärme,Kollektoren-Speicher)</t>
  </si>
  <si>
    <t xml:space="preserve">ebay, Datei: wärmetauscher_preise.ods</t>
  </si>
  <si>
    <t xml:space="preserve">Wirkungsgrad Umwälzpumpen</t>
  </si>
  <si>
    <t xml:space="preserve">https://www.ksb.com/de-global/kreiselpumpenlexikon/artikel/pumpenwirkungsgrad-1074676</t>
  </si>
  <si>
    <t xml:space="preserve">Kosten der Umwälzpumpen</t>
  </si>
  <si>
    <t xml:space="preserve">http://seitzpumpen.homepage.t-online.de/PDF-Dateien/Preisliste/NM.pdf</t>
  </si>
  <si>
    <t xml:space="preserve">Berechnungen</t>
  </si>
  <si>
    <t xml:space="preserve">Kollektorfelder</t>
  </si>
  <si>
    <t xml:space="preserve">Kollektorfläche brutto, optimal orientiert, ohne Aufstellungsumgebung</t>
  </si>
  <si>
    <r>
      <rPr>
        <sz val="8"/>
        <rFont val="Liberation Sans Narrow"/>
        <family val="2"/>
      </rPr>
      <t xml:space="preserve">vorhanden sind ca. 50.000.000 m²  verwertbare Dach- und Fassadenfäche, nach:   </t>
    </r>
    <r>
      <rPr>
        <sz val="8"/>
        <color rgb="FF0000FF"/>
        <rFont val="Liberation Sans Narrow"/>
        <family val="2"/>
      </rPr>
      <t xml:space="preserve">https://heliogaia.de/Solare_Flächenpotenziale_Berlin_k806.pdf</t>
    </r>
  </si>
  <si>
    <t xml:space="preserve">Kollektorfläche brutto pro Kopf</t>
  </si>
  <si>
    <t xml:space="preserve">Kollektorfläche brutto, innerstädtisch möglich</t>
  </si>
  <si>
    <t xml:space="preserve">Kollektorfläche brutto, extern nötig</t>
  </si>
  <si>
    <t xml:space="preserve">vgl. D13=e.V9=nach Bedarf gesetzt→Speichertemperatur e.S6 eingestellt; Abweichungen zu hier sind möglich; mit D13 weiter rechnen</t>
  </si>
  <si>
    <t xml:space="preserve">externe Kollektorfeldfläche (brutto+ Aufstellungsumgebung)</t>
  </si>
  <si>
    <t xml:space="preserve">Seitenlänge für ein quadratisches Kollektorfeld</t>
  </si>
  <si>
    <t xml:space="preserve">km</t>
  </si>
  <si>
    <t xml:space="preserve">Anteil Kollektorfeld an gesamter Stadtfläche</t>
  </si>
  <si>
    <t xml:space="preserve">externe Kollektorfeldfläche (brutto+Aufstellungsumgebung)/pro Kopf</t>
  </si>
  <si>
    <t xml:space="preserve">Speicher, BHKW</t>
  </si>
  <si>
    <t xml:space="preserve">kompletter Jahreswärmebedarf (Wohn+Nichtwohn,Heizg.+WW), saniert,+Verlustausgleich</t>
  </si>
  <si>
    <t xml:space="preserve">eingeplante Verluste: Fernwärmeverteilung, Saisonspeicher</t>
  </si>
  <si>
    <t xml:space="preserve">davon müssen gespeichert werden</t>
  </si>
  <si>
    <t xml:space="preserve">kompletter Jahreswärmebedarf bis100 Grad (Haushalte,Gewerbe,Industrie)+Verlustausgleich</t>
  </si>
  <si>
    <t xml:space="preserve">proportionaler Anteil aus BRD-Durchschnitt 2017</t>
  </si>
  <si>
    <t xml:space="preserve">Auslegungsleistung der 5 Blockheizkraftwerke</t>
  </si>
  <si>
    <t xml:space="preserve">SpeicherVolumen</t>
  </si>
  <si>
    <t xml:space="preserve">m³</t>
  </si>
  <si>
    <t xml:space="preserve">Tiefe für minimale Gesamtoberfläche; Tiefe = Durchmesser</t>
  </si>
  <si>
    <t xml:space="preserve">Abgleich nach Gegebenheit mit Zelle e.V18 in dieser Datei</t>
  </si>
  <si>
    <t xml:space="preserve">Möglichkeit zur Eingabe einer anderen SpeicherTiefe: (auch ändern in Blatt e, Zelle V18)</t>
  </si>
  <si>
    <t xml:space="preserve">mit dieser Tiefe wird weiter gerechnet</t>
  </si>
  <si>
    <t xml:space="preserve">als SpeicherDurchmesser ergibt sich</t>
  </si>
  <si>
    <t xml:space="preserve">SpeicherDeckfläche</t>
  </si>
  <si>
    <t xml:space="preserve">Anteil der Speicherdeckfläche an gesamter Stadtfläche</t>
  </si>
  <si>
    <t xml:space="preserve">Saisonspeicherverluste nach oben</t>
  </si>
  <si>
    <t xml:space="preserve">für hohe Genauigkeitsansprüche bei jeder Parameteränderung extern mit zylindermodell007.ods neu berechnen</t>
  </si>
  <si>
    <t xml:space="preserve">Saisonspeicherverluste durch Wärmeleitung im Boden</t>
  </si>
  <si>
    <t xml:space="preserve">Saisonspeicherverluste durch Niederschlag in der Umgebung</t>
  </si>
  <si>
    <t xml:space="preserve">Saisonspeicherverluste durch regionalen Grundwasserfluss in der Speicherumgebung</t>
  </si>
  <si>
    <t xml:space="preserve">Saisonspeicherverluste durch Grundwasserkonvektion in der Speicherumgebung</t>
  </si>
  <si>
    <t xml:space="preserve">Gesamtverlust Saisonspeicher</t>
  </si>
  <si>
    <t xml:space="preserve">kWh/a, entspricht</t>
  </si>
  <si>
    <t xml:space="preserve">Größe der Pufferspeicher je</t>
  </si>
  <si>
    <t xml:space="preserve">Die Werte für die Verteilung werden anhand der Daten für Cottbus abgeschätzt:</t>
  </si>
  <si>
    <t xml:space="preserve">Übernahme aus Cottbus</t>
  </si>
  <si>
    <t xml:space="preserve">Datei: cottbus_rechentabelle001.ods</t>
  </si>
  <si>
    <t xml:space="preserve">Siedlungsfläche</t>
  </si>
  <si>
    <t xml:space="preserve">eigene Messung aus Karte</t>
  </si>
  <si>
    <t xml:space="preserve">Anzahl der Gebäude im Plangebiet dieser Tabelle</t>
  </si>
  <si>
    <t xml:space="preserve">Gebäude</t>
  </si>
  <si>
    <t xml:space="preserve">Seitenlänge des mittleren Grundstückes zu einem Gebäude</t>
  </si>
  <si>
    <t xml:space="preserve">Bewohner je Gebäude</t>
  </si>
  <si>
    <t xml:space="preserve">Länge einer Grundstücksseite pro Bewohner</t>
  </si>
  <si>
    <t xml:space="preserve">m/Kopf</t>
  </si>
  <si>
    <t xml:space="preserve">Jahresverbrauch der Pumpen für Fernheizunterverteilung und Kollektorfeld</t>
  </si>
  <si>
    <t xml:space="preserve">mit Hauptverteilung</t>
  </si>
  <si>
    <t xml:space="preserve">Jahreswärmeverlust der ganzen Unterverteilung zur Heizperiode(180d)</t>
  </si>
  <si>
    <t xml:space="preserve">Kosten für Verteilung und Hausanschlüsse</t>
  </si>
  <si>
    <t xml:space="preserve">  </t>
  </si>
  <si>
    <t xml:space="preserve">Kosten für Umwälzpumpen</t>
  </si>
  <si>
    <t xml:space="preserve">Umrechnungsfaktor</t>
  </si>
  <si>
    <t xml:space="preserve">Anpassung der Zahlen aus Cottbus für Berlin wegen höherer Einwohner-Dichte</t>
  </si>
  <si>
    <t xml:space="preserve">analoge Zahlen für Berlin</t>
  </si>
  <si>
    <t xml:space="preserve">Schätzung aus Datei: 0_zahlen_energierelevant_BERLIN_BRD.ods</t>
  </si>
  <si>
    <r>
      <rPr>
        <sz val="8"/>
        <color rgb="FF0000FF"/>
        <rFont val="Liberation Sans Narrow"/>
        <family val="2"/>
      </rPr>
      <t xml:space="preserve">https://heliogaia.de/Gründächer_Berlin_Ausgabe_2017_k611.pdf</t>
    </r>
    <r>
      <rPr>
        <sz val="8"/>
        <rFont val="Liberation Sans Narrow"/>
        <family val="2"/>
      </rPr>
      <t xml:space="preserve"> ; S.5</t>
    </r>
  </si>
  <si>
    <t xml:space="preserve">S.5</t>
  </si>
  <si>
    <t xml:space="preserve">630 km² zu vernetzende Fläche, eigene Schätzung, nach Datei: 0_zahlen_energierelevant_BERLIN_BRD</t>
  </si>
  <si>
    <t xml:space="preserve">Jahresverbrauch der Pumpen für Hauptverteilung</t>
  </si>
  <si>
    <t xml:space="preserve">Verluste</t>
  </si>
  <si>
    <t xml:space="preserve">Jahreswärmeverlust durch Speicherung</t>
  </si>
  <si>
    <t xml:space="preserve">Jahreswärmeverlust durch Hauptverteilung</t>
  </si>
  <si>
    <t xml:space="preserve">Datei: waermeverlust_hauptverteilung_im_jahr001.ods; Vor- und Rücklauf beim Fernheizen und beim Laden des Saisonspeichers, 5 x 25km Trassenlänge</t>
  </si>
  <si>
    <t xml:space="preserve">Jahreswärmeverlust der ganzen Unterverteilung</t>
  </si>
  <si>
    <t xml:space="preserve">Faktor 1,5 wegen Nutzung des Netzes im Sommerhalbjahr zum Laden des Saisonspeichers</t>
  </si>
  <si>
    <t xml:space="preserve">Jahresverlust Kollektorfeld</t>
  </si>
  <si>
    <t xml:space="preserve">Verlust der Unterverteilung auf Fläche des Kollektorfeldes heruntergerechnet, Zeitausgleich 0,25 (nur zu Sonnenstunden in Betrieb)</t>
  </si>
  <si>
    <t xml:space="preserve">Gesamtverluste durch Sammlung,Speicherung,Verteilung</t>
  </si>
  <si>
    <t xml:space="preserve">Kosten</t>
  </si>
  <si>
    <t xml:space="preserve">Tarife</t>
  </si>
  <si>
    <t xml:space="preserve">Gastarif</t>
  </si>
  <si>
    <t xml:space="preserve">€/kWh</t>
  </si>
  <si>
    <t xml:space="preserve">Stromtarif, Bezug</t>
  </si>
  <si>
    <t xml:space="preserve">Stromtarif, Einspeisung</t>
  </si>
  <si>
    <t xml:space="preserve">Wartung Heizung</t>
  </si>
  <si>
    <t xml:space="preserve">€/a/Haushalt</t>
  </si>
  <si>
    <t xml:space="preserve">https://www.heizspiegel.de/heizkosten-senken/heizungswartung/</t>
  </si>
  <si>
    <t xml:space="preserve">Investitionen</t>
  </si>
  <si>
    <t xml:space="preserve">Saisonspeicher, Abdeckung</t>
  </si>
  <si>
    <t xml:space="preserve">Saisonspeicher, Bohrungen</t>
  </si>
  <si>
    <t xml:space="preserve">Saisonspeicher, Schlitzwand</t>
  </si>
  <si>
    <t xml:space="preserve">eventuell einsparen</t>
  </si>
  <si>
    <t xml:space="preserve">Saisonspeicher, zwei Pufferspeicher</t>
  </si>
  <si>
    <t xml:space="preserve">für Saisonspeicher Vorlauf und Rücklauf, Abfangen der Wärmespitzen aus externem Kollektorfeld, innerstädtische Kollektoren puffern die lokalen Speicher in den Gebäuden</t>
  </si>
  <si>
    <t xml:space="preserve">Technikgebäude am Speicherrand, geschätzt</t>
  </si>
  <si>
    <t xml:space="preserve">Saisonspeicher, gesamt</t>
  </si>
  <si>
    <t xml:space="preserve">Umwälzpumpen Unterverteilung</t>
  </si>
  <si>
    <t xml:space="preserve">Umwälzpumpen Hauptverteilung</t>
  </si>
  <si>
    <t xml:space="preserve">Aufstellung, Installation der Kollektoren</t>
  </si>
  <si>
    <t xml:space="preserve">Wärmespeicher in den Gebäuden</t>
  </si>
  <si>
    <t xml:space="preserve">Bodenpreis für externes Kollektorfeld</t>
  </si>
  <si>
    <t xml:space="preserve">Fernwärmeleitungen für Unterverteilung und Hausanschlüsse</t>
  </si>
  <si>
    <t xml:space="preserve">Fernwärmeleitungen für Hauptverteilung</t>
  </si>
  <si>
    <t xml:space="preserve">BHKW (ohne Energiekosten)</t>
  </si>
  <si>
    <t xml:space="preserve">Investition für die gesamte Anlage mit Nebenkosten</t>
  </si>
  <si>
    <t xml:space="preserve">laufende Kosten</t>
  </si>
  <si>
    <t xml:space="preserve">E-Antrieb der Pumpen, Stromkosten</t>
  </si>
  <si>
    <t xml:space="preserve">€/a</t>
  </si>
  <si>
    <t xml:space="preserve">Energiekosten BHKW</t>
  </si>
  <si>
    <t xml:space="preserve">Ertrag BHKW, Elektroenergie</t>
  </si>
  <si>
    <t xml:space="preserve">Ertrag in der Heizperiode</t>
  </si>
  <si>
    <t xml:space="preserve">Wärmetauscher wechseln</t>
  </si>
  <si>
    <t xml:space="preserve">Betrieb, Wartung</t>
  </si>
  <si>
    <t xml:space="preserve">https://www.statistik-berlin-brandenburg.de/BasisZeitreiheGrafik/Bas-Mikrozensus.asp?Ptyp=300&amp;Sageb=12011&amp;creg=BBB&amp;anzwer=5</t>
  </si>
  <si>
    <t xml:space="preserve">1,8 Personen je Haushalt</t>
  </si>
  <si>
    <t xml:space="preserve">Investitionskosten/a/Kopf</t>
  </si>
  <si>
    <t xml:space="preserve">das sind </t>
  </si>
  <si>
    <t xml:space="preserve">der Investitionskosten ohne Nebenkosten</t>
  </si>
  <si>
    <t xml:space="preserve">Investition für die gesamte Anlage</t>
  </si>
  <si>
    <t xml:space="preserve">brutto</t>
  </si>
  <si>
    <t xml:space="preserve">laufende Kosten/a/Kopf</t>
  </si>
  <si>
    <t xml:space="preserve">Wärmetauscher</t>
  </si>
  <si>
    <t xml:space="preserve">Ergebnis:</t>
  </si>
  <si>
    <t xml:space="preserve">Gesamtkosten bei Realisierung 2020 mit BHKW</t>
  </si>
  <si>
    <t xml:space="preserve">bei eingepreistem Fremdenergieeinsatz von noch</t>
  </si>
  <si>
    <t xml:space="preserve">Gesamtkosten, nach Sanierung aller Gebäude auf 80 kWh/a/m²</t>
  </si>
  <si>
    <t xml:space="preserve">bei eingepreistem Fremdenergieeinsatz von nur noch</t>
  </si>
  <si>
    <t xml:space="preserve">Das sind ungefähr die Kosten, wie sie bisher in Deutschland pro Jahr bereits für Gebäudeenergie ausgegeben wurden:  65.000.000.000 €/a; 785 €/Kopf</t>
  </si>
  <si>
    <t xml:space="preserve">https://heliogaia.de/9254_Gebaeudereport_dena_kompakt_2018.pdf; S.7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</si>
</sst>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.00\ [$€-407];[RED]\-#,##0.00\ [$€-407]"/>
    <numFmt numFmtId="166" formatCode="0.00"/>
    <numFmt numFmtId="167" formatCode="#,##0"/>
    <numFmt numFmtId="168" formatCode="dd/mm"/>
    <numFmt numFmtId="169" formatCode="#,##0.00"/>
    <numFmt numFmtId="170" formatCode="#,##0.0"/>
    <numFmt numFmtId="171" formatCode="#,###.0"/>
    <numFmt numFmtId="172" formatCode="#,###.00"/>
    <numFmt numFmtId="173" formatCode="0"/>
    <numFmt numFmtId="174" formatCode="0.00%"/>
    <numFmt numFmtId="175" formatCode="0.0"/>
    <numFmt numFmtId="176" formatCode="#,##0.000"/>
    <numFmt numFmtId="177" formatCode="@"/>
    <numFmt numFmtId="178" formatCode="0.000"/>
    <numFmt numFmtId="179" formatCode="0.00&quot;  &quot;%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sz val="8"/>
      <name val="Liberation Sans Narrow"/>
      <family val="2"/>
    </font>
    <font>
      <b val="true"/>
      <sz val="8"/>
      <name val="Liberation Sans Narrow"/>
      <family val="2"/>
    </font>
    <font>
      <b val="true"/>
      <i val="true"/>
      <sz val="9"/>
      <name val="Liberation Sans Narrow"/>
      <family val="2"/>
    </font>
    <font>
      <b val="true"/>
      <i val="true"/>
      <sz val="8"/>
      <name val="Liberation Sans Narrow"/>
      <family val="2"/>
    </font>
    <font>
      <b val="true"/>
      <sz val="8"/>
      <name val="Arial"/>
      <family val="2"/>
    </font>
    <font>
      <sz val="8"/>
      <color rgb="FF0000FF"/>
      <name val="Liberation Sans Narrow"/>
      <family val="2"/>
    </font>
    <font>
      <b val="true"/>
      <sz val="6"/>
      <name val="Liberation Sans Narrow"/>
      <family val="2"/>
    </font>
    <font>
      <sz val="6"/>
      <name val="Liberation Sans Narrow"/>
      <family val="2"/>
    </font>
    <font>
      <b val="true"/>
      <sz val="9"/>
      <name val="Liberation Sans Narrow"/>
      <family val="2"/>
    </font>
    <font>
      <sz val="6"/>
      <color rgb="FF0000FF"/>
      <name val="Liberation Sans Narrow"/>
      <family val="2"/>
    </font>
    <font>
      <sz val="9"/>
      <name val="Liberation Sans Narrow"/>
      <family val="2"/>
    </font>
    <font>
      <vertAlign val="subscript"/>
      <sz val="8"/>
      <name val="Liberation Sans Narrow"/>
      <family val="2"/>
    </font>
    <font>
      <sz val="12"/>
      <name val="Arial"/>
      <family val="2"/>
    </font>
    <font>
      <b val="true"/>
      <sz val="11"/>
      <name val="Liberation Sans Narrow"/>
      <family val="2"/>
    </font>
    <font>
      <sz val="11"/>
      <name val="Liberation Sans Narrow"/>
      <family val="2"/>
    </font>
  </fonts>
  <fills count="26">
    <fill>
      <patternFill patternType="none"/>
    </fill>
    <fill>
      <patternFill patternType="gray125"/>
    </fill>
    <fill>
      <patternFill patternType="solid">
        <fgColor rgb="FFFF3333"/>
        <bgColor rgb="FFFD4235"/>
      </patternFill>
    </fill>
    <fill>
      <patternFill patternType="solid">
        <fgColor rgb="FF00CCFF"/>
        <bgColor rgb="FF00CED1"/>
      </patternFill>
    </fill>
    <fill>
      <patternFill patternType="solid">
        <fgColor rgb="FFFD4235"/>
        <bgColor rgb="FFFF3333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99FF99"/>
        <bgColor rgb="FF99FF66"/>
      </patternFill>
    </fill>
    <fill>
      <patternFill patternType="solid">
        <fgColor rgb="FF99FFFF"/>
        <bgColor rgb="FF66FFFF"/>
      </patternFill>
    </fill>
    <fill>
      <patternFill patternType="solid">
        <fgColor rgb="FFFF99FF"/>
        <bgColor rgb="FFCC99FF"/>
      </patternFill>
    </fill>
    <fill>
      <patternFill patternType="solid">
        <fgColor rgb="FFFB5757"/>
        <bgColor rgb="FFFD4235"/>
      </patternFill>
    </fill>
    <fill>
      <patternFill patternType="solid">
        <fgColor rgb="FFFE9191"/>
        <bgColor rgb="FFFF99FF"/>
      </patternFill>
    </fill>
    <fill>
      <patternFill patternType="solid">
        <fgColor rgb="FF66FFFF"/>
        <bgColor rgb="FF99FFFF"/>
      </patternFill>
    </fill>
    <fill>
      <patternFill patternType="solid">
        <fgColor rgb="FF00FF66"/>
        <bgColor rgb="FF33FF99"/>
      </patternFill>
    </fill>
    <fill>
      <patternFill patternType="solid">
        <fgColor rgb="FF99FF33"/>
        <bgColor rgb="FF99FF66"/>
      </patternFill>
    </fill>
    <fill>
      <patternFill patternType="solid">
        <fgColor rgb="FF00CED1"/>
        <bgColor rgb="FF00CCFF"/>
      </patternFill>
    </fill>
    <fill>
      <patternFill patternType="solid">
        <fgColor rgb="FFFFFF66"/>
        <bgColor rgb="FFFFFF99"/>
      </patternFill>
    </fill>
    <fill>
      <patternFill patternType="solid">
        <fgColor rgb="FFCCFF00"/>
        <bgColor rgb="FF99FF33"/>
      </patternFill>
    </fill>
    <fill>
      <patternFill patternType="solid">
        <fgColor rgb="FF33FF99"/>
        <bgColor rgb="FF00FF66"/>
      </patternFill>
    </fill>
    <fill>
      <patternFill patternType="solid">
        <fgColor rgb="FF99FF66"/>
        <bgColor rgb="FF99FF99"/>
      </patternFill>
    </fill>
    <fill>
      <patternFill patternType="solid">
        <fgColor rgb="FFD3D3D3"/>
        <bgColor rgb="FFCCCCCC"/>
      </patternFill>
    </fill>
    <fill>
      <patternFill patternType="solid">
        <fgColor rgb="FF48D1CC"/>
        <bgColor rgb="FF00CED1"/>
      </patternFill>
    </fill>
    <fill>
      <patternFill patternType="solid">
        <fgColor rgb="FFDDDDDD"/>
        <bgColor rgb="FFD3D3D3"/>
      </patternFill>
    </fill>
    <fill>
      <patternFill patternType="solid">
        <fgColor rgb="FFCCCCCC"/>
        <bgColor rgb="FFD3D3D3"/>
      </patternFill>
    </fill>
    <fill>
      <patternFill patternType="solid">
        <fgColor rgb="FFEEEEEE"/>
        <bgColor rgb="FFDDDDDD"/>
      </patternFill>
    </fill>
    <fill>
      <patternFill patternType="solid">
        <fgColor rgb="FFFF33FF"/>
        <bgColor rgb="FFFF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false" applyProtection="false"/>
  </cellStyleXfs>
  <cellXfs count="2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7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5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8" fillId="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8" fillId="6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8" fillId="7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8" fillId="8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8" fillId="9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9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 2" xfId="21"/>
    <cellStyle name="Überschrift" xfId="22"/>
    <cellStyle name="Überschrift 1" xfId="23"/>
    <cellStyle name="Standard 2" xfId="24"/>
    <cellStyle name="Unbenannt2" xfId="25"/>
  </cellStyles>
  <dxfs count="1">
    <dxf>
      <font>
        <name val="FreeSans"/>
        <family val="2"/>
      </font>
      <fill>
        <patternFill>
          <bgColor rgb="FFFF3333"/>
        </patternFill>
      </fill>
    </dxf>
  </dxfs>
  <colors>
    <indexedColors>
      <rgbColor rgb="FF000000"/>
      <rgbColor rgb="FFEEEEEE"/>
      <rgbColor rgb="FFFF3333"/>
      <rgbColor rgb="FF00FF66"/>
      <rgbColor rgb="FF0000FF"/>
      <rgbColor rgb="FFCCFF00"/>
      <rgbColor rgb="FFFF33FF"/>
      <rgbColor rgb="FF00CED1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FD4235"/>
      <rgbColor rgb="FFFFFF66"/>
      <rgbColor rgb="FF99FFFF"/>
      <rgbColor rgb="FF660066"/>
      <rgbColor rgb="FFFE9191"/>
      <rgbColor rgb="FF0066CC"/>
      <rgbColor rgb="FFD3D3D3"/>
      <rgbColor rgb="FF000080"/>
      <rgbColor rgb="FFFF00FF"/>
      <rgbColor rgb="FFCCFF66"/>
      <rgbColor rgb="FF33FF99"/>
      <rgbColor rgb="FF800080"/>
      <rgbColor rgb="FF800000"/>
      <rgbColor rgb="FF008080"/>
      <rgbColor rgb="FF0000FF"/>
      <rgbColor rgb="FF00CCFF"/>
      <rgbColor rgb="FF99FF99"/>
      <rgbColor rgb="FFDDDDDD"/>
      <rgbColor rgb="FFFFFF99"/>
      <rgbColor rgb="FF66FFFF"/>
      <rgbColor rgb="FFFF99FF"/>
      <rgbColor rgb="FFCC99FF"/>
      <rgbColor rgb="FF99FF66"/>
      <rgbColor rgb="FF3366FF"/>
      <rgbColor rgb="FF48D1CC"/>
      <rgbColor rgb="FF99FF33"/>
      <rgbColor rgb="FFFFCC00"/>
      <rgbColor rgb="FFFF9900"/>
      <rgbColor rgb="FFFB575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.wikipedia.org/wiki/Berlin" TargetMode="External"/><Relationship Id="rId2" Type="http://schemas.openxmlformats.org/officeDocument/2006/relationships/hyperlink" Target="https://heliogaia.de/Heizspiegel-fuer-Deutschland-2018.pdf" TargetMode="External"/><Relationship Id="rId3" Type="http://schemas.openxmlformats.org/officeDocument/2006/relationships/hyperlink" Target="https://heliogaia.de/Solare_Fl&#228;chenpotenziale_Berlin_k806.pdf" TargetMode="External"/><Relationship Id="rId4" Type="http://schemas.openxmlformats.org/officeDocument/2006/relationships/hyperlink" Target="https://www.dwd.de/DE/leistungen/solarenergie/strahlungskarten_sum.html?nn=16102" TargetMode="External"/><Relationship Id="rId5" Type="http://schemas.openxmlformats.org/officeDocument/2006/relationships/hyperlink" Target="https://www.dwd.de/DE/leistungen/solarenergie/strahlungskarten_sum.html?nn=16102" TargetMode="External"/><Relationship Id="rId6" Type="http://schemas.openxmlformats.org/officeDocument/2006/relationships/hyperlink" Target="http://www.solarkeymark.nl/DBF/PDF_Downloads/DS_47.pdf" TargetMode="External"/><Relationship Id="rId7" Type="http://schemas.openxmlformats.org/officeDocument/2006/relationships/hyperlink" Target="https://irp.cdn-website.com/d00f2507/files/uploaded/RisikenUndWirtschaftlichkeitVonNWP.pdf" TargetMode="External"/><Relationship Id="rId8" Type="http://schemas.openxmlformats.org/officeDocument/2006/relationships/hyperlink" Target="https://irp.cdn-website.com/d00f2507/files/uploaded/RisikenUndWirtschaftlichkeitVonNWP.pdf" TargetMode="External"/><Relationship Id="rId9" Type="http://schemas.openxmlformats.org/officeDocument/2006/relationships/hyperlink" Target="https://heliogaia.de/Geothermisches_Potenzial_spezifische_W&#228;rmeleitf&#228;higkeit_und_spezifische_Entzugsleistung_Berlin_k218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e.wikipedia.org/wiki/Berlin" TargetMode="External"/><Relationship Id="rId2" Type="http://schemas.openxmlformats.org/officeDocument/2006/relationships/hyperlink" Target="https://heliogaia.de/Heizspiegel-fuer-Deutschland-2018.pdf" TargetMode="External"/><Relationship Id="rId3" Type="http://schemas.openxmlformats.org/officeDocument/2006/relationships/hyperlink" Target="https://heliogaia.de/Solare_Fl&#228;chenpotenziale_Berlin_k806.pdf" TargetMode="External"/><Relationship Id="rId4" Type="http://schemas.openxmlformats.org/officeDocument/2006/relationships/hyperlink" Target="http://www.solarkeymark.nl/DBF/PDF_Downloads/DS_47.pdf" TargetMode="External"/><Relationship Id="rId5" Type="http://schemas.openxmlformats.org/officeDocument/2006/relationships/hyperlink" Target="https://irp.cdn-website.com/d00f2507/files/uploaded/RisikenUndWirtschaftlichkeitVonNWP.pdf" TargetMode="External"/><Relationship Id="rId6" Type="http://schemas.openxmlformats.org/officeDocument/2006/relationships/hyperlink" Target="https://irp.cdn-website.com/d00f2507/files/uploaded/RisikenUndWirtschaftlichkeitVonNWP.pdf" TargetMode="External"/><Relationship Id="rId7" Type="http://schemas.openxmlformats.org/officeDocument/2006/relationships/hyperlink" Target="https://heliogaia.de/Geothermisches_Potenzial_spezifische_W&#228;rmeleitf&#228;higkeit_und_spezifische_Entzugsleistung_Berlin_k218.pdf" TargetMode="External"/><Relationship Id="rId8" Type="http://schemas.openxmlformats.org/officeDocument/2006/relationships/hyperlink" Target="https://de.wikipedia.org/wiki/Berlin" TargetMode="External"/><Relationship Id="rId9" Type="http://schemas.openxmlformats.org/officeDocument/2006/relationships/hyperlink" Target="https://www.destatis.de/GPStatistik/servlets/MCRFileNodeServlet/BBHeft_derivate_00019628/SB_F01-01-00_2018j01_BE.pdf;jsessionid=676EC455F25191F2BF68B4E5394D84A0" TargetMode="External"/><Relationship Id="rId10" Type="http://schemas.openxmlformats.org/officeDocument/2006/relationships/hyperlink" Target="http://www.umweltbundesamt.de/sites/default/files/medien/384/bilder/dateien/3_tab_energieverbrauch-eev-sektor-waermezwecke_2018-02-14.pdf" TargetMode="External"/><Relationship Id="rId11" Type="http://schemas.openxmlformats.org/officeDocument/2006/relationships/hyperlink" Target="https://www.dena.de/fileadmin/dena/Bilder/Newsroom/Meldungen/2018Q2/Grafik-dena-Gebaeudereport-kompakt-2018-Endenergiebezogener-Gebaeudeenergieverbrauch.jpg" TargetMode="External"/><Relationship Id="rId12" Type="http://schemas.openxmlformats.org/officeDocument/2006/relationships/hyperlink" Target="https://www-docs.b-tu.de/fg-bauoekonomie/public/Forschung/Publikationen/Kalusche-Wolfdietrich/2016/orientierungswerte.pdf" TargetMode="External"/><Relationship Id="rId13" Type="http://schemas.openxmlformats.org/officeDocument/2006/relationships/hyperlink" Target="https://www.dwd.de/DE/leistungen/solarenergie/strahlungskarten_mvs.html?nn=16102" TargetMode="External"/><Relationship Id="rId14" Type="http://schemas.openxmlformats.org/officeDocument/2006/relationships/hyperlink" Target="https://www.dwd.de/DE/leistungen/solarenergie/strahlungskarten_sum.html?nn=16102" TargetMode="External"/><Relationship Id="rId15" Type="http://schemas.openxmlformats.org/officeDocument/2006/relationships/hyperlink" Target="http://www.solarkeymark.nl/DBF/PDF_Downloads/DS_47.pdf" TargetMode="External"/><Relationship Id="rId16" Type="http://schemas.openxmlformats.org/officeDocument/2006/relationships/hyperlink" Target="http://www.solarkeymark.nl/DBF/PDF_Downloads/DS_1575.pdf" TargetMode="External"/><Relationship Id="rId17" Type="http://schemas.openxmlformats.org/officeDocument/2006/relationships/hyperlink" Target="https://heliogaia.de/t/quellen.html" TargetMode="External"/><Relationship Id="rId18" Type="http://schemas.openxmlformats.org/officeDocument/2006/relationships/hyperlink" Target="https://www.swissolar.ch/fileadmin/user_upload/Markterhebung/Marktumfrage_2017.pdf" TargetMode="External"/><Relationship Id="rId19" Type="http://schemas.openxmlformats.org/officeDocument/2006/relationships/hyperlink" Target="https://heliogaia.de/t/quellen.html" TargetMode="External"/><Relationship Id="rId20" Type="http://schemas.openxmlformats.org/officeDocument/2006/relationships/hyperlink" Target="https://www.swissolar.ch/fileadmin/user_upload/Markterhebung/Marktumfrage_2017.pdf" TargetMode="External"/><Relationship Id="rId21" Type="http://schemas.openxmlformats.org/officeDocument/2006/relationships/hyperlink" Target="https://www.solaranlagen-portal.de/thermische-solaranlage/solarkollektor-preis.html" TargetMode="External"/><Relationship Id="rId22" Type="http://schemas.openxmlformats.org/officeDocument/2006/relationships/hyperlink" Target="https://www.bodenrichtwerte-boris.de/borisde/?lang=de" TargetMode="External"/><Relationship Id="rId23" Type="http://schemas.openxmlformats.org/officeDocument/2006/relationships/hyperlink" Target="https://heliogaia.de/Geothermisches_Potenzial_spezifische_W&#228;rmeleitf&#228;higkeit_und_spezifische_Entzugsleistung_Berlin_k218.pdf" TargetMode="External"/><Relationship Id="rId24" Type="http://schemas.openxmlformats.org/officeDocument/2006/relationships/hyperlink" Target="https://heliogaia.de/Geothermisches_Potenzial_spezifische_W&#228;rmeleitf&#228;higkeit_und_spezifische_Entzugsleistung_Berlin_k218.pdf" TargetMode="External"/><Relationship Id="rId25" Type="http://schemas.openxmlformats.org/officeDocument/2006/relationships/hyperlink" Target="https://de.wikipedia.org/wiki/Berlin" TargetMode="External"/><Relationship Id="rId26" Type="http://schemas.openxmlformats.org/officeDocument/2006/relationships/hyperlink" Target="https://www.dwd.de/DE/leistungen/klimadatendeutschland/mittelwerte/temp_8110_fest_html.html?view=nasPublication&amp;nn=16102" TargetMode="External"/><Relationship Id="rId27" Type="http://schemas.openxmlformats.org/officeDocument/2006/relationships/hyperlink" Target="https://www.straelen.de/rathaus-politik/dienstleistungen/ver-und-entsorgung/wasserversorgung/" TargetMode="External"/><Relationship Id="rId28" Type="http://schemas.openxmlformats.org/officeDocument/2006/relationships/hyperlink" Target="http://baupreise24.de/baupreise/erdarbeiten" TargetMode="External"/><Relationship Id="rId29" Type="http://schemas.openxmlformats.org/officeDocument/2006/relationships/hyperlink" Target="https://books.google.de/books?id=hRmYJX_u7ykC&amp;printsec=frontcover&amp;hl=de" TargetMode="External"/><Relationship Id="rId30" Type="http://schemas.openxmlformats.org/officeDocument/2006/relationships/hyperlink" Target="https://www.my-hammer.de/preisradar/was-kostet-brunnen-bohren/" TargetMode="External"/><Relationship Id="rId31" Type="http://schemas.openxmlformats.org/officeDocument/2006/relationships/hyperlink" Target="https://www.kesselheld.de/tiefenbohrung/" TargetMode="External"/><Relationship Id="rId32" Type="http://schemas.openxmlformats.org/officeDocument/2006/relationships/hyperlink" Target="https://cdn.website-start.de/proxy/apps/zook5o/uploads/gleichzwei/instances/BAEE886A-5189-4B80-BB0C-126AD8811398/wcinstances/epaper/7f303bab-bf8c-4d61-bc1d-dd8e2caed8b8/pdf/181231_pro_keller_broschuere_einzelseiten_WEB.pdf" TargetMode="External"/><Relationship Id="rId33" Type="http://schemas.openxmlformats.org/officeDocument/2006/relationships/hyperlink" Target="https://www.ier.uni-stuttgart.de/publikationen/arbeitsberichte/downloads/Arbeitsbericht_04.pdf" TargetMode="External"/><Relationship Id="rId34" Type="http://schemas.openxmlformats.org/officeDocument/2006/relationships/hyperlink" Target="https://www.borderstep.de/wp-content/uploads/2014/07/Clausen-Kosten_-laendliche_-Waermenetze-2012.pdf" TargetMode="External"/><Relationship Id="rId35" Type="http://schemas.openxmlformats.org/officeDocument/2006/relationships/hyperlink" Target="https://www.borderstep.de/wp-content/uploads/2014/07/Clausen-Kosten_-laendliche_-Waermenetze-2012.pdf" TargetMode="External"/><Relationship Id="rId36" Type="http://schemas.openxmlformats.org/officeDocument/2006/relationships/hyperlink" Target="https://www.ier.uni-stuttgart.de/publikationen/arbeitsberichte/downloads/Arbeitsbericht_04.pdf" TargetMode="External"/><Relationship Id="rId37" Type="http://schemas.openxmlformats.org/officeDocument/2006/relationships/hyperlink" Target="https://www.ier.uni-stuttgart.de/publikationen/arbeitsberichte/downloads/Arbeitsbericht_04.pdf" TargetMode="External"/><Relationship Id="rId38" Type="http://schemas.openxmlformats.org/officeDocument/2006/relationships/hyperlink" Target="https://www.ksb.com/de-global/kreiselpumpenlexikon/artikel/pumpenwirkungsgrad-1074676" TargetMode="External"/><Relationship Id="rId39" Type="http://schemas.openxmlformats.org/officeDocument/2006/relationships/hyperlink" Target="http://seitzpumpen.homepage.t-online.de/PDF-Dateien/Preisliste/NM.pdf" TargetMode="External"/><Relationship Id="rId40" Type="http://schemas.openxmlformats.org/officeDocument/2006/relationships/hyperlink" Target="https://heliogaia.de/Solare_Fl&#228;chenpotenziale_Berlin_k806.pdf" TargetMode="External"/><Relationship Id="rId41" Type="http://schemas.openxmlformats.org/officeDocument/2006/relationships/hyperlink" Target="https://heliogaia.de/Gr&#252;nd&#228;cher_Berlin_Ausgabe_2017_k611.pdf" TargetMode="External"/><Relationship Id="rId42" Type="http://schemas.openxmlformats.org/officeDocument/2006/relationships/hyperlink" Target="https://www.heizspiegel.de/heizkosten-senken/heizungswartung/" TargetMode="External"/><Relationship Id="rId43" Type="http://schemas.openxmlformats.org/officeDocument/2006/relationships/hyperlink" Target="https://www.statistik-berlin-brandenburg.de/BasisZeitreiheGrafik/Bas-Mikrozensus.asp?Ptyp=300&amp;Sageb=12011&amp;creg=BBB&amp;anzwer=5" TargetMode="External"/><Relationship Id="rId4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39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pane xSplit="0" ySplit="3" topLeftCell="A4" activePane="bottomLeft" state="frozen"/>
      <selection pane="topLeft" activeCell="S1" activeCellId="0" sqref="S1"/>
      <selection pane="bottomLeft" activeCell="Y5" activeCellId="0" sqref="Y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12"/>
    <col collapsed="false" customWidth="true" hidden="false" outlineLevel="0" max="2" min="2" style="1" width="4.83"/>
    <col collapsed="false" customWidth="true" hidden="false" outlineLevel="0" max="3" min="3" style="1" width="8.21"/>
    <col collapsed="false" customWidth="true" hidden="false" outlineLevel="0" max="4" min="4" style="2" width="8.33"/>
    <col collapsed="false" customWidth="true" hidden="false" outlineLevel="0" max="5" min="5" style="1" width="7.92"/>
    <col collapsed="false" customWidth="true" hidden="false" outlineLevel="0" max="8" min="6" style="1" width="7.87"/>
    <col collapsed="false" customWidth="true" hidden="false" outlineLevel="0" max="9" min="9" style="1" width="8.1"/>
    <col collapsed="false" customWidth="true" hidden="false" outlineLevel="0" max="10" min="10" style="1" width="8.61"/>
    <col collapsed="false" customWidth="true" hidden="false" outlineLevel="0" max="11" min="11" style="1" width="8.59"/>
    <col collapsed="false" customWidth="true" hidden="false" outlineLevel="0" max="12" min="12" style="1" width="8.79"/>
    <col collapsed="false" customWidth="true" hidden="false" outlineLevel="0" max="13" min="13" style="1" width="8.84"/>
    <col collapsed="false" customWidth="true" hidden="false" outlineLevel="0" max="14" min="14" style="1" width="7.36"/>
    <col collapsed="false" customWidth="true" hidden="false" outlineLevel="0" max="15" min="15" style="2" width="8.71"/>
    <col collapsed="false" customWidth="true" hidden="false" outlineLevel="0" max="16" min="16" style="1" width="7.49"/>
    <col collapsed="false" customWidth="true" hidden="false" outlineLevel="0" max="17" min="17" style="1" width="7.78"/>
    <col collapsed="false" customWidth="true" hidden="false" outlineLevel="0" max="18" min="18" style="1" width="7.45"/>
    <col collapsed="false" customWidth="false" hidden="false" outlineLevel="0" max="19" min="19" style="1" width="11.53"/>
    <col collapsed="false" customWidth="true" hidden="false" outlineLevel="0" max="20" min="20" style="1" width="2.86"/>
    <col collapsed="false" customWidth="true" hidden="false" outlineLevel="0" max="21" min="21" style="1" width="47.93"/>
    <col collapsed="false" customWidth="true" hidden="false" outlineLevel="0" max="22" min="22" style="1" width="7.64"/>
    <col collapsed="false" customWidth="true" hidden="false" outlineLevel="0" max="23" min="23" style="1" width="7.95"/>
    <col collapsed="false" customWidth="true" hidden="false" outlineLevel="0" max="24" min="24" style="3" width="56.55"/>
    <col collapsed="false" customWidth="true" hidden="false" outlineLevel="0" max="25" min="25" style="3" width="38.76"/>
    <col collapsed="false" customWidth="false" hidden="false" outlineLevel="0" max="64" min="26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5"/>
      <c r="G1" s="5"/>
      <c r="H1" s="5"/>
      <c r="I1" s="5"/>
      <c r="J1" s="5"/>
      <c r="K1" s="6"/>
      <c r="L1" s="6"/>
      <c r="M1" s="6"/>
      <c r="N1" s="6"/>
      <c r="O1" s="6"/>
      <c r="P1" s="6" t="s">
        <v>1</v>
      </c>
      <c r="Q1" s="7"/>
      <c r="R1" s="7"/>
      <c r="S1" s="8" t="s">
        <v>2</v>
      </c>
      <c r="T1" s="9"/>
      <c r="U1" s="10" t="s">
        <v>1</v>
      </c>
      <c r="V1" s="11"/>
      <c r="W1" s="9"/>
      <c r="X1" s="12"/>
      <c r="Y1" s="12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</row>
    <row r="2" s="25" customFormat="true" ht="83.85" hidden="false" customHeight="true" outlineLevel="0" collapsed="false">
      <c r="A2" s="14" t="s">
        <v>3</v>
      </c>
      <c r="B2" s="15" t="s">
        <v>4</v>
      </c>
      <c r="C2" s="16" t="s">
        <v>5</v>
      </c>
      <c r="D2" s="17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9" t="s">
        <v>11</v>
      </c>
      <c r="J2" s="19" t="s">
        <v>12</v>
      </c>
      <c r="K2" s="20" t="s">
        <v>13</v>
      </c>
      <c r="L2" s="21" t="s">
        <v>14</v>
      </c>
      <c r="M2" s="21" t="s">
        <v>15</v>
      </c>
      <c r="N2" s="21" t="s">
        <v>16</v>
      </c>
      <c r="O2" s="21" t="s">
        <v>17</v>
      </c>
      <c r="P2" s="22" t="s">
        <v>18</v>
      </c>
      <c r="Q2" s="23" t="s">
        <v>19</v>
      </c>
      <c r="R2" s="23" t="s">
        <v>20</v>
      </c>
      <c r="S2" s="24" t="s">
        <v>21</v>
      </c>
      <c r="U2" s="25" t="s">
        <v>22</v>
      </c>
      <c r="V2" s="26" t="s">
        <v>23</v>
      </c>
      <c r="W2" s="25" t="s">
        <v>24</v>
      </c>
      <c r="X2" s="25" t="s">
        <v>25</v>
      </c>
      <c r="Y2" s="25" t="s">
        <v>25</v>
      </c>
      <c r="AMD2" s="27"/>
      <c r="AME2" s="27"/>
      <c r="AMF2" s="27"/>
      <c r="AMG2" s="27"/>
      <c r="AMH2" s="27"/>
      <c r="AMI2" s="27"/>
      <c r="AMJ2" s="27"/>
    </row>
    <row r="3" s="36" customFormat="true" ht="11.95" hidden="false" customHeight="true" outlineLevel="0" collapsed="false">
      <c r="A3" s="28"/>
      <c r="B3" s="7"/>
      <c r="C3" s="29" t="s">
        <v>26</v>
      </c>
      <c r="D3" s="29" t="s">
        <v>26</v>
      </c>
      <c r="E3" s="29" t="s">
        <v>26</v>
      </c>
      <c r="F3" s="29" t="s">
        <v>26</v>
      </c>
      <c r="G3" s="29" t="s">
        <v>27</v>
      </c>
      <c r="H3" s="29" t="s">
        <v>27</v>
      </c>
      <c r="I3" s="29" t="s">
        <v>26</v>
      </c>
      <c r="J3" s="29" t="s">
        <v>26</v>
      </c>
      <c r="K3" s="30" t="s">
        <v>27</v>
      </c>
      <c r="L3" s="30" t="s">
        <v>26</v>
      </c>
      <c r="M3" s="30" t="s">
        <v>26</v>
      </c>
      <c r="N3" s="30" t="s">
        <v>26</v>
      </c>
      <c r="O3" s="30" t="s">
        <v>26</v>
      </c>
      <c r="P3" s="29" t="s">
        <v>26</v>
      </c>
      <c r="Q3" s="29" t="s">
        <v>28</v>
      </c>
      <c r="R3" s="31" t="s">
        <v>29</v>
      </c>
      <c r="S3" s="1" t="s">
        <v>29</v>
      </c>
      <c r="T3" s="32"/>
      <c r="U3" s="33" t="s">
        <v>30</v>
      </c>
      <c r="V3" s="34"/>
      <c r="W3" s="33"/>
      <c r="X3" s="33"/>
      <c r="Y3" s="35"/>
      <c r="AMD3" s="0"/>
      <c r="AME3" s="0"/>
      <c r="AMF3" s="0"/>
      <c r="AMG3" s="0"/>
      <c r="AMH3" s="0"/>
      <c r="AMI3" s="0"/>
      <c r="AMJ3" s="0"/>
    </row>
    <row r="4" s="46" customFormat="true" ht="12.8" hidden="false" customHeight="false" outlineLevel="0" collapsed="false">
      <c r="A4" s="1" t="n">
        <v>0</v>
      </c>
      <c r="B4" s="37" t="n">
        <v>43545</v>
      </c>
      <c r="C4" s="38" t="n">
        <f aca="false">V$26-V$26*SIN(2*PI()/365*A4)</f>
        <v>14.1595999130246</v>
      </c>
      <c r="D4" s="2" t="n">
        <f aca="false">IF((E4+F4)&gt;C4,C4,E4+F4)</f>
        <v>14.1595999130246</v>
      </c>
      <c r="E4" s="38" t="n">
        <f aca="false">(V$23+V$24*SIN(2*PI()/365*A4))*V$25/100*V$7*V$8/100</f>
        <v>14.0834863596446</v>
      </c>
      <c r="F4" s="38" t="n">
        <f aca="false">(V$23+V$24*SIN(2*PI()/365*A4))*V$25/100*V$9*(1-V$14/100)*(1-V$16/100)</f>
        <v>2.98253406226878</v>
      </c>
      <c r="G4" s="38" t="n">
        <f aca="false">IF(C4&gt;E4,100,C4/E4*100)</f>
        <v>100</v>
      </c>
      <c r="H4" s="38" t="n">
        <f aca="false">L4/F4*100</f>
        <v>2.55197599728657</v>
      </c>
      <c r="I4" s="38" t="n">
        <f aca="false">(V$23+V$24*SIN(2*PI()/365*A4))*V$25/100*V$7*V$8/100*(1-V$15/100)</f>
        <v>12.5343028600837</v>
      </c>
      <c r="J4" s="38" t="n">
        <f aca="false">(V$23+V$24*SIN(2*PI()/365*A4))*V$25/100*V$9*(1-V$14/100)</f>
        <v>3.35116186771773</v>
      </c>
      <c r="K4" s="39" t="n">
        <f aca="false">IF(E4/C4*100&lt;100,E4/C4*100,100)</f>
        <v>99.462459717453</v>
      </c>
      <c r="L4" s="2" t="n">
        <f aca="false">IF(((C4-E4)&gt;0)AND(F4&gt;(C4-E4)),(C4-E4),IF(C4&lt;E4,0,F4))</f>
        <v>0.0761135533799955</v>
      </c>
      <c r="M4" s="2" t="n">
        <f aca="false">IF(C4&lt;(E4+F4),0,C4-E4-F4)</f>
        <v>0</v>
      </c>
      <c r="N4" s="2" t="n">
        <f aca="false">IF(C4&lt;(E4+F4),0,(C4-E4-F4)/(1-V$16/100))</f>
        <v>0</v>
      </c>
      <c r="O4" s="2" t="n">
        <f aca="false">L4+M4</f>
        <v>0.0761135533799955</v>
      </c>
      <c r="P4" s="2" t="n">
        <f aca="false">IF( N4=0,I4*(1-G4/100)+J4*(1-H4/100),-N4)</f>
        <v>3.26564102122336</v>
      </c>
      <c r="Q4" s="1" t="n">
        <v>0</v>
      </c>
      <c r="R4" s="1" t="n">
        <f aca="false">V$17</f>
        <v>40</v>
      </c>
      <c r="S4" s="40" t="n">
        <f aca="false">R191</f>
        <v>79.9540007622342</v>
      </c>
      <c r="T4" s="41" t="n">
        <v>4</v>
      </c>
      <c r="U4" s="42" t="s">
        <v>31</v>
      </c>
      <c r="V4" s="43" t="n">
        <v>3644826</v>
      </c>
      <c r="W4" s="41" t="s">
        <v>32</v>
      </c>
      <c r="X4" s="44" t="s">
        <v>33</v>
      </c>
      <c r="Y4" s="45"/>
      <c r="AMD4" s="0"/>
      <c r="AME4" s="0"/>
      <c r="AMF4" s="0"/>
      <c r="AMG4" s="0"/>
      <c r="AMH4" s="0"/>
      <c r="AMI4" s="0"/>
      <c r="AMJ4" s="0"/>
    </row>
    <row r="5" s="46" customFormat="true" ht="12.8" hidden="false" customHeight="false" outlineLevel="0" collapsed="false">
      <c r="A5" s="1" t="n">
        <v>1</v>
      </c>
      <c r="B5" s="37" t="n">
        <v>43546</v>
      </c>
      <c r="C5" s="38" t="n">
        <f aca="false">V$26-V$26*SIN(2*PI()/365*A5)</f>
        <v>13.9158656766976</v>
      </c>
      <c r="D5" s="2" t="n">
        <f aca="false">IF((E5+F5)&gt;C5,C5,E5+F5)</f>
        <v>13.9158656766976</v>
      </c>
      <c r="E5" s="38" t="n">
        <f aca="false">(V$23+V$24*SIN(2*PI()/365*A5))*V$25/100*V$7*V$8/100</f>
        <v>14.2881823718413</v>
      </c>
      <c r="F5" s="38" t="n">
        <f aca="false">(V$23+V$24*SIN(2*PI()/365*A5))*V$25/100*V$9*(1-V$14/100)*(1-V$16/100)</f>
        <v>3.02588361458821</v>
      </c>
      <c r="G5" s="38" t="n">
        <f aca="false">IF(C5&gt;E5,100,C5/E5*100)</f>
        <v>97.3942333219548</v>
      </c>
      <c r="H5" s="38" t="n">
        <f aca="false">L5/F5*100</f>
        <v>0</v>
      </c>
      <c r="I5" s="38" t="n">
        <f aca="false">(V$23+V$24*SIN(2*PI()/365*A5))*V$25/100*V$7*V$8/100*(1-V$15/100)</f>
        <v>12.7164823109388</v>
      </c>
      <c r="J5" s="38" t="n">
        <f aca="false">(V$23+V$24*SIN(2*PI()/365*A5))*V$25/100*V$9*(1-V$14/100)</f>
        <v>3.3998692298744</v>
      </c>
      <c r="K5" s="39" t="n">
        <f aca="false">IF(E5/C5*100&lt;100,E5/C5*100,100)</f>
        <v>100</v>
      </c>
      <c r="L5" s="2" t="n">
        <f aca="false">IF(((C5-E5)&gt;0)AND(F5&gt;(C5-E5)),(C5-E5),IF(C5&lt;E5,0,F5))</f>
        <v>0</v>
      </c>
      <c r="M5" s="2" t="n">
        <f aca="false">IF(C5&lt;(E5+F5),0,C5-E5-F5)</f>
        <v>0</v>
      </c>
      <c r="N5" s="2" t="n">
        <f aca="false">IF(C5&lt;(E5+F5),0,(C5-E5-F5)/(1-V$16/100))</f>
        <v>0</v>
      </c>
      <c r="O5" s="2" t="n">
        <f aca="false">L5+M5</f>
        <v>0</v>
      </c>
      <c r="P5" s="2" t="n">
        <f aca="false">IF( N5=0,I5*(1-G5/100)+J5*(1-H5/100),-N5)</f>
        <v>3.73123108855236</v>
      </c>
      <c r="Q5" s="47" t="n">
        <f aca="false">IF(P4&gt;0,Q4+P4*(1-V$20/100),Q4+P4)</f>
        <v>3.03704614973772</v>
      </c>
      <c r="R5" s="48" t="n">
        <f aca="false">R$4+Q5/V$28</f>
        <v>40.0359237588637</v>
      </c>
      <c r="S5" s="40" t="n">
        <f aca="false">R365</f>
        <v>42.6766114545738</v>
      </c>
      <c r="T5" s="41" t="n">
        <v>5</v>
      </c>
      <c r="U5" s="42" t="s">
        <v>34</v>
      </c>
      <c r="V5" s="49" t="n">
        <v>80</v>
      </c>
      <c r="W5" s="41" t="s">
        <v>35</v>
      </c>
      <c r="X5" s="50" t="s">
        <v>36</v>
      </c>
      <c r="Y5" s="45" t="s">
        <v>37</v>
      </c>
      <c r="AMD5" s="0"/>
      <c r="AME5" s="0"/>
      <c r="AMF5" s="0"/>
      <c r="AMG5" s="0"/>
      <c r="AMH5" s="0"/>
      <c r="AMI5" s="0"/>
      <c r="AMJ5" s="0"/>
    </row>
    <row r="6" s="46" customFormat="true" ht="12.8" hidden="false" customHeight="false" outlineLevel="0" collapsed="false">
      <c r="A6" s="1" t="n">
        <v>2</v>
      </c>
      <c r="B6" s="37" t="n">
        <v>43547</v>
      </c>
      <c r="C6" s="38" t="n">
        <f aca="false">V$26-V$26*SIN(2*PI()/365*A6)</f>
        <v>13.672203664085</v>
      </c>
      <c r="D6" s="2" t="n">
        <f aca="false">IF((E6+F6)&gt;C6,C6,E6+F6)</f>
        <v>13.672203664085</v>
      </c>
      <c r="E6" s="38" t="n">
        <f aca="false">(V$23+V$24*SIN(2*PI()/365*A6))*V$25/100*V$7*V$8/100</f>
        <v>14.492817728192</v>
      </c>
      <c r="F6" s="38" t="n">
        <f aca="false">(V$23+V$24*SIN(2*PI()/365*A6))*V$25/100*V$9*(1-V$14/100)*(1-V$16/100)</f>
        <v>3.06922032149973</v>
      </c>
      <c r="G6" s="38" t="n">
        <f aca="false">IF(C6&gt;E6,100,C6/E6*100)</f>
        <v>94.3377880030141</v>
      </c>
      <c r="H6" s="38" t="n">
        <f aca="false">L6/F6*100</f>
        <v>0</v>
      </c>
      <c r="I6" s="38" t="n">
        <f aca="false">(V$23+V$24*SIN(2*PI()/365*A6))*V$25/100*V$7*V$8/100*(1-V$15/100)</f>
        <v>12.8986077780909</v>
      </c>
      <c r="J6" s="38" t="n">
        <f aca="false">(V$23+V$24*SIN(2*PI()/365*A6))*V$25/100*V$9*(1-V$14/100)</f>
        <v>3.44856215898846</v>
      </c>
      <c r="K6" s="39" t="n">
        <f aca="false">IF(E6/C6*100&lt;100,E6/C6*100,100)</f>
        <v>100</v>
      </c>
      <c r="L6" s="2" t="n">
        <f aca="false">IF(((C6-E6)&gt;0)AND(F6&gt;(C6-E6)),(C6-E6),IF(C6&lt;E6,0,F6))</f>
        <v>0</v>
      </c>
      <c r="M6" s="2" t="n">
        <f aca="false">IF(C6&lt;(E6+F6),0,C6-E6-F6)</f>
        <v>0</v>
      </c>
      <c r="N6" s="2" t="n">
        <f aca="false">IF(C6&lt;(E6+F6),0,(C6-E6-F6)/(1-V$16/100))</f>
        <v>0</v>
      </c>
      <c r="O6" s="2" t="n">
        <f aca="false">L6+M6</f>
        <v>0</v>
      </c>
      <c r="P6" s="2" t="n">
        <f aca="false">IF( N6=0,I6*(1-G6/100)+J6*(1-H6/100),-N6)</f>
        <v>4.17890867604369</v>
      </c>
      <c r="Q6" s="47" t="n">
        <f aca="false">IF(P5&gt;0,Q5+P5*(1-V$20/100),Q5+P5)</f>
        <v>6.50709106209141</v>
      </c>
      <c r="R6" s="48" t="n">
        <f aca="false">R$4+Q6/V$28</f>
        <v>40.0769692519289</v>
      </c>
      <c r="S6" s="51" t="n">
        <f aca="false">R557</f>
        <v>82.7221462627234</v>
      </c>
      <c r="T6" s="41" t="n">
        <v>6</v>
      </c>
      <c r="U6" s="42" t="s">
        <v>38</v>
      </c>
      <c r="V6" s="52" t="n">
        <f aca="false">t!D29/(1-t!D30/100)</f>
        <v>64.6031746031746</v>
      </c>
      <c r="W6" s="41" t="s">
        <v>39</v>
      </c>
      <c r="X6" s="42" t="s">
        <v>40</v>
      </c>
      <c r="Y6" s="42" t="s">
        <v>41</v>
      </c>
      <c r="AMD6" s="0"/>
      <c r="AME6" s="0"/>
      <c r="AMF6" s="0"/>
      <c r="AMG6" s="0"/>
      <c r="AMH6" s="0"/>
      <c r="AMI6" s="0"/>
      <c r="AMJ6" s="0"/>
    </row>
    <row r="7" s="46" customFormat="true" ht="12.8" hidden="false" customHeight="false" outlineLevel="0" collapsed="false">
      <c r="A7" s="1" t="n">
        <v>3</v>
      </c>
      <c r="B7" s="37" t="n">
        <v>43548</v>
      </c>
      <c r="C7" s="38" t="n">
        <f aca="false">V$26-V$26*SIN(2*PI()/365*A7)</f>
        <v>13.4286860774998</v>
      </c>
      <c r="D7" s="2" t="n">
        <f aca="false">IF((E7+F7)&gt;C7,C7,E7+F7)</f>
        <v>13.4286860774998</v>
      </c>
      <c r="E7" s="38" t="n">
        <f aca="false">(V$23+V$24*SIN(2*PI()/365*A7))*V$25/100*V$7*V$8/100</f>
        <v>14.697331790824</v>
      </c>
      <c r="F7" s="38" t="n">
        <f aca="false">(V$23+V$24*SIN(2*PI()/365*A7))*V$25/100*V$9*(1-V$14/100)*(1-V$16/100)</f>
        <v>3.1125313414018</v>
      </c>
      <c r="G7" s="38" t="n">
        <f aca="false">IF(C7&gt;E7,100,C7/E7*100)</f>
        <v>91.3681902852854</v>
      </c>
      <c r="H7" s="38" t="n">
        <f aca="false">L7/F7*100</f>
        <v>0</v>
      </c>
      <c r="I7" s="38" t="n">
        <f aca="false">(V$23+V$24*SIN(2*PI()/365*A7))*V$25/100*V$7*V$8/100*(1-V$15/100)</f>
        <v>13.0806252938334</v>
      </c>
      <c r="J7" s="38" t="n">
        <f aca="false">(V$23+V$24*SIN(2*PI()/365*A7))*V$25/100*V$9*(1-V$14/100)</f>
        <v>3.49722622629416</v>
      </c>
      <c r="K7" s="39" t="n">
        <f aca="false">IF(E7/C7*100&lt;100,E7/C7*100,100)</f>
        <v>100</v>
      </c>
      <c r="L7" s="2" t="n">
        <f aca="false">IF(((C7-E7)&gt;0)AND(F7&gt;(C7-E7)),(C7-E7),IF(C7&lt;E7,0,F7))</f>
        <v>0</v>
      </c>
      <c r="M7" s="2" t="n">
        <f aca="false">IF(C7&lt;(E7+F7),0,C7-E7-F7)</f>
        <v>0</v>
      </c>
      <c r="N7" s="2" t="n">
        <f aca="false">IF(C7&lt;(E7+F7),0,(C7-E7-F7)/(1-V$16/100))</f>
        <v>0</v>
      </c>
      <c r="O7" s="2" t="n">
        <f aca="false">L7+M7</f>
        <v>0</v>
      </c>
      <c r="P7" s="2" t="n">
        <f aca="false">IF( N7=0,I7*(1-G7/100)+J7*(1-H7/100),-N7)</f>
        <v>4.62632091115268</v>
      </c>
      <c r="Q7" s="47" t="n">
        <f aca="false">IF(P6&gt;0,Q6+P6*(1-V$20/100),Q6+P6)</f>
        <v>10.393476130812</v>
      </c>
      <c r="R7" s="48" t="n">
        <f aca="false">R$4+Q7/V$28</f>
        <v>40.1229394325507</v>
      </c>
      <c r="S7" s="51" t="n">
        <f aca="false">R729</f>
        <v>45.4305928560424</v>
      </c>
      <c r="T7" s="41" t="n">
        <v>7</v>
      </c>
      <c r="U7" s="42" t="s">
        <v>42</v>
      </c>
      <c r="V7" s="53" t="n">
        <v>13.78</v>
      </c>
      <c r="W7" s="54" t="s">
        <v>43</v>
      </c>
      <c r="X7" s="55" t="s">
        <v>44</v>
      </c>
      <c r="Y7" s="45" t="s">
        <v>45</v>
      </c>
      <c r="AMD7" s="0"/>
      <c r="AME7" s="0"/>
      <c r="AMF7" s="0"/>
      <c r="AMG7" s="0"/>
      <c r="AMH7" s="0"/>
      <c r="AMI7" s="0"/>
      <c r="AMJ7" s="0"/>
    </row>
    <row r="8" s="46" customFormat="true" ht="12.8" hidden="false" customHeight="false" outlineLevel="0" collapsed="false">
      <c r="A8" s="1" t="n">
        <v>4</v>
      </c>
      <c r="B8" s="37" t="n">
        <v>43549</v>
      </c>
      <c r="C8" s="38" t="n">
        <f aca="false">V$26-V$26*SIN(2*PI()/365*A8)</f>
        <v>13.1853850764586</v>
      </c>
      <c r="D8" s="2" t="n">
        <f aca="false">IF((E8+F8)&gt;C8,C8,E8+F8)</f>
        <v>13.1853850764586</v>
      </c>
      <c r="E8" s="38" t="n">
        <f aca="false">(V$23+V$24*SIN(2*PI()/365*A8))*V$25/100*V$7*V$8/100</f>
        <v>14.9016639578069</v>
      </c>
      <c r="F8" s="38" t="n">
        <f aca="false">(V$23+V$24*SIN(2*PI()/365*A8))*V$25/100*V$9*(1-V$14/100)*(1-V$16/100)</f>
        <v>3.15580384030449</v>
      </c>
      <c r="G8" s="38" t="n">
        <f aca="false">IF(C8&gt;E8,100,C8/E8*100)</f>
        <v>88.4826359914712</v>
      </c>
      <c r="H8" s="38" t="n">
        <f aca="false">L8/F8*100</f>
        <v>0</v>
      </c>
      <c r="I8" s="38" t="n">
        <f aca="false">(V$23+V$24*SIN(2*PI()/365*A8))*V$25/100*V$7*V$8/100*(1-V$15/100)</f>
        <v>13.2624809224482</v>
      </c>
      <c r="J8" s="38" t="n">
        <f aca="false">(V$23+V$24*SIN(2*PI()/365*A8))*V$25/100*V$9*(1-V$14/100)</f>
        <v>3.54584701157807</v>
      </c>
      <c r="K8" s="39" t="n">
        <f aca="false">IF(E8/C8*100&lt;100,E8/C8*100,100)</f>
        <v>100</v>
      </c>
      <c r="L8" s="2" t="n">
        <f aca="false">IF(((C8-E8)&gt;0)AND(F8&gt;(C8-E8)),(C8-E8),IF(C8&lt;E8,0,F8))</f>
        <v>0</v>
      </c>
      <c r="M8" s="2" t="n">
        <f aca="false">IF(C8&lt;(E8+F8),0,C8-E8-F8)</f>
        <v>0</v>
      </c>
      <c r="N8" s="2" t="n">
        <f aca="false">IF(C8&lt;(E8+F8),0,(C8-E8-F8)/(1-V$16/100))</f>
        <v>0</v>
      </c>
      <c r="O8" s="2" t="n">
        <f aca="false">L8+M8</f>
        <v>0</v>
      </c>
      <c r="P8" s="2" t="n">
        <f aca="false">IF( N8=0,I8*(1-G8/100)+J8*(1-H8/100),-N8)</f>
        <v>5.07333521597811</v>
      </c>
      <c r="Q8" s="47" t="n">
        <f aca="false">IF(P7&gt;0,Q7+P7*(1-V$20/100),Q7+P7)</f>
        <v>14.695954578184</v>
      </c>
      <c r="R8" s="48" t="n">
        <f aca="false">R$4+Q8/V$28</f>
        <v>40.1738313817142</v>
      </c>
      <c r="S8" s="1"/>
      <c r="T8" s="41" t="n">
        <v>8</v>
      </c>
      <c r="U8" s="42" t="s">
        <v>46</v>
      </c>
      <c r="V8" s="53" t="n">
        <v>95</v>
      </c>
      <c r="W8" s="54" t="s">
        <v>27</v>
      </c>
      <c r="X8" s="42" t="s">
        <v>47</v>
      </c>
      <c r="Y8" s="45"/>
      <c r="AMD8" s="0"/>
      <c r="AME8" s="0"/>
      <c r="AMF8" s="0"/>
      <c r="AMG8" s="0"/>
      <c r="AMH8" s="0"/>
      <c r="AMI8" s="0"/>
      <c r="AMJ8" s="0"/>
    </row>
    <row r="9" s="46" customFormat="true" ht="12.8" hidden="false" customHeight="false" outlineLevel="0" collapsed="false">
      <c r="A9" s="1" t="n">
        <v>5</v>
      </c>
      <c r="B9" s="37" t="n">
        <v>43550</v>
      </c>
      <c r="C9" s="38" t="n">
        <f aca="false">V$26-V$26*SIN(2*PI()/365*A9)</f>
        <v>12.9423727562986</v>
      </c>
      <c r="D9" s="2" t="n">
        <f aca="false">IF((E9+F9)&gt;C9,C9,E9+F9)</f>
        <v>12.9423727562986</v>
      </c>
      <c r="E9" s="38" t="n">
        <f aca="false">(V$23+V$24*SIN(2*PI()/365*A9))*V$25/100*V$7*V$8/100</f>
        <v>15.1057536811098</v>
      </c>
      <c r="F9" s="38" t="n">
        <f aca="false">(V$23+V$24*SIN(2*PI()/365*A9))*V$25/100*V$9*(1-V$14/100)*(1-V$16/100)</f>
        <v>3.19902499563247</v>
      </c>
      <c r="G9" s="38" t="n">
        <f aca="false">IF(C9&gt;E9,100,C9/E9*100)</f>
        <v>85.6784310767856</v>
      </c>
      <c r="H9" s="38" t="n">
        <f aca="false">L9/F9*100</f>
        <v>0</v>
      </c>
      <c r="I9" s="38" t="n">
        <f aca="false">(V$23+V$24*SIN(2*PI()/365*A9))*V$25/100*V$7*V$8/100*(1-V$15/100)</f>
        <v>13.4441207761877</v>
      </c>
      <c r="J9" s="38" t="n">
        <f aca="false">(V$23+V$24*SIN(2*PI()/365*A9))*V$25/100*V$9*(1-V$14/100)</f>
        <v>3.59441010745222</v>
      </c>
      <c r="K9" s="39" t="n">
        <f aca="false">IF(E9/C9*100&lt;100,E9/C9*100,100)</f>
        <v>100</v>
      </c>
      <c r="L9" s="2" t="n">
        <f aca="false">IF(((C9-E9)&gt;0)AND(F9&gt;(C9-E9)),(C9-E9),IF(C9&lt;E9,0,F9))</f>
        <v>0</v>
      </c>
      <c r="M9" s="2" t="n">
        <f aca="false">IF(C9&lt;(E9+F9),0,C9-E9-F9)</f>
        <v>0</v>
      </c>
      <c r="N9" s="2" t="n">
        <f aca="false">IF(C9&lt;(E9+F9),0,(C9-E9-F9)/(1-V$16/100))</f>
        <v>0</v>
      </c>
      <c r="O9" s="2" t="n">
        <f aca="false">L9+M9</f>
        <v>0</v>
      </c>
      <c r="P9" s="2" t="n">
        <f aca="false">IF( N9=0,I9*(1-G9/100)+J9*(1-H9/100),-N9)</f>
        <v>5.51981913053413</v>
      </c>
      <c r="Q9" s="47" t="n">
        <f aca="false">IF(P8&gt;0,Q8+P8*(1-V$20/100),Q8+P8)</f>
        <v>19.4141563290437</v>
      </c>
      <c r="R9" s="48" t="n">
        <f aca="false">R$4+Q9/V$28</f>
        <v>40.2296407219782</v>
      </c>
      <c r="S9" s="56" t="s">
        <v>48</v>
      </c>
      <c r="T9" s="41" t="n">
        <v>9</v>
      </c>
      <c r="U9" s="42" t="s">
        <v>49</v>
      </c>
      <c r="V9" s="53" t="n">
        <v>3.5</v>
      </c>
      <c r="W9" s="54" t="s">
        <v>43</v>
      </c>
      <c r="X9" s="42" t="s">
        <v>50</v>
      </c>
      <c r="Y9" s="45"/>
      <c r="AMD9" s="0"/>
      <c r="AME9" s="0"/>
      <c r="AMF9" s="0"/>
      <c r="AMG9" s="0"/>
      <c r="AMH9" s="0"/>
      <c r="AMI9" s="0"/>
      <c r="AMJ9" s="0"/>
    </row>
    <row r="10" s="46" customFormat="true" ht="12.8" hidden="false" customHeight="false" outlineLevel="0" collapsed="false">
      <c r="A10" s="1" t="n">
        <v>6</v>
      </c>
      <c r="B10" s="37" t="n">
        <v>43551</v>
      </c>
      <c r="C10" s="38" t="n">
        <f aca="false">V$26-V$26*SIN(2*PI()/365*A10)</f>
        <v>12.6997211268152</v>
      </c>
      <c r="D10" s="2" t="n">
        <f aca="false">IF((E10+F10)&gt;C10,C10,E10+F10)</f>
        <v>12.6997211268152</v>
      </c>
      <c r="E10" s="38" t="n">
        <f aca="false">(V$23+V$24*SIN(2*PI()/365*A10))*V$25/100*V$7*V$8/100</f>
        <v>15.309540484543</v>
      </c>
      <c r="F10" s="38" t="n">
        <f aca="false">(V$23+V$24*SIN(2*PI()/365*A10))*V$25/100*V$9*(1-V$14/100)*(1-V$16/100)</f>
        <v>3.24218200002465</v>
      </c>
      <c r="G10" s="38" t="n">
        <f aca="false">IF(C10&gt;E10,100,C10/E10*100)</f>
        <v>82.9529869928968</v>
      </c>
      <c r="H10" s="38" t="n">
        <f aca="false">L10/F10*100</f>
        <v>0</v>
      </c>
      <c r="I10" s="38" t="n">
        <f aca="false">(V$23+V$24*SIN(2*PI()/365*A10))*V$25/100*V$7*V$8/100*(1-V$15/100)</f>
        <v>13.6254910312432</v>
      </c>
      <c r="J10" s="38" t="n">
        <f aca="false">(V$23+V$24*SIN(2*PI()/365*A10))*V$25/100*V$9*(1-V$14/100)</f>
        <v>3.6429011236232</v>
      </c>
      <c r="K10" s="39" t="n">
        <f aca="false">IF(E10/C10*100&lt;100,E10/C10*100,100)</f>
        <v>100</v>
      </c>
      <c r="L10" s="2" t="n">
        <f aca="false">IF(((C10-E10)&gt;0)AND(F10&gt;(C10-E10)),(C10-E10),IF(C10&lt;E10,0,F10))</f>
        <v>0</v>
      </c>
      <c r="M10" s="2" t="n">
        <f aca="false">IF(C10&lt;(E10+F10),0,C10-E10-F10)</f>
        <v>0</v>
      </c>
      <c r="N10" s="2" t="n">
        <f aca="false">IF(C10&lt;(E10+F10),0,(C10-E10-F10)/(1-V$16/100))</f>
        <v>0</v>
      </c>
      <c r="O10" s="2" t="n">
        <f aca="false">L10+M10</f>
        <v>0</v>
      </c>
      <c r="P10" s="2" t="n">
        <f aca="false">IF( N10=0,I10*(1-G10/100)+J10*(1-H10/100),-N10)</f>
        <v>5.96564035200092</v>
      </c>
      <c r="Q10" s="47" t="n">
        <f aca="false">IF(P9&gt;0,Q9+P9*(1-V$20/100),Q9+P9)</f>
        <v>24.5475881204404</v>
      </c>
      <c r="R10" s="48" t="n">
        <f aca="false">R$4+Q10/V$28</f>
        <v>40.2903616187725</v>
      </c>
      <c r="S10" s="57" t="n">
        <f aca="false">t!D204</f>
        <v>588.135962654941</v>
      </c>
      <c r="T10" s="41" t="n">
        <v>10</v>
      </c>
      <c r="U10" s="58" t="s">
        <v>51</v>
      </c>
      <c r="V10" s="53" t="n">
        <v>13</v>
      </c>
      <c r="W10" s="41" t="s">
        <v>52</v>
      </c>
      <c r="X10" s="59" t="s">
        <v>53</v>
      </c>
      <c r="Y10" s="45"/>
      <c r="AMD10" s="0"/>
      <c r="AME10" s="0"/>
      <c r="AMF10" s="0"/>
      <c r="AMG10" s="0"/>
      <c r="AMH10" s="0"/>
      <c r="AMI10" s="0"/>
      <c r="AMJ10" s="0"/>
    </row>
    <row r="11" s="46" customFormat="true" ht="12.8" hidden="false" customHeight="false" outlineLevel="0" collapsed="false">
      <c r="A11" s="1" t="n">
        <v>7</v>
      </c>
      <c r="B11" s="37" t="n">
        <v>43552</v>
      </c>
      <c r="C11" s="38" t="n">
        <f aca="false">V$26-V$26*SIN(2*PI()/365*A11)</f>
        <v>12.4575020909228</v>
      </c>
      <c r="D11" s="2" t="n">
        <f aca="false">IF((E11+F11)&gt;C11,C11,E11+F11)</f>
        <v>12.4575020909228</v>
      </c>
      <c r="E11" s="38" t="n">
        <f aca="false">(V$23+V$24*SIN(2*PI()/365*A11))*V$25/100*V$7*V$8/100</f>
        <v>15.5129639816785</v>
      </c>
      <c r="F11" s="38" t="n">
        <f aca="false">(V$23+V$24*SIN(2*PI()/365*A11))*V$25/100*V$9*(1-V$14/100)*(1-V$16/100)</f>
        <v>3.2852620651292</v>
      </c>
      <c r="G11" s="38" t="n">
        <f aca="false">IF(C11&gt;E11,100,C11/E11*100)</f>
        <v>80.3038162509479</v>
      </c>
      <c r="H11" s="38" t="n">
        <f aca="false">L11/F11*100</f>
        <v>0</v>
      </c>
      <c r="I11" s="38" t="n">
        <f aca="false">(V$23+V$24*SIN(2*PI()/365*A11))*V$25/100*V$7*V$8/100*(1-V$15/100)</f>
        <v>13.8065379436939</v>
      </c>
      <c r="J11" s="38" t="n">
        <f aca="false">(V$23+V$24*SIN(2*PI()/365*A11))*V$25/100*V$9*(1-V$14/100)</f>
        <v>3.69130569115641</v>
      </c>
      <c r="K11" s="39" t="n">
        <f aca="false">IF(E11/C11*100&lt;100,E11/C11*100,100)</f>
        <v>100</v>
      </c>
      <c r="L11" s="2" t="n">
        <f aca="false">IF(((C11-E11)&gt;0)AND(F11&gt;(C11-E11)),(C11-E11),IF(C11&lt;E11,0,F11))</f>
        <v>0</v>
      </c>
      <c r="M11" s="2" t="n">
        <f aca="false">IF(C11&lt;(E11+F11),0,C11-E11-F11)</f>
        <v>0</v>
      </c>
      <c r="N11" s="2" t="n">
        <f aca="false">IF(C11&lt;(E11+F11),0,(C11-E11-F11)/(1-V$16/100))</f>
        <v>0</v>
      </c>
      <c r="O11" s="2" t="n">
        <f aca="false">L11+M11</f>
        <v>0</v>
      </c>
      <c r="P11" s="2" t="n">
        <f aca="false">IF( N11=0,I11*(1-G11/100)+J11*(1-H11/100),-N11)</f>
        <v>6.41066677392895</v>
      </c>
      <c r="Q11" s="47" t="n">
        <f aca="false">IF(P10&gt;0,Q10+P10*(1-V$20/100),Q10+P10)</f>
        <v>30.0956336478013</v>
      </c>
      <c r="R11" s="48" t="n">
        <f aca="false">R$4+Q11/V$28</f>
        <v>40.3559867821264</v>
      </c>
      <c r="S11" s="56" t="s">
        <v>54</v>
      </c>
      <c r="T11" s="41" t="n">
        <v>11</v>
      </c>
      <c r="U11" s="58" t="s">
        <v>55</v>
      </c>
      <c r="V11" s="53" t="n">
        <v>166</v>
      </c>
      <c r="W11" s="41" t="s">
        <v>52</v>
      </c>
      <c r="X11" s="59" t="s">
        <v>53</v>
      </c>
      <c r="Y11" s="45"/>
      <c r="AMD11" s="0"/>
      <c r="AME11" s="0"/>
      <c r="AMF11" s="0"/>
      <c r="AMG11" s="0"/>
      <c r="AMH11" s="0"/>
      <c r="AMI11" s="0"/>
      <c r="AMJ11" s="0"/>
    </row>
    <row r="12" s="46" customFormat="true" ht="12.8" hidden="false" customHeight="false" outlineLevel="0" collapsed="false">
      <c r="A12" s="1" t="n">
        <v>8</v>
      </c>
      <c r="B12" s="37" t="n">
        <v>43553</v>
      </c>
      <c r="C12" s="38" t="n">
        <f aca="false">V$26-V$26*SIN(2*PI()/365*A12)</f>
        <v>12.2157874233495</v>
      </c>
      <c r="D12" s="2" t="n">
        <f aca="false">IF((E12+F12)&gt;C12,C12,E12+F12)</f>
        <v>12.2157874233495</v>
      </c>
      <c r="E12" s="38" t="n">
        <f aca="false">(V$23+V$24*SIN(2*PI()/365*A12))*V$25/100*V$7*V$8/100</f>
        <v>15.715963893744</v>
      </c>
      <c r="F12" s="38" t="n">
        <f aca="false">(V$23+V$24*SIN(2*PI()/365*A12))*V$25/100*V$9*(1-V$14/100)*(1-V$16/100)</f>
        <v>3.32825242539311</v>
      </c>
      <c r="G12" s="38" t="n">
        <f aca="false">IF(C12&gt;E12,100,C12/E12*100)</f>
        <v>77.7285281764497</v>
      </c>
      <c r="H12" s="38" t="n">
        <f aca="false">L12/F12*100</f>
        <v>0</v>
      </c>
      <c r="I12" s="38" t="n">
        <f aca="false">(V$23+V$24*SIN(2*PI()/365*A12))*V$25/100*V$7*V$8/100*(1-V$15/100)</f>
        <v>13.9872078654322</v>
      </c>
      <c r="J12" s="38" t="n">
        <f aca="false">(V$23+V$24*SIN(2*PI()/365*A12))*V$25/100*V$9*(1-V$14/100)</f>
        <v>3.73960946673383</v>
      </c>
      <c r="K12" s="39" t="n">
        <f aca="false">IF(E12/C12*100&lt;100,E12/C12*100,100)</f>
        <v>100</v>
      </c>
      <c r="L12" s="2" t="n">
        <f aca="false">IF(((C12-E12)&gt;0)AND(F12&gt;(C12-E12)),(C12-E12),IF(C12&lt;E12,0,F12))</f>
        <v>0</v>
      </c>
      <c r="M12" s="2" t="n">
        <f aca="false">IF(C12&lt;(E12+F12),0,C12-E12-F12)</f>
        <v>0</v>
      </c>
      <c r="N12" s="2" t="n">
        <f aca="false">IF(C12&lt;(E12+F12),0,(C12-E12-F12)/(1-V$16/100))</f>
        <v>0</v>
      </c>
      <c r="O12" s="2" t="n">
        <f aca="false">L12+M12</f>
        <v>0</v>
      </c>
      <c r="P12" s="2" t="n">
        <f aca="false">IF( N12=0,I12*(1-G12/100)+J12*(1-H12/100),-N12)</f>
        <v>6.85476652538496</v>
      </c>
      <c r="Q12" s="47" t="n">
        <f aca="false">IF(P11&gt;0,Q11+P11*(1-V$20/100),Q11+P11)</f>
        <v>36.0575537475552</v>
      </c>
      <c r="R12" s="48" t="n">
        <f aca="false">R$4+Q12/V$28</f>
        <v>40.4265074688294</v>
      </c>
      <c r="S12" s="60" t="s">
        <v>56</v>
      </c>
      <c r="T12" s="41" t="n">
        <v>12</v>
      </c>
      <c r="U12" s="42" t="s">
        <v>57</v>
      </c>
      <c r="V12" s="53" t="n">
        <v>529</v>
      </c>
      <c r="W12" s="41" t="s">
        <v>35</v>
      </c>
      <c r="X12" s="44" t="s">
        <v>58</v>
      </c>
      <c r="Y12" s="42" t="s">
        <v>59</v>
      </c>
      <c r="AMD12" s="0"/>
      <c r="AME12" s="0"/>
      <c r="AMF12" s="0"/>
      <c r="AMG12" s="0"/>
      <c r="AMH12" s="0"/>
      <c r="AMI12" s="0"/>
      <c r="AMJ12" s="0"/>
    </row>
    <row r="13" s="46" customFormat="true" ht="12.8" hidden="false" customHeight="false" outlineLevel="0" collapsed="false">
      <c r="A13" s="1" t="n">
        <v>9</v>
      </c>
      <c r="B13" s="37" t="n">
        <v>43554</v>
      </c>
      <c r="C13" s="38" t="n">
        <f aca="false">V$26-V$26*SIN(2*PI()/365*A13)</f>
        <v>11.9746487493677</v>
      </c>
      <c r="D13" s="2" t="n">
        <f aca="false">IF((E13+F13)&gt;C13,C13,E13+F13)</f>
        <v>11.9746487493677</v>
      </c>
      <c r="E13" s="38" t="n">
        <f aca="false">(V$23+V$24*SIN(2*PI()/365*A13))*V$25/100*V$7*V$8/100</f>
        <v>15.9184800674844</v>
      </c>
      <c r="F13" s="38" t="n">
        <f aca="false">(V$23+V$24*SIN(2*PI()/365*A13))*V$25/100*V$9*(1-V$14/100)*(1-V$16/100)</f>
        <v>3.3711403418448</v>
      </c>
      <c r="G13" s="38" t="n">
        <f aca="false">IF(C13&gt;E13,100,C13/E13*100)</f>
        <v>75.2248248488718</v>
      </c>
      <c r="H13" s="38" t="n">
        <f aca="false">L13/F13*100</f>
        <v>0</v>
      </c>
      <c r="I13" s="38" t="n">
        <f aca="false">(V$23+V$24*SIN(2*PI()/365*A13))*V$25/100*V$7*V$8/100*(1-V$15/100)</f>
        <v>14.1674472600611</v>
      </c>
      <c r="J13" s="38" t="n">
        <f aca="false">(V$23+V$24*SIN(2*PI()/365*A13))*V$25/100*V$9*(1-V$14/100)</f>
        <v>3.78779813690427</v>
      </c>
      <c r="K13" s="39" t="n">
        <f aca="false">IF(E13/C13*100&lt;100,E13/C13*100,100)</f>
        <v>100</v>
      </c>
      <c r="L13" s="2" t="n">
        <f aca="false">IF(((C13-E13)&gt;0)AND(F13&gt;(C13-E13)),(C13-E13),IF(C13&lt;E13,0,F13))</f>
        <v>0</v>
      </c>
      <c r="M13" s="2" t="n">
        <f aca="false">IF(C13&lt;(E13+F13),0,C13-E13-F13)</f>
        <v>0</v>
      </c>
      <c r="N13" s="2" t="n">
        <f aca="false">IF(C13&lt;(E13+F13),0,(C13-E13-F13)/(1-V$16/100))</f>
        <v>0</v>
      </c>
      <c r="O13" s="2" t="n">
        <f aca="false">L13+M13</f>
        <v>0</v>
      </c>
      <c r="P13" s="2" t="n">
        <f aca="false">IF( N13=0,I13*(1-G13/100)+J13*(1-H13/100),-N13)</f>
        <v>7.29780801002813</v>
      </c>
      <c r="Q13" s="47" t="n">
        <f aca="false">IF(P12&gt;0,Q12+P12*(1-V$20/100),Q12+P12)</f>
        <v>42.4324866161632</v>
      </c>
      <c r="R13" s="48" t="n">
        <f aca="false">R$4+Q13/V$28</f>
        <v>40.5019134850218</v>
      </c>
      <c r="S13" s="61" t="n">
        <f aca="false">t!D203</f>
        <v>906.725541734106</v>
      </c>
      <c r="T13" s="41" t="n">
        <v>13</v>
      </c>
      <c r="U13" s="58" t="s">
        <v>60</v>
      </c>
      <c r="V13" s="53" t="n">
        <v>85</v>
      </c>
      <c r="W13" s="41" t="s">
        <v>27</v>
      </c>
      <c r="X13" s="42" t="s">
        <v>50</v>
      </c>
      <c r="Y13" s="45"/>
      <c r="AMD13" s="0"/>
      <c r="AME13" s="0"/>
      <c r="AMF13" s="0"/>
      <c r="AMG13" s="0"/>
      <c r="AMH13" s="0"/>
      <c r="AMI13" s="0"/>
      <c r="AMJ13" s="0"/>
    </row>
    <row r="14" s="46" customFormat="true" ht="12.8" hidden="false" customHeight="false" outlineLevel="0" collapsed="false">
      <c r="A14" s="1" t="n">
        <v>10</v>
      </c>
      <c r="B14" s="37" t="n">
        <v>43555</v>
      </c>
      <c r="C14" s="38" t="n">
        <f aca="false">V$26-V$26*SIN(2*PI()/365*A14)</f>
        <v>11.7341575235708</v>
      </c>
      <c r="D14" s="2" t="n">
        <f aca="false">IF((E14+F14)&gt;C14,C14,E14+F14)</f>
        <v>11.7341575235708</v>
      </c>
      <c r="E14" s="38" t="n">
        <f aca="false">(V$23+V$24*SIN(2*PI()/365*A14))*V$25/100*V$7*V$8/100</f>
        <v>16.1204524929867</v>
      </c>
      <c r="F14" s="38" t="n">
        <f aca="false">(V$23+V$24*SIN(2*PI()/365*A14))*V$25/100*V$9*(1-V$14/100)*(1-V$16/100)</f>
        <v>3.41391310586905</v>
      </c>
      <c r="G14" s="38" t="n">
        <f aca="false">IF(C14&gt;E14,100,C14/E14*100)</f>
        <v>72.7904972188331</v>
      </c>
      <c r="H14" s="38" t="n">
        <f aca="false">L14/F14*100</f>
        <v>0</v>
      </c>
      <c r="I14" s="38" t="n">
        <f aca="false">(V$23+V$24*SIN(2*PI()/365*A14))*V$25/100*V$7*V$8/100*(1-V$15/100)</f>
        <v>14.3472027187582</v>
      </c>
      <c r="J14" s="38" t="n">
        <f aca="false">(V$23+V$24*SIN(2*PI()/365*A14))*V$25/100*V$9*(1-V$14/100)</f>
        <v>3.83585742232478</v>
      </c>
      <c r="K14" s="39" t="n">
        <f aca="false">IF(E14/C14*100&lt;100,E14/C14*100,100)</f>
        <v>100</v>
      </c>
      <c r="L14" s="2" t="n">
        <f aca="false">IF(((C14-E14)&gt;0)AND(F14&gt;(C14-E14)),(C14-E14),IF(C14&lt;E14,0,F14))</f>
        <v>0</v>
      </c>
      <c r="M14" s="2" t="n">
        <f aca="false">IF(C14&lt;(E14+F14),0,C14-E14-F14)</f>
        <v>0</v>
      </c>
      <c r="N14" s="2" t="n">
        <f aca="false">IF(C14&lt;(E14+F14),0,(C14-E14-F14)/(1-V$16/100))</f>
        <v>0</v>
      </c>
      <c r="O14" s="2" t="n">
        <f aca="false">L14+M14</f>
        <v>0</v>
      </c>
      <c r="P14" s="2" t="n">
        <f aca="false">IF( N14=0,I14*(1-G14/100)+J14*(1-H14/100),-N14)</f>
        <v>7.73965994510494</v>
      </c>
      <c r="Q14" s="47" t="n">
        <f aca="false">IF(P13&gt;0,Q13+P13*(1-V$20/100),Q13+P13)</f>
        <v>49.2194480654894</v>
      </c>
      <c r="R14" s="48" t="n">
        <f aca="false">R$4+Q14/V$28</f>
        <v>40.5821931892153</v>
      </c>
      <c r="S14" s="13" t="s">
        <v>1</v>
      </c>
      <c r="T14" s="41" t="n">
        <v>14</v>
      </c>
      <c r="U14" s="58" t="s">
        <v>61</v>
      </c>
      <c r="V14" s="62" t="n">
        <v>11</v>
      </c>
      <c r="W14" s="41" t="s">
        <v>27</v>
      </c>
      <c r="X14" s="42" t="s">
        <v>62</v>
      </c>
      <c r="AMC14" s="0"/>
      <c r="AMD14" s="0"/>
      <c r="AME14" s="0"/>
      <c r="AMF14" s="0"/>
      <c r="AMG14" s="0"/>
      <c r="AMH14" s="0"/>
      <c r="AMI14" s="0"/>
      <c r="AMJ14" s="0"/>
    </row>
    <row r="15" s="46" customFormat="true" ht="12.8" hidden="false" customHeight="false" outlineLevel="0" collapsed="false">
      <c r="A15" s="1" t="n">
        <v>11</v>
      </c>
      <c r="B15" s="37" t="n">
        <v>43556</v>
      </c>
      <c r="C15" s="38" t="n">
        <f aca="false">V$26-V$26*SIN(2*PI()/365*A15)</f>
        <v>11.4943850086993</v>
      </c>
      <c r="D15" s="2" t="n">
        <f aca="false">IF((E15+F15)&gt;C15,C15,E15+F15)</f>
        <v>11.4943850086993</v>
      </c>
      <c r="E15" s="38" t="n">
        <f aca="false">(V$23+V$24*SIN(2*PI()/365*A15))*V$25/100*V$7*V$8/100</f>
        <v>16.3218213214624</v>
      </c>
      <c r="F15" s="38" t="n">
        <f aca="false">(V$23+V$24*SIN(2*PI()/365*A15))*V$25/100*V$9*(1-V$14/100)*(1-V$16/100)</f>
        <v>3.45655804297276</v>
      </c>
      <c r="G15" s="38" t="n">
        <f aca="false">IF(C15&gt;E15,100,C15/E15*100)</f>
        <v>70.4234213958995</v>
      </c>
      <c r="H15" s="38" t="n">
        <f aca="false">L15/F15*100</f>
        <v>0</v>
      </c>
      <c r="I15" s="38" t="n">
        <f aca="false">(V$23+V$24*SIN(2*PI()/365*A15))*V$25/100*V$7*V$8/100*(1-V$15/100)</f>
        <v>14.5264209761016</v>
      </c>
      <c r="J15" s="38" t="n">
        <f aca="false">(V$23+V$24*SIN(2*PI()/365*A15))*V$25/100*V$9*(1-V$14/100)</f>
        <v>3.88377308199186</v>
      </c>
      <c r="K15" s="39" t="n">
        <f aca="false">IF(E15/C15*100&lt;100,E15/C15*100,100)</f>
        <v>100</v>
      </c>
      <c r="L15" s="2" t="n">
        <f aca="false">IF(((C15-E15)&gt;0)AND(F15&gt;(C15-E15)),(C15-E15),IF(C15&lt;E15,0,F15))</f>
        <v>0</v>
      </c>
      <c r="M15" s="2" t="n">
        <f aca="false">IF(C15&lt;(E15+F15),0,C15-E15-F15)</f>
        <v>0</v>
      </c>
      <c r="N15" s="2" t="n">
        <f aca="false">IF(C15&lt;(E15+F15),0,(C15-E15-F15)/(1-V$16/100))</f>
        <v>0</v>
      </c>
      <c r="O15" s="2" t="n">
        <f aca="false">L15+M15</f>
        <v>0</v>
      </c>
      <c r="P15" s="2" t="n">
        <f aca="false">IF( N15=0,I15*(1-G15/100)+J15*(1-H15/100),-N15)</f>
        <v>8.18019140035108</v>
      </c>
      <c r="Q15" s="47" t="n">
        <f aca="false">IF(P14&gt;0,Q14+P14*(1-V$20/100),Q14+P14)</f>
        <v>56.417331814437</v>
      </c>
      <c r="R15" s="48" t="n">
        <f aca="false">R$4+Q15/V$28</f>
        <v>40.6673334957426</v>
      </c>
      <c r="S15" s="63" t="s">
        <v>63</v>
      </c>
      <c r="T15" s="41" t="n">
        <v>15</v>
      </c>
      <c r="U15" s="58" t="s">
        <v>64</v>
      </c>
      <c r="V15" s="53" t="n">
        <v>11</v>
      </c>
      <c r="W15" s="41" t="s">
        <v>27</v>
      </c>
      <c r="X15" s="44" t="s">
        <v>65</v>
      </c>
      <c r="Y15" s="45"/>
      <c r="AMD15" s="0"/>
      <c r="AME15" s="0"/>
      <c r="AMF15" s="0"/>
      <c r="AMG15" s="0"/>
      <c r="AMH15" s="0"/>
      <c r="AMI15" s="0"/>
      <c r="AMJ15" s="0"/>
    </row>
    <row r="16" s="46" customFormat="true" ht="12.8" hidden="false" customHeight="false" outlineLevel="0" collapsed="false">
      <c r="A16" s="1" t="n">
        <v>12</v>
      </c>
      <c r="B16" s="37" t="n">
        <v>43557</v>
      </c>
      <c r="C16" s="38" t="n">
        <f aca="false">V$26-V$26*SIN(2*PI()/365*A16)</f>
        <v>11.2554022545239</v>
      </c>
      <c r="D16" s="2" t="n">
        <f aca="false">IF((E16+F16)&gt;C16,C16,E16+F16)</f>
        <v>11.2554022545239</v>
      </c>
      <c r="E16" s="38" t="n">
        <f aca="false">(V$23+V$24*SIN(2*PI()/365*A16))*V$25/100*V$7*V$8/100</f>
        <v>16.5225268829817</v>
      </c>
      <c r="F16" s="38" t="n">
        <f aca="false">(V$23+V$24*SIN(2*PI()/365*A16))*V$25/100*V$9*(1-V$14/100)*(1-V$16/100)</f>
        <v>3.49906251654071</v>
      </c>
      <c r="G16" s="38" t="n">
        <f aca="false">IF(C16&gt;E16,100,C16/E16*100)</f>
        <v>68.1215551001284</v>
      </c>
      <c r="H16" s="38" t="n">
        <f aca="false">L16/F16*100</f>
        <v>0</v>
      </c>
      <c r="I16" s="38" t="n">
        <f aca="false">(V$23+V$24*SIN(2*PI()/365*A16))*V$25/100*V$7*V$8/100*(1-V$15/100)</f>
        <v>14.7050489258537</v>
      </c>
      <c r="J16" s="38" t="n">
        <f aca="false">(V$23+V$24*SIN(2*PI()/365*A16))*V$25/100*V$9*(1-V$14/100)</f>
        <v>3.93153091746147</v>
      </c>
      <c r="K16" s="39" t="n">
        <f aca="false">IF(E16/C16*100&lt;100,E16/C16*100,100)</f>
        <v>100</v>
      </c>
      <c r="L16" s="2" t="n">
        <f aca="false">IF(((C16-E16)&gt;0)AND(F16&gt;(C16-E16)),(C16-E16),IF(C16&lt;E16,0,F16))</f>
        <v>0</v>
      </c>
      <c r="M16" s="2" t="n">
        <f aca="false">IF(C16&lt;(E16+F16),0,C16-E16-F16)</f>
        <v>0</v>
      </c>
      <c r="N16" s="2" t="n">
        <f aca="false">IF(C16&lt;(E16+F16),0,(C16-E16-F16)/(1-V$16/100))</f>
        <v>0</v>
      </c>
      <c r="O16" s="2" t="n">
        <f aca="false">L16+M16</f>
        <v>0</v>
      </c>
      <c r="P16" s="2" t="n">
        <f aca="false">IF( N16=0,I16*(1-G16/100)+J16*(1-H16/100),-N16)</f>
        <v>8.61927183678891</v>
      </c>
      <c r="Q16" s="47" t="n">
        <f aca="false">IF(P15&gt;0,Q15+P15*(1-V$20/100),Q15+P15)</f>
        <v>64.0249098167635</v>
      </c>
      <c r="R16" s="48" t="n">
        <f aca="false">R$4+Q16/V$28</f>
        <v>40.7573198786351</v>
      </c>
      <c r="S16" s="64" t="n">
        <f aca="false">t!H204</f>
        <v>0.0344932755909773</v>
      </c>
      <c r="T16" s="41" t="n">
        <v>16</v>
      </c>
      <c r="U16" s="58" t="s">
        <v>66</v>
      </c>
      <c r="V16" s="53" t="n">
        <v>11</v>
      </c>
      <c r="W16" s="41" t="s">
        <v>27</v>
      </c>
      <c r="X16" s="44" t="s">
        <v>65</v>
      </c>
      <c r="Y16" s="45"/>
      <c r="AMD16" s="0"/>
      <c r="AME16" s="0"/>
      <c r="AMF16" s="0"/>
      <c r="AMG16" s="0"/>
      <c r="AMH16" s="0"/>
      <c r="AMI16" s="0"/>
      <c r="AMJ16" s="0"/>
    </row>
    <row r="17" s="46" customFormat="true" ht="12.8" hidden="false" customHeight="false" outlineLevel="0" collapsed="false">
      <c r="A17" s="1" t="n">
        <v>13</v>
      </c>
      <c r="B17" s="37" t="n">
        <v>43558</v>
      </c>
      <c r="C17" s="38" t="n">
        <f aca="false">V$26-V$26*SIN(2*PI()/365*A17)</f>
        <v>11.0172800767925</v>
      </c>
      <c r="D17" s="2" t="n">
        <f aca="false">IF((E17+F17)&gt;C17,C17,E17+F17)</f>
        <v>11.0172800767925</v>
      </c>
      <c r="E17" s="38" t="n">
        <f aca="false">(V$23+V$24*SIN(2*PI()/365*A17))*V$25/100*V$7*V$8/100</f>
        <v>16.7225097041552</v>
      </c>
      <c r="F17" s="38" t="n">
        <f aca="false">(V$23+V$24*SIN(2*PI()/365*A17))*V$25/100*V$9*(1-V$14/100)*(1-V$16/100)</f>
        <v>3.54141393158006</v>
      </c>
      <c r="G17" s="38" t="n">
        <f aca="false">IF(C17&gt;E17,100,C17/E17*100)</f>
        <v>65.8829342706554</v>
      </c>
      <c r="H17" s="38" t="n">
        <f aca="false">L17/F17*100</f>
        <v>0</v>
      </c>
      <c r="I17" s="38" t="n">
        <f aca="false">(V$23+V$24*SIN(2*PI()/365*A17))*V$25/100*V$7*V$8/100*(1-V$15/100)</f>
        <v>14.8830336366981</v>
      </c>
      <c r="J17" s="38" t="n">
        <f aca="false">(V$23+V$24*SIN(2*PI()/365*A17))*V$25/100*V$9*(1-V$14/100)</f>
        <v>3.97911677705624</v>
      </c>
      <c r="K17" s="39" t="n">
        <f aca="false">IF(E17/C17*100&lt;100,E17/C17*100,100)</f>
        <v>100</v>
      </c>
      <c r="L17" s="2" t="n">
        <f aca="false">IF(((C17-E17)&gt;0)AND(F17&gt;(C17-E17)),(C17-E17),IF(C17&lt;E17,0,F17))</f>
        <v>0</v>
      </c>
      <c r="M17" s="2" t="n">
        <f aca="false">IF(C17&lt;(E17+F17),0,C17-E17-F17)</f>
        <v>0</v>
      </c>
      <c r="N17" s="2" t="n">
        <f aca="false">IF(C17&lt;(E17+F17),0,(C17-E17-F17)/(1-V$16/100))</f>
        <v>0</v>
      </c>
      <c r="O17" s="2" t="n">
        <f aca="false">L17+M17</f>
        <v>0</v>
      </c>
      <c r="P17" s="2" t="n">
        <f aca="false">IF( N17=0,I17*(1-G17/100)+J17*(1-H17/100),-N17)</f>
        <v>9.056771145409</v>
      </c>
      <c r="Q17" s="47" t="n">
        <f aca="false">IF(P16&gt;0,Q16+P16*(1-V$20/100),Q16+P16)</f>
        <v>72.0408326249771</v>
      </c>
      <c r="R17" s="48" t="n">
        <f aca="false">R$4+Q17/V$28</f>
        <v>40.8521363759271</v>
      </c>
      <c r="S17" s="65" t="s">
        <v>56</v>
      </c>
      <c r="T17" s="41" t="n">
        <v>17</v>
      </c>
      <c r="U17" s="58" t="s">
        <v>67</v>
      </c>
      <c r="V17" s="53" t="n">
        <v>40</v>
      </c>
      <c r="W17" s="41" t="s">
        <v>29</v>
      </c>
      <c r="X17" s="42" t="s">
        <v>50</v>
      </c>
      <c r="Y17" s="45"/>
      <c r="AMD17" s="0"/>
      <c r="AME17" s="0"/>
      <c r="AMF17" s="0"/>
      <c r="AMG17" s="0"/>
      <c r="AMH17" s="0"/>
      <c r="AMI17" s="0"/>
      <c r="AMJ17" s="0"/>
    </row>
    <row r="18" s="46" customFormat="true" ht="12.8" hidden="false" customHeight="false" outlineLevel="0" collapsed="false">
      <c r="A18" s="1" t="n">
        <v>14</v>
      </c>
      <c r="B18" s="37" t="n">
        <v>43559</v>
      </c>
      <c r="C18" s="38" t="n">
        <f aca="false">V$26-V$26*SIN(2*PI()/365*A18)</f>
        <v>10.7800890362454</v>
      </c>
      <c r="D18" s="2" t="n">
        <f aca="false">IF((E18+F18)&gt;C18,C18,E18+F18)</f>
        <v>10.7800890362454</v>
      </c>
      <c r="E18" s="38" t="n">
        <f aca="false">(V$23+V$24*SIN(2*PI()/365*A18))*V$25/100*V$7*V$8/100</f>
        <v>16.9217105257568</v>
      </c>
      <c r="F18" s="38" t="n">
        <f aca="false">(V$23+V$24*SIN(2*PI()/365*A18))*V$25/100*V$9*(1-V$14/100)*(1-V$16/100)</f>
        <v>3.58359973845252</v>
      </c>
      <c r="G18" s="38" t="n">
        <f aca="false">IF(C18&gt;E18,100,C18/E18*100)</f>
        <v>63.7056698247901</v>
      </c>
      <c r="H18" s="38" t="n">
        <f aca="false">L18/F18*100</f>
        <v>0</v>
      </c>
      <c r="I18" s="38" t="n">
        <f aca="false">(V$23+V$24*SIN(2*PI()/365*A18))*V$25/100*V$7*V$8/100*(1-V$15/100)</f>
        <v>15.0603223679236</v>
      </c>
      <c r="J18" s="38" t="n">
        <f aca="false">(V$23+V$24*SIN(2*PI()/365*A18))*V$25/100*V$9*(1-V$14/100)</f>
        <v>4.02651656005901</v>
      </c>
      <c r="K18" s="39" t="n">
        <f aca="false">IF(E18/C18*100&lt;100,E18/C18*100,100)</f>
        <v>100</v>
      </c>
      <c r="L18" s="2" t="n">
        <f aca="false">IF(((C18-E18)&gt;0)AND(F18&gt;(C18-E18)),(C18-E18),IF(C18&lt;E18,0,F18))</f>
        <v>0</v>
      </c>
      <c r="M18" s="2" t="n">
        <f aca="false">IF(C18&lt;(E18+F18),0,C18-E18-F18)</f>
        <v>0</v>
      </c>
      <c r="N18" s="2" t="n">
        <f aca="false">IF(C18&lt;(E18+F18),0,(C18-E18-F18)/(1-V$16/100))</f>
        <v>0</v>
      </c>
      <c r="O18" s="2" t="n">
        <f aca="false">L18+M18</f>
        <v>0</v>
      </c>
      <c r="P18" s="2" t="n">
        <f aca="false">IF( N18=0,I18*(1-G18/100)+J18*(1-H18/100),-N18)</f>
        <v>9.49255968572417</v>
      </c>
      <c r="Q18" s="47" t="n">
        <f aca="false">IF(P17&gt;0,Q17+P17*(1-V$20/100),Q17+P17)</f>
        <v>80.4636297902075</v>
      </c>
      <c r="R18" s="48" t="n">
        <f aca="false">R$4+Q18/V$28</f>
        <v>40.9517655943859</v>
      </c>
      <c r="S18" s="66" t="n">
        <f aca="false">t!H203</f>
        <v>0.553578881729919</v>
      </c>
      <c r="T18" s="41" t="n">
        <v>18</v>
      </c>
      <c r="U18" s="58" t="s">
        <v>68</v>
      </c>
      <c r="V18" s="53" t="n">
        <v>140</v>
      </c>
      <c r="W18" s="41" t="s">
        <v>69</v>
      </c>
      <c r="X18" s="42" t="s">
        <v>70</v>
      </c>
      <c r="Y18" s="45"/>
      <c r="AMD18" s="0"/>
      <c r="AME18" s="0"/>
      <c r="AMF18" s="0"/>
      <c r="AMG18" s="0"/>
      <c r="AMH18" s="0"/>
      <c r="AMI18" s="0"/>
      <c r="AMJ18" s="0"/>
    </row>
    <row r="19" s="46" customFormat="true" ht="12.8" hidden="false" customHeight="false" outlineLevel="0" collapsed="false">
      <c r="A19" s="1" t="n">
        <v>15</v>
      </c>
      <c r="B19" s="37" t="n">
        <v>43560</v>
      </c>
      <c r="C19" s="38" t="n">
        <f aca="false">V$26-V$26*SIN(2*PI()/365*A19)</f>
        <v>10.5438994177069</v>
      </c>
      <c r="D19" s="2" t="n">
        <f aca="false">IF((E19+F19)&gt;C19,C19,E19+F19)</f>
        <v>10.5438994177069</v>
      </c>
      <c r="E19" s="38" t="n">
        <f aca="false">(V$23+V$24*SIN(2*PI()/365*A19))*V$25/100*V$7*V$8/100</f>
        <v>17.1200703202841</v>
      </c>
      <c r="F19" s="38" t="n">
        <f aca="false">(V$23+V$24*SIN(2*PI()/365*A19))*V$25/100*V$9*(1-V$14/100)*(1-V$16/100)</f>
        <v>3.62560743659306</v>
      </c>
      <c r="G19" s="38" t="n">
        <f aca="false">IF(C19&gt;E19,100,C19/E19*100)</f>
        <v>61.587944561269</v>
      </c>
      <c r="H19" s="38" t="n">
        <f aca="false">L19/F19*100</f>
        <v>0</v>
      </c>
      <c r="I19" s="38" t="n">
        <f aca="false">(V$23+V$24*SIN(2*PI()/365*A19))*V$25/100*V$7*V$8/100*(1-V$15/100)</f>
        <v>15.2368625850529</v>
      </c>
      <c r="J19" s="38" t="n">
        <f aca="false">(V$23+V$24*SIN(2*PI()/365*A19))*V$25/100*V$9*(1-V$14/100)</f>
        <v>4.07371622089108</v>
      </c>
      <c r="K19" s="39" t="n">
        <f aca="false">IF(E19/C19*100&lt;100,E19/C19*100,100)</f>
        <v>100</v>
      </c>
      <c r="L19" s="2" t="n">
        <f aca="false">IF(((C19-E19)&gt;0)AND(F19&gt;(C19-E19)),(C19-E19),IF(C19&lt;E19,0,F19))</f>
        <v>0</v>
      </c>
      <c r="M19" s="2" t="n">
        <f aca="false">IF(C19&lt;(E19+F19),0,C19-E19-F19)</f>
        <v>0</v>
      </c>
      <c r="N19" s="2" t="n">
        <f aca="false">IF(C19&lt;(E19+F19),0,(C19-E19-F19)/(1-V$16/100))</f>
        <v>0</v>
      </c>
      <c r="O19" s="2" t="n">
        <f aca="false">L19+M19</f>
        <v>0</v>
      </c>
      <c r="P19" s="2" t="n">
        <f aca="false">IF( N19=0,I19*(1-G19/100)+J19*(1-H19/100),-N19)</f>
        <v>9.92650832418486</v>
      </c>
      <c r="Q19" s="47" t="n">
        <f aca="false">IF(P18&gt;0,Q18+P18*(1-V$20/100),Q18+P18)</f>
        <v>89.291710297931</v>
      </c>
      <c r="R19" s="48" t="n">
        <f aca="false">R$4+Q19/V$28</f>
        <v>41.0561887146656</v>
      </c>
      <c r="S19" s="1"/>
      <c r="T19" s="41" t="n">
        <v>19</v>
      </c>
      <c r="U19" s="58" t="s">
        <v>71</v>
      </c>
      <c r="V19" s="67" t="n">
        <f aca="false">(V4*(V5*V6-D736)/(1-V20/100)/(1-V16/100)/V21/t!D61/V18/PI())^0.5*2</f>
        <v>2141.6260753112</v>
      </c>
      <c r="W19" s="54" t="s">
        <v>69</v>
      </c>
      <c r="X19" s="42" t="s">
        <v>72</v>
      </c>
      <c r="Y19" s="42" t="s">
        <v>41</v>
      </c>
      <c r="AMD19" s="0"/>
      <c r="AME19" s="0"/>
      <c r="AMF19" s="0"/>
      <c r="AMG19" s="0"/>
      <c r="AMH19" s="0"/>
      <c r="AMI19" s="0"/>
      <c r="AMJ19" s="0"/>
    </row>
    <row r="20" s="46" customFormat="true" ht="12.8" hidden="false" customHeight="false" outlineLevel="0" collapsed="false">
      <c r="A20" s="1" t="n">
        <v>16</v>
      </c>
      <c r="B20" s="37" t="n">
        <v>43561</v>
      </c>
      <c r="C20" s="38" t="n">
        <f aca="false">V$26-V$26*SIN(2*PI()/365*A20)</f>
        <v>10.3087812092583</v>
      </c>
      <c r="D20" s="2" t="n">
        <f aca="false">IF((E20+F20)&gt;C20,C20,E20+F20)</f>
        <v>10.3087812092583</v>
      </c>
      <c r="E20" s="38" t="n">
        <f aca="false">(V$23+V$24*SIN(2*PI()/365*A20))*V$25/100*V$7*V$8/100</f>
        <v>17.3175303094491</v>
      </c>
      <c r="F20" s="38" t="n">
        <f aca="false">(V$23+V$24*SIN(2*PI()/365*A20))*V$25/100*V$9*(1-V$14/100)*(1-V$16/100)</f>
        <v>3.66742457821413</v>
      </c>
      <c r="G20" s="38" t="n">
        <f aca="false">IF(C20&gt;E20,100,C20/E20*100)</f>
        <v>59.5280102015093</v>
      </c>
      <c r="H20" s="38" t="n">
        <f aca="false">L20/F20*100</f>
        <v>0</v>
      </c>
      <c r="I20" s="38" t="n">
        <f aca="false">(V$23+V$24*SIN(2*PI()/365*A20))*V$25/100*V$7*V$8/100*(1-V$15/100)</f>
        <v>15.4126019754097</v>
      </c>
      <c r="J20" s="38" t="n">
        <f aca="false">(V$23+V$24*SIN(2*PI()/365*A20))*V$25/100*V$9*(1-V$14/100)</f>
        <v>4.12070177327431</v>
      </c>
      <c r="K20" s="39" t="n">
        <f aca="false">IF(E20/C20*100&lt;100,E20/C20*100,100)</f>
        <v>100</v>
      </c>
      <c r="L20" s="2" t="n">
        <f aca="false">IF(((C20-E20)&gt;0)AND(F20&gt;(C20-E20)),(C20-E20),IF(C20&lt;E20,0,F20))</f>
        <v>0</v>
      </c>
      <c r="M20" s="2" t="n">
        <f aca="false">IF(C20&lt;(E20+F20),0,C20-E20-F20)</f>
        <v>0</v>
      </c>
      <c r="N20" s="2" t="n">
        <f aca="false">IF(C20&lt;(E20+F20),0,(C20-E20-F20)/(1-V$16/100))</f>
        <v>0</v>
      </c>
      <c r="O20" s="2" t="n">
        <f aca="false">L20+M20</f>
        <v>0</v>
      </c>
      <c r="P20" s="2" t="n">
        <f aca="false">IF( N20=0,I20*(1-G20/100)+J20*(1-H20/100),-N20)</f>
        <v>10.3584884724441</v>
      </c>
      <c r="Q20" s="47" t="n">
        <f aca="false">IF(P19&gt;0,Q19+P19*(1-V$20/100),Q19+P19)</f>
        <v>98.5233630394229</v>
      </c>
      <c r="R20" s="48" t="n">
        <f aca="false">R$4+Q20/V$28</f>
        <v>41.1653854968836</v>
      </c>
      <c r="S20" s="1" t="s">
        <v>73</v>
      </c>
      <c r="T20" s="41" t="n">
        <v>20</v>
      </c>
      <c r="U20" s="58" t="s">
        <v>74</v>
      </c>
      <c r="V20" s="53" t="n">
        <v>7</v>
      </c>
      <c r="W20" s="54" t="s">
        <v>27</v>
      </c>
      <c r="X20" s="42" t="s">
        <v>75</v>
      </c>
      <c r="Y20" s="68" t="n">
        <f aca="false">t!F116</f>
        <v>0.0489631138424055</v>
      </c>
      <c r="AMD20" s="0"/>
      <c r="AME20" s="0"/>
      <c r="AMF20" s="0"/>
      <c r="AMG20" s="0"/>
      <c r="AMH20" s="0"/>
      <c r="AMI20" s="0"/>
      <c r="AMJ20" s="0"/>
    </row>
    <row r="21" s="46" customFormat="true" ht="12.8" hidden="false" customHeight="false" outlineLevel="0" collapsed="false">
      <c r="A21" s="1" t="n">
        <v>17</v>
      </c>
      <c r="B21" s="37" t="n">
        <v>43562</v>
      </c>
      <c r="C21" s="38" t="n">
        <f aca="false">V$26-V$26*SIN(2*PI()/365*A21)</f>
        <v>10.0748040814992</v>
      </c>
      <c r="D21" s="2" t="n">
        <f aca="false">IF((E21+F21)&gt;C21,C21,E21+F21)</f>
        <v>10.0748040814992</v>
      </c>
      <c r="E21" s="38" t="n">
        <f aca="false">(V$23+V$24*SIN(2*PI()/365*A21))*V$25/100*V$7*V$8/100</f>
        <v>17.5140319815954</v>
      </c>
      <c r="F21" s="38" t="n">
        <f aca="false">(V$23+V$24*SIN(2*PI()/365*A21))*V$25/100*V$9*(1-V$14/100)*(1-V$16/100)</f>
        <v>3.70903877199419</v>
      </c>
      <c r="G21" s="38" t="n">
        <f aca="false">IF(C21&gt;E21,100,C21/E21*100)</f>
        <v>57.5241845629054</v>
      </c>
      <c r="H21" s="38" t="n">
        <f aca="false">L21/F21*100</f>
        <v>0</v>
      </c>
      <c r="I21" s="38" t="n">
        <f aca="false">(V$23+V$24*SIN(2*PI()/365*A21))*V$25/100*V$7*V$8/100*(1-V$15/100)</f>
        <v>15.5874884636199</v>
      </c>
      <c r="J21" s="38" t="n">
        <f aca="false">(V$23+V$24*SIN(2*PI()/365*A21))*V$25/100*V$9*(1-V$14/100)</f>
        <v>4.16745929437549</v>
      </c>
      <c r="K21" s="39" t="n">
        <f aca="false">IF(E21/C21*100&lt;100,E21/C21*100,100)</f>
        <v>100</v>
      </c>
      <c r="L21" s="2" t="n">
        <f aca="false">IF(((C21-E21)&gt;0)AND(F21&gt;(C21-E21)),(C21-E21),IF(C21&lt;E21,0,F21))</f>
        <v>0</v>
      </c>
      <c r="M21" s="2" t="n">
        <f aca="false">IF(C21&lt;(E21+F21),0,C21-E21-F21)</f>
        <v>0</v>
      </c>
      <c r="N21" s="2" t="n">
        <f aca="false">IF(C21&lt;(E21+F21),0,(C21-E21-F21)/(1-V$16/100))</f>
        <v>0</v>
      </c>
      <c r="O21" s="2" t="n">
        <f aca="false">L21+M21</f>
        <v>0</v>
      </c>
      <c r="P21" s="2" t="n">
        <f aca="false">IF( N21=0,I21*(1-G21/100)+J21*(1-H21/100),-N21)</f>
        <v>10.7883721254611</v>
      </c>
      <c r="Q21" s="47" t="n">
        <f aca="false">IF(P20&gt;0,Q20+P20*(1-V$20/100),Q20+P20)</f>
        <v>108.156757318796</v>
      </c>
      <c r="R21" s="48" t="n">
        <f aca="false">R$4+Q21/V$28</f>
        <v>41.2793342866184</v>
      </c>
      <c r="S21" s="69" t="n">
        <f aca="false">t!D96</f>
        <v>5.92295958537622</v>
      </c>
      <c r="T21" s="41" t="n">
        <v>21</v>
      </c>
      <c r="U21" s="58" t="s">
        <v>76</v>
      </c>
      <c r="V21" s="53" t="n">
        <v>0.611</v>
      </c>
      <c r="W21" s="41" t="s">
        <v>77</v>
      </c>
      <c r="X21" s="55" t="s">
        <v>78</v>
      </c>
      <c r="Y21" s="42" t="s">
        <v>79</v>
      </c>
      <c r="AMD21" s="0"/>
      <c r="AME21" s="0"/>
      <c r="AMF21" s="0"/>
      <c r="AMG21" s="0"/>
      <c r="AMH21" s="0"/>
      <c r="AMI21" s="0"/>
      <c r="AMJ21" s="0"/>
    </row>
    <row r="22" s="46" customFormat="true" ht="12.8" hidden="false" customHeight="false" outlineLevel="0" collapsed="false">
      <c r="A22" s="1" t="n">
        <v>18</v>
      </c>
      <c r="B22" s="37" t="n">
        <v>43563</v>
      </c>
      <c r="C22" s="38" t="n">
        <f aca="false">V$26-V$26*SIN(2*PI()/365*A22)</f>
        <v>9.84203736690203</v>
      </c>
      <c r="D22" s="2" t="n">
        <f aca="false">IF((E22+F22)&gt;C22,C22,E22+F22)</f>
        <v>9.84203736690203</v>
      </c>
      <c r="E22" s="38" t="n">
        <f aca="false">(V$23+V$24*SIN(2*PI()/365*A22))*V$25/100*V$7*V$8/100</f>
        <v>17.7095171090366</v>
      </c>
      <c r="F22" s="38" t="n">
        <f aca="false">(V$23+V$24*SIN(2*PI()/365*A22))*V$25/100*V$9*(1-V$14/100)*(1-V$16/100)</f>
        <v>3.75043768674949</v>
      </c>
      <c r="G22" s="38" t="n">
        <f aca="false">IF(C22&gt;E22,100,C22/E22*100)</f>
        <v>55.5748488584139</v>
      </c>
      <c r="H22" s="38" t="n">
        <f aca="false">L22/F22*100</f>
        <v>0</v>
      </c>
      <c r="I22" s="38" t="n">
        <f aca="false">(V$23+V$24*SIN(2*PI()/365*A22))*V$25/100*V$7*V$8/100*(1-V$15/100)</f>
        <v>15.7614702270426</v>
      </c>
      <c r="J22" s="38" t="n">
        <f aca="false">(V$23+V$24*SIN(2*PI()/365*A22))*V$25/100*V$9*(1-V$14/100)</f>
        <v>4.21397492893201</v>
      </c>
      <c r="K22" s="39" t="n">
        <f aca="false">IF(E22/C22*100&lt;100,E22/C22*100,100)</f>
        <v>100</v>
      </c>
      <c r="L22" s="2" t="n">
        <f aca="false">IF(((C22-E22)&gt;0)AND(F22&gt;(C22-E22)),(C22-E22),IF(C22&lt;E22,0,F22))</f>
        <v>0</v>
      </c>
      <c r="M22" s="2" t="n">
        <f aca="false">IF(C22&lt;(E22+F22),0,C22-E22-F22)</f>
        <v>0</v>
      </c>
      <c r="N22" s="2" t="n">
        <f aca="false">IF(C22&lt;(E22+F22),0,(C22-E22-F22)/(1-V$16/100))</f>
        <v>0</v>
      </c>
      <c r="O22" s="2" t="n">
        <f aca="false">L22+M22</f>
        <v>0</v>
      </c>
      <c r="P22" s="2" t="n">
        <f aca="false">IF( N22=0,I22*(1-G22/100)+J22*(1-H22/100),-N22)</f>
        <v>11.2160318994318</v>
      </c>
      <c r="Q22" s="47" t="n">
        <f aca="false">IF(P21&gt;0,Q21+P21*(1-V$20/100),Q21+P21)</f>
        <v>118.189943395475</v>
      </c>
      <c r="R22" s="48" t="n">
        <f aca="false">R$4+Q22/V$28</f>
        <v>41.398012021326</v>
      </c>
      <c r="S22" s="1" t="s">
        <v>80</v>
      </c>
      <c r="T22" s="70"/>
      <c r="U22" s="71" t="s">
        <v>81</v>
      </c>
      <c r="V22" s="70"/>
      <c r="W22" s="70"/>
      <c r="X22" s="72"/>
      <c r="Y22" s="72"/>
      <c r="AMD22" s="0"/>
      <c r="AME22" s="0"/>
      <c r="AMF22" s="0"/>
      <c r="AMG22" s="0"/>
      <c r="AMH22" s="0"/>
      <c r="AMI22" s="0"/>
      <c r="AMJ22" s="0"/>
    </row>
    <row r="23" s="46" customFormat="true" ht="12.8" hidden="false" customHeight="false" outlineLevel="0" collapsed="false">
      <c r="A23" s="1" t="n">
        <v>19</v>
      </c>
      <c r="B23" s="37" t="n">
        <v>43564</v>
      </c>
      <c r="C23" s="38" t="n">
        <f aca="false">V$26-V$26*SIN(2*PI()/365*A23)</f>
        <v>9.61055003926793</v>
      </c>
      <c r="D23" s="2" t="n">
        <f aca="false">IF((E23+F23)&gt;C23,C23,E23+F23)</f>
        <v>9.61055003926793</v>
      </c>
      <c r="E23" s="38" t="n">
        <f aca="false">(V$23+V$24*SIN(2*PI()/365*A23))*V$25/100*V$7*V$8/100</f>
        <v>17.9039277653106</v>
      </c>
      <c r="F23" s="38" t="n">
        <f aca="false">(V$23+V$24*SIN(2*PI()/365*A23))*V$25/100*V$9*(1-V$14/100)*(1-V$16/100)</f>
        <v>3.79160905508814</v>
      </c>
      <c r="G23" s="38" t="n">
        <f aca="false">IF(C23&gt;E23,100,C23/E23*100)</f>
        <v>53.6784451168791</v>
      </c>
      <c r="H23" s="38" t="n">
        <f aca="false">L23/F23*100</f>
        <v>0</v>
      </c>
      <c r="I23" s="38" t="n">
        <f aca="false">(V$23+V$24*SIN(2*PI()/365*A23))*V$25/100*V$7*V$8/100*(1-V$15/100)</f>
        <v>15.9344957111264</v>
      </c>
      <c r="J23" s="38" t="n">
        <f aca="false">(V$23+V$24*SIN(2*PI()/365*A23))*V$25/100*V$9*(1-V$14/100)</f>
        <v>4.26023489335746</v>
      </c>
      <c r="K23" s="39" t="n">
        <f aca="false">IF(E23/C23*100&lt;100,E23/C23*100,100)</f>
        <v>100</v>
      </c>
      <c r="L23" s="2" t="n">
        <f aca="false">IF(((C23-E23)&gt;0)AND(F23&gt;(C23-E23)),(C23-E23),IF(C23&lt;E23,0,F23))</f>
        <v>0</v>
      </c>
      <c r="M23" s="2" t="n">
        <f aca="false">IF(C23&lt;(E23+F23),0,C23-E23-F23)</f>
        <v>0</v>
      </c>
      <c r="N23" s="2" t="n">
        <f aca="false">IF(C23&lt;(E23+F23),0,(C23-E23-F23)/(1-V$16/100))</f>
        <v>0</v>
      </c>
      <c r="O23" s="2" t="n">
        <f aca="false">L23+M23</f>
        <v>0</v>
      </c>
      <c r="P23" s="2" t="n">
        <f aca="false">IF( N23=0,I23*(1-G23/100)+J23*(1-H23/100),-N23)</f>
        <v>11.6413410695354</v>
      </c>
      <c r="Q23" s="47" t="n">
        <f aca="false">IF(P22&gt;0,Q22+P22*(1-V$20/100),Q22+P22)</f>
        <v>128.620853061946</v>
      </c>
      <c r="R23" s="48" t="n">
        <f aca="false">R$4+Q23/V$28</f>
        <v>41.5213942371741</v>
      </c>
      <c r="S23" s="1"/>
      <c r="T23" s="41" t="n">
        <v>23</v>
      </c>
      <c r="U23" s="42" t="s">
        <v>82</v>
      </c>
      <c r="V23" s="73" t="n">
        <f aca="false">V29/365</f>
        <v>2.97634408602151</v>
      </c>
      <c r="W23" s="41" t="s">
        <v>83</v>
      </c>
      <c r="X23" s="3"/>
      <c r="Y23" s="3"/>
      <c r="AMD23" s="0"/>
      <c r="AME23" s="0"/>
      <c r="AMF23" s="0"/>
      <c r="AMG23" s="0"/>
      <c r="AMH23" s="0"/>
      <c r="AMI23" s="0"/>
      <c r="AMJ23" s="0"/>
    </row>
    <row r="24" s="46" customFormat="true" ht="12.8" hidden="false" customHeight="false" outlineLevel="0" collapsed="false">
      <c r="A24" s="1" t="n">
        <v>20</v>
      </c>
      <c r="B24" s="37" t="n">
        <v>43565</v>
      </c>
      <c r="C24" s="38" t="n">
        <f aca="false">V$26-V$26*SIN(2*PI()/365*A24)</f>
        <v>9.38041069328796</v>
      </c>
      <c r="D24" s="2" t="n">
        <f aca="false">IF((E24+F24)&gt;C24,C24,E24+F24)</f>
        <v>9.38041069328796</v>
      </c>
      <c r="E24" s="38" t="n">
        <f aca="false">(V$23+V$24*SIN(2*PI()/365*A24))*V$25/100*V$7*V$8/100</f>
        <v>18.0972063423442</v>
      </c>
      <c r="F24" s="38" t="n">
        <f aca="false">(V$23+V$24*SIN(2*PI()/365*A24))*V$25/100*V$9*(1-V$14/100)*(1-V$16/100)</f>
        <v>3.83254067704515</v>
      </c>
      <c r="G24" s="38" t="n">
        <f aca="false">IF(C24&gt;E24,100,C24/E24*100)</f>
        <v>51.8334737187555</v>
      </c>
      <c r="H24" s="38" t="n">
        <f aca="false">L24/F24*100</f>
        <v>0</v>
      </c>
      <c r="I24" s="38" t="n">
        <f aca="false">(V$23+V$24*SIN(2*PI()/365*A24))*V$25/100*V$7*V$8/100*(1-V$15/100)</f>
        <v>16.1065136446864</v>
      </c>
      <c r="J24" s="38" t="n">
        <f aca="false">(V$23+V$24*SIN(2*PI()/365*A24))*V$25/100*V$9*(1-V$14/100)</f>
        <v>4.30622547982601</v>
      </c>
      <c r="K24" s="39" t="n">
        <f aca="false">IF(E24/C24*100&lt;100,E24/C24*100,100)</f>
        <v>100</v>
      </c>
      <c r="L24" s="2" t="n">
        <f aca="false">IF(((C24-E24)&gt;0)AND(F24&gt;(C24-E24)),(C24-E24),IF(C24&lt;E24,0,F24))</f>
        <v>0</v>
      </c>
      <c r="M24" s="2" t="n">
        <f aca="false">IF(C24&lt;(E24+F24),0,C24-E24-F24)</f>
        <v>0</v>
      </c>
      <c r="N24" s="2" t="n">
        <f aca="false">IF(C24&lt;(E24+F24),0,(C24-E24-F24)/(1-V$16/100))</f>
        <v>0</v>
      </c>
      <c r="O24" s="2" t="n">
        <f aca="false">L24+M24</f>
        <v>0</v>
      </c>
      <c r="P24" s="2" t="n">
        <f aca="false">IF( N24=0,I24*(1-G24/100)+J24*(1-H24/100),-N24)</f>
        <v>12.0641736074861</v>
      </c>
      <c r="Q24" s="47" t="n">
        <f aca="false">IF(P23&gt;0,Q23+P23*(1-V$20/100),Q23+P23)</f>
        <v>139.447300256614</v>
      </c>
      <c r="R24" s="48" t="n">
        <f aca="false">R$4+Q24/V$28</f>
        <v>41.6494550762909</v>
      </c>
      <c r="S24" s="1"/>
      <c r="T24" s="41" t="n">
        <v>24</v>
      </c>
      <c r="U24" s="42" t="s">
        <v>84</v>
      </c>
      <c r="V24" s="73" t="n">
        <f aca="false">(V11-V10)/2/30.44</f>
        <v>2.51314060446781</v>
      </c>
      <c r="W24" s="41" t="s">
        <v>83</v>
      </c>
      <c r="X24" s="3"/>
      <c r="Y24" s="3"/>
      <c r="AMD24" s="0"/>
      <c r="AME24" s="0"/>
      <c r="AMF24" s="0"/>
      <c r="AMG24" s="0"/>
      <c r="AMH24" s="0"/>
      <c r="AMI24" s="0"/>
      <c r="AMJ24" s="0"/>
    </row>
    <row r="25" s="46" customFormat="true" ht="12.8" hidden="false" customHeight="false" outlineLevel="0" collapsed="false">
      <c r="A25" s="1" t="n">
        <v>21</v>
      </c>
      <c r="B25" s="37" t="n">
        <v>43566</v>
      </c>
      <c r="C25" s="38" t="n">
        <f aca="false">V$26-V$26*SIN(2*PI()/365*A25)</f>
        <v>9.15168752421715</v>
      </c>
      <c r="D25" s="2" t="n">
        <f aca="false">IF((E25+F25)&gt;C25,C25,E25+F25)</f>
        <v>9.15168752421715</v>
      </c>
      <c r="E25" s="38" t="n">
        <f aca="false">(V$23+V$24*SIN(2*PI()/365*A25))*V$25/100*V$7*V$8/100</f>
        <v>18.2892955675238</v>
      </c>
      <c r="F25" s="38" t="n">
        <f aca="false">(V$23+V$24*SIN(2*PI()/365*A25))*V$25/100*V$9*(1-V$14/100)*(1-V$16/100)</f>
        <v>3.87322042369756</v>
      </c>
      <c r="G25" s="38" t="n">
        <f aca="false">IF(C25&gt;E25,100,C25/E25*100)</f>
        <v>50.038491042092</v>
      </c>
      <c r="H25" s="38" t="n">
        <f aca="false">L25/F25*100</f>
        <v>0</v>
      </c>
      <c r="I25" s="38" t="n">
        <f aca="false">(V$23+V$24*SIN(2*PI()/365*A25))*V$25/100*V$7*V$8/100*(1-V$15/100)</f>
        <v>16.2774730550962</v>
      </c>
      <c r="J25" s="38" t="n">
        <f aca="false">(V$23+V$24*SIN(2*PI()/365*A25))*V$25/100*V$9*(1-V$14/100)</f>
        <v>4.35193306033434</v>
      </c>
      <c r="K25" s="39" t="n">
        <f aca="false">IF(E25/C25*100&lt;100,E25/C25*100,100)</f>
        <v>100</v>
      </c>
      <c r="L25" s="2" t="n">
        <f aca="false">IF(((C25-E25)&gt;0)AND(F25&gt;(C25-E25)),(C25-E25),IF(C25&lt;E25,0,F25))</f>
        <v>0</v>
      </c>
      <c r="M25" s="2" t="n">
        <f aca="false">IF(C25&lt;(E25+F25),0,C25-E25-F25)</f>
        <v>0</v>
      </c>
      <c r="N25" s="2" t="n">
        <f aca="false">IF(C25&lt;(E25+F25),0,(C25-E25-F25)/(1-V$16/100))</f>
        <v>0</v>
      </c>
      <c r="O25" s="2" t="n">
        <f aca="false">L25+M25</f>
        <v>0</v>
      </c>
      <c r="P25" s="2" t="n">
        <f aca="false">IF( N25=0,I25*(1-G25/100)+J25*(1-H25/100),-N25)</f>
        <v>12.4844042188773</v>
      </c>
      <c r="Q25" s="47" t="n">
        <f aca="false">IF(P24&gt;0,Q24+P24*(1-V$20/100),Q24+P24)</f>
        <v>150.666981711576</v>
      </c>
      <c r="R25" s="48" t="n">
        <f aca="false">R$4+Q25/V$28</f>
        <v>41.7821672944278</v>
      </c>
      <c r="S25" s="1"/>
      <c r="T25" s="41" t="n">
        <v>25</v>
      </c>
      <c r="U25" s="42" t="s">
        <v>85</v>
      </c>
      <c r="V25" s="74" t="n">
        <f aca="false">V12/1244*V13</f>
        <v>36.145498392283</v>
      </c>
      <c r="W25" s="41" t="s">
        <v>27</v>
      </c>
      <c r="X25" s="3"/>
      <c r="Y25" s="3"/>
      <c r="AMD25" s="0"/>
      <c r="AME25" s="0"/>
      <c r="AMF25" s="0"/>
      <c r="AMG25" s="0"/>
      <c r="AMH25" s="0"/>
      <c r="AMI25" s="0"/>
      <c r="AMJ25" s="0"/>
    </row>
    <row r="26" s="46" customFormat="true" ht="12.8" hidden="false" customHeight="false" outlineLevel="0" collapsed="false">
      <c r="A26" s="1" t="n">
        <v>22</v>
      </c>
      <c r="B26" s="37" t="n">
        <v>43567</v>
      </c>
      <c r="C26" s="38" t="n">
        <f aca="false">V$26-V$26*SIN(2*PI()/365*A26)</f>
        <v>8.92444830766675</v>
      </c>
      <c r="D26" s="2" t="n">
        <f aca="false">IF((E26+F26)&gt;C26,C26,E26+F26)</f>
        <v>8.92444830766675</v>
      </c>
      <c r="E26" s="38" t="n">
        <f aca="false">(V$23+V$24*SIN(2*PI()/365*A26))*V$25/100*V$7*V$8/100</f>
        <v>18.4801385206664</v>
      </c>
      <c r="F26" s="38" t="n">
        <f aca="false">(V$23+V$24*SIN(2*PI()/365*A26))*V$25/100*V$9*(1-V$14/100)*(1-V$16/100)</f>
        <v>3.91363624075849</v>
      </c>
      <c r="G26" s="38" t="n">
        <f aca="false">IF(C26&gt;E26,100,C26/E26*100)</f>
        <v>48.2921072138422</v>
      </c>
      <c r="H26" s="38" t="n">
        <f aca="false">L26/F26*100</f>
        <v>0</v>
      </c>
      <c r="I26" s="38" t="n">
        <f aca="false">(V$23+V$24*SIN(2*PI()/365*A26))*V$25/100*V$7*V$8/100*(1-V$15/100)</f>
        <v>16.4473232833931</v>
      </c>
      <c r="J26" s="38" t="n">
        <f aca="false">(V$23+V$24*SIN(2*PI()/365*A26))*V$25/100*V$9*(1-V$14/100)</f>
        <v>4.39734409073988</v>
      </c>
      <c r="K26" s="39" t="n">
        <f aca="false">IF(E26/C26*100&lt;100,E26/C26*100,100)</f>
        <v>100</v>
      </c>
      <c r="L26" s="2" t="n">
        <f aca="false">IF(((C26-E26)&gt;0)AND(F26&gt;(C26-E26)),(C26-E26),IF(C26&lt;E26,0,F26))</f>
        <v>0</v>
      </c>
      <c r="M26" s="2" t="n">
        <f aca="false">IF(C26&lt;(E26+F26),0,C26-E26-F26)</f>
        <v>0</v>
      </c>
      <c r="N26" s="2" t="n">
        <f aca="false">IF(C26&lt;(E26+F26),0,(C26-E26-F26)/(1-V$16/100))</f>
        <v>0</v>
      </c>
      <c r="O26" s="2" t="n">
        <f aca="false">L26+M26</f>
        <v>0</v>
      </c>
      <c r="P26" s="2" t="n">
        <f aca="false">IF( N26=0,I26*(1-G26/100)+J26*(1-H26/100),-N26)</f>
        <v>12.9019083803095</v>
      </c>
      <c r="Q26" s="47" t="n">
        <f aca="false">IF(P25&gt;0,Q25+P25*(1-V$20/100),Q25+P25)</f>
        <v>162.277477635132</v>
      </c>
      <c r="R26" s="48" t="n">
        <f aca="false">R$4+Q26/V$28</f>
        <v>41.919502269032</v>
      </c>
      <c r="S26" s="1"/>
      <c r="T26" s="41" t="n">
        <v>26</v>
      </c>
      <c r="U26" s="75" t="s">
        <v>86</v>
      </c>
      <c r="V26" s="76" t="n">
        <f aca="false">V6*V5/365</f>
        <v>14.1595999130246</v>
      </c>
      <c r="W26" s="41" t="s">
        <v>26</v>
      </c>
      <c r="X26" s="3"/>
      <c r="Y26" s="3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1" t="n">
        <v>23</v>
      </c>
      <c r="B27" s="37" t="n">
        <v>43568</v>
      </c>
      <c r="C27" s="38" t="n">
        <f aca="false">V$26-V$26*SIN(2*PI()/365*A27)</f>
        <v>8.69876037952083</v>
      </c>
      <c r="D27" s="2" t="n">
        <f aca="false">IF((E27+F27)&gt;C27,C27,E27+F27)</f>
        <v>8.69876037952083</v>
      </c>
      <c r="E27" s="38" t="n">
        <f aca="false">(V$23+V$24*SIN(2*PI()/365*A27))*V$25/100*V$7*V$8/100</f>
        <v>18.669678650886</v>
      </c>
      <c r="F27" s="38" t="n">
        <f aca="false">(V$23+V$24*SIN(2*PI()/365*A27))*V$25/100*V$9*(1-V$14/100)*(1-V$16/100)</f>
        <v>3.9537761521491</v>
      </c>
      <c r="G27" s="38" t="n">
        <f aca="false">IF(C27&gt;E27,100,C27/E27*100)</f>
        <v>46.5929839617673</v>
      </c>
      <c r="H27" s="38" t="n">
        <f aca="false">L27/F27*100</f>
        <v>0</v>
      </c>
      <c r="I27" s="38" t="n">
        <f aca="false">(V$23+V$24*SIN(2*PI()/365*A27))*V$25/100*V$7*V$8/100*(1-V$15/100)</f>
        <v>16.6160139992886</v>
      </c>
      <c r="J27" s="38" t="n">
        <f aca="false">(V$23+V$24*SIN(2*PI()/365*A27))*V$25/100*V$9*(1-V$14/100)</f>
        <v>4.44244511477427</v>
      </c>
      <c r="K27" s="39" t="n">
        <f aca="false">IF(E27/C27*100&lt;100,E27/C27*100,100)</f>
        <v>100</v>
      </c>
      <c r="L27" s="2" t="n">
        <f aca="false">IF(((C27-E27)&gt;0)AND(F27&gt;(C27-E27)),(C27-E27),IF(C27&lt;E27,0,F27))</f>
        <v>0</v>
      </c>
      <c r="M27" s="2" t="n">
        <f aca="false">IF(C27&lt;(E27+F27),0,C27-E27-F27)</f>
        <v>0</v>
      </c>
      <c r="N27" s="2" t="n">
        <f aca="false">IF(C27&lt;(E27+F27),0,(C27-E27-F27)/(1-V$16/100))</f>
        <v>0</v>
      </c>
      <c r="O27" s="2" t="n">
        <f aca="false">L27+M27</f>
        <v>0</v>
      </c>
      <c r="P27" s="2" t="n">
        <f aca="false">IF( N27=0,I27*(1-G27/100)+J27*(1-H27/100),-N27)</f>
        <v>13.3165623762893</v>
      </c>
      <c r="Q27" s="47" t="n">
        <f aca="false">IF(P26&gt;0,Q26+P26*(1-V$20/100),Q26+P26)</f>
        <v>174.27625242882</v>
      </c>
      <c r="R27" s="48" t="n">
        <f aca="false">R$4+Q27/V$28</f>
        <v>42.0614300077282</v>
      </c>
      <c r="T27" s="41" t="n">
        <v>27</v>
      </c>
      <c r="U27" s="75" t="s">
        <v>87</v>
      </c>
      <c r="V27" s="77" t="n">
        <f aca="false">V19^2*PI()/4/V4</f>
        <v>0.988326346627282</v>
      </c>
      <c r="W27" s="41" t="s">
        <v>43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customFormat="false" ht="12.8" hidden="false" customHeight="false" outlineLevel="0" collapsed="false">
      <c r="A28" s="1" t="n">
        <v>24</v>
      </c>
      <c r="B28" s="37" t="n">
        <v>43569</v>
      </c>
      <c r="C28" s="38" t="n">
        <f aca="false">V$26-V$26*SIN(2*PI()/365*A28)</f>
        <v>8.47469061598327</v>
      </c>
      <c r="D28" s="2" t="n">
        <f aca="false">IF((E28+F28)&gt;C28,C28,E28+F28)</f>
        <v>8.47469061598327</v>
      </c>
      <c r="E28" s="38" t="n">
        <f aca="false">(V$23+V$24*SIN(2*PI()/365*A28))*V$25/100*V$7*V$8/100</f>
        <v>18.8578597933517</v>
      </c>
      <c r="F28" s="38" t="n">
        <f aca="false">(V$23+V$24*SIN(2*PI()/365*A28))*V$25/100*V$9*(1-V$14/100)*(1-V$16/100)</f>
        <v>3.99362826354736</v>
      </c>
      <c r="G28" s="38" t="n">
        <f aca="false">IF(C28&gt;E28,100,C28/E28*100)</f>
        <v>44.939832562394</v>
      </c>
      <c r="H28" s="38" t="n">
        <f aca="false">L28/F28*100</f>
        <v>0</v>
      </c>
      <c r="I28" s="38" t="n">
        <f aca="false">(V$23+V$24*SIN(2*PI()/365*A28))*V$25/100*V$7*V$8/100*(1-V$15/100)</f>
        <v>16.783495216083</v>
      </c>
      <c r="J28" s="38" t="n">
        <f aca="false">(V$23+V$24*SIN(2*PI()/365*A28))*V$25/100*V$9*(1-V$14/100)</f>
        <v>4.48722276803075</v>
      </c>
      <c r="K28" s="39" t="n">
        <f aca="false">IF(E28/C28*100&lt;100,E28/C28*100,100)</f>
        <v>100</v>
      </c>
      <c r="L28" s="2" t="n">
        <f aca="false">IF(((C28-E28)&gt;0)AND(F28&gt;(C28-E28)),(C28-E28),IF(C28&lt;E28,0,F28))</f>
        <v>0</v>
      </c>
      <c r="M28" s="2" t="n">
        <f aca="false">IF(C28&lt;(E28+F28),0,C28-E28-F28)</f>
        <v>0</v>
      </c>
      <c r="N28" s="2" t="n">
        <f aca="false">IF(C28&lt;(E28+F28),0,(C28-E28-F28)/(1-V$16/100))</f>
        <v>0</v>
      </c>
      <c r="O28" s="2" t="n">
        <f aca="false">L28+M28</f>
        <v>0</v>
      </c>
      <c r="P28" s="2" t="n">
        <f aca="false">IF( N28=0,I28*(1-G28/100)+J28*(1-H28/100),-N28)</f>
        <v>13.7282433358886</v>
      </c>
      <c r="Q28" s="47" t="n">
        <f aca="false">IF(P27&gt;0,Q27+P27*(1-V$20/100),Q27+P27)</f>
        <v>186.660655438769</v>
      </c>
      <c r="R28" s="48" t="n">
        <f aca="false">R$4+Q28/V$28</f>
        <v>42.2079191572062</v>
      </c>
      <c r="T28" s="41" t="n">
        <v>28</v>
      </c>
      <c r="U28" s="75" t="s">
        <v>88</v>
      </c>
      <c r="V28" s="78" t="n">
        <f aca="false">V19^2*PI()/4*V18*V21/V4</f>
        <v>84.5414356904977</v>
      </c>
      <c r="W28" s="41" t="s">
        <v>89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customFormat="false" ht="12.8" hidden="false" customHeight="false" outlineLevel="0" collapsed="false">
      <c r="A29" s="1" t="n">
        <v>25</v>
      </c>
      <c r="B29" s="37" t="n">
        <v>43570</v>
      </c>
      <c r="C29" s="38" t="n">
        <f aca="false">V$26-V$26*SIN(2*PI()/365*A29)</f>
        <v>8.2523054137608</v>
      </c>
      <c r="D29" s="2" t="n">
        <f aca="false">IF((E29+F29)&gt;C29,C29,E29+F29)</f>
        <v>8.2523054137608</v>
      </c>
      <c r="E29" s="38" t="n">
        <f aca="false">(V$23+V$24*SIN(2*PI()/365*A29))*V$25/100*V$7*V$8/100</f>
        <v>19.0446261859295</v>
      </c>
      <c r="F29" s="38" t="n">
        <f aca="false">(V$23+V$24*SIN(2*PI()/365*A29))*V$25/100*V$9*(1-V$14/100)*(1-V$16/100)</f>
        <v>4.03318076591258</v>
      </c>
      <c r="G29" s="38" t="n">
        <f aca="false">IF(C29&gt;E29,100,C29/E29*100)</f>
        <v>43.3314118806792</v>
      </c>
      <c r="H29" s="38" t="n">
        <f aca="false">L29/F29*100</f>
        <v>0</v>
      </c>
      <c r="I29" s="38" t="n">
        <f aca="false">(V$23+V$24*SIN(2*PI()/365*A29))*V$25/100*V$7*V$8/100*(1-V$15/100)</f>
        <v>16.9497173054773</v>
      </c>
      <c r="J29" s="38" t="n">
        <f aca="false">(V$23+V$24*SIN(2*PI()/365*A29))*V$25/100*V$9*(1-V$14/100)</f>
        <v>4.53166378192425</v>
      </c>
      <c r="K29" s="39" t="n">
        <f aca="false">IF(E29/C29*100&lt;100,E29/C29*100,100)</f>
        <v>100</v>
      </c>
      <c r="L29" s="2" t="n">
        <f aca="false">IF(((C29-E29)&gt;0)AND(F29&gt;(C29-E29)),(C29-E29),IF(C29&lt;E29,0,F29))</f>
        <v>0</v>
      </c>
      <c r="M29" s="2" t="n">
        <f aca="false">IF(C29&lt;(E29+F29),0,C29-E29-F29)</f>
        <v>0</v>
      </c>
      <c r="N29" s="2" t="n">
        <f aca="false">IF(C29&lt;(E29+F29),0,(C29-E29-F29)/(1-V$16/100))</f>
        <v>0</v>
      </c>
      <c r="O29" s="2" t="n">
        <f aca="false">L29+M29</f>
        <v>0</v>
      </c>
      <c r="P29" s="2" t="n">
        <f aca="false">IF( N29=0,I29*(1-G29/100)+J29*(1-H29/100),-N29)</f>
        <v>14.1368292691544</v>
      </c>
      <c r="Q29" s="47" t="n">
        <f aca="false">IF(P28&gt;0,Q28+P28*(1-V$20/100),Q28+P28)</f>
        <v>199.427921741146</v>
      </c>
      <c r="R29" s="48" t="n">
        <f aca="false">R$4+Q29/V$28</f>
        <v>42.3589370125111</v>
      </c>
      <c r="T29" s="41" t="n">
        <v>29</v>
      </c>
      <c r="U29" s="58" t="s">
        <v>90</v>
      </c>
      <c r="V29" s="74" t="n">
        <f aca="false">(V10/31+V11/30)/2*365</f>
        <v>1086.36559139785</v>
      </c>
      <c r="W29" s="41" t="s">
        <v>35</v>
      </c>
    </row>
    <row r="30" customFormat="false" ht="12.8" hidden="false" customHeight="false" outlineLevel="0" collapsed="false">
      <c r="A30" s="1" t="n">
        <v>26</v>
      </c>
      <c r="B30" s="37" t="n">
        <v>43571</v>
      </c>
      <c r="C30" s="38" t="n">
        <f aca="false">V$26-V$26*SIN(2*PI()/365*A30)</f>
        <v>8.03167067038833</v>
      </c>
      <c r="D30" s="2" t="n">
        <f aca="false">IF((E30+F30)&gt;C30,C30,E30+F30)</f>
        <v>8.03167067038833</v>
      </c>
      <c r="E30" s="38" t="n">
        <f aca="false">(V$23+V$24*SIN(2*PI()/365*A30))*V$25/100*V$7*V$8/100</f>
        <v>19.2299224857066</v>
      </c>
      <c r="F30" s="38" t="n">
        <f aca="false">(V$23+V$24*SIN(2*PI()/365*A30))*V$25/100*V$9*(1-V$14/100)*(1-V$16/100)</f>
        <v>4.0724219389847</v>
      </c>
      <c r="G30" s="38" t="n">
        <f aca="false">IF(C30&gt;E30,100,C30/E30*100)</f>
        <v>41.7665264972242</v>
      </c>
      <c r="H30" s="38" t="n">
        <f aca="false">L30/F30*100</f>
        <v>0</v>
      </c>
      <c r="I30" s="38" t="n">
        <f aca="false">(V$23+V$24*SIN(2*PI()/365*A30))*V$25/100*V$7*V$8/100*(1-V$15/100)</f>
        <v>17.1146310122789</v>
      </c>
      <c r="J30" s="38" t="n">
        <f aca="false">(V$23+V$24*SIN(2*PI()/365*A30))*V$25/100*V$9*(1-V$14/100)</f>
        <v>4.57575498762326</v>
      </c>
      <c r="K30" s="39" t="n">
        <f aca="false">IF(E30/C30*100&lt;100,E30/C30*100,100)</f>
        <v>100</v>
      </c>
      <c r="L30" s="2" t="n">
        <f aca="false">IF(((C30-E30)&gt;0)AND(F30&gt;(C30-E30)),(C30-E30),IF(C30&lt;E30,0,F30))</f>
        <v>0</v>
      </c>
      <c r="M30" s="2" t="n">
        <f aca="false">IF(C30&lt;(E30+F30),0,C30-E30-F30)</f>
        <v>0</v>
      </c>
      <c r="N30" s="2" t="n">
        <f aca="false">IF(C30&lt;(E30+F30),0,(C30-E30-F30)/(1-V$16/100))</f>
        <v>0</v>
      </c>
      <c r="O30" s="2" t="n">
        <f aca="false">L30+M30</f>
        <v>0</v>
      </c>
      <c r="P30" s="2" t="n">
        <f aca="false">IF( N30=0,I30*(1-G30/100)+J30*(1-H30/100),-N30)</f>
        <v>14.5421991032565</v>
      </c>
      <c r="Q30" s="47" t="n">
        <f aca="false">IF(P29&gt;0,Q29+P29*(1-V$20/100),Q29+P29)</f>
        <v>212.575172961459</v>
      </c>
      <c r="R30" s="48" t="n">
        <f aca="false">R$4+Q30/V$28</f>
        <v>42.5144495267349</v>
      </c>
    </row>
    <row r="31" customFormat="false" ht="12.8" hidden="false" customHeight="false" outlineLevel="0" collapsed="false">
      <c r="A31" s="1" t="n">
        <v>27</v>
      </c>
      <c r="B31" s="37" t="n">
        <v>43572</v>
      </c>
      <c r="C31" s="38" t="n">
        <f aca="false">V$26-V$26*SIN(2*PI()/365*A31)</f>
        <v>7.81285176470199</v>
      </c>
      <c r="D31" s="2" t="n">
        <f aca="false">IF((E31+F31)&gt;C31,C31,E31+F31)</f>
        <v>7.81285176470199</v>
      </c>
      <c r="E31" s="38" t="n">
        <f aca="false">(V$23+V$24*SIN(2*PI()/365*A31))*V$25/100*V$7*V$8/100</f>
        <v>19.4136937853904</v>
      </c>
      <c r="F31" s="38" t="n">
        <f aca="false">(V$23+V$24*SIN(2*PI()/365*A31))*V$25/100*V$9*(1-V$14/100)*(1-V$16/100)</f>
        <v>4.11134015475725</v>
      </c>
      <c r="G31" s="38" t="n">
        <f aca="false">IF(C31&gt;E31,100,C31/E31*100)</f>
        <v>40.2440249190573</v>
      </c>
      <c r="H31" s="38" t="n">
        <f aca="false">L31/F31*100</f>
        <v>0</v>
      </c>
      <c r="I31" s="38" t="n">
        <f aca="false">(V$23+V$24*SIN(2*PI()/365*A31))*V$25/100*V$7*V$8/100*(1-V$15/100)</f>
        <v>17.2781874689975</v>
      </c>
      <c r="J31" s="38" t="n">
        <f aca="false">(V$23+V$24*SIN(2*PI()/365*A31))*V$25/100*V$9*(1-V$14/100)</f>
        <v>4.61948331995196</v>
      </c>
      <c r="K31" s="39" t="n">
        <f aca="false">IF(E31/C31*100&lt;100,E31/C31*100,100)</f>
        <v>100</v>
      </c>
      <c r="L31" s="2" t="n">
        <f aca="false">IF(((C31-E31)&gt;0)AND(F31&gt;(C31-E31)),(C31-E31),IF(C31&lt;E31,0,F31))</f>
        <v>0</v>
      </c>
      <c r="M31" s="2" t="n">
        <f aca="false">IF(C31&lt;(E31+F31),0,C31-E31-F31)</f>
        <v>0</v>
      </c>
      <c r="N31" s="2" t="n">
        <f aca="false">IF(C31&lt;(E31+F31),0,(C31-E31-F31)/(1-V$16/100))</f>
        <v>0</v>
      </c>
      <c r="O31" s="2" t="n">
        <f aca="false">L31+M31</f>
        <v>0</v>
      </c>
      <c r="P31" s="2" t="n">
        <f aca="false">IF( N31=0,I31*(1-G31/100)+J31*(1-H31/100),-N31)</f>
        <v>14.9442327183647</v>
      </c>
      <c r="Q31" s="47" t="n">
        <f aca="false">IF(P30&gt;0,Q30+P30*(1-V$20/100),Q30+P30)</f>
        <v>226.099418127488</v>
      </c>
      <c r="R31" s="48" t="n">
        <f aca="false">R$4+Q31/V$28</f>
        <v>42.6744213211049</v>
      </c>
    </row>
    <row r="32" customFormat="false" ht="12.8" hidden="false" customHeight="false" outlineLevel="0" collapsed="false">
      <c r="A32" s="1" t="n">
        <v>28</v>
      </c>
      <c r="B32" s="37" t="n">
        <v>43573</v>
      </c>
      <c r="C32" s="38" t="n">
        <f aca="false">V$26-V$26*SIN(2*PI()/365*A32)</f>
        <v>7.59591353746605</v>
      </c>
      <c r="D32" s="2" t="n">
        <f aca="false">IF((E32+F32)&gt;C32,C32,E32+F32)</f>
        <v>7.59591353746605</v>
      </c>
      <c r="E32" s="38" t="n">
        <f aca="false">(V$23+V$24*SIN(2*PI()/365*A32))*V$25/100*V$7*V$8/100</f>
        <v>19.5958856295786</v>
      </c>
      <c r="F32" s="38" t="n">
        <f aca="false">(V$23+V$24*SIN(2*PI()/365*A32))*V$25/100*V$9*(1-V$14/100)*(1-V$16/100)</f>
        <v>4.14992388092295</v>
      </c>
      <c r="G32" s="38" t="n">
        <f aca="false">IF(C32&gt;E32,100,C32/E32*100)</f>
        <v>38.7627978701842</v>
      </c>
      <c r="H32" s="38" t="n">
        <f aca="false">L32/F32*100</f>
        <v>0</v>
      </c>
      <c r="I32" s="38" t="n">
        <f aca="false">(V$23+V$24*SIN(2*PI()/365*A32))*V$25/100*V$7*V$8/100*(1-V$15/100)</f>
        <v>17.440338210325</v>
      </c>
      <c r="J32" s="38" t="n">
        <f aca="false">(V$23+V$24*SIN(2*PI()/365*A32))*V$25/100*V$9*(1-V$14/100)</f>
        <v>4.66283582126174</v>
      </c>
      <c r="K32" s="39" t="n">
        <f aca="false">IF(E32/C32*100&lt;100,E32/C32*100,100)</f>
        <v>100</v>
      </c>
      <c r="L32" s="2" t="n">
        <f aca="false">IF(((C32-E32)&gt;0)AND(F32&gt;(C32-E32)),(C32-E32),IF(C32&lt;E32,0,F32))</f>
        <v>0</v>
      </c>
      <c r="M32" s="2" t="n">
        <f aca="false">IF(C32&lt;(E32+F32),0,C32-E32-F32)</f>
        <v>0</v>
      </c>
      <c r="N32" s="2" t="n">
        <f aca="false">IF(C32&lt;(E32+F32),0,(C32-E32-F32)/(1-V$16/100))</f>
        <v>0</v>
      </c>
      <c r="O32" s="2" t="n">
        <f aca="false">L32+M32</f>
        <v>0</v>
      </c>
      <c r="P32" s="2" t="n">
        <f aca="false">IF( N32=0,I32*(1-G32/100)+J32*(1-H32/100),-N32)</f>
        <v>15.342810983242</v>
      </c>
      <c r="Q32" s="47" t="n">
        <f aca="false">IF(P31&gt;0,Q31+P31*(1-V$20/100),Q31+P31)</f>
        <v>239.997554555567</v>
      </c>
      <c r="R32" s="48" t="n">
        <f aca="false">R$4+Q32/V$28</f>
        <v>42.8388156954678</v>
      </c>
    </row>
    <row r="33" customFormat="false" ht="12.8" hidden="false" customHeight="false" outlineLevel="0" collapsed="false">
      <c r="A33" s="1" t="n">
        <v>29</v>
      </c>
      <c r="B33" s="37" t="n">
        <v>43574</v>
      </c>
      <c r="C33" s="38" t="n">
        <f aca="false">V$26-V$26*SIN(2*PI()/365*A33)</f>
        <v>7.38092027215913</v>
      </c>
      <c r="D33" s="2" t="n">
        <f aca="false">IF((E33+F33)&gt;C33,C33,E33+F33)</f>
        <v>7.38092027215913</v>
      </c>
      <c r="E33" s="38" t="n">
        <f aca="false">(V$23+V$24*SIN(2*PI()/365*A33))*V$25/100*V$7*V$8/100</f>
        <v>19.7764440308959</v>
      </c>
      <c r="F33" s="38" t="n">
        <f aca="false">(V$23+V$24*SIN(2*PI()/365*A33))*V$25/100*V$9*(1-V$14/100)*(1-V$16/100)</f>
        <v>4.18816168429105</v>
      </c>
      <c r="G33" s="38" t="n">
        <f aca="false">IF(C33&gt;E33,100,C33/E33*100)</f>
        <v>37.321776658272</v>
      </c>
      <c r="H33" s="38" t="n">
        <f aca="false">L33/F33*100</f>
        <v>0</v>
      </c>
      <c r="I33" s="38" t="n">
        <f aca="false">(V$23+V$24*SIN(2*PI()/365*A33))*V$25/100*V$7*V$8/100*(1-V$15/100)</f>
        <v>17.6010351874973</v>
      </c>
      <c r="J33" s="38" t="n">
        <f aca="false">(V$23+V$24*SIN(2*PI()/365*A33))*V$25/100*V$9*(1-V$14/100)</f>
        <v>4.70579964527085</v>
      </c>
      <c r="K33" s="39" t="n">
        <f aca="false">IF(E33/C33*100&lt;100,E33/C33*100,100)</f>
        <v>100</v>
      </c>
      <c r="L33" s="2" t="n">
        <f aca="false">IF(((C33-E33)&gt;0)AND(F33&gt;(C33-E33)),(C33-E33),IF(C33&lt;E33,0,F33))</f>
        <v>0</v>
      </c>
      <c r="M33" s="2" t="n">
        <f aca="false">IF(C33&lt;(E33+F33),0,C33-E33-F33)</f>
        <v>0</v>
      </c>
      <c r="N33" s="2" t="n">
        <f aca="false">IF(C33&lt;(E33+F33),0,(C33-E33-F33)/(1-V$16/100))</f>
        <v>0</v>
      </c>
      <c r="O33" s="2" t="n">
        <f aca="false">L33+M33</f>
        <v>0</v>
      </c>
      <c r="P33" s="2" t="n">
        <f aca="false">IF( N33=0,I33*(1-G33/100)+J33*(1-H33/100),-N33)</f>
        <v>15.7378157905466</v>
      </c>
      <c r="Q33" s="47" t="n">
        <f aca="false">IF(P32&gt;0,Q32+P32*(1-V$20/100),Q32+P32)</f>
        <v>254.266368769982</v>
      </c>
      <c r="R33" s="48" t="n">
        <f aca="false">R$4+Q33/V$28</f>
        <v>43.0075946391642</v>
      </c>
    </row>
    <row r="34" customFormat="false" ht="12.8" hidden="false" customHeight="false" outlineLevel="0" collapsed="false">
      <c r="A34" s="1" t="n">
        <v>30</v>
      </c>
      <c r="B34" s="37" t="n">
        <v>43575</v>
      </c>
      <c r="C34" s="38" t="n">
        <f aca="false">V$26-V$26*SIN(2*PI()/365*A34)</f>
        <v>7.1679356759257</v>
      </c>
      <c r="D34" s="2" t="n">
        <f aca="false">IF((E34+F34)&gt;C34,C34,E34+F34)</f>
        <v>7.1679356759257</v>
      </c>
      <c r="E34" s="38" t="n">
        <f aca="false">(V$23+V$24*SIN(2*PI()/365*A34))*V$25/100*V$7*V$8/100</f>
        <v>19.955315485991</v>
      </c>
      <c r="F34" s="38" t="n">
        <f aca="false">(V$23+V$24*SIN(2*PI()/365*A34))*V$25/100*V$9*(1-V$14/100)*(1-V$16/100)</f>
        <v>4.22604223417518</v>
      </c>
      <c r="G34" s="38" t="n">
        <f aca="false">IF(C34&gt;E34,100,C34/E34*100)</f>
        <v>35.9199316139988</v>
      </c>
      <c r="H34" s="38" t="n">
        <f aca="false">L34/F34*100</f>
        <v>0</v>
      </c>
      <c r="I34" s="38" t="n">
        <f aca="false">(V$23+V$24*SIN(2*PI()/365*A34))*V$25/100*V$7*V$8/100*(1-V$15/100)</f>
        <v>17.760230782532</v>
      </c>
      <c r="J34" s="38" t="n">
        <f aca="false">(V$23+V$24*SIN(2*PI()/365*A34))*V$25/100*V$9*(1-V$14/100)</f>
        <v>4.74836206087099</v>
      </c>
      <c r="K34" s="39" t="n">
        <f aca="false">IF(E34/C34*100&lt;100,E34/C34*100,100)</f>
        <v>100</v>
      </c>
      <c r="L34" s="2" t="n">
        <f aca="false">IF(((C34-E34)&gt;0)AND(F34&gt;(C34-E34)),(C34-E34),IF(C34&lt;E34,0,F34))</f>
        <v>0</v>
      </c>
      <c r="M34" s="2" t="n">
        <f aca="false">IF(C34&lt;(E34+F34),0,C34-E34-F34)</f>
        <v>0</v>
      </c>
      <c r="N34" s="2" t="n">
        <f aca="false">IF(C34&lt;(E34+F34),0,(C34-E34-F34)/(1-V$16/100))</f>
        <v>0</v>
      </c>
      <c r="O34" s="2" t="n">
        <f aca="false">L34+M34</f>
        <v>0</v>
      </c>
      <c r="P34" s="2" t="n">
        <f aca="false">IF( N34=0,I34*(1-G34/100)+J34*(1-H34/100),-N34)</f>
        <v>16.1291300918291</v>
      </c>
      <c r="Q34" s="47" t="n">
        <f aca="false">IF(P33&gt;0,Q33+P33*(1-V$20/100),Q33+P33)</f>
        <v>268.90253745519</v>
      </c>
      <c r="R34" s="48" t="n">
        <f aca="false">R$4+Q34/V$28</f>
        <v>43.1807188422921</v>
      </c>
    </row>
    <row r="35" customFormat="false" ht="12.8" hidden="false" customHeight="false" outlineLevel="0" collapsed="false">
      <c r="A35" s="1" t="n">
        <v>31</v>
      </c>
      <c r="B35" s="37" t="n">
        <v>43576</v>
      </c>
      <c r="C35" s="38" t="n">
        <f aca="false">V$26-V$26*SIN(2*PI()/365*A35)</f>
        <v>6.95702286069819</v>
      </c>
      <c r="D35" s="2" t="n">
        <f aca="false">IF((E35+F35)&gt;C35,C35,E35+F35)</f>
        <v>6.95702286069819</v>
      </c>
      <c r="E35" s="38" t="n">
        <f aca="false">(V$23+V$24*SIN(2*PI()/365*A35))*V$25/100*V$7*V$8/100</f>
        <v>20.1324469913916</v>
      </c>
      <c r="F35" s="38" t="n">
        <f aca="false">(V$23+V$24*SIN(2*PI()/365*A35))*V$25/100*V$9*(1-V$14/100)*(1-V$16/100)</f>
        <v>4.26355430575086</v>
      </c>
      <c r="G35" s="38" t="n">
        <f aca="false">IF(C35&gt;E35,100,C35/E35*100)</f>
        <v>34.5562705997583</v>
      </c>
      <c r="H35" s="38" t="n">
        <f aca="false">L35/F35*100</f>
        <v>0</v>
      </c>
      <c r="I35" s="38" t="n">
        <f aca="false">(V$23+V$24*SIN(2*PI()/365*A35))*V$25/100*V$7*V$8/100*(1-V$15/100)</f>
        <v>17.9178778223385</v>
      </c>
      <c r="J35" s="38" t="n">
        <f aca="false">(V$23+V$24*SIN(2*PI()/365*A35))*V$25/100*V$9*(1-V$14/100)</f>
        <v>4.79051045589984</v>
      </c>
      <c r="K35" s="39" t="n">
        <f aca="false">IF(E35/C35*100&lt;100,E35/C35*100,100)</f>
        <v>100</v>
      </c>
      <c r="L35" s="2" t="n">
        <f aca="false">IF(((C35-E35)&gt;0)AND(F35&gt;(C35-E35)),(C35-E35),IF(C35&lt;E35,0,F35))</f>
        <v>0</v>
      </c>
      <c r="M35" s="2" t="n">
        <f aca="false">IF(C35&lt;(E35+F35),0,C35-E35-F35)</f>
        <v>0</v>
      </c>
      <c r="N35" s="2" t="n">
        <f aca="false">IF(C35&lt;(E35+F35),0,(C35-E35-F35)/(1-V$16/100))</f>
        <v>0</v>
      </c>
      <c r="O35" s="2" t="n">
        <f aca="false">L35+M35</f>
        <v>0</v>
      </c>
      <c r="P35" s="2" t="n">
        <f aca="false">IF( N35=0,I35*(1-G35/100)+J35*(1-H35/100),-N35)</f>
        <v>16.516637932217</v>
      </c>
      <c r="Q35" s="47" t="n">
        <f aca="false">IF(P34&gt;0,Q34+P34*(1-V$20/100),Q34+P34)</f>
        <v>283.902628440591</v>
      </c>
      <c r="R35" s="48" t="n">
        <f aca="false">R$4+Q35/V$28</f>
        <v>43.3581477073555</v>
      </c>
    </row>
    <row r="36" customFormat="false" ht="12.8" hidden="false" customHeight="false" outlineLevel="0" collapsed="false">
      <c r="A36" s="1" t="n">
        <v>32</v>
      </c>
      <c r="B36" s="37" t="n">
        <v>43577</v>
      </c>
      <c r="C36" s="38" t="n">
        <f aca="false">V$26-V$26*SIN(2*PI()/365*A36)</f>
        <v>6.74824432449562</v>
      </c>
      <c r="D36" s="2" t="n">
        <f aca="false">IF((E36+F36)&gt;C36,C36,E36+F36)</f>
        <v>6.74824432449562</v>
      </c>
      <c r="E36" s="38" t="n">
        <f aca="false">(V$23+V$24*SIN(2*PI()/365*A36))*V$25/100*V$7*V$8/100</f>
        <v>20.3077860592097</v>
      </c>
      <c r="F36" s="38" t="n">
        <f aca="false">(V$23+V$24*SIN(2*PI()/365*A36))*V$25/100*V$9*(1-V$14/100)*(1-V$16/100)</f>
        <v>4.30068678338172</v>
      </c>
      <c r="G36" s="38" t="n">
        <f aca="false">IF(C36&gt;E36,100,C36/E36*100)</f>
        <v>33.2298375845616</v>
      </c>
      <c r="H36" s="38" t="n">
        <f aca="false">L36/F36*100</f>
        <v>0</v>
      </c>
      <c r="I36" s="38" t="n">
        <f aca="false">(V$23+V$24*SIN(2*PI()/365*A36))*V$25/100*V$7*V$8/100*(1-V$15/100)</f>
        <v>18.0739295926966</v>
      </c>
      <c r="J36" s="38" t="n">
        <f aca="false">(V$23+V$24*SIN(2*PI()/365*A36))*V$25/100*V$9*(1-V$14/100)</f>
        <v>4.83223234087833</v>
      </c>
      <c r="K36" s="39" t="n">
        <f aca="false">IF(E36/C36*100&lt;100,E36/C36*100,100)</f>
        <v>100</v>
      </c>
      <c r="L36" s="2" t="n">
        <f aca="false">IF(((C36-E36)&gt;0)AND(F36&gt;(C36-E36)),(C36-E36),IF(C36&lt;E36,0,F36))</f>
        <v>0</v>
      </c>
      <c r="M36" s="2" t="n">
        <f aca="false">IF(C36&lt;(E36+F36),0,C36-E36-F36)</f>
        <v>0</v>
      </c>
      <c r="N36" s="2" t="n">
        <f aca="false">IF(C36&lt;(E36+F36),0,(C36-E36-F36)/(1-V$16/100))</f>
        <v>0</v>
      </c>
      <c r="O36" s="2" t="n">
        <f aca="false">L36+M36</f>
        <v>0</v>
      </c>
      <c r="P36" s="2" t="n">
        <f aca="false">IF( N36=0,I36*(1-G36/100)+J36*(1-H36/100),-N36)</f>
        <v>16.9002244847739</v>
      </c>
      <c r="Q36" s="47" t="n">
        <f aca="false">IF(P35&gt;0,Q35+P35*(1-V$20/100),Q35+P35)</f>
        <v>299.263101717553</v>
      </c>
      <c r="R36" s="48" t="n">
        <f aca="false">R$4+Q36/V$28</f>
        <v>43.5398393612943</v>
      </c>
    </row>
    <row r="37" customFormat="false" ht="12.8" hidden="false" customHeight="false" outlineLevel="0" collapsed="false">
      <c r="A37" s="1" t="n">
        <v>33</v>
      </c>
      <c r="B37" s="37" t="n">
        <v>43578</v>
      </c>
      <c r="C37" s="38" t="n">
        <f aca="false">V$26-V$26*SIN(2*PI()/365*A37)</f>
        <v>6.54166193290409</v>
      </c>
      <c r="D37" s="2" t="n">
        <f aca="false">IF((E37+F37)&gt;C37,C37,E37+F37)</f>
        <v>6.54166193290409</v>
      </c>
      <c r="E37" s="38" t="n">
        <f aca="false">(V$23+V$24*SIN(2*PI()/365*A37))*V$25/100*V$7*V$8/100</f>
        <v>20.4812807326955</v>
      </c>
      <c r="F37" s="38" t="n">
        <f aca="false">(V$23+V$24*SIN(2*PI()/365*A37))*V$25/100*V$9*(1-V$14/100)*(1-V$16/100)</f>
        <v>4.33742866391324</v>
      </c>
      <c r="G37" s="38" t="n">
        <f aca="false">IF(C37&gt;E37,100,C37/E37*100)</f>
        <v>31.9397112821234</v>
      </c>
      <c r="H37" s="38" t="n">
        <f aca="false">L37/F37*100</f>
        <v>0</v>
      </c>
      <c r="I37" s="38" t="n">
        <f aca="false">(V$23+V$24*SIN(2*PI()/365*A37))*V$25/100*V$7*V$8/100*(1-V$15/100)</f>
        <v>18.228339852099</v>
      </c>
      <c r="J37" s="38" t="n">
        <f aca="false">(V$23+V$24*SIN(2*PI()/365*A37))*V$25/100*V$9*(1-V$14/100)</f>
        <v>4.87351535271151</v>
      </c>
      <c r="K37" s="39" t="n">
        <f aca="false">IF(E37/C37*100&lt;100,E37/C37*100,100)</f>
        <v>100</v>
      </c>
      <c r="L37" s="2" t="n">
        <f aca="false">IF(((C37-E37)&gt;0)AND(F37&gt;(C37-E37)),(C37-E37),IF(C37&lt;E37,0,F37))</f>
        <v>0</v>
      </c>
      <c r="M37" s="2" t="n">
        <f aca="false">IF(C37&lt;(E37+F37),0,C37-E37-F37)</f>
        <v>0</v>
      </c>
      <c r="N37" s="2" t="n">
        <f aca="false">IF(C37&lt;(E37+F37),0,(C37-E37-F37)/(1-V$16/100))</f>
        <v>0</v>
      </c>
      <c r="O37" s="2" t="n">
        <f aca="false">L37+M37</f>
        <v>0</v>
      </c>
      <c r="P37" s="2" t="n">
        <f aca="false">IF( N37=0,I37*(1-G37/100)+J37*(1-H37/100),-N37)</f>
        <v>17.2797760845258</v>
      </c>
      <c r="Q37" s="47" t="n">
        <f aca="false">IF(P36&gt;0,Q36+P36*(1-V$20/100),Q36+P36)</f>
        <v>314.980310488393</v>
      </c>
      <c r="R37" s="48" t="n">
        <f aca="false">R$4+Q37/V$28</f>
        <v>43.7257506678917</v>
      </c>
    </row>
    <row r="38" customFormat="false" ht="12.8" hidden="false" customHeight="false" outlineLevel="0" collapsed="false">
      <c r="A38" s="1" t="n">
        <v>34</v>
      </c>
      <c r="B38" s="37" t="n">
        <v>43579</v>
      </c>
      <c r="C38" s="38" t="n">
        <f aca="false">V$26-V$26*SIN(2*PI()/365*A38)</f>
        <v>6.33733690074464</v>
      </c>
      <c r="D38" s="2" t="n">
        <f aca="false">IF((E38+F38)&gt;C38,C38,E38+F38)</f>
        <v>6.33733690074464</v>
      </c>
      <c r="E38" s="38" t="n">
        <f aca="false">(V$23+V$24*SIN(2*PI()/365*A38))*V$25/100*V$7*V$8/100</f>
        <v>20.6528796016328</v>
      </c>
      <c r="F38" s="38" t="n">
        <f aca="false">(V$23+V$24*SIN(2*PI()/365*A38))*V$25/100*V$9*(1-V$14/100)*(1-V$16/100)</f>
        <v>4.37376905993328</v>
      </c>
      <c r="G38" s="38" t="n">
        <f aca="false">IF(C38&gt;E38,100,C38/E38*100)</f>
        <v>30.6850038492629</v>
      </c>
      <c r="H38" s="38" t="n">
        <f aca="false">L38/F38*100</f>
        <v>0</v>
      </c>
      <c r="I38" s="38" t="n">
        <f aca="false">(V$23+V$24*SIN(2*PI()/365*A38))*V$25/100*V$7*V$8/100*(1-V$15/100)</f>
        <v>18.3810628454532</v>
      </c>
      <c r="J38" s="38" t="n">
        <f aca="false">(V$23+V$24*SIN(2*PI()/365*A38))*V$25/100*V$9*(1-V$14/100)</f>
        <v>4.914347258352</v>
      </c>
      <c r="K38" s="39" t="n">
        <f aca="false">IF(E38/C38*100&lt;100,E38/C38*100,100)</f>
        <v>100</v>
      </c>
      <c r="L38" s="2" t="n">
        <f aca="false">IF(((C38-E38)&gt;0)AND(F38&gt;(C38-E38)),(C38-E38),IF(C38&lt;E38,0,F38))</f>
        <v>0</v>
      </c>
      <c r="M38" s="2" t="n">
        <f aca="false">IF(C38&lt;(E38+F38),0,C38-E38-F38)</f>
        <v>0</v>
      </c>
      <c r="N38" s="2" t="n">
        <f aca="false">IF(C38&lt;(E38+F38),0,(C38-E38-F38)/(1-V$16/100))</f>
        <v>0</v>
      </c>
      <c r="O38" s="2" t="n">
        <f aca="false">L38+M38</f>
        <v>0</v>
      </c>
      <c r="P38" s="2" t="n">
        <f aca="false">IF( N38=0,I38*(1-G38/100)+J38*(1-H38/100),-N38)</f>
        <v>17.6551802621424</v>
      </c>
      <c r="Q38" s="47" t="n">
        <f aca="false">IF(P37&gt;0,Q37+P37*(1-V$20/100),Q37+P37)</f>
        <v>331.050502247002</v>
      </c>
      <c r="R38" s="48" t="n">
        <f aca="false">R$4+Q38/V$28</f>
        <v>43.915837240557</v>
      </c>
    </row>
    <row r="39" customFormat="false" ht="12.8" hidden="false" customHeight="false" outlineLevel="0" collapsed="false">
      <c r="A39" s="1" t="n">
        <v>35</v>
      </c>
      <c r="B39" s="37" t="n">
        <v>43580</v>
      </c>
      <c r="C39" s="38" t="n">
        <f aca="false">V$26-V$26*SIN(2*PI()/365*A39)</f>
        <v>6.13532977393399</v>
      </c>
      <c r="D39" s="2" t="n">
        <f aca="false">IF((E39+F39)&gt;C39,C39,E39+F39)</f>
        <v>6.13532977393399</v>
      </c>
      <c r="E39" s="38" t="n">
        <f aca="false">(V$23+V$24*SIN(2*PI()/365*A39))*V$25/100*V$7*V$8/100</f>
        <v>20.8225318175733</v>
      </c>
      <c r="F39" s="38" t="n">
        <f aca="false">(V$23+V$24*SIN(2*PI()/365*A39))*V$25/100*V$9*(1-V$14/100)*(1-V$16/100)</f>
        <v>4.4096972029982</v>
      </c>
      <c r="G39" s="38" t="n">
        <f aca="false">IF(C39&gt;E39,100,C39/E39*100)</f>
        <v>29.464859641881</v>
      </c>
      <c r="H39" s="38" t="n">
        <f aca="false">L39/F39*100</f>
        <v>0</v>
      </c>
      <c r="I39" s="38" t="n">
        <f aca="false">(V$23+V$24*SIN(2*PI()/365*A39))*V$25/100*V$7*V$8/100*(1-V$15/100)</f>
        <v>18.5320533176403</v>
      </c>
      <c r="J39" s="38" t="n">
        <f aca="false">(V$23+V$24*SIN(2*PI()/365*A39))*V$25/100*V$9*(1-V$14/100)</f>
        <v>4.95471595842495</v>
      </c>
      <c r="K39" s="39" t="n">
        <f aca="false">IF(E39/C39*100&lt;100,E39/C39*100,100)</f>
        <v>100</v>
      </c>
      <c r="L39" s="2" t="n">
        <f aca="false">IF(((C39-E39)&gt;0)AND(F39&gt;(C39-E39)),(C39-E39),IF(C39&lt;E39,0,F39))</f>
        <v>0</v>
      </c>
      <c r="M39" s="2" t="n">
        <f aca="false">IF(C39&lt;(E39+F39),0,C39-E39-F39)</f>
        <v>0</v>
      </c>
      <c r="N39" s="2" t="n">
        <f aca="false">IF(C39&lt;(E39+F39),0,(C39-E39-F39)/(1-V$16/100))</f>
        <v>0</v>
      </c>
      <c r="O39" s="2" t="n">
        <f aca="false">L39+M39</f>
        <v>0</v>
      </c>
      <c r="P39" s="2" t="n">
        <f aca="false">IF( N39=0,I39*(1-G39/100)+J39*(1-H39/100),-N39)</f>
        <v>18.026325777264</v>
      </c>
      <c r="Q39" s="47" t="n">
        <f aca="false">IF(P38&gt;0,Q38+P38*(1-V$20/100),Q38+P38)</f>
        <v>347.469819890794</v>
      </c>
      <c r="R39" s="48" t="n">
        <f aca="false">R$4+Q39/V$28</f>
        <v>44.1100534554779</v>
      </c>
    </row>
    <row r="40" customFormat="false" ht="12.8" hidden="false" customHeight="false" outlineLevel="0" collapsed="false">
      <c r="A40" s="1" t="n">
        <v>36</v>
      </c>
      <c r="B40" s="37" t="n">
        <v>43581</v>
      </c>
      <c r="C40" s="38" t="n">
        <f aca="false">V$26-V$26*SIN(2*PI()/365*A40)</f>
        <v>5.93570041154349</v>
      </c>
      <c r="D40" s="2" t="n">
        <f aca="false">IF((E40+F40)&gt;C40,C40,E40+F40)</f>
        <v>5.93570041154349</v>
      </c>
      <c r="E40" s="38" t="n">
        <f aca="false">(V$23+V$24*SIN(2*PI()/365*A40))*V$25/100*V$7*V$8/100</f>
        <v>20.9901871089042</v>
      </c>
      <c r="F40" s="38" t="n">
        <f aca="false">(V$23+V$24*SIN(2*PI()/365*A40))*V$25/100*V$9*(1-V$14/100)*(1-V$16/100)</f>
        <v>4.44520244682382</v>
      </c>
      <c r="G40" s="38" t="n">
        <f aca="false">IF(C40&gt;E40,100,C40/E40*100)</f>
        <v>28.2784540259077</v>
      </c>
      <c r="H40" s="38" t="n">
        <f aca="false">L40/F40*100</f>
        <v>0</v>
      </c>
      <c r="I40" s="38" t="n">
        <f aca="false">(V$23+V$24*SIN(2*PI()/365*A40))*V$25/100*V$7*V$8/100*(1-V$15/100)</f>
        <v>18.6812665269248</v>
      </c>
      <c r="J40" s="38" t="n">
        <f aca="false">(V$23+V$24*SIN(2*PI()/365*A40))*V$25/100*V$9*(1-V$14/100)</f>
        <v>4.99460949081328</v>
      </c>
      <c r="K40" s="39" t="n">
        <f aca="false">IF(E40/C40*100&lt;100,E40/C40*100,100)</f>
        <v>100</v>
      </c>
      <c r="L40" s="2" t="n">
        <f aca="false">IF(((C40-E40)&gt;0)AND(F40&gt;(C40-E40)),(C40-E40),IF(C40&lt;E40,0,F40))</f>
        <v>0</v>
      </c>
      <c r="M40" s="2" t="n">
        <f aca="false">IF(C40&lt;(E40+F40),0,C40-E40-F40)</f>
        <v>0</v>
      </c>
      <c r="N40" s="2" t="n">
        <f aca="false">IF(C40&lt;(E40+F40),0,(C40-E40-F40)/(1-V$16/100))</f>
        <v>0</v>
      </c>
      <c r="O40" s="2" t="n">
        <f aca="false">L40+M40</f>
        <v>0</v>
      </c>
      <c r="P40" s="2" t="n">
        <f aca="false">IF( N40=0,I40*(1-G40/100)+J40*(1-H40/100),-N40)</f>
        <v>18.3931026514644</v>
      </c>
      <c r="Q40" s="47" t="n">
        <f aca="false">IF(P39&gt;0,Q39+P39*(1-V$20/100),Q39+P39)</f>
        <v>364.23430286365</v>
      </c>
      <c r="R40" s="48" t="n">
        <f aca="false">R$4+Q40/V$28</f>
        <v>44.3083524651402</v>
      </c>
    </row>
    <row r="41" customFormat="false" ht="12.8" hidden="false" customHeight="false" outlineLevel="0" collapsed="false">
      <c r="A41" s="1" t="n">
        <v>37</v>
      </c>
      <c r="B41" s="37" t="n">
        <v>43582</v>
      </c>
      <c r="C41" s="38" t="n">
        <f aca="false">V$26-V$26*SIN(2*PI()/365*A41)</f>
        <v>5.73850796806156</v>
      </c>
      <c r="D41" s="2" t="n">
        <f aca="false">IF((E41+F41)&gt;C41,C41,E41+F41)</f>
        <v>5.73850796806156</v>
      </c>
      <c r="E41" s="38" t="n">
        <f aca="false">(V$23+V$24*SIN(2*PI()/365*A41))*V$25/100*V$7*V$8/100</f>
        <v>21.1557957957443</v>
      </c>
      <c r="F41" s="38" t="n">
        <f aca="false">(V$23+V$24*SIN(2*PI()/365*A41))*V$25/100*V$9*(1-V$14/100)*(1-V$16/100)</f>
        <v>4.48027427044013</v>
      </c>
      <c r="G41" s="38" t="n">
        <f aca="false">IF(C41&gt;E41,100,C41/E41*100)</f>
        <v>27.1249922407358</v>
      </c>
      <c r="H41" s="38" t="n">
        <f aca="false">L41/F41*100</f>
        <v>0</v>
      </c>
      <c r="I41" s="38" t="n">
        <f aca="false">(V$23+V$24*SIN(2*PI()/365*A41))*V$25/100*V$7*V$8/100*(1-V$15/100)</f>
        <v>18.8286582582124</v>
      </c>
      <c r="J41" s="38" t="n">
        <f aca="false">(V$23+V$24*SIN(2*PI()/365*A41))*V$25/100*V$9*(1-V$14/100)</f>
        <v>5.03401603420239</v>
      </c>
      <c r="K41" s="39" t="n">
        <f aca="false">IF(E41/C41*100&lt;100,E41/C41*100,100)</f>
        <v>100</v>
      </c>
      <c r="L41" s="2" t="n">
        <f aca="false">IF(((C41-E41)&gt;0)AND(F41&gt;(C41-E41)),(C41-E41),IF(C41&lt;E41,0,F41))</f>
        <v>0</v>
      </c>
      <c r="M41" s="2" t="n">
        <f aca="false">IF(C41&lt;(E41+F41),0,C41-E41-F41)</f>
        <v>0</v>
      </c>
      <c r="N41" s="2" t="n">
        <f aca="false">IF(C41&lt;(E41+F41),0,(C41-E41-F41)/(1-V$16/100))</f>
        <v>0</v>
      </c>
      <c r="O41" s="2" t="n">
        <f aca="false">L41+M41</f>
        <v>0</v>
      </c>
      <c r="P41" s="2" t="n">
        <f aca="false">IF( N41=0,I41*(1-G41/100)+J41*(1-H41/100),-N41)</f>
        <v>18.75540220084</v>
      </c>
      <c r="Q41" s="47" t="n">
        <f aca="false">IF(P40&gt;0,Q40+P40*(1-V$20/100),Q40+P40)</f>
        <v>381.339888329512</v>
      </c>
      <c r="R41" s="48" t="n">
        <f aca="false">R$4+Q41/V$28</f>
        <v>44.5106862122094</v>
      </c>
    </row>
    <row r="42" customFormat="false" ht="12.8" hidden="false" customHeight="false" outlineLevel="0" collapsed="false">
      <c r="A42" s="1" t="n">
        <v>38</v>
      </c>
      <c r="B42" s="37" t="n">
        <v>43583</v>
      </c>
      <c r="C42" s="38" t="n">
        <f aca="false">V$26-V$26*SIN(2*PI()/365*A42)</f>
        <v>5.54381087586497</v>
      </c>
      <c r="D42" s="2" t="n">
        <f aca="false">IF((E42+F42)&gt;C42,C42,E42+F42)</f>
        <v>5.54381087586497</v>
      </c>
      <c r="E42" s="38" t="n">
        <f aca="false">(V$23+V$24*SIN(2*PI()/365*A42))*V$25/100*V$7*V$8/100</f>
        <v>21.3193088046655</v>
      </c>
      <c r="F42" s="38" t="n">
        <f aca="false">(V$23+V$24*SIN(2*PI()/365*A42))*V$25/100*V$9*(1-V$14/100)*(1-V$16/100)</f>
        <v>4.51490228130887</v>
      </c>
      <c r="G42" s="38" t="n">
        <f aca="false">IF(C42&gt;E42,100,C42/E42*100)</f>
        <v>26.0037083127749</v>
      </c>
      <c r="H42" s="38" t="n">
        <f aca="false">L42/F42*100</f>
        <v>0</v>
      </c>
      <c r="I42" s="38" t="n">
        <f aca="false">(V$23+V$24*SIN(2*PI()/365*A42))*V$25/100*V$7*V$8/100*(1-V$15/100)</f>
        <v>18.9741848361523</v>
      </c>
      <c r="J42" s="38" t="n">
        <f aca="false">(V$23+V$24*SIN(2*PI()/365*A42))*V$25/100*V$9*(1-V$14/100)</f>
        <v>5.072923911583</v>
      </c>
      <c r="K42" s="39" t="n">
        <f aca="false">IF(E42/C42*100&lt;100,E42/C42*100,100)</f>
        <v>100</v>
      </c>
      <c r="L42" s="2" t="n">
        <f aca="false">IF(((C42-E42)&gt;0)AND(F42&gt;(C42-E42)),(C42-E42),IF(C42&lt;E42,0,F42))</f>
        <v>0</v>
      </c>
      <c r="M42" s="2" t="n">
        <f aca="false">IF(C42&lt;(E42+F42),0,C42-E42-F42)</f>
        <v>0</v>
      </c>
      <c r="N42" s="2" t="n">
        <f aca="false">IF(C42&lt;(E42+F42),0,(C42-E42-F42)/(1-V$16/100))</f>
        <v>0</v>
      </c>
      <c r="O42" s="2" t="n">
        <f aca="false">L42+M42</f>
        <v>0</v>
      </c>
      <c r="P42" s="2" t="n">
        <f aca="false">IF( N42=0,I42*(1-G42/100)+J42*(1-H42/100),-N42)</f>
        <v>19.1131170682155</v>
      </c>
      <c r="Q42" s="47" t="n">
        <f aca="false">IF(P41&gt;0,Q41+P41*(1-V$20/100),Q41+P41)</f>
        <v>398.782412376293</v>
      </c>
      <c r="R42" s="48" t="n">
        <f aca="false">R$4+Q42/V$28</f>
        <v>44.717005443771</v>
      </c>
    </row>
    <row r="43" customFormat="false" ht="12.8" hidden="false" customHeight="false" outlineLevel="0" collapsed="false">
      <c r="A43" s="1" t="n">
        <v>39</v>
      </c>
      <c r="B43" s="37" t="n">
        <v>43584</v>
      </c>
      <c r="C43" s="38" t="n">
        <f aca="false">V$26-V$26*SIN(2*PI()/365*A43)</f>
        <v>5.35166682790405</v>
      </c>
      <c r="D43" s="2" t="n">
        <f aca="false">IF((E43+F43)&gt;C43,C43,E43+F43)</f>
        <v>5.35166682790405</v>
      </c>
      <c r="E43" s="38" t="n">
        <f aca="false">(V$23+V$24*SIN(2*PI()/365*A43))*V$25/100*V$7*V$8/100</f>
        <v>21.4806776832344</v>
      </c>
      <c r="F43" s="38" t="n">
        <f aca="false">(V$23+V$24*SIN(2*PI()/365*A43))*V$25/100*V$9*(1-V$14/100)*(1-V$16/100)</f>
        <v>4.5490762184031</v>
      </c>
      <c r="G43" s="38" t="n">
        <f aca="false">IF(C43&gt;E43,100,C43/E43*100)</f>
        <v>24.9138640168741</v>
      </c>
      <c r="H43" s="38" t="n">
        <f aca="false">L43/F43*100</f>
        <v>0</v>
      </c>
      <c r="I43" s="38" t="n">
        <f aca="false">(V$23+V$24*SIN(2*PI()/365*A43))*V$25/100*V$7*V$8/100*(1-V$15/100)</f>
        <v>19.1178031380786</v>
      </c>
      <c r="J43" s="38" t="n">
        <f aca="false">(V$23+V$24*SIN(2*PI()/365*A43))*V$25/100*V$9*(1-V$14/100)</f>
        <v>5.11132159371135</v>
      </c>
      <c r="K43" s="39" t="n">
        <f aca="false">IF(E43/C43*100&lt;100,E43/C43*100,100)</f>
        <v>100</v>
      </c>
      <c r="L43" s="2" t="n">
        <f aca="false">IF(((C43-E43)&gt;0)AND(F43&gt;(C43-E43)),(C43-E43),IF(C43&lt;E43,0,F43))</f>
        <v>0</v>
      </c>
      <c r="M43" s="2" t="n">
        <f aca="false">IF(C43&lt;(E43+F43),0,C43-E43-F43)</f>
        <v>0</v>
      </c>
      <c r="N43" s="2" t="n">
        <f aca="false">IF(C43&lt;(E43+F43),0,(C43-E43-F43)/(1-V$16/100))</f>
        <v>0</v>
      </c>
      <c r="O43" s="2" t="n">
        <f aca="false">L43+M43</f>
        <v>0</v>
      </c>
      <c r="P43" s="2" t="n">
        <f aca="false">IF( N43=0,I43*(1-G43/100)+J43*(1-H43/100),-N43)</f>
        <v>19.4661412549554</v>
      </c>
      <c r="Q43" s="47" t="n">
        <f aca="false">IF(P42&gt;0,Q42+P42*(1-V$20/100),Q42+P42)</f>
        <v>416.557611249733</v>
      </c>
      <c r="R43" s="48" t="n">
        <f aca="false">R$4+Q43/V$28</f>
        <v>44.9272597259258</v>
      </c>
    </row>
    <row r="44" customFormat="false" ht="12.8" hidden="false" customHeight="false" outlineLevel="0" collapsed="false">
      <c r="A44" s="1" t="n">
        <v>40</v>
      </c>
      <c r="B44" s="37" t="n">
        <v>43585</v>
      </c>
      <c r="C44" s="38" t="n">
        <f aca="false">V$26-V$26*SIN(2*PI()/365*A44)</f>
        <v>5.16213276060701</v>
      </c>
      <c r="D44" s="2" t="n">
        <f aca="false">IF((E44+F44)&gt;C44,C44,E44+F44)</f>
        <v>5.16213276060701</v>
      </c>
      <c r="E44" s="38" t="n">
        <f aca="false">(V$23+V$24*SIN(2*PI()/365*A44))*V$25/100*V$7*V$8/100</f>
        <v>21.6398546143697</v>
      </c>
      <c r="F44" s="38" t="n">
        <f aca="false">(V$23+V$24*SIN(2*PI()/365*A44))*V$25/100*V$9*(1-V$14/100)*(1-V$16/100)</f>
        <v>4.58278595524772</v>
      </c>
      <c r="G44" s="38" t="n">
        <f aca="false">IF(C44&gt;E44,100,C44/E44*100)</f>
        <v>23.8547478834685</v>
      </c>
      <c r="H44" s="38" t="n">
        <f aca="false">L44/F44*100</f>
        <v>0</v>
      </c>
      <c r="I44" s="38" t="n">
        <f aca="false">(V$23+V$24*SIN(2*PI()/365*A44))*V$25/100*V$7*V$8/100*(1-V$15/100)</f>
        <v>19.259470606789</v>
      </c>
      <c r="J44" s="38" t="n">
        <f aca="false">(V$23+V$24*SIN(2*PI()/365*A44))*V$25/100*V$9*(1-V$14/100)</f>
        <v>5.14919770252553</v>
      </c>
      <c r="K44" s="39" t="n">
        <f aca="false">IF(E44/C44*100&lt;100,E44/C44*100,100)</f>
        <v>100</v>
      </c>
      <c r="L44" s="2" t="n">
        <f aca="false">IF(((C44-E44)&gt;0)AND(F44&gt;(C44-E44)),(C44-E44),IF(C44&lt;E44,0,F44))</f>
        <v>0</v>
      </c>
      <c r="M44" s="2" t="n">
        <f aca="false">IF(C44&lt;(E44+F44),0,C44-E44-F44)</f>
        <v>0</v>
      </c>
      <c r="N44" s="2" t="n">
        <f aca="false">IF(C44&lt;(E44+F44),0,(C44-E44-F44)/(1-V$16/100))</f>
        <v>0</v>
      </c>
      <c r="O44" s="2" t="n">
        <f aca="false">L44+M44</f>
        <v>0</v>
      </c>
      <c r="P44" s="2" t="n">
        <f aca="false">IF( N44=0,I44*(1-G44/100)+J44*(1-H44/100),-N44)</f>
        <v>19.8143701523743</v>
      </c>
      <c r="Q44" s="47" t="n">
        <f aca="false">IF(P43&gt;0,Q43+P43*(1-V$20/100),Q43+P43)</f>
        <v>434.661122616842</v>
      </c>
      <c r="R44" s="48" t="n">
        <f aca="false">R$4+Q44/V$28</f>
        <v>45.1413974587339</v>
      </c>
    </row>
    <row r="45" customFormat="false" ht="12.8" hidden="false" customHeight="false" outlineLevel="0" collapsed="false">
      <c r="A45" s="1" t="n">
        <v>41</v>
      </c>
      <c r="B45" s="37" t="n">
        <v>43586</v>
      </c>
      <c r="C45" s="38" t="n">
        <f aca="false">V$26-V$26*SIN(2*PI()/365*A45)</f>
        <v>4.97526483700848</v>
      </c>
      <c r="D45" s="2" t="n">
        <f aca="false">IF((E45+F45)&gt;C45,C45,E45+F45)</f>
        <v>4.97526483700848</v>
      </c>
      <c r="E45" s="38" t="n">
        <f aca="false">(V$23+V$24*SIN(2*PI()/365*A45))*V$25/100*V$7*V$8/100</f>
        <v>21.7967924305113</v>
      </c>
      <c r="F45" s="38" t="n">
        <f aca="false">(V$23+V$24*SIN(2*PI()/365*A45))*V$25/100*V$9*(1-V$14/100)*(1-V$16/100)</f>
        <v>4.61602150292018</v>
      </c>
      <c r="G45" s="38" t="n">
        <f aca="false">IF(C45&gt;E45,100,C45/E45*100)</f>
        <v>22.8256742494096</v>
      </c>
      <c r="H45" s="38" t="n">
        <f aca="false">L45/F45*100</f>
        <v>0</v>
      </c>
      <c r="I45" s="38" t="n">
        <f aca="false">(V$23+V$24*SIN(2*PI()/365*A45))*V$25/100*V$7*V$8/100*(1-V$15/100)</f>
        <v>19.3991452631551</v>
      </c>
      <c r="J45" s="38" t="n">
        <f aca="false">(V$23+V$24*SIN(2*PI()/365*A45))*V$25/100*V$9*(1-V$14/100)</f>
        <v>5.18654101451706</v>
      </c>
      <c r="K45" s="39" t="n">
        <f aca="false">IF(E45/C45*100&lt;100,E45/C45*100,100)</f>
        <v>100</v>
      </c>
      <c r="L45" s="2" t="n">
        <f aca="false">IF(((C45-E45)&gt;0)AND(F45&gt;(C45-E45)),(C45-E45),IF(C45&lt;E45,0,F45))</f>
        <v>0</v>
      </c>
      <c r="M45" s="2" t="n">
        <f aca="false">IF(C45&lt;(E45+F45),0,C45-E45-F45)</f>
        <v>0</v>
      </c>
      <c r="N45" s="2" t="n">
        <f aca="false">IF(C45&lt;(E45+F45),0,(C45-E45-F45)/(1-V$16/100))</f>
        <v>0</v>
      </c>
      <c r="O45" s="2" t="n">
        <f aca="false">L45+M45</f>
        <v>0</v>
      </c>
      <c r="P45" s="2" t="n">
        <f aca="false">IF( N45=0,I45*(1-G45/100)+J45*(1-H45/100),-N45)</f>
        <v>20.1577005727346</v>
      </c>
      <c r="Q45" s="47" t="n">
        <f aca="false">IF(P44&gt;0,Q44+P44*(1-V$20/100),Q44+P44)</f>
        <v>453.08848685855</v>
      </c>
      <c r="R45" s="48" t="n">
        <f aca="false">R$4+Q45/V$28</f>
        <v>45.3593658915054</v>
      </c>
    </row>
    <row r="46" customFormat="false" ht="12.8" hidden="false" customHeight="false" outlineLevel="0" collapsed="false">
      <c r="A46" s="1" t="n">
        <v>42</v>
      </c>
      <c r="B46" s="37" t="n">
        <v>43587</v>
      </c>
      <c r="C46" s="38" t="n">
        <f aca="false">V$26-V$26*SIN(2*PI()/365*A46)</f>
        <v>4.79111843010716</v>
      </c>
      <c r="D46" s="2" t="n">
        <f aca="false">IF((E46+F46)&gt;C46,C46,E46+F46)</f>
        <v>4.79111843010716</v>
      </c>
      <c r="E46" s="38" t="n">
        <f aca="false">(V$23+V$24*SIN(2*PI()/365*A46))*V$25/100*V$7*V$8/100</f>
        <v>21.9514446275974</v>
      </c>
      <c r="F46" s="38" t="n">
        <f aca="false">(V$23+V$24*SIN(2*PI()/365*A46))*V$25/100*V$9*(1-V$14/100)*(1-V$16/100)</f>
        <v>4.64877301301043</v>
      </c>
      <c r="G46" s="38" t="n">
        <f aca="false">IF(C46&gt;E46,100,C46/E46*100)</f>
        <v>21.8259823505364</v>
      </c>
      <c r="H46" s="38" t="n">
        <f aca="false">L46/F46*100</f>
        <v>0</v>
      </c>
      <c r="I46" s="38" t="n">
        <f aca="false">(V$23+V$24*SIN(2*PI()/365*A46))*V$25/100*V$7*V$8/100*(1-V$15/100)</f>
        <v>19.5367857185617</v>
      </c>
      <c r="J46" s="38" t="n">
        <f aca="false">(V$23+V$24*SIN(2*PI()/365*A46))*V$25/100*V$9*(1-V$14/100)</f>
        <v>5.22334046405666</v>
      </c>
      <c r="K46" s="39" t="n">
        <f aca="false">IF(E46/C46*100&lt;100,E46/C46*100,100)</f>
        <v>100</v>
      </c>
      <c r="L46" s="2" t="n">
        <f aca="false">IF(((C46-E46)&gt;0)AND(F46&gt;(C46-E46)),(C46-E46),IF(C46&lt;E46,0,F46))</f>
        <v>0</v>
      </c>
      <c r="M46" s="2" t="n">
        <f aca="false">IF(C46&lt;(E46+F46),0,C46-E46-F46)</f>
        <v>0</v>
      </c>
      <c r="N46" s="2" t="n">
        <f aca="false">IF(C46&lt;(E46+F46),0,(C46-E46-F46)/(1-V$16/100))</f>
        <v>0</v>
      </c>
      <c r="O46" s="2" t="n">
        <f aca="false">L46+M46</f>
        <v>0</v>
      </c>
      <c r="P46" s="2" t="n">
        <f aca="false">IF( N46=0,I46*(1-G46/100)+J46*(1-H46/100),-N46)</f>
        <v>20.4960307798229</v>
      </c>
      <c r="Q46" s="47" t="n">
        <f aca="false">IF(P45&gt;0,Q45+P45*(1-V$20/100),Q45+P45)</f>
        <v>471.835148391193</v>
      </c>
      <c r="R46" s="48" t="n">
        <f aca="false">R$4+Q46/V$28</f>
        <v>45.5811111384311</v>
      </c>
    </row>
    <row r="47" customFormat="false" ht="12.8" hidden="false" customHeight="false" outlineLevel="0" collapsed="false">
      <c r="A47" s="1" t="n">
        <v>43</v>
      </c>
      <c r="B47" s="37" t="n">
        <v>43588</v>
      </c>
      <c r="C47" s="38" t="n">
        <f aca="false">V$26-V$26*SIN(2*PI()/365*A47)</f>
        <v>4.60974810645762</v>
      </c>
      <c r="D47" s="2" t="n">
        <f aca="false">IF((E47+F47)&gt;C47,C47,E47+F47)</f>
        <v>4.60974810645762</v>
      </c>
      <c r="E47" s="38" t="n">
        <f aca="false">(V$23+V$24*SIN(2*PI()/365*A47))*V$25/100*V$7*V$8/100</f>
        <v>22.1037653788442</v>
      </c>
      <c r="F47" s="38" t="n">
        <f aca="false">(V$23+V$24*SIN(2*PI()/365*A47))*V$25/100*V$9*(1-V$14/100)*(1-V$16/100)</f>
        <v>4.6810307805392</v>
      </c>
      <c r="G47" s="38" t="n">
        <f aca="false">IF(C47&gt;E47,100,C47/E47*100)</f>
        <v>20.8550354541389</v>
      </c>
      <c r="H47" s="38" t="n">
        <f aca="false">L47/F47*100</f>
        <v>0</v>
      </c>
      <c r="I47" s="38" t="n">
        <f aca="false">(V$23+V$24*SIN(2*PI()/365*A47))*V$25/100*V$7*V$8/100*(1-V$15/100)</f>
        <v>19.6723511871713</v>
      </c>
      <c r="J47" s="38" t="n">
        <f aca="false">(V$23+V$24*SIN(2*PI()/365*A47))*V$25/100*V$9*(1-V$14/100)</f>
        <v>5.25958514667325</v>
      </c>
      <c r="K47" s="39" t="n">
        <f aca="false">IF(E47/C47*100&lt;100,E47/C47*100,100)</f>
        <v>100</v>
      </c>
      <c r="L47" s="2" t="n">
        <f aca="false">IF(((C47-E47)&gt;0)AND(F47&gt;(C47-E47)),(C47-E47),IF(C47&lt;E47,0,F47))</f>
        <v>0</v>
      </c>
      <c r="M47" s="2" t="n">
        <f aca="false">IF(C47&lt;(E47+F47),0,C47-E47-F47)</f>
        <v>0</v>
      </c>
      <c r="N47" s="2" t="n">
        <f aca="false">IF(C47&lt;(E47+F47),0,(C47-E47-F47)/(1-V$16/100))</f>
        <v>0</v>
      </c>
      <c r="O47" s="2" t="n">
        <f aca="false">L47+M47</f>
        <v>0</v>
      </c>
      <c r="P47" s="2" t="n">
        <f aca="false">IF( N47=0,I47*(1-G47/100)+J47*(1-H47/100),-N47)</f>
        <v>20.8292605190973</v>
      </c>
      <c r="Q47" s="47" t="n">
        <f aca="false">IF(P46&gt;0,Q46+P46*(1-V$20/100),Q46+P46)</f>
        <v>490.896457016428</v>
      </c>
      <c r="R47" s="48" t="n">
        <f aca="false">R$4+Q47/V$28</f>
        <v>45.8065781945504</v>
      </c>
    </row>
    <row r="48" customFormat="false" ht="12.8" hidden="false" customHeight="false" outlineLevel="0" collapsed="false">
      <c r="A48" s="1" t="n">
        <v>44</v>
      </c>
      <c r="B48" s="37" t="n">
        <v>43589</v>
      </c>
      <c r="C48" s="38" t="n">
        <f aca="false">V$26-V$26*SIN(2*PI()/365*A48)</f>
        <v>4.43120761000104</v>
      </c>
      <c r="D48" s="2" t="n">
        <f aca="false">IF((E48+F48)&gt;C48,C48,E48+F48)</f>
        <v>4.43120761000104</v>
      </c>
      <c r="E48" s="38" t="n">
        <f aca="false">(V$23+V$24*SIN(2*PI()/365*A48))*V$25/100*V$7*V$8/100</f>
        <v>22.2537095483258</v>
      </c>
      <c r="F48" s="38" t="n">
        <f aca="false">(V$23+V$24*SIN(2*PI()/365*A48))*V$25/100*V$9*(1-V$14/100)*(1-V$16/100)</f>
        <v>4.71278524683378</v>
      </c>
      <c r="G48" s="38" t="n">
        <f aca="false">IF(C48&gt;E48,100,C48/E48*100)</f>
        <v>19.9122200295565</v>
      </c>
      <c r="H48" s="38" t="n">
        <f aca="false">L48/F48*100</f>
        <v>0</v>
      </c>
      <c r="I48" s="38" t="n">
        <f aca="false">(V$23+V$24*SIN(2*PI()/365*A48))*V$25/100*V$7*V$8/100*(1-V$15/100)</f>
        <v>19.8058014980099</v>
      </c>
      <c r="J48" s="38" t="n">
        <f aca="false">(V$23+V$24*SIN(2*PI()/365*A48))*V$25/100*V$9*(1-V$14/100)</f>
        <v>5.29526432228514</v>
      </c>
      <c r="K48" s="39" t="n">
        <f aca="false">IF(E48/C48*100&lt;100,E48/C48*100,100)</f>
        <v>100</v>
      </c>
      <c r="L48" s="2" t="n">
        <f aca="false">IF(((C48-E48)&gt;0)AND(F48&gt;(C48-E48)),(C48-E48),IF(C48&lt;E48,0,F48))</f>
        <v>0</v>
      </c>
      <c r="M48" s="2" t="n">
        <f aca="false">IF(C48&lt;(E48+F48),0,C48-E48-F48)</f>
        <v>0</v>
      </c>
      <c r="N48" s="2" t="n">
        <f aca="false">IF(C48&lt;(E48+F48),0,(C48-E48-F48)/(1-V$16/100))</f>
        <v>0</v>
      </c>
      <c r="O48" s="2" t="n">
        <f aca="false">L48+M48</f>
        <v>0</v>
      </c>
      <c r="P48" s="2" t="n">
        <f aca="false">IF( N48=0,I48*(1-G48/100)+J48*(1-H48/100),-N48)</f>
        <v>21.1572910473941</v>
      </c>
      <c r="Q48" s="47" t="n">
        <f aca="false">IF(P47&gt;0,Q47+P47*(1-V$20/100),Q47+P47)</f>
        <v>510.267669299189</v>
      </c>
      <c r="R48" s="48" t="n">
        <f aca="false">R$4+Q48/V$28</f>
        <v>46.0357109520503</v>
      </c>
    </row>
    <row r="49" customFormat="false" ht="12.8" hidden="false" customHeight="false" outlineLevel="0" collapsed="false">
      <c r="A49" s="1" t="n">
        <v>45</v>
      </c>
      <c r="B49" s="37" t="n">
        <v>43590</v>
      </c>
      <c r="C49" s="38" t="n">
        <f aca="false">V$26-V$26*SIN(2*PI()/365*A49)</f>
        <v>4.25554984613976</v>
      </c>
      <c r="D49" s="2" t="n">
        <f aca="false">IF((E49+F49)&gt;C49,C49,E49+F49)</f>
        <v>4.25554984613976</v>
      </c>
      <c r="E49" s="38" t="n">
        <f aca="false">(V$23+V$24*SIN(2*PI()/365*A49))*V$25/100*V$7*V$8/100</f>
        <v>22.4012327043487</v>
      </c>
      <c r="F49" s="38" t="n">
        <f aca="false">(V$23+V$24*SIN(2*PI()/365*A49))*V$25/100*V$9*(1-V$14/100)*(1-V$16/100)</f>
        <v>4.74402700236049</v>
      </c>
      <c r="G49" s="38" t="n">
        <f aca="false">IF(C49&gt;E49,100,C49/E49*100)</f>
        <v>18.9969449552374</v>
      </c>
      <c r="H49" s="38" t="n">
        <f aca="false">L49/F49*100</f>
        <v>0</v>
      </c>
      <c r="I49" s="38" t="n">
        <f aca="false">(V$23+V$24*SIN(2*PI()/365*A49))*V$25/100*V$7*V$8/100*(1-V$15/100)</f>
        <v>19.9370971068704</v>
      </c>
      <c r="J49" s="38" t="n">
        <f aca="false">(V$23+V$24*SIN(2*PI()/365*A49))*V$25/100*V$9*(1-V$14/100)</f>
        <v>5.33036741838257</v>
      </c>
      <c r="K49" s="39" t="n">
        <f aca="false">IF(E49/C49*100&lt;100,E49/C49*100,100)</f>
        <v>100</v>
      </c>
      <c r="L49" s="2" t="n">
        <f aca="false">IF(((C49-E49)&gt;0)AND(F49&gt;(C49-E49)),(C49-E49),IF(C49&lt;E49,0,F49))</f>
        <v>0</v>
      </c>
      <c r="M49" s="2" t="n">
        <f aca="false">IF(C49&lt;(E49+F49),0,C49-E49-F49)</f>
        <v>0</v>
      </c>
      <c r="N49" s="2" t="n">
        <f aca="false">IF(C49&lt;(E49+F49),0,(C49-E49-F49)/(1-V$16/100))</f>
        <v>0</v>
      </c>
      <c r="O49" s="2" t="n">
        <f aca="false">L49+M49</f>
        <v>0</v>
      </c>
      <c r="P49" s="2" t="n">
        <f aca="false">IF( N49=0,I49*(1-G49/100)+J49*(1-H49/100),-N49)</f>
        <v>21.4800251621886</v>
      </c>
      <c r="Q49" s="47" t="n">
        <f aca="false">IF(P48&gt;0,Q48+P48*(1-V$20/100),Q48+P48)</f>
        <v>529.943949973265</v>
      </c>
      <c r="R49" s="48" t="n">
        <f aca="false">R$4+Q49/V$28</f>
        <v>46.2684522168912</v>
      </c>
    </row>
    <row r="50" customFormat="false" ht="12.8" hidden="false" customHeight="false" outlineLevel="0" collapsed="false">
      <c r="A50" s="1" t="n">
        <v>46</v>
      </c>
      <c r="B50" s="37" t="n">
        <v>43591</v>
      </c>
      <c r="C50" s="38" t="n">
        <f aca="false">V$26-V$26*SIN(2*PI()/365*A50)</f>
        <v>4.0828268660602</v>
      </c>
      <c r="D50" s="2" t="n">
        <f aca="false">IF((E50+F50)&gt;C50,C50,E50+F50)</f>
        <v>4.0828268660602</v>
      </c>
      <c r="E50" s="38" t="n">
        <f aca="false">(V$23+V$24*SIN(2*PI()/365*A50))*V$25/100*V$7*V$8/100</f>
        <v>22.5462911326181</v>
      </c>
      <c r="F50" s="38" t="n">
        <f aca="false">(V$23+V$24*SIN(2*PI()/365*A50))*V$25/100*V$9*(1-V$14/100)*(1-V$16/100)</f>
        <v>4.77474678951292</v>
      </c>
      <c r="G50" s="38" t="n">
        <f aca="false">IF(C50&gt;E50,100,C50/E50*100)</f>
        <v>18.1086407606682</v>
      </c>
      <c r="H50" s="38" t="n">
        <f aca="false">L50/F50*100</f>
        <v>0</v>
      </c>
      <c r="I50" s="38" t="n">
        <f aca="false">(V$23+V$24*SIN(2*PI()/365*A50))*V$25/100*V$7*V$8/100*(1-V$15/100)</f>
        <v>20.0661991080301</v>
      </c>
      <c r="J50" s="38" t="n">
        <f aca="false">(V$23+V$24*SIN(2*PI()/365*A50))*V$25/100*V$9*(1-V$14/100)</f>
        <v>5.36488403316059</v>
      </c>
      <c r="K50" s="39" t="n">
        <f aca="false">IF(E50/C50*100&lt;100,E50/C50*100,100)</f>
        <v>100</v>
      </c>
      <c r="L50" s="2" t="n">
        <f aca="false">IF(((C50-E50)&gt;0)AND(F50&gt;(C50-E50)),(C50-E50),IF(C50&lt;E50,0,F50))</f>
        <v>0</v>
      </c>
      <c r="M50" s="2" t="n">
        <f aca="false">IF(C50&lt;(E50+F50),0,C50-E50-F50)</f>
        <v>0</v>
      </c>
      <c r="N50" s="2" t="n">
        <f aca="false">IF(C50&lt;(E50+F50),0,(C50-E50-F50)/(1-V$16/100))</f>
        <v>0</v>
      </c>
      <c r="O50" s="2" t="n">
        <f aca="false">L50+M50</f>
        <v>0</v>
      </c>
      <c r="P50" s="2" t="n">
        <f aca="false">IF( N50=0,I50*(1-G50/100)+J50*(1-H50/100),-N50)</f>
        <v>21.7973672303971</v>
      </c>
      <c r="Q50" s="47" t="n">
        <f aca="false">IF(P49&gt;0,Q49+P49*(1-V$20/100),Q49+P49)</f>
        <v>549.9203733741</v>
      </c>
      <c r="R50" s="48" t="n">
        <f aca="false">R$4+Q50/V$28</f>
        <v>46.5047437257552</v>
      </c>
    </row>
    <row r="51" customFormat="false" ht="12.8" hidden="false" customHeight="false" outlineLevel="0" collapsed="false">
      <c r="A51" s="1" t="n">
        <v>47</v>
      </c>
      <c r="B51" s="37" t="n">
        <v>43592</v>
      </c>
      <c r="C51" s="38" t="n">
        <f aca="false">V$26-V$26*SIN(2*PI()/365*A51)</f>
        <v>3.91308985130902</v>
      </c>
      <c r="D51" s="2" t="n">
        <f aca="false">IF((E51+F51)&gt;C51,C51,E51+F51)</f>
        <v>3.91308985130902</v>
      </c>
      <c r="E51" s="38" t="n">
        <f aca="false">(V$23+V$24*SIN(2*PI()/365*A51))*V$25/100*V$7*V$8/100</f>
        <v>22.6888418491909</v>
      </c>
      <c r="F51" s="38" t="n">
        <f aca="false">(V$23+V$24*SIN(2*PI()/365*A51))*V$25/100*V$9*(1-V$14/100)*(1-V$16/100)</f>
        <v>4.80493550535516</v>
      </c>
      <c r="G51" s="38" t="n">
        <f aca="false">IF(C51&gt;E51,100,C51/E51*100)</f>
        <v>17.2467589016606</v>
      </c>
      <c r="H51" s="38" t="n">
        <f aca="false">L51/F51*100</f>
        <v>0</v>
      </c>
      <c r="I51" s="38" t="n">
        <f aca="false">(V$23+V$24*SIN(2*PI()/365*A51))*V$25/100*V$7*V$8/100*(1-V$15/100)</f>
        <v>20.1930692457799</v>
      </c>
      <c r="J51" s="38" t="n">
        <f aca="false">(V$23+V$24*SIN(2*PI()/365*A51))*V$25/100*V$9*(1-V$14/100)</f>
        <v>5.3988039386013</v>
      </c>
      <c r="K51" s="39" t="n">
        <f aca="false">IF(E51/C51*100&lt;100,E51/C51*100,100)</f>
        <v>100</v>
      </c>
      <c r="L51" s="2" t="n">
        <f aca="false">IF(((C51-E51)&gt;0)AND(F51&gt;(C51-E51)),(C51-E51),IF(C51&lt;E51,0,F51))</f>
        <v>0</v>
      </c>
      <c r="M51" s="2" t="n">
        <f aca="false">IF(C51&lt;(E51+F51),0,C51-E51-F51)</f>
        <v>0</v>
      </c>
      <c r="N51" s="2" t="n">
        <f aca="false">IF(C51&lt;(E51+F51),0,(C51-E51-F51)/(1-V$16/100))</f>
        <v>0</v>
      </c>
      <c r="O51" s="2" t="n">
        <f aca="false">L51+M51</f>
        <v>0</v>
      </c>
      <c r="P51" s="2" t="n">
        <f aca="false">IF( N51=0,I51*(1-G51/100)+J51*(1-H51/100),-N51)</f>
        <v>22.1092232167162</v>
      </c>
      <c r="Q51" s="47" t="n">
        <f aca="false">IF(P50&gt;0,Q50+P50*(1-V$20/100),Q50+P50)</f>
        <v>570.19192489837</v>
      </c>
      <c r="R51" s="48" t="n">
        <f aca="false">R$4+Q51/V$28</f>
        <v>46.7445261633102</v>
      </c>
    </row>
    <row r="52" customFormat="false" ht="12.8" hidden="false" customHeight="false" outlineLevel="0" collapsed="false">
      <c r="A52" s="1" t="n">
        <v>48</v>
      </c>
      <c r="B52" s="37" t="n">
        <v>43593</v>
      </c>
      <c r="C52" s="38" t="n">
        <f aca="false">V$26-V$26*SIN(2*PI()/365*A52)</f>
        <v>3.74638909862693</v>
      </c>
      <c r="D52" s="2" t="n">
        <f aca="false">IF((E52+F52)&gt;C52,C52,E52+F52)</f>
        <v>3.74638909862693</v>
      </c>
      <c r="E52" s="38" t="n">
        <f aca="false">(V$23+V$24*SIN(2*PI()/365*A52))*V$25/100*V$7*V$8/100</f>
        <v>22.8288426132134</v>
      </c>
      <c r="F52" s="38" t="n">
        <f aca="false">(V$23+V$24*SIN(2*PI()/365*A52))*V$25/100*V$9*(1-V$14/100)*(1-V$16/100)</f>
        <v>4.83458420431916</v>
      </c>
      <c r="G52" s="38" t="n">
        <f aca="false">IF(C52&gt;E52,100,C52/E52*100)</f>
        <v>16.4107710675552</v>
      </c>
      <c r="H52" s="38" t="n">
        <f aca="false">L52/F52*100</f>
        <v>0</v>
      </c>
      <c r="I52" s="38" t="n">
        <f aca="false">(V$23+V$24*SIN(2*PI()/365*A52))*V$25/100*V$7*V$8/100*(1-V$15/100)</f>
        <v>20.3176699257599</v>
      </c>
      <c r="J52" s="38" t="n">
        <f aca="false">(V$23+V$24*SIN(2*PI()/365*A52))*V$25/100*V$9*(1-V$14/100)</f>
        <v>5.43211708350467</v>
      </c>
      <c r="K52" s="39" t="n">
        <f aca="false">IF(E52/C52*100&lt;100,E52/C52*100,100)</f>
        <v>100</v>
      </c>
      <c r="L52" s="2" t="n">
        <f aca="false">IF(((C52-E52)&gt;0)AND(F52&gt;(C52-E52)),(C52-E52),IF(C52&lt;E52,0,F52))</f>
        <v>0</v>
      </c>
      <c r="M52" s="2" t="n">
        <f aca="false">IF(C52&lt;(E52+F52),0,C52-E52-F52)</f>
        <v>0</v>
      </c>
      <c r="N52" s="2" t="n">
        <f aca="false">IF(C52&lt;(E52+F52),0,(C52-E52-F52)/(1-V$16/100))</f>
        <v>0</v>
      </c>
      <c r="O52" s="2" t="n">
        <f aca="false">L52+M52</f>
        <v>0</v>
      </c>
      <c r="P52" s="2" t="n">
        <f aca="false">IF( N52=0,I52*(1-G52/100)+J52*(1-H52/100),-N52)</f>
        <v>22.4155007114866</v>
      </c>
      <c r="Q52" s="47" t="n">
        <f aca="false">IF(P51&gt;0,Q51+P51*(1-V$20/100),Q51+P51)</f>
        <v>590.753502489916</v>
      </c>
      <c r="R52" s="48" t="n">
        <f aca="false">R$4+Q52/V$28</f>
        <v>46.9877391797868</v>
      </c>
    </row>
    <row r="53" customFormat="false" ht="12.8" hidden="false" customHeight="false" outlineLevel="0" collapsed="false">
      <c r="A53" s="1" t="n">
        <v>49</v>
      </c>
      <c r="B53" s="37" t="n">
        <v>43594</v>
      </c>
      <c r="C53" s="38" t="n">
        <f aca="false">V$26-V$26*SIN(2*PI()/365*A53)</f>
        <v>3.58277400504465</v>
      </c>
      <c r="D53" s="2" t="n">
        <f aca="false">IF((E53+F53)&gt;C53,C53,E53+F53)</f>
        <v>3.58277400504465</v>
      </c>
      <c r="E53" s="38" t="n">
        <f aca="false">(V$23+V$24*SIN(2*PI()/365*A53))*V$25/100*V$7*V$8/100</f>
        <v>22.9662519394377</v>
      </c>
      <c r="F53" s="38" t="n">
        <f aca="false">(V$23+V$24*SIN(2*PI()/365*A53))*V$25/100*V$9*(1-V$14/100)*(1-V$16/100)</f>
        <v>4.86368410085556</v>
      </c>
      <c r="G53" s="38" t="n">
        <f aca="false">IF(C53&gt;E53,100,C53/E53*100)</f>
        <v>15.600168518975</v>
      </c>
      <c r="H53" s="38" t="n">
        <f aca="false">L53/F53*100</f>
        <v>0</v>
      </c>
      <c r="I53" s="38" t="n">
        <f aca="false">(V$23+V$24*SIN(2*PI()/365*A53))*V$25/100*V$7*V$8/100*(1-V$15/100)</f>
        <v>20.4399642260995</v>
      </c>
      <c r="J53" s="38" t="n">
        <f aca="false">(V$23+V$24*SIN(2*PI()/365*A53))*V$25/100*V$9*(1-V$14/100)</f>
        <v>5.46481359646692</v>
      </c>
      <c r="K53" s="39" t="n">
        <f aca="false">IF(E53/C53*100&lt;100,E53/C53*100,100)</f>
        <v>100</v>
      </c>
      <c r="L53" s="2" t="n">
        <f aca="false">IF(((C53-E53)&gt;0)AND(F53&gt;(C53-E53)),(C53-E53),IF(C53&lt;E53,0,F53))</f>
        <v>0</v>
      </c>
      <c r="M53" s="2" t="n">
        <f aca="false">IF(C53&lt;(E53+F53),0,C53-E53-F53)</f>
        <v>0</v>
      </c>
      <c r="N53" s="2" t="n">
        <f aca="false">IF(C53&lt;(E53+F53),0,(C53-E53-F53)/(1-V$16/100))</f>
        <v>0</v>
      </c>
      <c r="O53" s="2" t="n">
        <f aca="false">L53+M53</f>
        <v>0</v>
      </c>
      <c r="P53" s="2" t="n">
        <f aca="false">IF( N53=0,I53*(1-G53/100)+J53*(1-H53/100),-N53)</f>
        <v>22.7161089580767</v>
      </c>
      <c r="Q53" s="47" t="n">
        <f aca="false">IF(P52&gt;0,Q52+P52*(1-V$20/100),Q52+P52)</f>
        <v>611.599918151598</v>
      </c>
      <c r="R53" s="48" t="n">
        <f aca="false">R$4+Q53/V$28</f>
        <v>47.2343214088608</v>
      </c>
    </row>
    <row r="54" customFormat="false" ht="12.8" hidden="false" customHeight="false" outlineLevel="0" collapsed="false">
      <c r="A54" s="1" t="n">
        <v>50</v>
      </c>
      <c r="B54" s="37" t="n">
        <v>43595</v>
      </c>
      <c r="C54" s="38" t="n">
        <f aca="false">V$26-V$26*SIN(2*PI()/365*A54)</f>
        <v>3.42229305324549</v>
      </c>
      <c r="D54" s="2" t="n">
        <f aca="false">IF((E54+F54)&gt;C54,C54,E54+F54)</f>
        <v>3.42229305324549</v>
      </c>
      <c r="E54" s="38" t="n">
        <f aca="false">(V$23+V$24*SIN(2*PI()/365*A54))*V$25/100*V$7*V$8/100</f>
        <v>23.1010291105149</v>
      </c>
      <c r="F54" s="38" t="n">
        <f aca="false">(V$23+V$24*SIN(2*PI()/365*A54))*V$25/100*V$9*(1-V$14/100)*(1-V$16/100)</f>
        <v>4.89222657203698</v>
      </c>
      <c r="G54" s="38" t="n">
        <f aca="false">IF(C54&gt;E54,100,C54/E54*100)</f>
        <v>14.8144614548265</v>
      </c>
      <c r="H54" s="38" t="n">
        <f aca="false">L54/F54*100</f>
        <v>0</v>
      </c>
      <c r="I54" s="38" t="n">
        <f aca="false">(V$23+V$24*SIN(2*PI()/365*A54))*V$25/100*V$7*V$8/100*(1-V$15/100)</f>
        <v>20.5599159083583</v>
      </c>
      <c r="J54" s="38" t="n">
        <f aca="false">(V$23+V$24*SIN(2*PI()/365*A54))*V$25/100*V$9*(1-V$14/100)</f>
        <v>5.49688378880559</v>
      </c>
      <c r="K54" s="39" t="n">
        <f aca="false">IF(E54/C54*100&lt;100,E54/C54*100,100)</f>
        <v>100</v>
      </c>
      <c r="L54" s="2" t="n">
        <f aca="false">IF(((C54-E54)&gt;0)AND(F54&gt;(C54-E54)),(C54-E54),IF(C54&lt;E54,0,F54))</f>
        <v>0</v>
      </c>
      <c r="M54" s="2" t="n">
        <f aca="false">IF(C54&lt;(E54+F54),0,C54-E54-F54)</f>
        <v>0</v>
      </c>
      <c r="N54" s="2" t="n">
        <f aca="false">IF(C54&lt;(E54+F54),0,(C54-E54-F54)/(1-V$16/100))</f>
        <v>0</v>
      </c>
      <c r="O54" s="2" t="n">
        <f aca="false">L54+M54</f>
        <v>0</v>
      </c>
      <c r="P54" s="2" t="n">
        <f aca="false">IF( N54=0,I54*(1-G54/100)+J54*(1-H54/100),-N54)</f>
        <v>23.0109588797754</v>
      </c>
      <c r="Q54" s="47" t="n">
        <f aca="false">IF(P53&gt;0,Q53+P53*(1-V$20/100),Q53+P53)</f>
        <v>632.72589948261</v>
      </c>
      <c r="R54" s="48" t="n">
        <f aca="false">R$4+Q54/V$28</f>
        <v>47.4842104858378</v>
      </c>
    </row>
    <row r="55" customFormat="false" ht="12.8" hidden="false" customHeight="false" outlineLevel="0" collapsed="false">
      <c r="A55" s="1" t="n">
        <v>51</v>
      </c>
      <c r="B55" s="37" t="n">
        <v>43596</v>
      </c>
      <c r="C55" s="38" t="n">
        <f aca="false">V$26-V$26*SIN(2*PI()/365*A55)</f>
        <v>3.26499379719895</v>
      </c>
      <c r="D55" s="2" t="n">
        <f aca="false">IF((E55+F55)&gt;C55,C55,E55+F55)</f>
        <v>3.26499379719895</v>
      </c>
      <c r="E55" s="38" t="n">
        <f aca="false">(V$23+V$24*SIN(2*PI()/365*A55))*V$25/100*V$7*V$8/100</f>
        <v>23.2331341890606</v>
      </c>
      <c r="F55" s="38" t="n">
        <f aca="false">(V$23+V$24*SIN(2*PI()/365*A55))*V$25/100*V$9*(1-V$14/100)*(1-V$16/100)</f>
        <v>4.92020316011321</v>
      </c>
      <c r="G55" s="38" t="n">
        <f aca="false">IF(C55&gt;E55,100,C55/E55*100)</f>
        <v>14.0531784073123</v>
      </c>
      <c r="H55" s="38" t="n">
        <f aca="false">L55/F55*100</f>
        <v>0</v>
      </c>
      <c r="I55" s="38" t="n">
        <f aca="false">(V$23+V$24*SIN(2*PI()/365*A55))*V$25/100*V$7*V$8/100*(1-V$15/100)</f>
        <v>20.6774894282639</v>
      </c>
      <c r="J55" s="38" t="n">
        <f aca="false">(V$23+V$24*SIN(2*PI()/365*A55))*V$25/100*V$9*(1-V$14/100)</f>
        <v>5.52831815743058</v>
      </c>
      <c r="K55" s="39" t="n">
        <f aca="false">IF(E55/C55*100&lt;100,E55/C55*100,100)</f>
        <v>100</v>
      </c>
      <c r="L55" s="2" t="n">
        <f aca="false">IF(((C55-E55)&gt;0)AND(F55&gt;(C55-E55)),(C55-E55),IF(C55&lt;E55,0,F55))</f>
        <v>0</v>
      </c>
      <c r="M55" s="2" t="n">
        <f aca="false">IF(C55&lt;(E55+F55),0,C55-E55-F55)</f>
        <v>0</v>
      </c>
      <c r="N55" s="2" t="n">
        <f aca="false">IF(C55&lt;(E55+F55),0,(C55-E55-F55)/(1-V$16/100))</f>
        <v>0</v>
      </c>
      <c r="O55" s="2" t="n">
        <f aca="false">L55+M55</f>
        <v>0</v>
      </c>
      <c r="P55" s="2" t="n">
        <f aca="false">IF( N55=0,I55*(1-G55/100)+J55*(1-H55/100),-N55)</f>
        <v>23.2999631061874</v>
      </c>
      <c r="Q55" s="47" t="n">
        <f aca="false">IF(P54&gt;0,Q54+P54*(1-V$20/100),Q54+P54)</f>
        <v>654.126091240801</v>
      </c>
      <c r="R55" s="48" t="n">
        <f aca="false">R$4+Q55/V$28</f>
        <v>47.737343066133</v>
      </c>
    </row>
    <row r="56" customFormat="false" ht="12.8" hidden="false" customHeight="false" outlineLevel="0" collapsed="false">
      <c r="A56" s="1" t="n">
        <v>52</v>
      </c>
      <c r="B56" s="37" t="n">
        <v>43597</v>
      </c>
      <c r="C56" s="38" t="n">
        <f aca="false">V$26-V$26*SIN(2*PI()/365*A56)</f>
        <v>3.11092284806938</v>
      </c>
      <c r="D56" s="2" t="n">
        <f aca="false">IF((E56+F56)&gt;C56,C56,E56+F56)</f>
        <v>3.11092284806938</v>
      </c>
      <c r="E56" s="38" t="n">
        <f aca="false">(V$23+V$24*SIN(2*PI()/365*A56))*V$25/100*V$7*V$8/100</f>
        <v>23.3625280294888</v>
      </c>
      <c r="F56" s="38" t="n">
        <f aca="false">(V$23+V$24*SIN(2*PI()/365*A56))*V$25/100*V$9*(1-V$14/100)*(1-V$16/100)</f>
        <v>4.94760557501744</v>
      </c>
      <c r="G56" s="38" t="n">
        <f aca="false">IF(C56&gt;E56,100,C56/E56*100)</f>
        <v>13.3158656637788</v>
      </c>
      <c r="H56" s="38" t="n">
        <f aca="false">L56/F56*100</f>
        <v>0</v>
      </c>
      <c r="I56" s="38" t="n">
        <f aca="false">(V$23+V$24*SIN(2*PI()/365*A56))*V$25/100*V$7*V$8/100*(1-V$15/100)</f>
        <v>20.792649946245</v>
      </c>
      <c r="J56" s="38" t="n">
        <f aca="false">(V$23+V$24*SIN(2*PI()/365*A56))*V$25/100*V$9*(1-V$14/100)</f>
        <v>5.55910738766004</v>
      </c>
      <c r="K56" s="39" t="n">
        <f aca="false">IF(E56/C56*100&lt;100,E56/C56*100,100)</f>
        <v>100</v>
      </c>
      <c r="L56" s="2" t="n">
        <f aca="false">IF(((C56-E56)&gt;0)AND(F56&gt;(C56-E56)),(C56-E56),IF(C56&lt;E56,0,F56))</f>
        <v>0</v>
      </c>
      <c r="M56" s="2" t="n">
        <f aca="false">IF(C56&lt;(E56+F56),0,C56-E56-F56)</f>
        <v>0</v>
      </c>
      <c r="N56" s="2" t="n">
        <f aca="false">IF(C56&lt;(E56+F56),0,(C56-E56-F56)/(1-V$16/100))</f>
        <v>0</v>
      </c>
      <c r="O56" s="2" t="n">
        <f aca="false">L56+M56</f>
        <v>0</v>
      </c>
      <c r="P56" s="2" t="n">
        <f aca="false">IF( N56=0,I56*(1-G56/100)+J56*(1-H56/100),-N56)</f>
        <v>23.5830359991233</v>
      </c>
      <c r="Q56" s="47" t="n">
        <f aca="false">IF(P55&gt;0,Q55+P55*(1-V$20/100),Q55+P55)</f>
        <v>675.795056929555</v>
      </c>
      <c r="R56" s="48" t="n">
        <f aca="false">R$4+Q56/V$28</f>
        <v>47.9936548440413</v>
      </c>
    </row>
    <row r="57" customFormat="false" ht="12.8" hidden="false" customHeight="false" outlineLevel="0" collapsed="false">
      <c r="A57" s="1" t="n">
        <v>53</v>
      </c>
      <c r="B57" s="37" t="n">
        <v>43598</v>
      </c>
      <c r="C57" s="38" t="n">
        <f aca="false">V$26-V$26*SIN(2*PI()/365*A57)</f>
        <v>2.96012586040415</v>
      </c>
      <c r="D57" s="2" t="n">
        <f aca="false">IF((E57+F57)&gt;C57,C57,E57+F57)</f>
        <v>2.96012586040415</v>
      </c>
      <c r="E57" s="38" t="n">
        <f aca="false">(V$23+V$24*SIN(2*PI()/365*A57))*V$25/100*V$7*V$8/100</f>
        <v>23.4891722896121</v>
      </c>
      <c r="F57" s="38" t="n">
        <f aca="false">(V$23+V$24*SIN(2*PI()/365*A57))*V$25/100*V$9*(1-V$14/100)*(1-V$16/100)</f>
        <v>4.97442569682271</v>
      </c>
      <c r="G57" s="38" t="n">
        <f aca="false">IF(C57&gt;E57,100,C57/E57*100)</f>
        <v>12.6020867142826</v>
      </c>
      <c r="H57" s="38" t="n">
        <f aca="false">L57/F57*100</f>
        <v>0</v>
      </c>
      <c r="I57" s="38" t="n">
        <f aca="false">(V$23+V$24*SIN(2*PI()/365*A57))*V$25/100*V$7*V$8/100*(1-V$15/100)</f>
        <v>20.9053633377548</v>
      </c>
      <c r="J57" s="38" t="n">
        <f aca="false">(V$23+V$24*SIN(2*PI()/365*A57))*V$25/100*V$9*(1-V$14/100)</f>
        <v>5.58924235598057</v>
      </c>
      <c r="K57" s="39" t="n">
        <f aca="false">IF(E57/C57*100&lt;100,E57/C57*100,100)</f>
        <v>100</v>
      </c>
      <c r="L57" s="2" t="n">
        <f aca="false">IF(((C57-E57)&gt;0)AND(F57&gt;(C57-E57)),(C57-E57),IF(C57&lt;E57,0,F57))</f>
        <v>0</v>
      </c>
      <c r="M57" s="2" t="n">
        <f aca="false">IF(C57&lt;(E57+F57),0,C57-E57-F57)</f>
        <v>0</v>
      </c>
      <c r="N57" s="2" t="n">
        <f aca="false">IF(C57&lt;(E57+F57),0,(C57-E57-F57)/(1-V$16/100))</f>
        <v>0</v>
      </c>
      <c r="O57" s="2" t="n">
        <f aca="false">L57+M57</f>
        <v>0</v>
      </c>
      <c r="P57" s="2" t="n">
        <f aca="false">IF( N57=0,I57*(1-G57/100)+J57*(1-H57/100),-N57)</f>
        <v>23.8600936779757</v>
      </c>
      <c r="Q57" s="47" t="n">
        <f aca="false">IF(P56&gt;0,Q56+P56*(1-V$20/100),Q56+P56)</f>
        <v>697.72728040874</v>
      </c>
      <c r="R57" s="48" t="n">
        <f aca="false">R$4+Q57/V$28</f>
        <v>48.2530805717931</v>
      </c>
    </row>
    <row r="58" customFormat="false" ht="12.8" hidden="false" customHeight="false" outlineLevel="0" collapsed="false">
      <c r="A58" s="1" t="n">
        <v>54</v>
      </c>
      <c r="B58" s="37" t="n">
        <v>43599</v>
      </c>
      <c r="C58" s="38" t="n">
        <f aca="false">V$26-V$26*SIN(2*PI()/365*A58)</f>
        <v>2.81264751860514</v>
      </c>
      <c r="D58" s="2" t="n">
        <f aca="false">IF((E58+F58)&gt;C58,C58,E58+F58)</f>
        <v>2.81264751860514</v>
      </c>
      <c r="E58" s="38" t="n">
        <f aca="false">(V$23+V$24*SIN(2*PI()/365*A58))*V$25/100*V$7*V$8/100</f>
        <v>23.613029442003</v>
      </c>
      <c r="F58" s="38" t="n">
        <f aca="false">(V$23+V$24*SIN(2*PI()/365*A58))*V$25/100*V$9*(1-V$14/100)*(1-V$16/100)</f>
        <v>5.00065557814813</v>
      </c>
      <c r="G58" s="38" t="n">
        <f aca="false">IF(C58&gt;E58,100,C58/E58*100)</f>
        <v>11.9114217238131</v>
      </c>
      <c r="H58" s="38" t="n">
        <f aca="false">L58/F58*100</f>
        <v>0</v>
      </c>
      <c r="I58" s="38" t="n">
        <f aca="false">(V$23+V$24*SIN(2*PI()/365*A58))*V$25/100*V$7*V$8/100*(1-V$15/100)</f>
        <v>21.0155962033827</v>
      </c>
      <c r="J58" s="38" t="n">
        <f aca="false">(V$23+V$24*SIN(2*PI()/365*A58))*V$25/100*V$9*(1-V$14/100)</f>
        <v>5.61871413275071</v>
      </c>
      <c r="K58" s="39" t="n">
        <f aca="false">IF(E58/C58*100&lt;100,E58/C58*100,100)</f>
        <v>100</v>
      </c>
      <c r="L58" s="2" t="n">
        <f aca="false">IF(((C58-E58)&gt;0)AND(F58&gt;(C58-E58)),(C58-E58),IF(C58&lt;E58,0,F58))</f>
        <v>0</v>
      </c>
      <c r="M58" s="2" t="n">
        <f aca="false">IF(C58&lt;(E58+F58),0,C58-E58-F58)</f>
        <v>0</v>
      </c>
      <c r="N58" s="2" t="n">
        <f aca="false">IF(C58&lt;(E58+F58),0,(C58-E58-F58)/(1-V$16/100))</f>
        <v>0</v>
      </c>
      <c r="O58" s="2" t="n">
        <f aca="false">L58+M58</f>
        <v>0</v>
      </c>
      <c r="P58" s="2" t="n">
        <f aca="false">IF( N58=0,I58*(1-G58/100)+J58*(1-H58/100),-N58)</f>
        <v>24.1310540445748</v>
      </c>
      <c r="Q58" s="47" t="n">
        <f aca="false">IF(P57&gt;0,Q57+P57*(1-V$20/100),Q57+P57)</f>
        <v>719.917167529257</v>
      </c>
      <c r="R58" s="48" t="n">
        <f aca="false">R$4+Q58/V$28</f>
        <v>48.5155540788879</v>
      </c>
    </row>
    <row r="59" customFormat="false" ht="12.8" hidden="false" customHeight="false" outlineLevel="0" collapsed="false">
      <c r="A59" s="1" t="n">
        <v>55</v>
      </c>
      <c r="B59" s="37" t="n">
        <v>43600</v>
      </c>
      <c r="C59" s="38" t="n">
        <f aca="false">V$26-V$26*SIN(2*PI()/365*A59)</f>
        <v>2.6685315236879</v>
      </c>
      <c r="D59" s="2" t="n">
        <f aca="false">IF((E59+F59)&gt;C59,C59,E59+F59)</f>
        <v>2.6685315236879</v>
      </c>
      <c r="E59" s="38" t="n">
        <f aca="false">(V$23+V$24*SIN(2*PI()/365*A59))*V$25/100*V$7*V$8/100</f>
        <v>23.7340627851143</v>
      </c>
      <c r="F59" s="38" t="n">
        <f aca="false">(V$23+V$24*SIN(2*PI()/365*A59))*V$25/100*V$9*(1-V$14/100)*(1-V$16/100)</f>
        <v>5.02628744651376</v>
      </c>
      <c r="G59" s="38" t="n">
        <f aca="false">IF(C59&gt;E59,100,C59/E59*100)</f>
        <v>11.2434670281633</v>
      </c>
      <c r="H59" s="38" t="n">
        <f aca="false">L59/F59*100</f>
        <v>0</v>
      </c>
      <c r="I59" s="38" t="n">
        <f aca="false">(V$23+V$24*SIN(2*PI()/365*A59))*V$25/100*V$7*V$8/100*(1-V$15/100)</f>
        <v>21.1233158787517</v>
      </c>
      <c r="J59" s="38" t="n">
        <f aca="false">(V$23+V$24*SIN(2*PI()/365*A59))*V$25/100*V$9*(1-V$14/100)</f>
        <v>5.64751398484692</v>
      </c>
      <c r="K59" s="39" t="n">
        <f aca="false">IF(E59/C59*100&lt;100,E59/C59*100,100)</f>
        <v>100</v>
      </c>
      <c r="L59" s="2" t="n">
        <f aca="false">IF(((C59-E59)&gt;0)AND(F59&gt;(C59-E59)),(C59-E59),IF(C59&lt;E59,0,F59))</f>
        <v>0</v>
      </c>
      <c r="M59" s="2" t="n">
        <f aca="false">IF(C59&lt;(E59+F59),0,C59-E59-F59)</f>
        <v>0</v>
      </c>
      <c r="N59" s="2" t="n">
        <f aca="false">IF(C59&lt;(E59+F59),0,(C59-E59-F59)/(1-V$16/100))</f>
        <v>0</v>
      </c>
      <c r="O59" s="2" t="n">
        <f aca="false">L59+M59</f>
        <v>0</v>
      </c>
      <c r="P59" s="2" t="n">
        <f aca="false">IF( N59=0,I59*(1-G59/100)+J59*(1-H59/100),-N59)</f>
        <v>24.3958368075164</v>
      </c>
      <c r="Q59" s="47" t="n">
        <f aca="false">IF(P58&gt;0,Q58+P58*(1-V$20/100),Q58+P58)</f>
        <v>742.359047790712</v>
      </c>
      <c r="R59" s="48" t="n">
        <f aca="false">R$4+Q59/V$28</f>
        <v>48.7810082917027</v>
      </c>
    </row>
    <row r="60" customFormat="false" ht="12.8" hidden="false" customHeight="false" outlineLevel="0" collapsed="false">
      <c r="A60" s="1" t="n">
        <v>56</v>
      </c>
      <c r="B60" s="37" t="n">
        <v>43601</v>
      </c>
      <c r="C60" s="38" t="n">
        <f aca="false">V$26-V$26*SIN(2*PI()/365*A60)</f>
        <v>2.52782058033198</v>
      </c>
      <c r="D60" s="2" t="n">
        <f aca="false">IF((E60+F60)&gt;C60,C60,E60+F60)</f>
        <v>2.52782058033198</v>
      </c>
      <c r="E60" s="38" t="n">
        <f aca="false">(V$23+V$24*SIN(2*PI()/365*A60))*V$25/100*V$7*V$8/100</f>
        <v>23.8522364541542</v>
      </c>
      <c r="F60" s="38" t="n">
        <f aca="false">(V$23+V$24*SIN(2*PI()/365*A60))*V$25/100*V$9*(1-V$14/100)*(1-V$16/100)</f>
        <v>5.05131370664383</v>
      </c>
      <c r="G60" s="38" t="n">
        <f aca="false">IF(C60&gt;E60,100,C60/E60*100)</f>
        <v>10.5978346524891</v>
      </c>
      <c r="H60" s="38" t="n">
        <f aca="false">L60/F60*100</f>
        <v>0</v>
      </c>
      <c r="I60" s="38" t="n">
        <f aca="false">(V$23+V$24*SIN(2*PI()/365*A60))*V$25/100*V$7*V$8/100*(1-V$15/100)</f>
        <v>21.2284904441972</v>
      </c>
      <c r="J60" s="38" t="n">
        <f aca="false">(V$23+V$24*SIN(2*PI()/365*A60))*V$25/100*V$9*(1-V$14/100)</f>
        <v>5.67563337825149</v>
      </c>
      <c r="K60" s="39" t="n">
        <f aca="false">IF(E60/C60*100&lt;100,E60/C60*100,100)</f>
        <v>100</v>
      </c>
      <c r="L60" s="2" t="n">
        <f aca="false">IF(((C60-E60)&gt;0)AND(F60&gt;(C60-E60)),(C60-E60),IF(C60&lt;E60,0,F60))</f>
        <v>0</v>
      </c>
      <c r="M60" s="2" t="n">
        <f aca="false">IF(C60&lt;(E60+F60),0,C60-E60-F60)</f>
        <v>0</v>
      </c>
      <c r="N60" s="2" t="n">
        <f aca="false">IF(C60&lt;(E60+F60),0,(C60-E60-F60)/(1-V$16/100))</f>
        <v>0</v>
      </c>
      <c r="O60" s="2" t="n">
        <f aca="false">L60+M60</f>
        <v>0</v>
      </c>
      <c r="P60" s="2" t="n">
        <f aca="false">IF( N60=0,I60*(1-G60/100)+J60*(1-H60/100),-N60)</f>
        <v>24.6543635059533</v>
      </c>
      <c r="Q60" s="47" t="n">
        <f aca="false">IF(P59&gt;0,Q59+P59*(1-V$20/100),Q59+P59)</f>
        <v>765.047176021702</v>
      </c>
      <c r="R60" s="48" t="n">
        <f aca="false">R$4+Q60/V$28</f>
        <v>49.0493752533669</v>
      </c>
    </row>
    <row r="61" customFormat="false" ht="12.8" hidden="false" customHeight="false" outlineLevel="0" collapsed="false">
      <c r="A61" s="1" t="n">
        <v>57</v>
      </c>
      <c r="B61" s="37" t="n">
        <v>43602</v>
      </c>
      <c r="C61" s="38" t="n">
        <f aca="false">V$26-V$26*SIN(2*PI()/365*A61)</f>
        <v>2.3905563842267</v>
      </c>
      <c r="D61" s="2" t="n">
        <f aca="false">IF((E61+F61)&gt;C61,C61,E61+F61)</f>
        <v>2.3905563842267</v>
      </c>
      <c r="E61" s="38" t="n">
        <f aca="false">(V$23+V$24*SIN(2*PI()/365*A61))*V$25/100*V$7*V$8/100</f>
        <v>23.9675154317142</v>
      </c>
      <c r="F61" s="38" t="n">
        <f aca="false">(V$23+V$24*SIN(2*PI()/365*A61))*V$25/100*V$9*(1-V$14/100)*(1-V$16/100)</f>
        <v>5.07572694271735</v>
      </c>
      <c r="G61" s="38" t="n">
        <f aca="false">IF(C61&gt;E61,100,C61/E61*100)</f>
        <v>9.9741518516495</v>
      </c>
      <c r="H61" s="38" t="n">
        <f aca="false">L61/F61*100</f>
        <v>0</v>
      </c>
      <c r="I61" s="38" t="n">
        <f aca="false">(V$23+V$24*SIN(2*PI()/365*A61))*V$25/100*V$7*V$8/100*(1-V$15/100)</f>
        <v>21.3310887342256</v>
      </c>
      <c r="J61" s="38" t="n">
        <f aca="false">(V$23+V$24*SIN(2*PI()/365*A61))*V$25/100*V$9*(1-V$14/100)</f>
        <v>5.70306398058129</v>
      </c>
      <c r="K61" s="39" t="n">
        <f aca="false">IF(E61/C61*100&lt;100,E61/C61*100,100)</f>
        <v>100</v>
      </c>
      <c r="L61" s="2" t="n">
        <f aca="false">IF(((C61-E61)&gt;0)AND(F61&gt;(C61-E61)),(C61-E61),IF(C61&lt;E61,0,F61))</f>
        <v>0</v>
      </c>
      <c r="M61" s="2" t="n">
        <f aca="false">IF(C61&lt;(E61+F61),0,C61-E61-F61)</f>
        <v>0</v>
      </c>
      <c r="N61" s="2" t="n">
        <f aca="false">IF(C61&lt;(E61+F61),0,(C61-E61-F61)/(1-V$16/100))</f>
        <v>0</v>
      </c>
      <c r="O61" s="2" t="n">
        <f aca="false">L61+M61</f>
        <v>0</v>
      </c>
      <c r="P61" s="2" t="n">
        <f aca="false">IF( N61=0,I61*(1-G61/100)+J61*(1-H61/100),-N61)</f>
        <v>24.9065575328451</v>
      </c>
      <c r="Q61" s="47" t="n">
        <f aca="false">IF(P60&gt;0,Q60+P60*(1-V$20/100),Q60+P60)</f>
        <v>787.975734082238</v>
      </c>
      <c r="R61" s="48" t="n">
        <f aca="false">R$4+Q61/V$28</f>
        <v>49.3205861438997</v>
      </c>
    </row>
    <row r="62" customFormat="false" ht="12.8" hidden="false" customHeight="false" outlineLevel="0" collapsed="false">
      <c r="A62" s="1" t="n">
        <v>58</v>
      </c>
      <c r="B62" s="37" t="n">
        <v>43603</v>
      </c>
      <c r="C62" s="38" t="n">
        <f aca="false">V$26-V$26*SIN(2*PI()/365*A62)</f>
        <v>2.25677960971576</v>
      </c>
      <c r="D62" s="2" t="n">
        <f aca="false">IF((E62+F62)&gt;C62,C62,E62+F62)</f>
        <v>2.25677960971576</v>
      </c>
      <c r="E62" s="38" t="n">
        <f aca="false">(V$23+V$24*SIN(2*PI()/365*A62))*V$25/100*V$7*V$8/100</f>
        <v>24.0798655581453</v>
      </c>
      <c r="F62" s="38" t="n">
        <f aca="false">(V$23+V$24*SIN(2*PI()/365*A62))*V$25/100*V$9*(1-V$14/100)*(1-V$16/100)</f>
        <v>5.09951992056559</v>
      </c>
      <c r="G62" s="38" t="n">
        <f aca="false">IF(C62&gt;E62,100,C62/E62*100)</f>
        <v>9.37206067146158</v>
      </c>
      <c r="H62" s="38" t="n">
        <f aca="false">L62/F62*100</f>
        <v>0</v>
      </c>
      <c r="I62" s="38" t="n">
        <f aca="false">(V$23+V$24*SIN(2*PI()/365*A62))*V$25/100*V$7*V$8/100*(1-V$15/100)</f>
        <v>21.4310803467493</v>
      </c>
      <c r="J62" s="38" t="n">
        <f aca="false">(V$23+V$24*SIN(2*PI()/365*A62))*V$25/100*V$9*(1-V$14/100)</f>
        <v>5.72979766355684</v>
      </c>
      <c r="K62" s="39" t="n">
        <f aca="false">IF(E62/C62*100&lt;100,E62/C62*100,100)</f>
        <v>100</v>
      </c>
      <c r="L62" s="2" t="n">
        <f aca="false">IF(((C62-E62)&gt;0)AND(F62&gt;(C62-E62)),(C62-E62),IF(C62&lt;E62,0,F62))</f>
        <v>0</v>
      </c>
      <c r="M62" s="2" t="n">
        <f aca="false">IF(C62&lt;(E62+F62),0,C62-E62-F62)</f>
        <v>0</v>
      </c>
      <c r="N62" s="2" t="n">
        <f aca="false">IF(C62&lt;(E62+F62),0,(C62-E62-F62)/(1-V$16/100))</f>
        <v>0</v>
      </c>
      <c r="O62" s="2" t="n">
        <f aca="false">L62+M62</f>
        <v>0</v>
      </c>
      <c r="P62" s="2" t="n">
        <f aca="false">IF( N62=0,I62*(1-G62/100)+J62*(1-H62/100),-N62)</f>
        <v>25.1523441576591</v>
      </c>
      <c r="Q62" s="47" t="n">
        <f aca="false">IF(P61&gt;0,Q61+P61*(1-V$20/100),Q61+P61)</f>
        <v>811.138832587784</v>
      </c>
      <c r="R62" s="48" t="n">
        <f aca="false">R$4+Q62/V$28</f>
        <v>49.5945713006025</v>
      </c>
    </row>
    <row r="63" customFormat="false" ht="12.8" hidden="false" customHeight="false" outlineLevel="0" collapsed="false">
      <c r="A63" s="1" t="n">
        <v>59</v>
      </c>
      <c r="B63" s="37" t="n">
        <v>43604</v>
      </c>
      <c r="C63" s="38" t="n">
        <f aca="false">V$26-V$26*SIN(2*PI()/365*A63)</f>
        <v>2.12652989774459</v>
      </c>
      <c r="D63" s="2" t="n">
        <f aca="false">IF((E63+F63)&gt;C63,C63,E63+F63)</f>
        <v>2.12652989774459</v>
      </c>
      <c r="E63" s="38" t="n">
        <f aca="false">(V$23+V$24*SIN(2*PI()/365*A63))*V$25/100*V$7*V$8/100</f>
        <v>24.1892535416804</v>
      </c>
      <c r="F63" s="38" t="n">
        <f aca="false">(V$23+V$24*SIN(2*PI()/365*A63))*V$25/100*V$9*(1-V$14/100)*(1-V$16/100)</f>
        <v>5.12268558981572</v>
      </c>
      <c r="G63" s="38" t="n">
        <f aca="false">IF(C63&gt;E63,100,C63/E63*100)</f>
        <v>8.79121753005061</v>
      </c>
      <c r="H63" s="38" t="n">
        <f aca="false">L63/F63*100</f>
        <v>0</v>
      </c>
      <c r="I63" s="38" t="n">
        <f aca="false">(V$23+V$24*SIN(2*PI()/365*A63))*V$25/100*V$7*V$8/100*(1-V$15/100)</f>
        <v>21.5284356520955</v>
      </c>
      <c r="J63" s="38" t="n">
        <f aca="false">(V$23+V$24*SIN(2*PI()/365*A63))*V$25/100*V$9*(1-V$14/100)</f>
        <v>5.75582650541092</v>
      </c>
      <c r="K63" s="39" t="n">
        <f aca="false">IF(E63/C63*100&lt;100,E63/C63*100,100)</f>
        <v>100</v>
      </c>
      <c r="L63" s="2" t="n">
        <f aca="false">IF(((C63-E63)&gt;0)AND(F63&gt;(C63-E63)),(C63-E63),IF(C63&lt;E63,0,F63))</f>
        <v>0</v>
      </c>
      <c r="M63" s="2" t="n">
        <f aca="false">IF(C63&lt;(E63+F63),0,C63-E63-F63)</f>
        <v>0</v>
      </c>
      <c r="N63" s="2" t="n">
        <f aca="false">IF(C63&lt;(E63+F63),0,(C63-E63-F63)/(1-V$16/100))</f>
        <v>0</v>
      </c>
      <c r="O63" s="2" t="n">
        <f aca="false">L63+M63</f>
        <v>0</v>
      </c>
      <c r="P63" s="2" t="n">
        <f aca="false">IF( N63=0,I63*(1-G63/100)+J63*(1-H63/100),-N63)</f>
        <v>25.3916505485138</v>
      </c>
      <c r="Q63" s="47" t="n">
        <f aca="false">IF(P62&gt;0,Q62+P62*(1-V$20/100),Q62+P62)</f>
        <v>834.530512654407</v>
      </c>
      <c r="R63" s="48" t="n">
        <f aca="false">R$4+Q63/V$28</f>
        <v>49.8712602387022</v>
      </c>
    </row>
    <row r="64" customFormat="false" ht="12.8" hidden="false" customHeight="false" outlineLevel="0" collapsed="false">
      <c r="A64" s="1" t="n">
        <v>60</v>
      </c>
      <c r="B64" s="37" t="n">
        <v>43605</v>
      </c>
      <c r="C64" s="38" t="n">
        <f aca="false">V$26-V$26*SIN(2*PI()/365*A64)</f>
        <v>1.99984584411388</v>
      </c>
      <c r="D64" s="2" t="n">
        <f aca="false">IF((E64+F64)&gt;C64,C64,E64+F64)</f>
        <v>1.99984584411388</v>
      </c>
      <c r="E64" s="38" t="n">
        <f aca="false">(V$23+V$24*SIN(2*PI()/365*A64))*V$25/100*V$7*V$8/100</f>
        <v>24.2956469682991</v>
      </c>
      <c r="F64" s="38" t="n">
        <f aca="false">(V$23+V$24*SIN(2*PI()/365*A64))*V$25/100*V$9*(1-V$14/100)*(1-V$16/100)</f>
        <v>5.14521708597999</v>
      </c>
      <c r="G64" s="38" t="n">
        <f aca="false">IF(C64&gt;E64,100,C64/E64*100)</f>
        <v>8.23129281851712</v>
      </c>
      <c r="H64" s="38" t="n">
        <f aca="false">L64/F64*100</f>
        <v>0</v>
      </c>
      <c r="I64" s="38" t="n">
        <f aca="false">(V$23+V$24*SIN(2*PI()/365*A64))*V$25/100*V$7*V$8/100*(1-V$15/100)</f>
        <v>21.6231258017862</v>
      </c>
      <c r="J64" s="38" t="n">
        <f aca="false">(V$23+V$24*SIN(2*PI()/365*A64))*V$25/100*V$9*(1-V$14/100)</f>
        <v>5.78114279323594</v>
      </c>
      <c r="K64" s="39" t="n">
        <f aca="false">IF(E64/C64*100&lt;100,E64/C64*100,100)</f>
        <v>100</v>
      </c>
      <c r="L64" s="2" t="n">
        <f aca="false">IF(((C64-E64)&gt;0)AND(F64&gt;(C64-E64)),(C64-E64),IF(C64&lt;E64,0,F64))</f>
        <v>0</v>
      </c>
      <c r="M64" s="2" t="n">
        <f aca="false">IF(C64&lt;(E64+F64),0,C64-E64-F64)</f>
        <v>0</v>
      </c>
      <c r="N64" s="2" t="n">
        <f aca="false">IF(C64&lt;(E64+F64),0,(C64-E64-F64)/(1-V$16/100))</f>
        <v>0</v>
      </c>
      <c r="O64" s="2" t="n">
        <f aca="false">L64+M64</f>
        <v>0</v>
      </c>
      <c r="P64" s="2" t="n">
        <f aca="false">IF( N64=0,I64*(1-G64/100)+J64*(1-H64/100),-N64)</f>
        <v>25.6244057937608</v>
      </c>
      <c r="Q64" s="47" t="n">
        <f aca="false">IF(P63&gt;0,Q63+P63*(1-V$20/100),Q63+P63)</f>
        <v>858.144747664525</v>
      </c>
      <c r="R64" s="48" t="n">
        <f aca="false">R$4+Q64/V$28</f>
        <v>50.1505816722365</v>
      </c>
    </row>
    <row r="65" customFormat="false" ht="12.8" hidden="false" customHeight="false" outlineLevel="0" collapsed="false">
      <c r="A65" s="1" t="n">
        <v>61</v>
      </c>
      <c r="B65" s="37" t="n">
        <v>43606</v>
      </c>
      <c r="C65" s="38" t="n">
        <f aca="false">V$26-V$26*SIN(2*PI()/365*A65)</f>
        <v>1.87676498804276</v>
      </c>
      <c r="D65" s="2" t="n">
        <f aca="false">IF((E65+F65)&gt;C65,C65,E65+F65)</f>
        <v>1.87676498804276</v>
      </c>
      <c r="E65" s="38" t="n">
        <f aca="false">(V$23+V$24*SIN(2*PI()/365*A65))*V$25/100*V$7*V$8/100</f>
        <v>24.399014311333</v>
      </c>
      <c r="F65" s="38" t="n">
        <f aca="false">(V$23+V$24*SIN(2*PI()/365*A65))*V$25/100*V$9*(1-V$14/100)*(1-V$16/100)</f>
        <v>5.1671077324898</v>
      </c>
      <c r="G65" s="38" t="n">
        <f aca="false">IF(C65&gt;E65,100,C65/E65*100)</f>
        <v>7.69197052018216</v>
      </c>
      <c r="H65" s="38" t="n">
        <f aca="false">L65/F65*100</f>
        <v>0</v>
      </c>
      <c r="I65" s="38" t="n">
        <f aca="false">(V$23+V$24*SIN(2*PI()/365*A65))*V$25/100*V$7*V$8/100*(1-V$15/100)</f>
        <v>21.7151227370864</v>
      </c>
      <c r="J65" s="38" t="n">
        <f aca="false">(V$23+V$24*SIN(2*PI()/365*A65))*V$25/100*V$9*(1-V$14/100)</f>
        <v>5.80573902526944</v>
      </c>
      <c r="K65" s="39" t="n">
        <f aca="false">IF(E65/C65*100&lt;100,E65/C65*100,100)</f>
        <v>100</v>
      </c>
      <c r="L65" s="2" t="n">
        <f aca="false">IF(((C65-E65)&gt;0)AND(F65&gt;(C65-E65)),(C65-E65),IF(C65&lt;E65,0,F65))</f>
        <v>0</v>
      </c>
      <c r="M65" s="2" t="n">
        <f aca="false">IF(C65&lt;(E65+F65),0,C65-E65-F65)</f>
        <v>0</v>
      </c>
      <c r="N65" s="2" t="n">
        <f aca="false">IF(C65&lt;(E65+F65),0,(C65-E65-F65)/(1-V$16/100))</f>
        <v>0</v>
      </c>
      <c r="O65" s="2" t="n">
        <f aca="false">L65+M65</f>
        <v>0</v>
      </c>
      <c r="P65" s="2" t="n">
        <f aca="false">IF( N65=0,I65*(1-G65/100)+J65*(1-H65/100),-N65)</f>
        <v>25.8505409229977</v>
      </c>
      <c r="Q65" s="47" t="n">
        <f aca="false">IF(P64&gt;0,Q64+P64*(1-V$20/100),Q64+P64)</f>
        <v>881.975445052723</v>
      </c>
      <c r="R65" s="48" t="n">
        <f aca="false">R$4+Q65/V$28</f>
        <v>50.4324635351781</v>
      </c>
    </row>
    <row r="66" customFormat="false" ht="12.8" hidden="false" customHeight="false" outlineLevel="0" collapsed="false">
      <c r="A66" s="1" t="n">
        <v>62</v>
      </c>
      <c r="B66" s="37" t="n">
        <v>43607</v>
      </c>
      <c r="C66" s="38" t="n">
        <f aca="false">V$26-V$26*SIN(2*PI()/365*A66)</f>
        <v>1.75732380104521</v>
      </c>
      <c r="D66" s="2" t="n">
        <f aca="false">IF((E66+F66)&gt;C66,C66,E66+F66)</f>
        <v>1.75732380104521</v>
      </c>
      <c r="E66" s="38" t="n">
        <f aca="false">(V$23+V$24*SIN(2*PI()/365*A66))*V$25/100*V$7*V$8/100</f>
        <v>24.4993249408075</v>
      </c>
      <c r="F66" s="38" t="n">
        <f aca="false">(V$23+V$24*SIN(2*PI()/365*A66))*V$25/100*V$9*(1-V$14/100)*(1-V$16/100)</f>
        <v>5.18835104267418</v>
      </c>
      <c r="G66" s="38" t="n">
        <f aca="false">IF(C66&gt;E66,100,C66/E66*100)</f>
        <v>7.17294784771031</v>
      </c>
      <c r="H66" s="38" t="n">
        <f aca="false">L66/F66*100</f>
        <v>0</v>
      </c>
      <c r="I66" s="38" t="n">
        <f aca="false">(V$23+V$24*SIN(2*PI()/365*A66))*V$25/100*V$7*V$8/100*(1-V$15/100)</f>
        <v>21.8043991973187</v>
      </c>
      <c r="J66" s="38" t="n">
        <f aca="false">(V$23+V$24*SIN(2*PI()/365*A66))*V$25/100*V$9*(1-V$14/100)</f>
        <v>5.82960791311705</v>
      </c>
      <c r="K66" s="39" t="n">
        <f aca="false">IF(E66/C66*100&lt;100,E66/C66*100,100)</f>
        <v>100</v>
      </c>
      <c r="L66" s="2" t="n">
        <f aca="false">IF(((C66-E66)&gt;0)AND(F66&gt;(C66-E66)),(C66-E66),IF(C66&lt;E66,0,F66))</f>
        <v>0</v>
      </c>
      <c r="M66" s="2" t="n">
        <f aca="false">IF(C66&lt;(E66+F66),0,C66-E66-F66)</f>
        <v>0</v>
      </c>
      <c r="N66" s="2" t="n">
        <f aca="false">IF(C66&lt;(E66+F66),0,(C66-E66-F66)/(1-V$16/100))</f>
        <v>0</v>
      </c>
      <c r="O66" s="2" t="n">
        <f aca="false">L66+M66</f>
        <v>0</v>
      </c>
      <c r="P66" s="2" t="n">
        <f aca="false">IF( N66=0,I66*(1-G66/100)+J66*(1-H66/100),-N66)</f>
        <v>26.0699889275055</v>
      </c>
      <c r="Q66" s="47" t="n">
        <f aca="false">IF(P65&gt;0,Q65+P65*(1-V$20/100),Q65+P65)</f>
        <v>906.016448111111</v>
      </c>
      <c r="R66" s="48" t="n">
        <f aca="false">R$4+Q66/V$28</f>
        <v>50.7168330027892</v>
      </c>
    </row>
    <row r="67" customFormat="false" ht="12.8" hidden="false" customHeight="false" outlineLevel="0" collapsed="false">
      <c r="A67" s="1" t="n">
        <v>63</v>
      </c>
      <c r="B67" s="37" t="n">
        <v>43608</v>
      </c>
      <c r="C67" s="38" t="n">
        <f aca="false">V$26-V$26*SIN(2*PI()/365*A67)</f>
        <v>1.64155767612267</v>
      </c>
      <c r="D67" s="2" t="n">
        <f aca="false">IF((E67+F67)&gt;C67,C67,E67+F67)</f>
        <v>1.64155767612267</v>
      </c>
      <c r="E67" s="38" t="n">
        <f aca="false">(V$23+V$24*SIN(2*PI()/365*A67))*V$25/100*V$7*V$8/100</f>
        <v>24.5965491325182</v>
      </c>
      <c r="F67" s="38" t="n">
        <f aca="false">(V$23+V$24*SIN(2*PI()/365*A67))*V$25/100*V$9*(1-V$14/100)*(1-V$16/100)</f>
        <v>5.20894072168182</v>
      </c>
      <c r="G67" s="38" t="n">
        <f aca="false">IF(C67&gt;E67,100,C67/E67*100)</f>
        <v>6.67393489744637</v>
      </c>
      <c r="H67" s="38" t="n">
        <f aca="false">L67/F67*100</f>
        <v>0</v>
      </c>
      <c r="I67" s="38" t="n">
        <f aca="false">(V$23+V$24*SIN(2*PI()/365*A67))*V$25/100*V$7*V$8/100*(1-V$15/100)</f>
        <v>21.8909287279412</v>
      </c>
      <c r="J67" s="38" t="n">
        <f aca="false">(V$23+V$24*SIN(2*PI()/365*A67))*V$25/100*V$9*(1-V$14/100)</f>
        <v>5.85274238391216</v>
      </c>
      <c r="K67" s="39" t="n">
        <f aca="false">IF(E67/C67*100&lt;100,E67/C67*100,100)</f>
        <v>100</v>
      </c>
      <c r="L67" s="2" t="n">
        <f aca="false">IF(((C67-E67)&gt;0)AND(F67&gt;(C67-E67)),(C67-E67),IF(C67&lt;E67,0,F67))</f>
        <v>0</v>
      </c>
      <c r="M67" s="2" t="n">
        <f aca="false">IF(C67&lt;(E67+F67),0,C67-E67-F67)</f>
        <v>0</v>
      </c>
      <c r="N67" s="2" t="n">
        <f aca="false">IF(C67&lt;(E67+F67),0,(C67-E67-F67)/(1-V$16/100))</f>
        <v>0</v>
      </c>
      <c r="O67" s="2" t="n">
        <f aca="false">L67+M67</f>
        <v>0</v>
      </c>
      <c r="P67" s="2" t="n">
        <f aca="false">IF( N67=0,I67*(1-G67/100)+J67*(1-H67/100),-N67)</f>
        <v>26.2826847801041</v>
      </c>
      <c r="Q67" s="47" t="n">
        <f aca="false">IF(P66&gt;0,Q66+P66*(1-V$20/100),Q66+P66)</f>
        <v>930.261537813691</v>
      </c>
      <c r="R67" s="48" t="n">
        <f aca="false">R$4+Q67/V$28</f>
        <v>51.0036165132011</v>
      </c>
    </row>
    <row r="68" customFormat="false" ht="12.8" hidden="false" customHeight="false" outlineLevel="0" collapsed="false">
      <c r="A68" s="1" t="n">
        <v>64</v>
      </c>
      <c r="B68" s="37" t="n">
        <v>43609</v>
      </c>
      <c r="C68" s="38" t="n">
        <f aca="false">V$26-V$26*SIN(2*PI()/365*A68)</f>
        <v>1.52950091727641</v>
      </c>
      <c r="D68" s="2" t="n">
        <f aca="false">IF((E68+F68)&gt;C68,C68,E68+F68)</f>
        <v>1.52950091727641</v>
      </c>
      <c r="E68" s="38" t="n">
        <f aca="false">(V$23+V$24*SIN(2*PI()/365*A68))*V$25/100*V$7*V$8/100</f>
        <v>24.6906580768388</v>
      </c>
      <c r="F68" s="38" t="n">
        <f aca="false">(V$23+V$24*SIN(2*PI()/365*A68))*V$25/100*V$9*(1-V$14/100)*(1-V$16/100)</f>
        <v>5.22887066834649</v>
      </c>
      <c r="G68" s="38" t="n">
        <f aca="false">IF(C68&gt;E68,100,C68/E68*100)</f>
        <v>6.19465432033651</v>
      </c>
      <c r="H68" s="38" t="n">
        <f aca="false">L68/F68*100</f>
        <v>0</v>
      </c>
      <c r="I68" s="38" t="n">
        <f aca="false">(V$23+V$24*SIN(2*PI()/365*A68))*V$25/100*V$7*V$8/100*(1-V$15/100)</f>
        <v>21.9746856883865</v>
      </c>
      <c r="J68" s="38" t="n">
        <f aca="false">(V$23+V$24*SIN(2*PI()/365*A68))*V$25/100*V$9*(1-V$14/100)</f>
        <v>5.87513558241179</v>
      </c>
      <c r="K68" s="39" t="n">
        <f aca="false">IF(E68/C68*100&lt;100,E68/C68*100,100)</f>
        <v>100</v>
      </c>
      <c r="L68" s="2" t="n">
        <f aca="false">IF(((C68-E68)&gt;0)AND(F68&gt;(C68-E68)),(C68-E68),IF(C68&lt;E68,0,F68))</f>
        <v>0</v>
      </c>
      <c r="M68" s="2" t="n">
        <f aca="false">IF(C68&lt;(E68+F68),0,C68-E68-F68)</f>
        <v>0</v>
      </c>
      <c r="N68" s="2" t="n">
        <f aca="false">IF(C68&lt;(E68+F68),0,(C68-E68-F68)/(1-V$16/100))</f>
        <v>0</v>
      </c>
      <c r="O68" s="2" t="n">
        <f aca="false">L68+M68</f>
        <v>0</v>
      </c>
      <c r="P68" s="2" t="n">
        <f aca="false">IF( N68=0,I68*(1-G68/100)+J68*(1-H68/100),-N68)</f>
        <v>26.4885654544223</v>
      </c>
      <c r="Q68" s="47" t="n">
        <f aca="false">IF(P67&gt;0,Q67+P67*(1-V$20/100),Q67+P67)</f>
        <v>954.704434659188</v>
      </c>
      <c r="R68" s="48" t="n">
        <f aca="false">R$4+Q68/V$28</f>
        <v>51.292739789212</v>
      </c>
    </row>
    <row r="69" customFormat="false" ht="12.8" hidden="false" customHeight="false" outlineLevel="0" collapsed="false">
      <c r="A69" s="1" t="n">
        <v>65</v>
      </c>
      <c r="B69" s="37" t="n">
        <v>43610</v>
      </c>
      <c r="C69" s="38" t="n">
        <f aca="false">V$26-V$26*SIN(2*PI()/365*A69)</f>
        <v>1.42118672934245</v>
      </c>
      <c r="D69" s="2" t="n">
        <f aca="false">IF((E69+F69)&gt;C69,C69,E69+F69)</f>
        <v>1.42118672934245</v>
      </c>
      <c r="E69" s="38" t="n">
        <f aca="false">(V$23+V$24*SIN(2*PI()/365*A69))*V$25/100*V$7*V$8/100</f>
        <v>24.781623887258</v>
      </c>
      <c r="F69" s="38" t="n">
        <f aca="false">(V$23+V$24*SIN(2*PI()/365*A69))*V$25/100*V$9*(1-V$14/100)*(1-V$16/100)</f>
        <v>5.24813497699487</v>
      </c>
      <c r="G69" s="38" t="n">
        <f aca="false">IF(C69&gt;E69,100,C69/E69*100)</f>
        <v>5.73484100883792</v>
      </c>
      <c r="H69" s="38" t="n">
        <f aca="false">L69/F69*100</f>
        <v>0</v>
      </c>
      <c r="I69" s="38" t="n">
        <f aca="false">(V$23+V$24*SIN(2*PI()/365*A69))*V$25/100*V$7*V$8/100*(1-V$15/100)</f>
        <v>22.0556452596597</v>
      </c>
      <c r="J69" s="38" t="n">
        <f aca="false">(V$23+V$24*SIN(2*PI()/365*A69))*V$25/100*V$9*(1-V$14/100)</f>
        <v>5.89678087302794</v>
      </c>
      <c r="K69" s="39" t="n">
        <f aca="false">IF(E69/C69*100&lt;100,E69/C69*100,100)</f>
        <v>100</v>
      </c>
      <c r="L69" s="2" t="n">
        <f aca="false">IF(((C69-E69)&gt;0)AND(F69&gt;(C69-E69)),(C69-E69),IF(C69&lt;E69,0,F69))</f>
        <v>0</v>
      </c>
      <c r="M69" s="2" t="n">
        <f aca="false">IF(C69&lt;(E69+F69),0,C69-E69-F69)</f>
        <v>0</v>
      </c>
      <c r="N69" s="2" t="n">
        <f aca="false">IF(C69&lt;(E69+F69),0,(C69-E69-F69)/(1-V$16/100))</f>
        <v>0</v>
      </c>
      <c r="O69" s="2" t="n">
        <f aca="false">L69+M69</f>
        <v>0</v>
      </c>
      <c r="P69" s="2" t="n">
        <f aca="false">IF( N69=0,I69*(1-G69/100)+J69*(1-H69/100),-N69)</f>
        <v>26.6875699435728</v>
      </c>
      <c r="Q69" s="47" t="n">
        <f aca="false">IF(P68&gt;0,Q68+P68*(1-V$20/100),Q68+P68)</f>
        <v>979.3388005318</v>
      </c>
      <c r="R69" s="48" t="n">
        <f aca="false">R$4+Q69/V$28</f>
        <v>51.584127860297</v>
      </c>
    </row>
    <row r="70" customFormat="false" ht="12.8" hidden="false" customHeight="false" outlineLevel="0" collapsed="false">
      <c r="A70" s="1" t="n">
        <v>66</v>
      </c>
      <c r="B70" s="37" t="n">
        <v>43611</v>
      </c>
      <c r="C70" s="38" t="n">
        <f aca="false">V$26-V$26*SIN(2*PI()/365*A70)</f>
        <v>1.31664720815228</v>
      </c>
      <c r="D70" s="2" t="n">
        <f aca="false">IF((E70+F70)&gt;C70,C70,E70+F70)</f>
        <v>1.31664720815228</v>
      </c>
      <c r="E70" s="38" t="n">
        <f aca="false">(V$23+V$24*SIN(2*PI()/365*A70))*V$25/100*V$7*V$8/100</f>
        <v>24.8694196086432</v>
      </c>
      <c r="F70" s="38" t="n">
        <f aca="false">(V$23+V$24*SIN(2*PI()/365*A70))*V$25/100*V$9*(1-V$14/100)*(1-V$16/100)</f>
        <v>5.26672793919654</v>
      </c>
      <c r="G70" s="38" t="n">
        <f aca="false">IF(C70&gt;E70,100,C70/E70*100)</f>
        <v>5.29424179925249</v>
      </c>
      <c r="H70" s="38" t="n">
        <f aca="false">L70/F70*100</f>
        <v>0</v>
      </c>
      <c r="I70" s="38" t="n">
        <f aca="false">(V$23+V$24*SIN(2*PI()/365*A70))*V$25/100*V$7*V$8/100*(1-V$15/100)</f>
        <v>22.1337834516924</v>
      </c>
      <c r="J70" s="38" t="n">
        <f aca="false">(V$23+V$24*SIN(2*PI()/365*A70))*V$25/100*V$9*(1-V$14/100)</f>
        <v>5.91767184179387</v>
      </c>
      <c r="K70" s="39" t="n">
        <f aca="false">IF(E70/C70*100&lt;100,E70/C70*100,100)</f>
        <v>100</v>
      </c>
      <c r="L70" s="2" t="n">
        <f aca="false">IF(((C70-E70)&gt;0)AND(F70&gt;(C70-E70)),(C70-E70),IF(C70&lt;E70,0,F70))</f>
        <v>0</v>
      </c>
      <c r="M70" s="2" t="n">
        <f aca="false">IF(C70&lt;(E70+F70),0,C70-E70-F70)</f>
        <v>0</v>
      </c>
      <c r="N70" s="2" t="n">
        <f aca="false">IF(C70&lt;(E70+F70),0,(C70-E70-F70)/(1-V$16/100))</f>
        <v>0</v>
      </c>
      <c r="O70" s="2" t="n">
        <f aca="false">L70+M70</f>
        <v>0</v>
      </c>
      <c r="P70" s="2" t="n">
        <f aca="false">IF( N70=0,I70*(1-G70/100)+J70*(1-H70/100),-N70)</f>
        <v>26.8796392782308</v>
      </c>
      <c r="Q70" s="47" t="n">
        <f aca="false">IF(P69&gt;0,Q69+P69*(1-V$20/100),Q69+P69)</f>
        <v>1004.15824057932</v>
      </c>
      <c r="R70" s="48" t="n">
        <f aca="false">R$4+Q70/V$28</f>
        <v>51.8777050848237</v>
      </c>
    </row>
    <row r="71" customFormat="false" ht="12.8" hidden="false" customHeight="false" outlineLevel="0" collapsed="false">
      <c r="A71" s="1" t="n">
        <v>67</v>
      </c>
      <c r="B71" s="37" t="n">
        <v>43612</v>
      </c>
      <c r="C71" s="38" t="n">
        <f aca="false">V$26-V$26*SIN(2*PI()/365*A71)</f>
        <v>1.21591333102219</v>
      </c>
      <c r="D71" s="2" t="n">
        <f aca="false">IF((E71+F71)&gt;C71,C71,E71+F71)</f>
        <v>1.21591333102219</v>
      </c>
      <c r="E71" s="38" t="n">
        <f aca="false">(V$23+V$24*SIN(2*PI()/365*A71))*V$25/100*V$7*V$8/100</f>
        <v>24.9540192252271</v>
      </c>
      <c r="F71" s="38" t="n">
        <f aca="false">(V$23+V$24*SIN(2*PI()/365*A71))*V$25/100*V$9*(1-V$14/100)*(1-V$16/100)</f>
        <v>5.28464404545553</v>
      </c>
      <c r="G71" s="38" t="n">
        <f aca="false">IF(C71&gt;E71,100,C71/E71*100)</f>
        <v>4.8726151889511</v>
      </c>
      <c r="H71" s="38" t="n">
        <f aca="false">L71/F71*100</f>
        <v>0</v>
      </c>
      <c r="I71" s="38" t="n">
        <f aca="false">(V$23+V$24*SIN(2*PI()/365*A71))*V$25/100*V$7*V$8/100*(1-V$15/100)</f>
        <v>22.2090771104521</v>
      </c>
      <c r="J71" s="38" t="n">
        <f aca="false">(V$23+V$24*SIN(2*PI()/365*A71))*V$25/100*V$9*(1-V$14/100)</f>
        <v>5.93780229826464</v>
      </c>
      <c r="K71" s="39" t="n">
        <f aca="false">IF(E71/C71*100&lt;100,E71/C71*100,100)</f>
        <v>100</v>
      </c>
      <c r="L71" s="2" t="n">
        <f aca="false">IF(((C71-E71)&gt;0)AND(F71&gt;(C71-E71)),(C71-E71),IF(C71&lt;E71,0,F71))</f>
        <v>0</v>
      </c>
      <c r="M71" s="2" t="n">
        <f aca="false">IF(C71&lt;(E71+F71),0,C71-E71-F71)</f>
        <v>0</v>
      </c>
      <c r="N71" s="2" t="n">
        <f aca="false">IF(C71&lt;(E71+F71),0,(C71-E71-F71)/(1-V$16/100))</f>
        <v>0</v>
      </c>
      <c r="O71" s="2" t="n">
        <f aca="false">L71+M71</f>
        <v>0</v>
      </c>
      <c r="P71" s="2" t="n">
        <f aca="false">IF( N71=0,I71*(1-G71/100)+J71*(1-H71/100),-N71)</f>
        <v>27.064716544107</v>
      </c>
      <c r="Q71" s="47" t="n">
        <f aca="false">IF(P70&gt;0,Q70+P70*(1-V$20/100),Q70+P70)</f>
        <v>1029.15630510808</v>
      </c>
      <c r="R71" s="48" t="n">
        <f aca="false">R$4+Q71/V$28</f>
        <v>52.1733951724663</v>
      </c>
    </row>
    <row r="72" customFormat="false" ht="12.8" hidden="false" customHeight="false" outlineLevel="0" collapsed="false">
      <c r="A72" s="1" t="n">
        <v>68</v>
      </c>
      <c r="B72" s="37" t="n">
        <v>43613</v>
      </c>
      <c r="C72" s="38" t="n">
        <f aca="false">V$26-V$26*SIN(2*PI()/365*A72)</f>
        <v>1.11901494757398</v>
      </c>
      <c r="D72" s="2" t="n">
        <f aca="false">IF((E72+F72)&gt;C72,C72,E72+F72)</f>
        <v>1.11901494757398</v>
      </c>
      <c r="E72" s="38" t="n">
        <f aca="false">(V$23+V$24*SIN(2*PI()/365*A72))*V$25/100*V$7*V$8/100</f>
        <v>25.0353976683177</v>
      </c>
      <c r="F72" s="38" t="n">
        <f aca="false">(V$23+V$24*SIN(2*PI()/365*A72))*V$25/100*V$9*(1-V$14/100)*(1-V$16/100)</f>
        <v>5.30187798684291</v>
      </c>
      <c r="G72" s="38" t="n">
        <f aca="false">IF(C72&gt;E72,100,C72/E72*100)</f>
        <v>4.46973106798339</v>
      </c>
      <c r="H72" s="38" t="n">
        <f aca="false">L72/F72*100</f>
        <v>0</v>
      </c>
      <c r="I72" s="38" t="n">
        <f aca="false">(V$23+V$24*SIN(2*PI()/365*A72))*V$25/100*V$7*V$8/100*(1-V$15/100)</f>
        <v>22.2815039248027</v>
      </c>
      <c r="J72" s="38" t="n">
        <f aca="false">(V$23+V$24*SIN(2*PI()/365*A72))*V$25/100*V$9*(1-V$14/100)</f>
        <v>5.95716627735159</v>
      </c>
      <c r="K72" s="39" t="n">
        <f aca="false">IF(E72/C72*100&lt;100,E72/C72*100,100)</f>
        <v>100</v>
      </c>
      <c r="L72" s="2" t="n">
        <f aca="false">IF(((C72-E72)&gt;0)AND(F72&gt;(C72-E72)),(C72-E72),IF(C72&lt;E72,0,F72))</f>
        <v>0</v>
      </c>
      <c r="M72" s="2" t="n">
        <f aca="false">IF(C72&lt;(E72+F72),0,C72-E72-F72)</f>
        <v>0</v>
      </c>
      <c r="N72" s="2" t="n">
        <f aca="false">IF(C72&lt;(E72+F72),0,(C72-E72-F72)/(1-V$16/100))</f>
        <v>0</v>
      </c>
      <c r="O72" s="2" t="n">
        <f aca="false">L72+M72</f>
        <v>0</v>
      </c>
      <c r="P72" s="2" t="n">
        <f aca="false">IF( N72=0,I72*(1-G72/100)+J72*(1-H72/100),-N72)</f>
        <v>27.2427468988135</v>
      </c>
      <c r="Q72" s="47" t="n">
        <f aca="false">IF(P71&gt;0,Q71+P71*(1-V$20/100),Q71+P71)</f>
        <v>1054.3264914941</v>
      </c>
      <c r="R72" s="48" t="n">
        <f aca="false">R$4+Q72/V$28</f>
        <v>52.471121206812</v>
      </c>
    </row>
    <row r="73" customFormat="false" ht="12.8" hidden="false" customHeight="false" outlineLevel="0" collapsed="false">
      <c r="A73" s="1" t="n">
        <v>69</v>
      </c>
      <c r="B73" s="37" t="n">
        <v>43614</v>
      </c>
      <c r="C73" s="38" t="n">
        <f aca="false">V$26-V$26*SIN(2*PI()/365*A73)</f>
        <v>1.02598077088991</v>
      </c>
      <c r="D73" s="2" t="n">
        <f aca="false">IF((E73+F73)&gt;C73,C73,E73+F73)</f>
        <v>1.02598077088991</v>
      </c>
      <c r="E73" s="38" t="n">
        <f aca="false">(V$23+V$24*SIN(2*PI()/365*A73))*V$25/100*V$7*V$8/100</f>
        <v>25.1135308237259</v>
      </c>
      <c r="F73" s="38" t="n">
        <f aca="false">(V$23+V$24*SIN(2*PI()/365*A73))*V$25/100*V$9*(1-V$14/100)*(1-V$16/100)</f>
        <v>5.31842465656989</v>
      </c>
      <c r="G73" s="38" t="n">
        <f aca="false">IF(C73&gt;E73,100,C73/E73*100)</f>
        <v>4.08537046459681</v>
      </c>
      <c r="H73" s="38" t="n">
        <f aca="false">L73/F73*100</f>
        <v>0</v>
      </c>
      <c r="I73" s="38" t="n">
        <f aca="false">(V$23+V$24*SIN(2*PI()/365*A73))*V$25/100*V$7*V$8/100*(1-V$15/100)</f>
        <v>22.351042433116</v>
      </c>
      <c r="J73" s="38" t="n">
        <f aca="false">(V$23+V$24*SIN(2*PI()/365*A73))*V$25/100*V$9*(1-V$14/100)</f>
        <v>5.97575804108977</v>
      </c>
      <c r="K73" s="39" t="n">
        <f aca="false">IF(E73/C73*100&lt;100,E73/C73*100,100)</f>
        <v>100</v>
      </c>
      <c r="L73" s="2" t="n">
        <f aca="false">IF(((C73-E73)&gt;0)AND(F73&gt;(C73-E73)),(C73-E73),IF(C73&lt;E73,0,F73))</f>
        <v>0</v>
      </c>
      <c r="M73" s="2" t="n">
        <f aca="false">IF(C73&lt;(E73+F73),0,C73-E73-F73)</f>
        <v>0</v>
      </c>
      <c r="N73" s="2" t="n">
        <f aca="false">IF(C73&lt;(E73+F73),0,(C73-E73-F73)/(1-V$16/100))</f>
        <v>0</v>
      </c>
      <c r="O73" s="2" t="n">
        <f aca="false">L73+M73</f>
        <v>0</v>
      </c>
      <c r="P73" s="2" t="n">
        <f aca="false">IF( N73=0,I73*(1-G73/100)+J73*(1-H73/100),-N73)</f>
        <v>27.4136775881138</v>
      </c>
      <c r="Q73" s="47" t="n">
        <f aca="false">IF(P72&gt;0,Q72+P72*(1-V$20/100),Q72+P72)</f>
        <v>1079.66224610999</v>
      </c>
      <c r="R73" s="48" t="n">
        <f aca="false">R$4+Q73/V$28</f>
        <v>52.7708056681529</v>
      </c>
    </row>
    <row r="74" customFormat="false" ht="12.8" hidden="false" customHeight="false" outlineLevel="0" collapsed="false">
      <c r="A74" s="1" t="n">
        <v>70</v>
      </c>
      <c r="B74" s="37" t="n">
        <v>43615</v>
      </c>
      <c r="C74" s="38" t="n">
        <f aca="false">V$26-V$26*SIN(2*PI()/365*A74)</f>
        <v>0.936838369004375</v>
      </c>
      <c r="D74" s="2" t="n">
        <f aca="false">IF((E74+F74)&gt;C74,C74,E74+F74)</f>
        <v>0.936838369004375</v>
      </c>
      <c r="E74" s="38" t="n">
        <f aca="false">(V$23+V$24*SIN(2*PI()/365*A74))*V$25/100*V$7*V$8/100</f>
        <v>25.1883955389115</v>
      </c>
      <c r="F74" s="38" t="n">
        <f aca="false">(V$23+V$24*SIN(2*PI()/365*A74))*V$25/100*V$9*(1-V$14/100)*(1-V$16/100)</f>
        <v>5.33427915150114</v>
      </c>
      <c r="G74" s="38" t="n">
        <f aca="false">IF(C74&gt;E74,100,C74/E74*100)</f>
        <v>3.71932530421451</v>
      </c>
      <c r="H74" s="38" t="n">
        <f aca="false">L74/F74*100</f>
        <v>0</v>
      </c>
      <c r="I74" s="38" t="n">
        <f aca="false">(V$23+V$24*SIN(2*PI()/365*A74))*V$25/100*V$7*V$8/100*(1-V$15/100)</f>
        <v>22.4176720296313</v>
      </c>
      <c r="J74" s="38" t="n">
        <f aca="false">(V$23+V$24*SIN(2*PI()/365*A74))*V$25/100*V$9*(1-V$14/100)</f>
        <v>5.99357208033835</v>
      </c>
      <c r="K74" s="39" t="n">
        <f aca="false">IF(E74/C74*100&lt;100,E74/C74*100,100)</f>
        <v>100</v>
      </c>
      <c r="L74" s="2" t="n">
        <f aca="false">IF(((C74-E74)&gt;0)AND(F74&gt;(C74-E74)),(C74-E74),IF(C74&lt;E74,0,F74))</f>
        <v>0</v>
      </c>
      <c r="M74" s="2" t="n">
        <f aca="false">IF(C74&lt;(E74+F74),0,C74-E74-F74)</f>
        <v>0</v>
      </c>
      <c r="N74" s="2" t="n">
        <f aca="false">IF(C74&lt;(E74+F74),0,(C74-E74-F74)/(1-V$16/100))</f>
        <v>0</v>
      </c>
      <c r="O74" s="2" t="n">
        <f aca="false">L74+M74</f>
        <v>0</v>
      </c>
      <c r="P74" s="2" t="n">
        <f aca="false">IF( N74=0,I74*(1-G74/100)+J74*(1-H74/100),-N74)</f>
        <v>27.5774579615557</v>
      </c>
      <c r="Q74" s="47" t="n">
        <f aca="false">IF(P73&gt;0,Q73+P73*(1-V$20/100),Q73+P73)</f>
        <v>1105.15696626694</v>
      </c>
      <c r="R74" s="48" t="n">
        <f aca="false">R$4+Q74/V$28</f>
        <v>53.0723704564572</v>
      </c>
    </row>
    <row r="75" customFormat="false" ht="12.8" hidden="false" customHeight="false" outlineLevel="0" collapsed="false">
      <c r="A75" s="1" t="n">
        <v>71</v>
      </c>
      <c r="B75" s="37" t="n">
        <v>43616</v>
      </c>
      <c r="C75" s="38" t="n">
        <f aca="false">V$26-V$26*SIN(2*PI()/365*A75)</f>
        <v>0.851614156734893</v>
      </c>
      <c r="D75" s="2" t="n">
        <f aca="false">IF((E75+F75)&gt;C75,C75,E75+F75)</f>
        <v>0.851614156734893</v>
      </c>
      <c r="E75" s="38" t="n">
        <f aca="false">(V$23+V$24*SIN(2*PI()/365*A75))*V$25/100*V$7*V$8/100</f>
        <v>25.2599696298438</v>
      </c>
      <c r="F75" s="38" t="n">
        <f aca="false">(V$23+V$24*SIN(2*PI()/365*A75))*V$25/100*V$9*(1-V$14/100)*(1-V$16/100)</f>
        <v>5.34943677360762</v>
      </c>
      <c r="G75" s="38" t="n">
        <f aca="false">IF(C75&gt;E75,100,C75/E75*100)</f>
        <v>3.37139818144809</v>
      </c>
      <c r="H75" s="38" t="n">
        <f aca="false">L75/F75*100</f>
        <v>0</v>
      </c>
      <c r="I75" s="38" t="n">
        <f aca="false">(V$23+V$24*SIN(2*PI()/365*A75))*V$25/100*V$7*V$8/100*(1-V$15/100)</f>
        <v>22.4813729705609</v>
      </c>
      <c r="J75" s="38" t="n">
        <f aca="false">(V$23+V$24*SIN(2*PI()/365*A75))*V$25/100*V$9*(1-V$14/100)</f>
        <v>6.01060311641306</v>
      </c>
      <c r="K75" s="39" t="n">
        <f aca="false">IF(E75/C75*100&lt;100,E75/C75*100,100)</f>
        <v>100</v>
      </c>
      <c r="L75" s="2" t="n">
        <f aca="false">IF(((C75-E75)&gt;0)AND(F75&gt;(C75-E75)),(C75-E75),IF(C75&lt;E75,0,F75))</f>
        <v>0</v>
      </c>
      <c r="M75" s="2" t="n">
        <f aca="false">IF(C75&lt;(E75+F75),0,C75-E75-F75)</f>
        <v>0</v>
      </c>
      <c r="N75" s="2" t="n">
        <f aca="false">IF(C75&lt;(E75+F75),0,(C75-E75-F75)/(1-V$16/100))</f>
        <v>0</v>
      </c>
      <c r="O75" s="2" t="n">
        <f aca="false">L75+M75</f>
        <v>0</v>
      </c>
      <c r="P75" s="2" t="n">
        <f aca="false">IF( N75=0,I75*(1-G75/100)+J75*(1-H75/100),-N75)</f>
        <v>27.7340394874799</v>
      </c>
      <c r="Q75" s="47" t="n">
        <f aca="false">IF(P74&gt;0,Q74+P74*(1-V$20/100),Q74+P74)</f>
        <v>1130.80400217119</v>
      </c>
      <c r="R75" s="48" t="n">
        <f aca="false">R$4+Q75/V$28</f>
        <v>53.3757369145115</v>
      </c>
    </row>
    <row r="76" customFormat="false" ht="12.8" hidden="false" customHeight="false" outlineLevel="0" collapsed="false">
      <c r="A76" s="1" t="n">
        <v>72</v>
      </c>
      <c r="B76" s="37" t="n">
        <v>43617</v>
      </c>
      <c r="C76" s="38" t="n">
        <f aca="false">V$26-V$26*SIN(2*PI()/365*A76)</f>
        <v>0.770333387854857</v>
      </c>
      <c r="D76" s="2" t="n">
        <f aca="false">IF((E76+F76)&gt;C76,C76,E76+F76)</f>
        <v>0.770333387854857</v>
      </c>
      <c r="E76" s="38" t="n">
        <f aca="false">(V$23+V$24*SIN(2*PI()/365*A76))*V$25/100*V$7*V$8/100</f>
        <v>25.3282318875748</v>
      </c>
      <c r="F76" s="38" t="n">
        <f aca="false">(V$23+V$24*SIN(2*PI()/365*A76))*V$25/100*V$9*(1-V$14/100)*(1-V$16/100)</f>
        <v>5.3638930313588</v>
      </c>
      <c r="G76" s="38" t="n">
        <f aca="false">IF(C76&gt;E76,100,C76/E76*100)</f>
        <v>3.04140214474567</v>
      </c>
      <c r="H76" s="38" t="n">
        <f aca="false">L76/F76*100</f>
        <v>0</v>
      </c>
      <c r="I76" s="38" t="n">
        <f aca="false">(V$23+V$24*SIN(2*PI()/365*A76))*V$25/100*V$7*V$8/100*(1-V$15/100)</f>
        <v>22.5421263799416</v>
      </c>
      <c r="J76" s="38" t="n">
        <f aca="false">(V$23+V$24*SIN(2*PI()/365*A76))*V$25/100*V$9*(1-V$14/100)</f>
        <v>6.02684610265033</v>
      </c>
      <c r="K76" s="39" t="n">
        <f aca="false">IF(E76/C76*100&lt;100,E76/C76*100,100)</f>
        <v>100</v>
      </c>
      <c r="L76" s="2" t="n">
        <f aca="false">IF(((C76-E76)&gt;0)AND(F76&gt;(C76-E76)),(C76-E76),IF(C76&lt;E76,0,F76))</f>
        <v>0</v>
      </c>
      <c r="M76" s="2" t="n">
        <f aca="false">IF(C76&lt;(E76+F76),0,C76-E76-F76)</f>
        <v>0</v>
      </c>
      <c r="N76" s="2" t="n">
        <f aca="false">IF(C76&lt;(E76+F76),0,(C76-E76-F76)/(1-V$16/100))</f>
        <v>0</v>
      </c>
      <c r="O76" s="2" t="n">
        <f aca="false">L76+M76</f>
        <v>0</v>
      </c>
      <c r="P76" s="2" t="n">
        <f aca="false">IF( N76=0,I76*(1-G76/100)+J76*(1-H76/100),-N76)</f>
        <v>27.8833757674011</v>
      </c>
      <c r="Q76" s="47" t="n">
        <f aca="false">IF(P75&gt;0,Q75+P75*(1-V$20/100),Q75+P75)</f>
        <v>1156.59665889454</v>
      </c>
      <c r="R76" s="48" t="n">
        <f aca="false">R$4+Q76/V$28</f>
        <v>53.6808258512286</v>
      </c>
    </row>
    <row r="77" customFormat="false" ht="12.8" hidden="false" customHeight="false" outlineLevel="0" collapsed="false">
      <c r="A77" s="1" t="n">
        <v>73</v>
      </c>
      <c r="B77" s="37" t="n">
        <v>43618</v>
      </c>
      <c r="C77" s="38" t="n">
        <f aca="false">V$26-V$26*SIN(2*PI()/365*A77)</f>
        <v>0.693020147610264</v>
      </c>
      <c r="D77" s="2" t="n">
        <f aca="false">IF((E77+F77)&gt;C77,C77,E77+F77)</f>
        <v>0.693020147610264</v>
      </c>
      <c r="E77" s="38" t="n">
        <f aca="false">(V$23+V$24*SIN(2*PI()/365*A77))*V$25/100*V$7*V$8/100</f>
        <v>25.3931620845244</v>
      </c>
      <c r="F77" s="38" t="n">
        <f aca="false">(V$23+V$24*SIN(2*PI()/365*A77))*V$25/100*V$9*(1-V$14/100)*(1-V$16/100)</f>
        <v>5.37764364105349</v>
      </c>
      <c r="G77" s="38" t="n">
        <f aca="false">IF(C77&gt;E77,100,C77/E77*100)</f>
        <v>2.72916049329917</v>
      </c>
      <c r="H77" s="38" t="n">
        <f aca="false">L77/F77*100</f>
        <v>0</v>
      </c>
      <c r="I77" s="38" t="n">
        <f aca="false">(V$23+V$24*SIN(2*PI()/365*A77))*V$25/100*V$7*V$8/100*(1-V$15/100)</f>
        <v>22.5999142552267</v>
      </c>
      <c r="J77" s="38" t="n">
        <f aca="false">(V$23+V$24*SIN(2*PI()/365*A77))*V$25/100*V$9*(1-V$14/100)</f>
        <v>6.0422962259028</v>
      </c>
      <c r="K77" s="39" t="n">
        <f aca="false">IF(E77/C77*100&lt;100,E77/C77*100,100)</f>
        <v>100</v>
      </c>
      <c r="L77" s="2" t="n">
        <f aca="false">IF(((C77-E77)&gt;0)AND(F77&gt;(C77-E77)),(C77-E77),IF(C77&lt;E77,0,F77))</f>
        <v>0</v>
      </c>
      <c r="M77" s="2" t="n">
        <f aca="false">IF(C77&lt;(E77+F77),0,C77-E77-F77)</f>
        <v>0</v>
      </c>
      <c r="N77" s="2" t="n">
        <f aca="false">IF(C77&lt;(E77+F77),0,(C77-E77-F77)/(1-V$16/100))</f>
        <v>0</v>
      </c>
      <c r="O77" s="2" t="n">
        <f aca="false">L77+M77</f>
        <v>0</v>
      </c>
      <c r="P77" s="2" t="n">
        <f aca="false">IF( N77=0,I77*(1-G77/100)+J77*(1-H77/100),-N77)</f>
        <v>28.0254225497564</v>
      </c>
      <c r="Q77" s="47" t="n">
        <f aca="false">IF(P76&gt;0,Q76+P76*(1-V$20/100),Q76+P76)</f>
        <v>1182.52819835823</v>
      </c>
      <c r="R77" s="48" t="n">
        <f aca="false">R$4+Q77/V$28</f>
        <v>53.9875575651141</v>
      </c>
    </row>
    <row r="78" customFormat="false" ht="12.8" hidden="false" customHeight="false" outlineLevel="0" collapsed="false">
      <c r="A78" s="1" t="n">
        <v>74</v>
      </c>
      <c r="B78" s="37" t="n">
        <v>43619</v>
      </c>
      <c r="C78" s="38" t="n">
        <f aca="false">V$26-V$26*SIN(2*PI()/365*A78)</f>
        <v>0.619697345582759</v>
      </c>
      <c r="D78" s="2" t="n">
        <f aca="false">IF((E78+F78)&gt;C78,C78,E78+F78)</f>
        <v>0.619697345582759</v>
      </c>
      <c r="E78" s="38" t="n">
        <f aca="false">(V$23+V$24*SIN(2*PI()/365*A78))*V$25/100*V$7*V$8/100</f>
        <v>25.454740980474</v>
      </c>
      <c r="F78" s="38" t="n">
        <f aca="false">(V$23+V$24*SIN(2*PI()/365*A78))*V$25/100*V$9*(1-V$14/100)*(1-V$16/100)</f>
        <v>5.3906845280893</v>
      </c>
      <c r="G78" s="38" t="n">
        <f aca="false">IF(C78&gt;E78,100,C78/E78*100)</f>
        <v>2.4345065858581</v>
      </c>
      <c r="H78" s="38" t="n">
        <f aca="false">L78/F78*100</f>
        <v>0</v>
      </c>
      <c r="I78" s="38" t="n">
        <f aca="false">(V$23+V$24*SIN(2*PI()/365*A78))*V$25/100*V$7*V$8/100*(1-V$15/100)</f>
        <v>22.6547194726218</v>
      </c>
      <c r="J78" s="38" t="n">
        <f aca="false">(V$23+V$24*SIN(2*PI()/365*A78))*V$25/100*V$9*(1-V$14/100)</f>
        <v>6.0569489079655</v>
      </c>
      <c r="K78" s="39" t="n">
        <f aca="false">IF(E78/C78*100&lt;100,E78/C78*100,100)</f>
        <v>100</v>
      </c>
      <c r="L78" s="2" t="n">
        <f aca="false">IF(((C78-E78)&gt;0)AND(F78&gt;(C78-E78)),(C78-E78),IF(C78&lt;E78,0,F78))</f>
        <v>0</v>
      </c>
      <c r="M78" s="2" t="n">
        <f aca="false">IF(C78&lt;(E78+F78),0,C78-E78-F78)</f>
        <v>0</v>
      </c>
      <c r="N78" s="2" t="n">
        <f aca="false">IF(C78&lt;(E78+F78),0,(C78-E78-F78)/(1-V$16/100))</f>
        <v>0</v>
      </c>
      <c r="O78" s="2" t="n">
        <f aca="false">L78+M78</f>
        <v>0</v>
      </c>
      <c r="P78" s="2" t="n">
        <f aca="false">IF( N78=0,I78*(1-G78/100)+J78*(1-H78/100),-N78)</f>
        <v>28.1601377430187</v>
      </c>
      <c r="Q78" s="47" t="n">
        <f aca="false">IF(P77&gt;0,Q77+P77*(1-V$20/100),Q77+P77)</f>
        <v>1208.5918413295</v>
      </c>
      <c r="R78" s="48" t="n">
        <f aca="false">R$4+Q78/V$28</f>
        <v>54.2958518678829</v>
      </c>
    </row>
    <row r="79" customFormat="false" ht="12.8" hidden="false" customHeight="false" outlineLevel="0" collapsed="false">
      <c r="A79" s="1" t="n">
        <v>75</v>
      </c>
      <c r="B79" s="37" t="n">
        <v>43620</v>
      </c>
      <c r="C79" s="38" t="n">
        <f aca="false">V$26-V$26*SIN(2*PI()/365*A79)</f>
        <v>0.550386708901016</v>
      </c>
      <c r="D79" s="2" t="n">
        <f aca="false">IF((E79+F79)&gt;C79,C79,E79+F79)</f>
        <v>0.550386708901016</v>
      </c>
      <c r="E79" s="38" t="n">
        <f aca="false">(V$23+V$24*SIN(2*PI()/365*A79))*V$25/100*V$7*V$8/100</f>
        <v>25.5129503282676</v>
      </c>
      <c r="F79" s="38" t="n">
        <f aca="false">(V$23+V$24*SIN(2*PI()/365*A79))*V$25/100*V$9*(1-V$14/100)*(1-V$16/100)</f>
        <v>5.40301182816993</v>
      </c>
      <c r="G79" s="38" t="n">
        <f aca="false">IF(C79&gt;E79,100,C79/E79*100)</f>
        <v>2.15728366111858</v>
      </c>
      <c r="H79" s="38" t="n">
        <f aca="false">L79/F79*100</f>
        <v>0</v>
      </c>
      <c r="I79" s="38" t="n">
        <f aca="false">(V$23+V$24*SIN(2*PI()/365*A79))*V$25/100*V$7*V$8/100*(1-V$15/100)</f>
        <v>22.7065257921581</v>
      </c>
      <c r="J79" s="38" t="n">
        <f aca="false">(V$23+V$24*SIN(2*PI()/365*A79))*V$25/100*V$9*(1-V$14/100)</f>
        <v>6.07079980693251</v>
      </c>
      <c r="K79" s="39" t="n">
        <f aca="false">IF(E79/C79*100&lt;100,E79/C79*100,100)</f>
        <v>100</v>
      </c>
      <c r="L79" s="2" t="n">
        <f aca="false">IF(((C79-E79)&gt;0)AND(F79&gt;(C79-E79)),(C79-E79),IF(C79&lt;E79,0,F79))</f>
        <v>0</v>
      </c>
      <c r="M79" s="2" t="n">
        <f aca="false">IF(C79&lt;(E79+F79),0,C79-E79-F79)</f>
        <v>0</v>
      </c>
      <c r="N79" s="2" t="n">
        <f aca="false">IF(C79&lt;(E79+F79),0,(C79-E79-F79)/(1-V$16/100))</f>
        <v>0</v>
      </c>
      <c r="O79" s="2" t="n">
        <f aca="false">L79+M79</f>
        <v>0</v>
      </c>
      <c r="P79" s="2" t="n">
        <f aca="false">IF( N79=0,I79*(1-G79/100)+J79*(1-H79/100),-N79)</f>
        <v>28.2874814281687</v>
      </c>
      <c r="Q79" s="47" t="n">
        <f aca="false">IF(P78&gt;0,Q78+P78*(1-V$20/100),Q78+P78)</f>
        <v>1234.78076943051</v>
      </c>
      <c r="R79" s="48" t="n">
        <f aca="false">R$4+Q79/V$28</f>
        <v>54.6056281082212</v>
      </c>
    </row>
    <row r="80" customFormat="false" ht="12.8" hidden="false" customHeight="false" outlineLevel="0" collapsed="false">
      <c r="A80" s="1" t="n">
        <v>76</v>
      </c>
      <c r="B80" s="37" t="n">
        <v>43621</v>
      </c>
      <c r="C80" s="38" t="n">
        <f aca="false">V$26-V$26*SIN(2*PI()/365*A80)</f>
        <v>0.485108775802534</v>
      </c>
      <c r="D80" s="2" t="n">
        <f aca="false">IF((E80+F80)&gt;C80,C80,E80+F80)</f>
        <v>0.485108775802534</v>
      </c>
      <c r="E80" s="38" t="n">
        <f aca="false">(V$23+V$24*SIN(2*PI()/365*A80))*V$25/100*V$7*V$8/100</f>
        <v>25.5677728792192</v>
      </c>
      <c r="F80" s="38" t="n">
        <f aca="false">(V$23+V$24*SIN(2*PI()/365*A80))*V$25/100*V$9*(1-V$14/100)*(1-V$16/100)</f>
        <v>5.41462188845035</v>
      </c>
      <c r="G80" s="38" t="n">
        <f aca="false">IF(C80&gt;E80,100,C80/E80*100)</f>
        <v>1.89734466937797</v>
      </c>
      <c r="H80" s="38" t="n">
        <f aca="false">L80/F80*100</f>
        <v>0</v>
      </c>
      <c r="I80" s="38" t="n">
        <f aca="false">(V$23+V$24*SIN(2*PI()/365*A80))*V$25/100*V$7*V$8/100*(1-V$15/100)</f>
        <v>22.7553178625051</v>
      </c>
      <c r="J80" s="38" t="n">
        <f aca="false">(V$23+V$24*SIN(2*PI()/365*A80))*V$25/100*V$9*(1-V$14/100)</f>
        <v>6.08384481848353</v>
      </c>
      <c r="K80" s="39" t="n">
        <f aca="false">IF(E80/C80*100&lt;100,E80/C80*100,100)</f>
        <v>100</v>
      </c>
      <c r="L80" s="2" t="n">
        <f aca="false">IF(((C80-E80)&gt;0)AND(F80&gt;(C80-E80)),(C80-E80),IF(C80&lt;E80,0,F80))</f>
        <v>0</v>
      </c>
      <c r="M80" s="2" t="n">
        <f aca="false">IF(C80&lt;(E80+F80),0,C80-E80-F80)</f>
        <v>0</v>
      </c>
      <c r="N80" s="2" t="n">
        <f aca="false">IF(C80&lt;(E80+F80),0,(C80-E80-F80)/(1-V$16/100))</f>
        <v>0</v>
      </c>
      <c r="O80" s="2" t="n">
        <f aca="false">L80+M80</f>
        <v>0</v>
      </c>
      <c r="P80" s="2" t="n">
        <f aca="false">IF( N80=0,I80*(1-G80/100)+J80*(1-H80/100),-N80)</f>
        <v>28.4074158705244</v>
      </c>
      <c r="Q80" s="47" t="n">
        <f aca="false">IF(P79&gt;0,Q79+P79*(1-V$20/100),Q79+P79)</f>
        <v>1261.0881271587</v>
      </c>
      <c r="R80" s="48" t="n">
        <f aca="false">R$4+Q80/V$28</f>
        <v>54.9168051956852</v>
      </c>
    </row>
    <row r="81" customFormat="false" ht="12.8" hidden="false" customHeight="false" outlineLevel="0" collapsed="false">
      <c r="A81" s="1" t="n">
        <v>77</v>
      </c>
      <c r="B81" s="37" t="n">
        <v>43622</v>
      </c>
      <c r="C81" s="38" t="n">
        <f aca="false">V$26-V$26*SIN(2*PI()/365*A81)</f>
        <v>0.423882889547699</v>
      </c>
      <c r="D81" s="2" t="n">
        <f aca="false">IF((E81+F81)&gt;C81,C81,E81+F81)</f>
        <v>0.423882889547699</v>
      </c>
      <c r="E81" s="38" t="n">
        <f aca="false">(V$23+V$24*SIN(2*PI()/365*A81))*V$25/100*V$7*V$8/100</f>
        <v>25.619192388224</v>
      </c>
      <c r="F81" s="38" t="n">
        <f aca="false">(V$23+V$24*SIN(2*PI()/365*A81))*V$25/100*V$9*(1-V$14/100)*(1-V$16/100)</f>
        <v>5.42551126861911</v>
      </c>
      <c r="G81" s="38" t="n">
        <f aca="false">IF(C81&gt;E81,100,C81/E81*100)</f>
        <v>1.65455211516558</v>
      </c>
      <c r="H81" s="38" t="n">
        <f aca="false">L81/F81*100</f>
        <v>0</v>
      </c>
      <c r="I81" s="38" t="n">
        <f aca="false">(V$23+V$24*SIN(2*PI()/365*A81))*V$25/100*V$7*V$8/100*(1-V$15/100)</f>
        <v>22.8010812255193</v>
      </c>
      <c r="J81" s="38" t="n">
        <f aca="false">(V$23+V$24*SIN(2*PI()/365*A81))*V$25/100*V$9*(1-V$14/100)</f>
        <v>6.09608007710012</v>
      </c>
      <c r="K81" s="39" t="n">
        <f aca="false">IF(E81/C81*100&lt;100,E81/C81*100,100)</f>
        <v>100</v>
      </c>
      <c r="L81" s="2" t="n">
        <f aca="false">IF(((C81-E81)&gt;0)AND(F81&gt;(C81-E81)),(C81-E81),IF(C81&lt;E81,0,F81))</f>
        <v>0</v>
      </c>
      <c r="M81" s="2" t="n">
        <f aca="false">IF(C81&lt;(E81+F81),0,C81-E81-F81)</f>
        <v>0</v>
      </c>
      <c r="N81" s="2" t="n">
        <f aca="false">IF(C81&lt;(E81+F81),0,(C81-E81-F81)/(1-V$16/100))</f>
        <v>0</v>
      </c>
      <c r="O81" s="2" t="n">
        <f aca="false">L81+M81</f>
        <v>0</v>
      </c>
      <c r="P81" s="2" t="n">
        <f aca="false">IF( N81=0,I81*(1-G81/100)+J81*(1-H81/100),-N81)</f>
        <v>28.519905530922</v>
      </c>
      <c r="Q81" s="47" t="n">
        <f aca="false">IF(P80&gt;0,Q80+P80*(1-V$20/100),Q80+P80)</f>
        <v>1287.50702391829</v>
      </c>
      <c r="R81" s="48" t="n">
        <f aca="false">R$4+Q81/V$28</f>
        <v>55.2293016247299</v>
      </c>
    </row>
    <row r="82" customFormat="false" ht="12.8" hidden="false" customHeight="false" outlineLevel="0" collapsed="false">
      <c r="A82" s="1" t="n">
        <v>78</v>
      </c>
      <c r="B82" s="37" t="n">
        <v>43623</v>
      </c>
      <c r="C82" s="38" t="n">
        <f aca="false">V$26-V$26*SIN(2*PI()/365*A82)</f>
        <v>0.366727192687971</v>
      </c>
      <c r="D82" s="2" t="n">
        <f aca="false">IF((E82+F82)&gt;C82,C82,E82+F82)</f>
        <v>0.366727192687971</v>
      </c>
      <c r="E82" s="38" t="n">
        <f aca="false">(V$23+V$24*SIN(2*PI()/365*A82))*V$25/100*V$7*V$8/100</f>
        <v>25.6671936185715</v>
      </c>
      <c r="F82" s="38" t="n">
        <f aca="false">(V$23+V$24*SIN(2*PI()/365*A82))*V$25/100*V$9*(1-V$14/100)*(1-V$16/100)</f>
        <v>5.43567674191786</v>
      </c>
      <c r="G82" s="38" t="n">
        <f aca="false">IF(C82&gt;E82,100,C82/E82*100)</f>
        <v>1.42877791058009</v>
      </c>
      <c r="H82" s="38" t="n">
        <f aca="false">L82/F82*100</f>
        <v>0</v>
      </c>
      <c r="I82" s="38" t="n">
        <f aca="false">(V$23+V$24*SIN(2*PI()/365*A82))*V$25/100*V$7*V$8/100*(1-V$15/100)</f>
        <v>22.8438023205286</v>
      </c>
      <c r="J82" s="38" t="n">
        <f aca="false">(V$23+V$24*SIN(2*PI()/365*A82))*V$25/100*V$9*(1-V$14/100)</f>
        <v>6.10750195721108</v>
      </c>
      <c r="K82" s="39" t="n">
        <f aca="false">IF(E82/C82*100&lt;100,E82/C82*100,100)</f>
        <v>100</v>
      </c>
      <c r="L82" s="2" t="n">
        <f aca="false">IF(((C82-E82)&gt;0)AND(F82&gt;(C82-E82)),(C82-E82),IF(C82&lt;E82,0,F82))</f>
        <v>0</v>
      </c>
      <c r="M82" s="2" t="n">
        <f aca="false">IF(C82&lt;(E82+F82),0,C82-E82-F82)</f>
        <v>0</v>
      </c>
      <c r="N82" s="2" t="n">
        <f aca="false">IF(C82&lt;(E82+F82),0,(C82-E82-F82)/(1-V$16/100))</f>
        <v>0</v>
      </c>
      <c r="O82" s="2" t="n">
        <f aca="false">L82+M82</f>
        <v>0</v>
      </c>
      <c r="P82" s="2" t="n">
        <f aca="false">IF( N82=0,I82*(1-G82/100)+J82*(1-H82/100),-N82)</f>
        <v>28.6249170762474</v>
      </c>
      <c r="Q82" s="47" t="n">
        <f aca="false">IF(P81&gt;0,Q81+P81*(1-V$20/100),Q81+P81)</f>
        <v>1314.03053606205</v>
      </c>
      <c r="R82" s="48" t="n">
        <f aca="false">R$4+Q82/V$28</f>
        <v>55.5430354988606</v>
      </c>
    </row>
    <row r="83" customFormat="false" ht="12.8" hidden="false" customHeight="false" outlineLevel="0" collapsed="false">
      <c r="A83" s="1" t="n">
        <v>79</v>
      </c>
      <c r="B83" s="37" t="n">
        <v>43624</v>
      </c>
      <c r="C83" s="38" t="n">
        <f aca="false">V$26-V$26*SIN(2*PI()/365*A83)</f>
        <v>0.313658621689852</v>
      </c>
      <c r="D83" s="2" t="n">
        <f aca="false">IF((E83+F83)&gt;C83,C83,E83+F83)</f>
        <v>0.313658621689852</v>
      </c>
      <c r="E83" s="38" t="n">
        <f aca="false">(V$23+V$24*SIN(2*PI()/365*A83))*V$25/100*V$7*V$8/100</f>
        <v>25.7117623464613</v>
      </c>
      <c r="F83" s="38" t="n">
        <f aca="false">(V$23+V$24*SIN(2*PI()/365*A83))*V$25/100*V$9*(1-V$14/100)*(1-V$16/100)</f>
        <v>5.44511529609748</v>
      </c>
      <c r="G83" s="38" t="n">
        <f aca="false">IF(C83&gt;E83,100,C83/E83*100)</f>
        <v>1.21990323908318</v>
      </c>
      <c r="H83" s="38" t="n">
        <f aca="false">L83/F83*100</f>
        <v>0</v>
      </c>
      <c r="I83" s="38" t="n">
        <f aca="false">(V$23+V$24*SIN(2*PI()/365*A83))*V$25/100*V$7*V$8/100*(1-V$15/100)</f>
        <v>22.8834684883506</v>
      </c>
      <c r="J83" s="38" t="n">
        <f aca="false">(V$23+V$24*SIN(2*PI()/365*A83))*V$25/100*V$9*(1-V$14/100)</f>
        <v>6.11810707426683</v>
      </c>
      <c r="K83" s="39" t="n">
        <f aca="false">IF(E83/C83*100&lt;100,E83/C83*100,100)</f>
        <v>100</v>
      </c>
      <c r="L83" s="2" t="n">
        <f aca="false">IF(((C83-E83)&gt;0)AND(F83&gt;(C83-E83)),(C83-E83),IF(C83&lt;E83,0,F83))</f>
        <v>0</v>
      </c>
      <c r="M83" s="2" t="n">
        <f aca="false">IF(C83&lt;(E83+F83),0,C83-E83-F83)</f>
        <v>0</v>
      </c>
      <c r="N83" s="2" t="n">
        <f aca="false">IF(C83&lt;(E83+F83),0,(C83-E83-F83)/(1-V$16/100))</f>
        <v>0</v>
      </c>
      <c r="O83" s="2" t="n">
        <f aca="false">L83+M83</f>
        <v>0</v>
      </c>
      <c r="P83" s="2" t="n">
        <f aca="false">IF( N83=0,I83*(1-G83/100)+J83*(1-H83/100),-N83)</f>
        <v>28.7224193893134</v>
      </c>
      <c r="Q83" s="47" t="n">
        <f aca="false">IF(P82&gt;0,Q82+P82*(1-V$20/100),Q82+P82)</f>
        <v>1340.65170894296</v>
      </c>
      <c r="R83" s="48" t="n">
        <f aca="false">R$4+Q83/V$28</f>
        <v>55.8579245549014</v>
      </c>
    </row>
    <row r="84" customFormat="false" ht="12.8" hidden="false" customHeight="false" outlineLevel="0" collapsed="false">
      <c r="A84" s="1" t="n">
        <v>80</v>
      </c>
      <c r="B84" s="37" t="n">
        <v>43625</v>
      </c>
      <c r="C84" s="38" t="n">
        <f aca="false">V$26-V$26*SIN(2*PI()/365*A84)</f>
        <v>0.264692901916243</v>
      </c>
      <c r="D84" s="2" t="n">
        <f aca="false">IF((E84+F84)&gt;C84,C84,E84+F84)</f>
        <v>0.264692901916243</v>
      </c>
      <c r="E84" s="38" t="n">
        <f aca="false">(V$23+V$24*SIN(2*PI()/365*A84))*V$25/100*V$7*V$8/100</f>
        <v>25.7528853652175</v>
      </c>
      <c r="F84" s="38" t="n">
        <f aca="false">(V$23+V$24*SIN(2*PI()/365*A84))*V$25/100*V$9*(1-V$14/100)*(1-V$16/100)</f>
        <v>5.45382413431066</v>
      </c>
      <c r="G84" s="38" t="n">
        <f aca="false">IF(C84&gt;E84,100,C84/E84*100)</f>
        <v>1.02781842951759</v>
      </c>
      <c r="H84" s="38" t="n">
        <f aca="false">L84/F84*100</f>
        <v>0</v>
      </c>
      <c r="I84" s="38" t="n">
        <f aca="false">(V$23+V$24*SIN(2*PI()/365*A84))*V$25/100*V$7*V$8/100*(1-V$15/100)</f>
        <v>22.9200679750436</v>
      </c>
      <c r="J84" s="38" t="n">
        <f aca="false">(V$23+V$24*SIN(2*PI()/365*A84))*V$25/100*V$9*(1-V$14/100)</f>
        <v>6.12789228574231</v>
      </c>
      <c r="K84" s="39" t="n">
        <f aca="false">IF(E84/C84*100&lt;100,E84/C84*100,100)</f>
        <v>100</v>
      </c>
      <c r="L84" s="2" t="n">
        <f aca="false">IF(((C84-E84)&gt;0)AND(F84&gt;(C84-E84)),(C84-E84),IF(C84&lt;E84,0,F84))</f>
        <v>0</v>
      </c>
      <c r="M84" s="2" t="n">
        <f aca="false">IF(C84&lt;(E84+F84),0,C84-E84-F84)</f>
        <v>0</v>
      </c>
      <c r="N84" s="2" t="n">
        <f aca="false">IF(C84&lt;(E84+F84),0,(C84-E84-F84)/(1-V$16/100))</f>
        <v>0</v>
      </c>
      <c r="O84" s="2" t="n">
        <f aca="false">L84+M84</f>
        <v>0</v>
      </c>
      <c r="P84" s="2" t="n">
        <f aca="false">IF( N84=0,I84*(1-G84/100)+J84*(1-H84/100),-N84)</f>
        <v>28.8123835780804</v>
      </c>
      <c r="Q84" s="47" t="n">
        <f aca="false">IF(P83&gt;0,Q83+P83*(1-V$20/100),Q83+P83)</f>
        <v>1367.36355897502</v>
      </c>
      <c r="R84" s="48" t="n">
        <f aca="false">R$4+Q84/V$28</f>
        <v>56.1738861873706</v>
      </c>
    </row>
    <row r="85" customFormat="false" ht="12.8" hidden="false" customHeight="false" outlineLevel="0" collapsed="false">
      <c r="A85" s="1" t="n">
        <v>81</v>
      </c>
      <c r="B85" s="37" t="n">
        <v>43626</v>
      </c>
      <c r="C85" s="38" t="n">
        <f aca="false">V$26-V$26*SIN(2*PI()/365*A85)</f>
        <v>0.219844542966678</v>
      </c>
      <c r="D85" s="2" t="n">
        <f aca="false">IF((E85+F85)&gt;C85,C85,E85+F85)</f>
        <v>0.219844542966678</v>
      </c>
      <c r="E85" s="38" t="n">
        <f aca="false">(V$23+V$24*SIN(2*PI()/365*A85))*V$25/100*V$7*V$8/100</f>
        <v>25.7905504892021</v>
      </c>
      <c r="F85" s="38" t="n">
        <f aca="false">(V$23+V$24*SIN(2*PI()/365*A85))*V$25/100*V$9*(1-V$14/100)*(1-V$16/100)</f>
        <v>5.46180067594068</v>
      </c>
      <c r="G85" s="38" t="n">
        <f aca="false">IF(C85&gt;E85,100,C85/E85*100)</f>
        <v>0.85242284013566</v>
      </c>
      <c r="H85" s="38" t="n">
        <f aca="false">L85/F85*100</f>
        <v>0</v>
      </c>
      <c r="I85" s="38" t="n">
        <f aca="false">(V$23+V$24*SIN(2*PI()/365*A85))*V$25/100*V$7*V$8/100*(1-V$15/100)</f>
        <v>22.9535899353899</v>
      </c>
      <c r="J85" s="38" t="n">
        <f aca="false">(V$23+V$24*SIN(2*PI()/365*A85))*V$25/100*V$9*(1-V$14/100)</f>
        <v>6.13685469206818</v>
      </c>
      <c r="K85" s="39" t="n">
        <f aca="false">IF(E85/C85*100&lt;100,E85/C85*100,100)</f>
        <v>100</v>
      </c>
      <c r="L85" s="2" t="n">
        <f aca="false">IF(((C85-E85)&gt;0)AND(F85&gt;(C85-E85)),(C85-E85),IF(C85&lt;E85,0,F85))</f>
        <v>0</v>
      </c>
      <c r="M85" s="2" t="n">
        <f aca="false">IF(C85&lt;(E85+F85),0,C85-E85-F85)</f>
        <v>0</v>
      </c>
      <c r="N85" s="2" t="n">
        <f aca="false">IF(C85&lt;(E85+F85),0,(C85-E85-F85)/(1-V$16/100))</f>
        <v>0</v>
      </c>
      <c r="O85" s="2" t="n">
        <f aca="false">L85+M85</f>
        <v>0</v>
      </c>
      <c r="P85" s="2" t="n">
        <f aca="false">IF( N85=0,I85*(1-G85/100)+J85*(1-H85/100),-N85)</f>
        <v>28.8947829842177</v>
      </c>
      <c r="Q85" s="47" t="n">
        <f aca="false">IF(P84&gt;0,Q84+P84*(1-V$20/100),Q84+P84)</f>
        <v>1394.15907570264</v>
      </c>
      <c r="R85" s="48" t="n">
        <f aca="false">R$4+Q85/V$28</f>
        <v>56.4908374729593</v>
      </c>
    </row>
    <row r="86" customFormat="false" ht="12.8" hidden="false" customHeight="false" outlineLevel="0" collapsed="false">
      <c r="A86" s="1" t="n">
        <v>82</v>
      </c>
      <c r="B86" s="37" t="n">
        <v>43627</v>
      </c>
      <c r="C86" s="38" t="n">
        <f aca="false">V$26-V$26*SIN(2*PI()/365*A86)</f>
        <v>0.179126834377824</v>
      </c>
      <c r="D86" s="2" t="n">
        <f aca="false">IF((E86+F86)&gt;C86,C86,E86+F86)</f>
        <v>0.179126834377824</v>
      </c>
      <c r="E86" s="38" t="n">
        <f aca="false">(V$23+V$24*SIN(2*PI()/365*A86))*V$25/100*V$7*V$8/100</f>
        <v>25.824746557426</v>
      </c>
      <c r="F86" s="38" t="n">
        <f aca="false">(V$23+V$24*SIN(2*PI()/365*A86))*V$25/100*V$9*(1-V$14/100)*(1-V$16/100)</f>
        <v>5.46904255736612</v>
      </c>
      <c r="G86" s="38" t="n">
        <f aca="false">IF(C86&gt;E86,100,C86/E86*100)</f>
        <v>0.693624752442403</v>
      </c>
      <c r="H86" s="38" t="n">
        <f aca="false">L86/F86*100</f>
        <v>0</v>
      </c>
      <c r="I86" s="38" t="n">
        <f aca="false">(V$23+V$24*SIN(2*PI()/365*A86))*V$25/100*V$7*V$8/100*(1-V$15/100)</f>
        <v>22.9840244361091</v>
      </c>
      <c r="J86" s="38" t="n">
        <f aca="false">(V$23+V$24*SIN(2*PI()/365*A86))*V$25/100*V$9*(1-V$14/100)</f>
        <v>6.14499163749002</v>
      </c>
      <c r="K86" s="39" t="n">
        <f aca="false">IF(E86/C86*100&lt;100,E86/C86*100,100)</f>
        <v>100</v>
      </c>
      <c r="L86" s="2" t="n">
        <f aca="false">IF(((C86-E86)&gt;0)AND(F86&gt;(C86-E86)),(C86-E86),IF(C86&lt;E86,0,F86))</f>
        <v>0</v>
      </c>
      <c r="M86" s="2" t="n">
        <f aca="false">IF(C86&lt;(E86+F86),0,C86-E86-F86)</f>
        <v>0</v>
      </c>
      <c r="N86" s="2" t="n">
        <f aca="false">IF(C86&lt;(E86+F86),0,(C86-E86-F86)/(1-V$16/100))</f>
        <v>0</v>
      </c>
      <c r="O86" s="2" t="n">
        <f aca="false">L86+M86</f>
        <v>0</v>
      </c>
      <c r="P86" s="2" t="n">
        <f aca="false">IF( N86=0,I86*(1-G86/100)+J86*(1-H86/100),-N86)</f>
        <v>28.9695931910029</v>
      </c>
      <c r="Q86" s="47" t="n">
        <f aca="false">IF(P85&gt;0,Q85+P85*(1-V$20/100),Q85+P85)</f>
        <v>1421.03122387796</v>
      </c>
      <c r="R86" s="48" t="n">
        <f aca="false">R$4+Q86/V$28</f>
        <v>56.8086951951028</v>
      </c>
    </row>
    <row r="87" customFormat="false" ht="12.8" hidden="false" customHeight="false" outlineLevel="0" collapsed="false">
      <c r="A87" s="1" t="n">
        <v>83</v>
      </c>
      <c r="B87" s="37" t="n">
        <v>43628</v>
      </c>
      <c r="C87" s="38" t="n">
        <f aca="false">V$26-V$26*SIN(2*PI()/365*A87)</f>
        <v>0.14255184168549</v>
      </c>
      <c r="D87" s="2" t="n">
        <f aca="false">IF((E87+F87)&gt;C87,C87,E87+F87)</f>
        <v>0.14255184168549</v>
      </c>
      <c r="E87" s="38" t="n">
        <f aca="false">(V$23+V$24*SIN(2*PI()/365*A87))*V$25/100*V$7*V$8/100</f>
        <v>25.8554634368561</v>
      </c>
      <c r="F87" s="38" t="n">
        <f aca="false">(V$23+V$24*SIN(2*PI()/365*A87))*V$25/100*V$9*(1-V$14/100)*(1-V$16/100)</f>
        <v>5.47554763266121</v>
      </c>
      <c r="G87" s="38" t="n">
        <f aca="false">IF(C87&gt;E87,100,C87/E87*100)</f>
        <v>0.551341274673451</v>
      </c>
      <c r="H87" s="38" t="n">
        <f aca="false">L87/F87*100</f>
        <v>0</v>
      </c>
      <c r="I87" s="38" t="n">
        <f aca="false">(V$23+V$24*SIN(2*PI()/365*A87))*V$25/100*V$7*V$8/100*(1-V$15/100)</f>
        <v>23.0113624588019</v>
      </c>
      <c r="J87" s="38" t="n">
        <f aca="false">(V$23+V$24*SIN(2*PI()/365*A87))*V$25/100*V$9*(1-V$14/100)</f>
        <v>6.15230071085529</v>
      </c>
      <c r="K87" s="39" t="n">
        <f aca="false">IF(E87/C87*100&lt;100,E87/C87*100,100)</f>
        <v>100</v>
      </c>
      <c r="L87" s="2" t="n">
        <f aca="false">IF(((C87-E87)&gt;0)AND(F87&gt;(C87-E87)),(C87-E87),IF(C87&lt;E87,0,F87))</f>
        <v>0</v>
      </c>
      <c r="M87" s="2" t="n">
        <f aca="false">IF(C87&lt;(E87+F87),0,C87-E87-F87)</f>
        <v>0</v>
      </c>
      <c r="N87" s="2" t="n">
        <f aca="false">IF(C87&lt;(E87+F87),0,(C87-E87-F87)/(1-V$16/100))</f>
        <v>0</v>
      </c>
      <c r="O87" s="2" t="n">
        <f aca="false">L87+M87</f>
        <v>0</v>
      </c>
      <c r="P87" s="2" t="n">
        <f aca="false">IF( N87=0,I87*(1-G87/100)+J87*(1-H87/100),-N87)</f>
        <v>29.0367920305571</v>
      </c>
      <c r="Q87" s="47" t="n">
        <f aca="false">IF(P86&gt;0,Q86+P86*(1-V$20/100),Q86+P86)</f>
        <v>1447.97294554559</v>
      </c>
      <c r="R87" s="48" t="n">
        <f aca="false">R$4+Q87/V$28</f>
        <v>57.1273758686398</v>
      </c>
    </row>
    <row r="88" customFormat="false" ht="12.8" hidden="false" customHeight="false" outlineLevel="0" collapsed="false">
      <c r="A88" s="1" t="n">
        <v>84</v>
      </c>
      <c r="B88" s="37" t="n">
        <v>43629</v>
      </c>
      <c r="C88" s="38" t="n">
        <f aca="false">V$26-V$26*SIN(2*PI()/365*A88)</f>
        <v>0.11013040284937</v>
      </c>
      <c r="D88" s="2" t="n">
        <f aca="false">IF((E88+F88)&gt;C88,C88,E88+F88)</f>
        <v>0.11013040284937</v>
      </c>
      <c r="E88" s="38" t="n">
        <f aca="false">(V$23+V$24*SIN(2*PI()/365*A88))*V$25/100*V$7*V$8/100</f>
        <v>25.8826920254181</v>
      </c>
      <c r="F88" s="38" t="n">
        <f aca="false">(V$23+V$24*SIN(2*PI()/365*A88))*V$25/100*V$9*(1-V$14/100)*(1-V$16/100)</f>
        <v>5.48131397423176</v>
      </c>
      <c r="G88" s="38" t="n">
        <f aca="false">IF(C88&gt;E88,100,C88/E88*100)</f>
        <v>0.425498254745743</v>
      </c>
      <c r="H88" s="38" t="n">
        <f aca="false">L88/F88*100</f>
        <v>0</v>
      </c>
      <c r="I88" s="38" t="n">
        <f aca="false">(V$23+V$24*SIN(2*PI()/365*A88))*V$25/100*V$7*V$8/100*(1-V$15/100)</f>
        <v>23.0355959026221</v>
      </c>
      <c r="J88" s="38" t="n">
        <f aca="false">(V$23+V$24*SIN(2*PI()/365*A88))*V$25/100*V$9*(1-V$14/100)</f>
        <v>6.15877974632782</v>
      </c>
      <c r="K88" s="39" t="n">
        <f aca="false">IF(E88/C88*100&lt;100,E88/C88*100,100)</f>
        <v>100</v>
      </c>
      <c r="L88" s="2" t="n">
        <f aca="false">IF(((C88-E88)&gt;0)AND(F88&gt;(C88-E88)),(C88-E88),IF(C88&lt;E88,0,F88))</f>
        <v>0</v>
      </c>
      <c r="M88" s="2" t="n">
        <f aca="false">IF(C88&lt;(E88+F88),0,C88-E88-F88)</f>
        <v>0</v>
      </c>
      <c r="N88" s="2" t="n">
        <f aca="false">IF(C88&lt;(E88+F88),0,(C88-E88-F88)/(1-V$16/100))</f>
        <v>0</v>
      </c>
      <c r="O88" s="2" t="n">
        <f aca="false">L88+M88</f>
        <v>0</v>
      </c>
      <c r="P88" s="2" t="n">
        <f aca="false">IF( N88=0,I88*(1-G88/100)+J88*(1-H88/100),-N88)</f>
        <v>29.096359590414</v>
      </c>
      <c r="Q88" s="47" t="n">
        <f aca="false">IF(P87&gt;0,Q87+P87*(1-V$20/100),Q87+P87)</f>
        <v>1474.97716213401</v>
      </c>
      <c r="R88" s="48" t="n">
        <f aca="false">R$4+Q88/V$28</f>
        <v>57.4467957645507</v>
      </c>
    </row>
    <row r="89" customFormat="false" ht="12.8" hidden="false" customHeight="false" outlineLevel="0" collapsed="false">
      <c r="A89" s="1" t="n">
        <v>85</v>
      </c>
      <c r="B89" s="37" t="n">
        <v>43630</v>
      </c>
      <c r="C89" s="38" t="n">
        <f aca="false">V$26-V$26*SIN(2*PI()/365*A89)</f>
        <v>0.0818721250414978</v>
      </c>
      <c r="D89" s="2" t="n">
        <f aca="false">IF((E89+F89)&gt;C89,C89,E89+F89)</f>
        <v>0.0818721250414978</v>
      </c>
      <c r="E89" s="38" t="n">
        <f aca="false">(V$23+V$24*SIN(2*PI()/365*A89))*V$25/100*V$7*V$8/100</f>
        <v>25.9064242546937</v>
      </c>
      <c r="F89" s="38" t="n">
        <f aca="false">(V$23+V$24*SIN(2*PI()/365*A89))*V$25/100*V$9*(1-V$14/100)*(1-V$16/100)</f>
        <v>5.4863398733863</v>
      </c>
      <c r="G89" s="38" t="n">
        <f aca="false">IF(C89&gt;E89,100,C89/E89*100)</f>
        <v>0.316030202534278</v>
      </c>
      <c r="H89" s="38" t="n">
        <f aca="false">L89/F89*100</f>
        <v>0</v>
      </c>
      <c r="I89" s="38" t="n">
        <f aca="false">(V$23+V$24*SIN(2*PI()/365*A89))*V$25/100*V$7*V$8/100*(1-V$15/100)</f>
        <v>23.0567175866774</v>
      </c>
      <c r="J89" s="38" t="n">
        <f aca="false">(V$23+V$24*SIN(2*PI()/365*A89))*V$25/100*V$9*(1-V$14/100)</f>
        <v>6.16442682402955</v>
      </c>
      <c r="K89" s="39" t="n">
        <f aca="false">IF(E89/C89*100&lt;100,E89/C89*100,100)</f>
        <v>100</v>
      </c>
      <c r="L89" s="2" t="n">
        <f aca="false">IF(((C89-E89)&gt;0)AND(F89&gt;(C89-E89)),(C89-E89),IF(C89&lt;E89,0,F89))</f>
        <v>0</v>
      </c>
      <c r="M89" s="2" t="n">
        <f aca="false">IF(C89&lt;(E89+F89),0,C89-E89-F89)</f>
        <v>0</v>
      </c>
      <c r="N89" s="2" t="n">
        <f aca="false">IF(C89&lt;(E89+F89),0,(C89-E89-F89)/(1-V$16/100))</f>
        <v>0</v>
      </c>
      <c r="O89" s="2" t="n">
        <f aca="false">L89+M89</f>
        <v>0</v>
      </c>
      <c r="P89" s="2" t="n">
        <f aca="false">IF( N89=0,I89*(1-G89/100)+J89*(1-H89/100),-N89)</f>
        <v>29.14827821942</v>
      </c>
      <c r="Q89" s="47" t="n">
        <f aca="false">IF(P88&gt;0,Q88+P88*(1-V$20/100),Q88+P88)</f>
        <v>1502.03677655309</v>
      </c>
      <c r="R89" s="48" t="n">
        <f aca="false">R$4+Q89/V$28</f>
        <v>57.7668709347684</v>
      </c>
    </row>
    <row r="90" customFormat="false" ht="12.8" hidden="false" customHeight="false" outlineLevel="0" collapsed="false">
      <c r="A90" s="1" t="n">
        <v>86</v>
      </c>
      <c r="B90" s="37" t="n">
        <v>43631</v>
      </c>
      <c r="C90" s="38" t="n">
        <f aca="false">V$26-V$26*SIN(2*PI()/365*A90)</f>
        <v>0.0577853817994569</v>
      </c>
      <c r="D90" s="2" t="n">
        <f aca="false">IF((E90+F90)&gt;C90,C90,E90+F90)</f>
        <v>0.0577853817994569</v>
      </c>
      <c r="E90" s="38" t="n">
        <f aca="false">(V$23+V$24*SIN(2*PI()/365*A90))*V$25/100*V$7*V$8/100</f>
        <v>25.9266530923111</v>
      </c>
      <c r="F90" s="38" t="n">
        <f aca="false">(V$23+V$24*SIN(2*PI()/365*A90))*V$25/100*V$9*(1-V$14/100)*(1-V$16/100)</f>
        <v>5.49062384084245</v>
      </c>
      <c r="G90" s="38" t="n">
        <f aca="false">IF(C90&gt;E90,100,C90/E90*100)</f>
        <v>0.22288022134486</v>
      </c>
      <c r="H90" s="38" t="n">
        <f aca="false">L90/F90*100</f>
        <v>0</v>
      </c>
      <c r="I90" s="38" t="n">
        <f aca="false">(V$23+V$24*SIN(2*PI()/365*A90))*V$25/100*V$7*V$8/100*(1-V$15/100)</f>
        <v>23.0747212521568</v>
      </c>
      <c r="J90" s="38" t="n">
        <f aca="false">(V$23+V$24*SIN(2*PI()/365*A90))*V$25/100*V$9*(1-V$14/100)</f>
        <v>6.1692402706095</v>
      </c>
      <c r="K90" s="39" t="n">
        <f aca="false">IF(E90/C90*100&lt;100,E90/C90*100,100)</f>
        <v>100</v>
      </c>
      <c r="L90" s="2" t="n">
        <f aca="false">IF(((C90-E90)&gt;0)AND(F90&gt;(C90-E90)),(C90-E90),IF(C90&lt;E90,0,F90))</f>
        <v>0</v>
      </c>
      <c r="M90" s="2" t="n">
        <f aca="false">IF(C90&lt;(E90+F90),0,C90-E90-F90)</f>
        <v>0</v>
      </c>
      <c r="N90" s="2" t="n">
        <f aca="false">IF(C90&lt;(E90+F90),0,(C90-E90-F90)/(1-V$16/100))</f>
        <v>0</v>
      </c>
      <c r="O90" s="2" t="n">
        <f aca="false">L90+M90</f>
        <v>0</v>
      </c>
      <c r="P90" s="2" t="n">
        <f aca="false">IF( N90=0,I90*(1-G90/100)+J90*(1-H90/100),-N90)</f>
        <v>29.1925325329648</v>
      </c>
      <c r="Q90" s="47" t="n">
        <f aca="false">IF(P89&gt;0,Q89+P89*(1-V$20/100),Q89+P89)</f>
        <v>1529.14467529715</v>
      </c>
      <c r="R90" s="48" t="n">
        <f aca="false">R$4+Q90/V$28</f>
        <v>58.0875172370538</v>
      </c>
    </row>
    <row r="91" customFormat="false" ht="12.8" hidden="false" customHeight="false" outlineLevel="0" collapsed="false">
      <c r="A91" s="1" t="n">
        <v>87</v>
      </c>
      <c r="B91" s="37" t="n">
        <v>43632</v>
      </c>
      <c r="C91" s="38" t="n">
        <f aca="false">V$26-V$26*SIN(2*PI()/365*A91)</f>
        <v>0.0378773105451007</v>
      </c>
      <c r="D91" s="2" t="n">
        <f aca="false">IF((E91+F91)&gt;C91,C91,E91+F91)</f>
        <v>0.0378773105451007</v>
      </c>
      <c r="E91" s="38" t="n">
        <f aca="false">(V$23+V$24*SIN(2*PI()/365*A91))*V$25/100*V$7*V$8/100</f>
        <v>25.9433725440291</v>
      </c>
      <c r="F91" s="38" t="n">
        <f aca="false">(V$23+V$24*SIN(2*PI()/365*A91))*V$25/100*V$9*(1-V$14/100)*(1-V$16/100)</f>
        <v>5.49416460716821</v>
      </c>
      <c r="G91" s="38" t="n">
        <f aca="false">IF(C91&gt;E91,100,C91/E91*100)</f>
        <v>0.145999948467834</v>
      </c>
      <c r="H91" s="38" t="n">
        <f aca="false">L91/F91*100</f>
        <v>0</v>
      </c>
      <c r="I91" s="38" t="n">
        <f aca="false">(V$23+V$24*SIN(2*PI()/365*A91))*V$25/100*V$7*V$8/100*(1-V$15/100)</f>
        <v>23.0896015641859</v>
      </c>
      <c r="J91" s="38" t="n">
        <f aca="false">(V$23+V$24*SIN(2*PI()/365*A91))*V$25/100*V$9*(1-V$14/100)</f>
        <v>6.17321865973956</v>
      </c>
      <c r="K91" s="39" t="n">
        <f aca="false">IF(E91/C91*100&lt;100,E91/C91*100,100)</f>
        <v>100</v>
      </c>
      <c r="L91" s="2" t="n">
        <f aca="false">IF(((C91-E91)&gt;0)AND(F91&gt;(C91-E91)),(C91-E91),IF(C91&lt;E91,0,F91))</f>
        <v>0</v>
      </c>
      <c r="M91" s="2" t="n">
        <f aca="false">IF(C91&lt;(E91+F91),0,C91-E91-F91)</f>
        <v>0</v>
      </c>
      <c r="N91" s="2" t="n">
        <f aca="false">IF(C91&lt;(E91+F91),0,(C91-E91-F91)/(1-V$16/100))</f>
        <v>0</v>
      </c>
      <c r="O91" s="2" t="n">
        <f aca="false">L91+M91</f>
        <v>0</v>
      </c>
      <c r="P91" s="2" t="n">
        <f aca="false">IF( N91=0,I91*(1-G91/100)+J91*(1-H91/100),-N91)</f>
        <v>29.2291094175403</v>
      </c>
      <c r="Q91" s="47" t="n">
        <f aca="false">IF(P90&gt;0,Q90+P90*(1-V$20/100),Q90+P90)</f>
        <v>1556.29373055281</v>
      </c>
      <c r="R91" s="48" t="n">
        <f aca="false">R$4+Q91/V$28</f>
        <v>58.4086503599292</v>
      </c>
    </row>
    <row r="92" customFormat="false" ht="12.8" hidden="false" customHeight="false" outlineLevel="0" collapsed="false">
      <c r="A92" s="1" t="n">
        <v>88</v>
      </c>
      <c r="B92" s="37" t="n">
        <v>43633</v>
      </c>
      <c r="C92" s="38" t="n">
        <f aca="false">V$26-V$26*SIN(2*PI()/365*A92)</f>
        <v>0.0221538104695931</v>
      </c>
      <c r="D92" s="2" t="n">
        <f aca="false">IF((E92+F92)&gt;C92,C92,E92+F92)</f>
        <v>0.0221538104695931</v>
      </c>
      <c r="E92" s="38" t="n">
        <f aca="false">(V$23+V$24*SIN(2*PI()/365*A92))*V$25/100*V$7*V$8/100</f>
        <v>25.9565776555133</v>
      </c>
      <c r="F92" s="38" t="n">
        <f aca="false">(V$23+V$24*SIN(2*PI()/365*A92))*V$25/100*V$9*(1-V$14/100)*(1-V$16/100)</f>
        <v>5.49696112315808</v>
      </c>
      <c r="G92" s="38" t="n">
        <f aca="false">IF(C92&gt;E92,100,C92/E92*100)</f>
        <v>0.0853495047136442</v>
      </c>
      <c r="H92" s="38" t="n">
        <f aca="false">L92/F92*100</f>
        <v>0</v>
      </c>
      <c r="I92" s="38" t="n">
        <f aca="false">(V$23+V$24*SIN(2*PI()/365*A92))*V$25/100*V$7*V$8/100*(1-V$15/100)</f>
        <v>23.1013541134069</v>
      </c>
      <c r="J92" s="38" t="n">
        <f aca="false">(V$23+V$24*SIN(2*PI()/365*A92))*V$25/100*V$9*(1-V$14/100)</f>
        <v>6.17636081253717</v>
      </c>
      <c r="K92" s="39" t="n">
        <f aca="false">IF(E92/C92*100&lt;100,E92/C92*100,100)</f>
        <v>100</v>
      </c>
      <c r="L92" s="2" t="n">
        <f aca="false">IF(((C92-E92)&gt;0)AND(F92&gt;(C92-E92)),(C92-E92),IF(C92&lt;E92,0,F92))</f>
        <v>0</v>
      </c>
      <c r="M92" s="2" t="n">
        <f aca="false">IF(C92&lt;(E92+F92),0,C92-E92-F92)</f>
        <v>0</v>
      </c>
      <c r="N92" s="2" t="n">
        <f aca="false">IF(C92&lt;(E92+F92),0,(C92-E92-F92)/(1-V$16/100))</f>
        <v>0</v>
      </c>
      <c r="O92" s="2" t="n">
        <f aca="false">L92+M92</f>
        <v>0</v>
      </c>
      <c r="P92" s="2" t="n">
        <f aca="false">IF( N92=0,I92*(1-G92/100)+J92*(1-H92/100),-N92)</f>
        <v>29.2579980346261</v>
      </c>
      <c r="Q92" s="47" t="n">
        <f aca="false">IF(P91&gt;0,Q91+P91*(1-V$20/100),Q91+P91)</f>
        <v>1583.47680231112</v>
      </c>
      <c r="R92" s="48" t="n">
        <f aca="false">R$4+Q92/V$28</f>
        <v>58.7301858476612</v>
      </c>
    </row>
    <row r="93" customFormat="false" ht="12.8" hidden="false" customHeight="false" outlineLevel="0" collapsed="false">
      <c r="A93" s="1" t="n">
        <v>89</v>
      </c>
      <c r="B93" s="37" t="n">
        <v>43634</v>
      </c>
      <c r="C93" s="38" t="n">
        <f aca="false">V$26-V$26*SIN(2*PI()/365*A93)</f>
        <v>0.0106195407853473</v>
      </c>
      <c r="D93" s="2" t="n">
        <f aca="false">IF((E93+F93)&gt;C93,C93,E93+F93)</f>
        <v>0.0106195407853473</v>
      </c>
      <c r="E93" s="38" t="n">
        <f aca="false">(V$23+V$24*SIN(2*PI()/365*A93))*V$25/100*V$7*V$8/100</f>
        <v>25.9662645138043</v>
      </c>
      <c r="F93" s="38" t="n">
        <f aca="false">(V$23+V$24*SIN(2*PI()/365*A93))*V$25/100*V$9*(1-V$14/100)*(1-V$16/100)</f>
        <v>5.49901256014403</v>
      </c>
      <c r="G93" s="38" t="n">
        <f aca="false">IF(C93&gt;E93,100,C93/E93*100)</f>
        <v>0.0408974528457942</v>
      </c>
      <c r="H93" s="38" t="n">
        <f aca="false">L93/F93*100</f>
        <v>0</v>
      </c>
      <c r="I93" s="38" t="n">
        <f aca="false">(V$23+V$24*SIN(2*PI()/365*A93))*V$25/100*V$7*V$8/100*(1-V$15/100)</f>
        <v>23.1099754172859</v>
      </c>
      <c r="J93" s="38" t="n">
        <f aca="false">(V$23+V$24*SIN(2*PI()/365*A93))*V$25/100*V$9*(1-V$14/100)</f>
        <v>6.17866579791464</v>
      </c>
      <c r="K93" s="39" t="n">
        <f aca="false">IF(E93/C93*100&lt;100,E93/C93*100,100)</f>
        <v>100</v>
      </c>
      <c r="L93" s="2" t="n">
        <f aca="false">IF(((C93-E93)&gt;0)AND(F93&gt;(C93-E93)),(C93-E93),IF(C93&lt;E93,0,F93))</f>
        <v>0</v>
      </c>
      <c r="M93" s="2" t="n">
        <f aca="false">IF(C93&lt;(E93+F93),0,C93-E93-F93)</f>
        <v>0</v>
      </c>
      <c r="N93" s="2" t="n">
        <f aca="false">IF(C93&lt;(E93+F93),0,(C93-E93-F93)/(1-V$16/100))</f>
        <v>0</v>
      </c>
      <c r="O93" s="2" t="n">
        <f aca="false">L93+M93</f>
        <v>0</v>
      </c>
      <c r="P93" s="2" t="n">
        <f aca="false">IF( N93=0,I93*(1-G93/100)+J93*(1-H93/100),-N93)</f>
        <v>29.2791898239015</v>
      </c>
      <c r="Q93" s="47" t="n">
        <f aca="false">IF(P92&gt;0,Q92+P92*(1-V$20/100),Q92+P92)</f>
        <v>1610.68674048333</v>
      </c>
      <c r="R93" s="48" t="n">
        <f aca="false">R$4+Q93/V$28</f>
        <v>59.0520391252873</v>
      </c>
    </row>
    <row r="94" customFormat="false" ht="12.8" hidden="false" customHeight="false" outlineLevel="0" collapsed="false">
      <c r="A94" s="1" t="n">
        <v>90</v>
      </c>
      <c r="B94" s="37" t="n">
        <v>43635</v>
      </c>
      <c r="C94" s="38" t="n">
        <f aca="false">V$26-V$26*SIN(2*PI()/365*A94)</f>
        <v>0.00327791934540222</v>
      </c>
      <c r="D94" s="2" t="n">
        <f aca="false">IF((E94+F94)&gt;C94,C94,E94+F94)</f>
        <v>0.00327791934540222</v>
      </c>
      <c r="E94" s="38" t="n">
        <f aca="false">(V$23+V$24*SIN(2*PI()/365*A94))*V$25/100*V$7*V$8/100</f>
        <v>25.9724302484769</v>
      </c>
      <c r="F94" s="38" t="n">
        <f aca="false">(V$23+V$24*SIN(2*PI()/365*A94))*V$25/100*V$9*(1-V$14/100)*(1-V$16/100)</f>
        <v>5.500318310241</v>
      </c>
      <c r="G94" s="38" t="n">
        <f aca="false">IF(C94&gt;E94,100,C94/E94*100)</f>
        <v>0.0126207648419595</v>
      </c>
      <c r="H94" s="38" t="n">
        <f aca="false">L94/F94*100</f>
        <v>0</v>
      </c>
      <c r="I94" s="38" t="n">
        <f aca="false">(V$23+V$24*SIN(2*PI()/365*A94))*V$25/100*V$7*V$8/100*(1-V$15/100)</f>
        <v>23.1154629211445</v>
      </c>
      <c r="J94" s="38" t="n">
        <f aca="false">(V$23+V$24*SIN(2*PI()/365*A94))*V$25/100*V$9*(1-V$14/100)</f>
        <v>6.18013293285506</v>
      </c>
      <c r="K94" s="39" t="n">
        <f aca="false">IF(E94/C94*100&lt;100,E94/C94*100,100)</f>
        <v>100</v>
      </c>
      <c r="L94" s="2" t="n">
        <f aca="false">IF(((C94-E94)&gt;0)AND(F94&gt;(C94-E94)),(C94-E94),IF(C94&lt;E94,0,F94))</f>
        <v>0</v>
      </c>
      <c r="M94" s="2" t="n">
        <f aca="false">IF(C94&lt;(E94+F94),0,C94-E94-F94)</f>
        <v>0</v>
      </c>
      <c r="N94" s="2" t="n">
        <f aca="false">IF(C94&lt;(E94+F94),0,(C94-E94-F94)/(1-V$16/100))</f>
        <v>0</v>
      </c>
      <c r="O94" s="2" t="n">
        <f aca="false">L94+M94</f>
        <v>0</v>
      </c>
      <c r="P94" s="2" t="n">
        <f aca="false">IF( N94=0,I94*(1-G94/100)+J94*(1-H94/100),-N94)</f>
        <v>29.2926785057821</v>
      </c>
      <c r="Q94" s="47" t="n">
        <f aca="false">IF(P93&gt;0,Q93+P93*(1-V$20/100),Q93+P93)</f>
        <v>1637.91638701955</v>
      </c>
      <c r="R94" s="48" t="n">
        <f aca="false">R$4+Q94/V$28</f>
        <v>59.3741255236768</v>
      </c>
    </row>
    <row r="95" customFormat="false" ht="12.8" hidden="false" customHeight="false" outlineLevel="0" collapsed="false">
      <c r="A95" s="1" t="n">
        <v>91</v>
      </c>
      <c r="B95" s="37" t="n">
        <v>43636</v>
      </c>
      <c r="C95" s="38" t="n">
        <f aca="false">V$26-V$26*SIN(2*PI()/365*A95)</f>
        <v>0.000131121630637665</v>
      </c>
      <c r="D95" s="2" t="n">
        <f aca="false">IF((E95+F95)&gt;C95,C95,E95+F95)</f>
        <v>0.000131121630637665</v>
      </c>
      <c r="E95" s="38" t="n">
        <f aca="false">(V$23+V$24*SIN(2*PI()/365*A95))*V$25/100*V$7*V$8/100</f>
        <v>25.9750730324908</v>
      </c>
      <c r="F95" s="38" t="n">
        <f aca="false">(V$23+V$24*SIN(2*PI()/365*A95))*V$25/100*V$9*(1-V$14/100)*(1-V$16/100)</f>
        <v>5.50087798652707</v>
      </c>
      <c r="G95" s="38" t="n">
        <f aca="false">IF(C95&gt;E95,100,C95/E95*100)</f>
        <v>0.000504797928666657</v>
      </c>
      <c r="H95" s="38" t="n">
        <f aca="false">L95/F95*100</f>
        <v>0</v>
      </c>
      <c r="I95" s="38" t="n">
        <f aca="false">(V$23+V$24*SIN(2*PI()/365*A95))*V$25/100*V$7*V$8/100*(1-V$15/100)</f>
        <v>23.1178149989168</v>
      </c>
      <c r="J95" s="38" t="n">
        <f aca="false">(V$23+V$24*SIN(2*PI()/365*A95))*V$25/100*V$9*(1-V$14/100)</f>
        <v>6.18076178261469</v>
      </c>
      <c r="K95" s="39" t="n">
        <f aca="false">IF(E95/C95*100&lt;100,E95/C95*100,100)</f>
        <v>100</v>
      </c>
      <c r="L95" s="2" t="n">
        <f aca="false">IF(((C95-E95)&gt;0)AND(F95&gt;(C95-E95)),(C95-E95),IF(C95&lt;E95,0,F95))</f>
        <v>0</v>
      </c>
      <c r="M95" s="2" t="n">
        <f aca="false">IF(C95&lt;(E95+F95),0,C95-E95-F95)</f>
        <v>0</v>
      </c>
      <c r="N95" s="2" t="n">
        <f aca="false">IF(C95&lt;(E95+F95),0,(C95-E95-F95)/(1-V$16/100))</f>
        <v>0</v>
      </c>
      <c r="O95" s="2" t="n">
        <f aca="false">L95+M95</f>
        <v>0</v>
      </c>
      <c r="P95" s="2" t="n">
        <f aca="false">IF( N95=0,I95*(1-G95/100)+J95*(1-H95/100),-N95)</f>
        <v>29.2984600832802</v>
      </c>
      <c r="Q95" s="47" t="n">
        <f aca="false">IF(P94&gt;0,Q94+P94*(1-V$20/100),Q94+P94)</f>
        <v>1665.15857802993</v>
      </c>
      <c r="R95" s="48" t="n">
        <f aca="false">R$4+Q95/V$28</f>
        <v>59.6963603046203</v>
      </c>
    </row>
    <row r="96" customFormat="false" ht="12.8" hidden="false" customHeight="false" outlineLevel="0" collapsed="false">
      <c r="A96" s="1" t="n">
        <v>92</v>
      </c>
      <c r="B96" s="37" t="n">
        <v>43637</v>
      </c>
      <c r="C96" s="38" t="n">
        <f aca="false">V$26-V$26*SIN(2*PI()/365*A96)</f>
        <v>0.00118008010512405</v>
      </c>
      <c r="D96" s="2" t="n">
        <f aca="false">IF((E96+F96)&gt;C96,C96,E96+F96)</f>
        <v>0.00118008010512405</v>
      </c>
      <c r="E96" s="38" t="n">
        <f aca="false">(V$23+V$24*SIN(2*PI()/365*A96))*V$25/100*V$7*V$8/100</f>
        <v>25.9741920827321</v>
      </c>
      <c r="F96" s="38" t="n">
        <f aca="false">(V$23+V$24*SIN(2*PI()/365*A96))*V$25/100*V$9*(1-V$14/100)*(1-V$16/100)</f>
        <v>5.50069142315807</v>
      </c>
      <c r="G96" s="38" t="n">
        <f aca="false">IF(C96&gt;E96,100,C96/E96*100)</f>
        <v>0.0045432793496148</v>
      </c>
      <c r="H96" s="38" t="n">
        <f aca="false">L96/F96*100</f>
        <v>0</v>
      </c>
      <c r="I96" s="38" t="n">
        <f aca="false">(V$23+V$24*SIN(2*PI()/365*A96))*V$25/100*V$7*V$8/100*(1-V$15/100)</f>
        <v>23.1170309536315</v>
      </c>
      <c r="J96" s="38" t="n">
        <f aca="false">(V$23+V$24*SIN(2*PI()/365*A96))*V$25/100*V$9*(1-V$14/100)</f>
        <v>6.18055216085176</v>
      </c>
      <c r="K96" s="39" t="n">
        <f aca="false">IF(E96/C96*100&lt;100,E96/C96*100,100)</f>
        <v>100</v>
      </c>
      <c r="L96" s="2" t="n">
        <f aca="false">IF(((C96-E96)&gt;0)AND(F96&gt;(C96-E96)),(C96-E96),IF(C96&lt;E96,0,F96))</f>
        <v>0</v>
      </c>
      <c r="M96" s="2" t="n">
        <f aca="false">IF(C96&lt;(E96+F96),0,C96-E96-F96)</f>
        <v>0</v>
      </c>
      <c r="N96" s="2" t="n">
        <f aca="false">IF(C96&lt;(E96+F96),0,(C96-E96-F96)/(1-V$16/100))</f>
        <v>0</v>
      </c>
      <c r="O96" s="2" t="n">
        <f aca="false">L96+M96</f>
        <v>0</v>
      </c>
      <c r="P96" s="2" t="n">
        <f aca="false">IF( N96=0,I96*(1-G96/100)+J96*(1-H96/100),-N96)</f>
        <v>29.2965328431897</v>
      </c>
      <c r="Q96" s="47" t="n">
        <f aca="false">IF(P95&gt;0,Q95+P95*(1-V$20/100),Q95+P95)</f>
        <v>1692.40614590738</v>
      </c>
      <c r="R96" s="48" t="n">
        <f aca="false">R$4+Q96/V$28</f>
        <v>60.0186586859396</v>
      </c>
    </row>
    <row r="97" customFormat="false" ht="12.8" hidden="false" customHeight="false" outlineLevel="0" collapsed="false">
      <c r="A97" s="1" t="n">
        <v>93</v>
      </c>
      <c r="B97" s="37" t="n">
        <v>43638</v>
      </c>
      <c r="C97" s="38" t="n">
        <f aca="false">V$26-V$26*SIN(2*PI()/365*A97)</f>
        <v>0.00642448393983308</v>
      </c>
      <c r="D97" s="2" t="n">
        <f aca="false">IF((E97+F97)&gt;C97,C97,E97+F97)</f>
        <v>0.00642448393983308</v>
      </c>
      <c r="E97" s="38" t="n">
        <f aca="false">(V$23+V$24*SIN(2*PI()/365*A97))*V$25/100*V$7*V$8/100</f>
        <v>25.9697876602451</v>
      </c>
      <c r="F97" s="38" t="n">
        <f aca="false">(V$23+V$24*SIN(2*PI()/365*A97))*V$25/100*V$9*(1-V$14/100)*(1-V$16/100)</f>
        <v>5.49975867541675</v>
      </c>
      <c r="G97" s="38" t="n">
        <f aca="false">IF(C97&gt;E97,100,C97/E97*100)</f>
        <v>0.0247382998424271</v>
      </c>
      <c r="H97" s="38" t="n">
        <f aca="false">L97/F97*100</f>
        <v>0</v>
      </c>
      <c r="I97" s="38" t="n">
        <f aca="false">(V$23+V$24*SIN(2*PI()/365*A97))*V$25/100*V$7*V$8/100*(1-V$15/100)</f>
        <v>23.1131110176182</v>
      </c>
      <c r="J97" s="38" t="n">
        <f aca="false">(V$23+V$24*SIN(2*PI()/365*A97))*V$25/100*V$9*(1-V$14/100)</f>
        <v>6.17950412968174</v>
      </c>
      <c r="K97" s="39" t="n">
        <f aca="false">IF(E97/C97*100&lt;100,E97/C97*100,100)</f>
        <v>100</v>
      </c>
      <c r="L97" s="2" t="n">
        <f aca="false">IF(((C97-E97)&gt;0)AND(F97&gt;(C97-E97)),(C97-E97),IF(C97&lt;E97,0,F97))</f>
        <v>0</v>
      </c>
      <c r="M97" s="2" t="n">
        <f aca="false">IF(C97&lt;(E97+F97),0,C97-E97-F97)</f>
        <v>0</v>
      </c>
      <c r="N97" s="2" t="n">
        <f aca="false">IF(C97&lt;(E97+F97),0,(C97-E97-F97)/(1-V$16/100))</f>
        <v>0</v>
      </c>
      <c r="O97" s="2" t="n">
        <f aca="false">L97+M97</f>
        <v>0</v>
      </c>
      <c r="P97" s="2" t="n">
        <f aca="false">IF( N97=0,I97*(1-G97/100)+J97*(1-H97/100),-N97)</f>
        <v>29.2868973565935</v>
      </c>
      <c r="Q97" s="47" t="n">
        <f aca="false">IF(P96&gt;0,Q96+P96*(1-V$20/100),Q96+P96)</f>
        <v>1719.65192145155</v>
      </c>
      <c r="R97" s="48" t="n">
        <f aca="false">R$4+Q97/V$28</f>
        <v>60.34093586661</v>
      </c>
    </row>
    <row r="98" customFormat="false" ht="12.8" hidden="false" customHeight="false" outlineLevel="0" collapsed="false">
      <c r="A98" s="1" t="n">
        <v>94</v>
      </c>
      <c r="B98" s="37" t="n">
        <v>43639</v>
      </c>
      <c r="C98" s="38" t="n">
        <f aca="false">V$26-V$26*SIN(2*PI()/365*A98)</f>
        <v>0.0158627791047206</v>
      </c>
      <c r="D98" s="2" t="n">
        <f aca="false">IF((E98+F98)&gt;C98,C98,E98+F98)</f>
        <v>0.0158627791047206</v>
      </c>
      <c r="E98" s="38" t="n">
        <f aca="false">(V$23+V$24*SIN(2*PI()/365*A98))*V$25/100*V$7*V$8/100</f>
        <v>25.9618610701555</v>
      </c>
      <c r="F98" s="38" t="n">
        <f aca="false">(V$23+V$24*SIN(2*PI()/365*A98))*V$25/100*V$9*(1-V$14/100)*(1-V$16/100)</f>
        <v>5.49808001969639</v>
      </c>
      <c r="G98" s="38" t="n">
        <f aca="false">IF(C98&gt;E98,100,C98/E98*100)</f>
        <v>0.0611003158127045</v>
      </c>
      <c r="H98" s="38" t="n">
        <f aca="false">L98/F98*100</f>
        <v>0</v>
      </c>
      <c r="I98" s="38" t="n">
        <f aca="false">(V$23+V$24*SIN(2*PI()/365*A98))*V$25/100*V$7*V$8/100*(1-V$15/100)</f>
        <v>23.1060563524383</v>
      </c>
      <c r="J98" s="38" t="n">
        <f aca="false">(V$23+V$24*SIN(2*PI()/365*A98))*V$25/100*V$9*(1-V$14/100)</f>
        <v>6.17761799965887</v>
      </c>
      <c r="K98" s="39" t="n">
        <f aca="false">IF(E98/C98*100&lt;100,E98/C98*100,100)</f>
        <v>100</v>
      </c>
      <c r="L98" s="2" t="n">
        <f aca="false">IF(((C98-E98)&gt;0)AND(F98&gt;(C98-E98)),(C98-E98),IF(C98&lt;E98,0,F98))</f>
        <v>0</v>
      </c>
      <c r="M98" s="2" t="n">
        <f aca="false">IF(C98&lt;(E98+F98),0,C98-E98-F98)</f>
        <v>0</v>
      </c>
      <c r="N98" s="2" t="n">
        <f aca="false">IF(C98&lt;(E98+F98),0,(C98-E98-F98)/(1-V$16/100))</f>
        <v>0</v>
      </c>
      <c r="O98" s="2" t="n">
        <f aca="false">L98+M98</f>
        <v>0</v>
      </c>
      <c r="P98" s="2" t="n">
        <f aca="false">IF( N98=0,I98*(1-G98/100)+J98*(1-H98/100),-N98)</f>
        <v>29.269556478694</v>
      </c>
      <c r="Q98" s="47" t="n">
        <f aca="false">IF(P97&gt;0,Q97+P97*(1-V$20/100),Q97+P97)</f>
        <v>1746.88873599318</v>
      </c>
      <c r="R98" s="48" t="n">
        <f aca="false">R$4+Q98/V$28</f>
        <v>60.6631070518894</v>
      </c>
    </row>
    <row r="99" customFormat="false" ht="12.8" hidden="false" customHeight="false" outlineLevel="0" collapsed="false">
      <c r="A99" s="1" t="n">
        <v>95</v>
      </c>
      <c r="B99" s="37" t="n">
        <v>43640</v>
      </c>
      <c r="C99" s="38" t="n">
        <f aca="false">V$26-V$26*SIN(2*PI()/365*A99)</f>
        <v>0.029492168829238</v>
      </c>
      <c r="D99" s="2" t="n">
        <f aca="false">IF((E99+F99)&gt;C99,C99,E99+F99)</f>
        <v>0.029492168829238</v>
      </c>
      <c r="E99" s="38" t="n">
        <f aca="false">(V$23+V$24*SIN(2*PI()/365*A99))*V$25/100*V$7*V$8/100</f>
        <v>25.9504146612827</v>
      </c>
      <c r="F99" s="38" t="n">
        <f aca="false">(V$23+V$24*SIN(2*PI()/365*A99))*V$25/100*V$9*(1-V$14/100)*(1-V$16/100)</f>
        <v>5.49565595341892</v>
      </c>
      <c r="G99" s="38" t="n">
        <f aca="false">IF(C99&gt;E99,100,C99/E99*100)</f>
        <v>0.113648160209322</v>
      </c>
      <c r="H99" s="38" t="n">
        <f aca="false">L99/F99*100</f>
        <v>0</v>
      </c>
      <c r="I99" s="38" t="n">
        <f aca="false">(V$23+V$24*SIN(2*PI()/365*A99))*V$25/100*V$7*V$8/100*(1-V$15/100)</f>
        <v>23.0958690485416</v>
      </c>
      <c r="J99" s="38" t="n">
        <f aca="false">(V$23+V$24*SIN(2*PI()/365*A99))*V$25/100*V$9*(1-V$14/100)</f>
        <v>6.17489432968418</v>
      </c>
      <c r="K99" s="39" t="n">
        <f aca="false">IF(E99/C99*100&lt;100,E99/C99*100,100)</f>
        <v>100</v>
      </c>
      <c r="L99" s="2" t="n">
        <f aca="false">IF(((C99-E99)&gt;0)AND(F99&gt;(C99-E99)),(C99-E99),IF(C99&lt;E99,0,F99))</f>
        <v>0</v>
      </c>
      <c r="M99" s="2" t="n">
        <f aca="false">IF(C99&lt;(E99+F99),0,C99-E99-F99)</f>
        <v>0</v>
      </c>
      <c r="N99" s="2" t="n">
        <f aca="false">IF(C99&lt;(E99+F99),0,(C99-E99-F99)/(1-V$16/100))</f>
        <v>0</v>
      </c>
      <c r="O99" s="2" t="n">
        <f aca="false">L99+M99</f>
        <v>0</v>
      </c>
      <c r="P99" s="2" t="n">
        <f aca="false">IF( N99=0,I99*(1-G99/100)+J99*(1-H99/100),-N99)</f>
        <v>29.2445153479678</v>
      </c>
      <c r="Q99" s="47" t="n">
        <f aca="false">IF(P98&gt;0,Q98+P98*(1-V$20/100),Q98+P98)</f>
        <v>1774.10942351837</v>
      </c>
      <c r="R99" s="48" t="n">
        <f aca="false">R$4+Q99/V$28</f>
        <v>60.9850874784443</v>
      </c>
    </row>
    <row r="100" customFormat="false" ht="12.8" hidden="false" customHeight="false" outlineLevel="0" collapsed="false">
      <c r="A100" s="1" t="n">
        <v>96</v>
      </c>
      <c r="B100" s="37" t="n">
        <v>43641</v>
      </c>
      <c r="C100" s="38" t="n">
        <f aca="false">V$26-V$26*SIN(2*PI()/365*A100)</f>
        <v>0.0473086144310582</v>
      </c>
      <c r="D100" s="2" t="n">
        <f aca="false">IF((E100+F100)&gt;C100,C100,E100+F100)</f>
        <v>0.0473086144310582</v>
      </c>
      <c r="E100" s="38" t="n">
        <f aca="false">(V$23+V$24*SIN(2*PI()/365*A100))*V$25/100*V$7*V$8/100</f>
        <v>25.9354518254449</v>
      </c>
      <c r="F100" s="38" t="n">
        <f aca="false">(V$23+V$24*SIN(2*PI()/365*A100))*V$25/100*V$9*(1-V$14/100)*(1-V$16/100)</f>
        <v>5.4924871948875</v>
      </c>
      <c r="G100" s="38" t="n">
        <f aca="false">IF(C100&gt;E100,100,C100/E100*100)</f>
        <v>0.182409062118765</v>
      </c>
      <c r="H100" s="38" t="n">
        <f aca="false">L100/F100*100</f>
        <v>0</v>
      </c>
      <c r="I100" s="38" t="n">
        <f aca="false">(V$23+V$24*SIN(2*PI()/365*A100))*V$25/100*V$7*V$8/100*(1-V$15/100)</f>
        <v>23.082552124646</v>
      </c>
      <c r="J100" s="38" t="n">
        <f aca="false">(V$23+V$24*SIN(2*PI()/365*A100))*V$25/100*V$9*(1-V$14/100)</f>
        <v>6.17133392683988</v>
      </c>
      <c r="K100" s="39" t="n">
        <f aca="false">IF(E100/C100*100&lt;100,E100/C100*100,100)</f>
        <v>100</v>
      </c>
      <c r="L100" s="2" t="n">
        <f aca="false">IF(((C100-E100)&gt;0)AND(F100&gt;(C100-E100)),(C100-E100),IF(C100&lt;E100,0,F100))</f>
        <v>0</v>
      </c>
      <c r="M100" s="2" t="n">
        <f aca="false">IF(C100&lt;(E100+F100),0,C100-E100-F100)</f>
        <v>0</v>
      </c>
      <c r="N100" s="2" t="n">
        <f aca="false">IF(C100&lt;(E100+F100),0,(C100-E100-F100)/(1-V$16/100))</f>
        <v>0</v>
      </c>
      <c r="O100" s="2" t="n">
        <f aca="false">L100+M100</f>
        <v>0</v>
      </c>
      <c r="P100" s="2" t="n">
        <f aca="false">IF( N100=0,I100*(1-G100/100)+J100*(1-H100/100),-N100)</f>
        <v>29.2117813846422</v>
      </c>
      <c r="Q100" s="47" t="n">
        <f aca="false">IF(P99&gt;0,Q99+P99*(1-V$20/100),Q99+P99)</f>
        <v>1801.30682279198</v>
      </c>
      <c r="R100" s="48" t="n">
        <f aca="false">R$4+Q100/V$28</f>
        <v>61.3067924394669</v>
      </c>
    </row>
    <row r="101" customFormat="false" ht="12.8" hidden="false" customHeight="false" outlineLevel="0" collapsed="false">
      <c r="A101" s="1" t="n">
        <v>97</v>
      </c>
      <c r="B101" s="37" t="n">
        <v>43642</v>
      </c>
      <c r="C101" s="38" t="n">
        <f aca="false">V$26-V$26*SIN(2*PI()/365*A101)</f>
        <v>0.0693068365128458</v>
      </c>
      <c r="D101" s="2" t="n">
        <f aca="false">IF((E101+F101)&gt;C101,C101,E101+F101)</f>
        <v>0.0693068365128458</v>
      </c>
      <c r="E101" s="38" t="n">
        <f aca="false">(V$23+V$24*SIN(2*PI()/365*A101))*V$25/100*V$7*V$8/100</f>
        <v>25.9169769964532</v>
      </c>
      <c r="F101" s="38" t="n">
        <f aca="false">(V$23+V$24*SIN(2*PI()/365*A101))*V$25/100*V$9*(1-V$14/100)*(1-V$16/100)</f>
        <v>5.48857468307365</v>
      </c>
      <c r="G101" s="38" t="n">
        <f aca="false">IF(C101&gt;E101,100,C101/E101*100)</f>
        <v>0.267418675111416</v>
      </c>
      <c r="H101" s="38" t="n">
        <f aca="false">L101/F101*100</f>
        <v>0</v>
      </c>
      <c r="I101" s="38" t="n">
        <f aca="false">(V$23+V$24*SIN(2*PI()/365*A101))*V$25/100*V$7*V$8/100*(1-V$15/100)</f>
        <v>23.0661095268434</v>
      </c>
      <c r="J101" s="38" t="n">
        <f aca="false">(V$23+V$24*SIN(2*PI()/365*A101))*V$25/100*V$9*(1-V$14/100)</f>
        <v>6.16693784615017</v>
      </c>
      <c r="K101" s="39" t="n">
        <f aca="false">IF(E101/C101*100&lt;100,E101/C101*100,100)</f>
        <v>100</v>
      </c>
      <c r="L101" s="2" t="n">
        <f aca="false">IF(((C101-E101)&gt;0)AND(F101&gt;(C101-E101)),(C101-E101),IF(C101&lt;E101,0,F101))</f>
        <v>0</v>
      </c>
      <c r="M101" s="2" t="n">
        <f aca="false">IF(C101&lt;(E101+F101),0,C101-E101-F101)</f>
        <v>0</v>
      </c>
      <c r="N101" s="2" t="n">
        <f aca="false">IF(C101&lt;(E101+F101),0,(C101-E101-F101)/(1-V$16/100))</f>
        <v>0</v>
      </c>
      <c r="O101" s="2" t="n">
        <f aca="false">L101+M101</f>
        <v>0</v>
      </c>
      <c r="P101" s="2" t="n">
        <f aca="false">IF( N101=0,I101*(1-G101/100)+J101*(1-H101/100),-N101)</f>
        <v>29.1713642884971</v>
      </c>
      <c r="Q101" s="47" t="n">
        <f aca="false">IF(P100&gt;0,Q100+P100*(1-V$20/100),Q100+P100)</f>
        <v>1828.47377947969</v>
      </c>
      <c r="R101" s="48" t="n">
        <f aca="false">R$4+Q101/V$28</f>
        <v>61.6281373097761</v>
      </c>
    </row>
    <row r="102" customFormat="false" ht="12.8" hidden="false" customHeight="false" outlineLevel="0" collapsed="false">
      <c r="A102" s="1" t="n">
        <v>98</v>
      </c>
      <c r="B102" s="37" t="n">
        <v>43643</v>
      </c>
      <c r="C102" s="38" t="n">
        <f aca="false">V$26-V$26*SIN(2*PI()/365*A102)</f>
        <v>0.0954803165266327</v>
      </c>
      <c r="D102" s="2" t="n">
        <f aca="false">IF((E102+F102)&gt;C102,C102,E102+F102)</f>
        <v>0.0954803165266327</v>
      </c>
      <c r="E102" s="38" t="n">
        <f aca="false">(V$23+V$24*SIN(2*PI()/365*A102))*V$25/100*V$7*V$8/100</f>
        <v>25.8949956487982</v>
      </c>
      <c r="F102" s="38" t="n">
        <f aca="false">(V$23+V$24*SIN(2*PI()/365*A102))*V$25/100*V$9*(1-V$14/100)*(1-V$16/100)</f>
        <v>5.48391957733907</v>
      </c>
      <c r="G102" s="38" t="n">
        <f aca="false">IF(C102&gt;E102,100,C102/E102*100)</f>
        <v>0.368721114386686</v>
      </c>
      <c r="H102" s="38" t="n">
        <f aca="false">L102/F102*100</f>
        <v>0</v>
      </c>
      <c r="I102" s="38" t="n">
        <f aca="false">(V$23+V$24*SIN(2*PI()/365*A102))*V$25/100*V$7*V$8/100*(1-V$15/100)</f>
        <v>23.0465461274304</v>
      </c>
      <c r="J102" s="38" t="n">
        <f aca="false">(V$23+V$24*SIN(2*PI()/365*A102))*V$25/100*V$9*(1-V$14/100)</f>
        <v>6.16170739026862</v>
      </c>
      <c r="K102" s="39" t="n">
        <f aca="false">IF(E102/C102*100&lt;100,E102/C102*100,100)</f>
        <v>100</v>
      </c>
      <c r="L102" s="2" t="n">
        <f aca="false">IF(((C102-E102)&gt;0)AND(F102&gt;(C102-E102)),(C102-E102),IF(C102&lt;E102,0,F102))</f>
        <v>0</v>
      </c>
      <c r="M102" s="2" t="n">
        <f aca="false">IF(C102&lt;(E102+F102),0,C102-E102-F102)</f>
        <v>0</v>
      </c>
      <c r="N102" s="2" t="n">
        <f aca="false">IF(C102&lt;(E102+F102),0,(C102-E102-F102)/(1-V$16/100))</f>
        <v>0</v>
      </c>
      <c r="O102" s="2" t="n">
        <f aca="false">L102+M102</f>
        <v>0</v>
      </c>
      <c r="P102" s="2" t="n">
        <f aca="false">IF( N102=0,I102*(1-G102/100)+J102*(1-H102/100),-N102)</f>
        <v>29.1232760359903</v>
      </c>
      <c r="Q102" s="47" t="n">
        <f aca="false">IF(P101&gt;0,Q101+P101*(1-V$20/100),Q101+P101)</f>
        <v>1855.603148268</v>
      </c>
      <c r="R102" s="48" t="n">
        <f aca="false">R$4+Q102/V$28</f>
        <v>61.9490375708933</v>
      </c>
    </row>
    <row r="103" customFormat="false" ht="12.8" hidden="false" customHeight="false" outlineLevel="0" collapsed="false">
      <c r="A103" s="1" t="n">
        <v>99</v>
      </c>
      <c r="B103" s="37" t="n">
        <v>43644</v>
      </c>
      <c r="C103" s="38" t="n">
        <f aca="false">V$26-V$26*SIN(2*PI()/365*A103)</f>
        <v>0.125821298705421</v>
      </c>
      <c r="D103" s="2" t="n">
        <f aca="false">IF((E103+F103)&gt;C103,C103,E103+F103)</f>
        <v>0.125821298705421</v>
      </c>
      <c r="E103" s="38" t="n">
        <f aca="false">(V$23+V$24*SIN(2*PI()/365*A103))*V$25/100*V$7*V$8/100</f>
        <v>25.8695142960276</v>
      </c>
      <c r="F103" s="38" t="n">
        <f aca="false">(V$23+V$24*SIN(2*PI()/365*A103))*V$25/100*V$9*(1-V$14/100)*(1-V$16/100)</f>
        <v>5.47852325709205</v>
      </c>
      <c r="G103" s="38" t="n">
        <f aca="false">IF(C103&gt;E103,100,C103/E103*100)</f>
        <v>0.486369002779237</v>
      </c>
      <c r="H103" s="38" t="n">
        <f aca="false">L103/F103*100</f>
        <v>0</v>
      </c>
      <c r="I103" s="38" t="n">
        <f aca="false">(V$23+V$24*SIN(2*PI()/365*A103))*V$25/100*V$7*V$8/100*(1-V$15/100)</f>
        <v>23.0238677234645</v>
      </c>
      <c r="J103" s="38" t="n">
        <f aca="false">(V$23+V$24*SIN(2*PI()/365*A103))*V$25/100*V$9*(1-V$14/100)</f>
        <v>6.15564410909219</v>
      </c>
      <c r="K103" s="39" t="n">
        <f aca="false">IF(E103/C103*100&lt;100,E103/C103*100,100)</f>
        <v>100</v>
      </c>
      <c r="L103" s="2" t="n">
        <f aca="false">IF(((C103-E103)&gt;0)AND(F103&gt;(C103-E103)),(C103-E103),IF(C103&lt;E103,0,F103))</f>
        <v>0</v>
      </c>
      <c r="M103" s="2" t="n">
        <f aca="false">IF(C103&lt;(E103+F103),0,C103-E103-F103)</f>
        <v>0</v>
      </c>
      <c r="N103" s="2" t="n">
        <f aca="false">IF(C103&lt;(E103+F103),0,(C103-E103-F103)/(1-V$16/100))</f>
        <v>0</v>
      </c>
      <c r="O103" s="2" t="n">
        <f aca="false">L103+M103</f>
        <v>0</v>
      </c>
      <c r="P103" s="2" t="n">
        <f aca="false">IF( N103=0,I103*(1-G103/100)+J103*(1-H103/100),-N103)</f>
        <v>29.0675308767089</v>
      </c>
      <c r="Q103" s="47" t="n">
        <f aca="false">IF(P102&gt;0,Q102+P102*(1-V$20/100),Q102+P102)</f>
        <v>1882.68779498147</v>
      </c>
      <c r="R103" s="48" t="n">
        <f aca="false">R$4+Q103/V$28</f>
        <v>62.2694088360872</v>
      </c>
    </row>
    <row r="104" customFormat="false" ht="12.8" hidden="false" customHeight="false" outlineLevel="0" collapsed="false">
      <c r="A104" s="1" t="n">
        <v>100</v>
      </c>
      <c r="B104" s="37" t="n">
        <v>43645</v>
      </c>
      <c r="C104" s="38" t="n">
        <f aca="false">V$26-V$26*SIN(2*PI()/365*A104)</f>
        <v>0.160320792361381</v>
      </c>
      <c r="D104" s="2" t="n">
        <f aca="false">IF((E104+F104)&gt;C104,C104,E104+F104)</f>
        <v>0.160320792361381</v>
      </c>
      <c r="E104" s="38" t="n">
        <f aca="false">(V$23+V$24*SIN(2*PI()/365*A104))*V$25/100*V$7*V$8/100</f>
        <v>25.8405404888161</v>
      </c>
      <c r="F104" s="38" t="n">
        <f aca="false">(V$23+V$24*SIN(2*PI()/365*A104))*V$25/100*V$9*(1-V$14/100)*(1-V$16/100)</f>
        <v>5.47238732137875</v>
      </c>
      <c r="G104" s="38" t="n">
        <f aca="false">IF(C104&gt;E104,100,C104/E104*100)</f>
        <v>0.620423525702832</v>
      </c>
      <c r="H104" s="38" t="n">
        <f aca="false">L104/F104*100</f>
        <v>0</v>
      </c>
      <c r="I104" s="38" t="n">
        <f aca="false">(V$23+V$24*SIN(2*PI()/365*A104))*V$25/100*V$7*V$8/100*(1-V$15/100)</f>
        <v>22.9980810350463</v>
      </c>
      <c r="J104" s="38" t="n">
        <f aca="false">(V$23+V$24*SIN(2*PI()/365*A104))*V$25/100*V$9*(1-V$14/100)</f>
        <v>6.14874979930197</v>
      </c>
      <c r="K104" s="39" t="n">
        <f aca="false">IF(E104/C104*100&lt;100,E104/C104*100,100)</f>
        <v>100</v>
      </c>
      <c r="L104" s="2" t="n">
        <f aca="false">IF(((C104-E104)&gt;0)AND(F104&gt;(C104-E104)),(C104-E104),IF(C104&lt;E104,0,F104))</f>
        <v>0</v>
      </c>
      <c r="M104" s="2" t="n">
        <f aca="false">IF(C104&lt;(E104+F104),0,C104-E104-F104)</f>
        <v>0</v>
      </c>
      <c r="N104" s="2" t="n">
        <f aca="false">IF(C104&lt;(E104+F104),0,(C104-E104-F104)/(1-V$16/100))</f>
        <v>0</v>
      </c>
      <c r="O104" s="2" t="n">
        <f aca="false">L104+M104</f>
        <v>0</v>
      </c>
      <c r="P104" s="2" t="n">
        <f aca="false">IF( N104=0,I104*(1-G104/100)+J104*(1-H104/100),-N104)</f>
        <v>29.0041453291466</v>
      </c>
      <c r="Q104" s="47" t="n">
        <f aca="false">IF(P103&gt;0,Q103+P103*(1-V$20/100),Q103+P103)</f>
        <v>1909.72059869681</v>
      </c>
      <c r="R104" s="48" t="n">
        <f aca="false">R$4+Q104/V$28</f>
        <v>62.5891668753794</v>
      </c>
    </row>
    <row r="105" customFormat="false" ht="12.8" hidden="false" customHeight="false" outlineLevel="0" collapsed="false">
      <c r="A105" s="1" t="n">
        <v>101</v>
      </c>
      <c r="B105" s="37" t="n">
        <v>43646</v>
      </c>
      <c r="C105" s="38" t="n">
        <f aca="false">V$26-V$26*SIN(2*PI()/365*A105)</f>
        <v>0.198968574549982</v>
      </c>
      <c r="D105" s="2" t="n">
        <f aca="false">IF((E105+F105)&gt;C105,C105,E105+F105)</f>
        <v>0.198968574549982</v>
      </c>
      <c r="E105" s="38" t="n">
        <f aca="false">(V$23+V$24*SIN(2*PI()/365*A105))*V$25/100*V$7*V$8/100</f>
        <v>25.8080828127281</v>
      </c>
      <c r="F105" s="38" t="n">
        <f aca="false">(V$23+V$24*SIN(2*PI()/365*A105))*V$25/100*V$9*(1-V$14/100)*(1-V$16/100)</f>
        <v>5.46551358840934</v>
      </c>
      <c r="G105" s="38" t="n">
        <f aca="false">IF(C105&gt;E105,100,C105/E105*100)</f>
        <v>0.770954495123729</v>
      </c>
      <c r="H105" s="38" t="n">
        <f aca="false">L105/F105*100</f>
        <v>0</v>
      </c>
      <c r="I105" s="38" t="n">
        <f aca="false">(V$23+V$24*SIN(2*PI()/365*A105))*V$25/100*V$7*V$8/100*(1-V$15/100)</f>
        <v>22.969193703328</v>
      </c>
      <c r="J105" s="38" t="n">
        <f aca="false">(V$23+V$24*SIN(2*PI()/365*A105))*V$25/100*V$9*(1-V$14/100)</f>
        <v>6.14102650383072</v>
      </c>
      <c r="K105" s="39" t="n">
        <f aca="false">IF(E105/C105*100&lt;100,E105/C105*100,100)</f>
        <v>100</v>
      </c>
      <c r="L105" s="2" t="n">
        <f aca="false">IF(((C105-E105)&gt;0)AND(F105&gt;(C105-E105)),(C105-E105),IF(C105&lt;E105,0,F105))</f>
        <v>0</v>
      </c>
      <c r="M105" s="2" t="n">
        <f aca="false">IF(C105&lt;(E105+F105),0,C105-E105-F105)</f>
        <v>0</v>
      </c>
      <c r="N105" s="2" t="n">
        <f aca="false">IF(C105&lt;(E105+F105),0,(C105-E105-F105)/(1-V$16/100))</f>
        <v>0</v>
      </c>
      <c r="O105" s="2" t="n">
        <f aca="false">L105+M105</f>
        <v>0</v>
      </c>
      <c r="P105" s="2" t="n">
        <f aca="false">IF( N105=0,I105*(1-G105/100)+J105*(1-H105/100),-N105)</f>
        <v>28.9331381758092</v>
      </c>
      <c r="Q105" s="47" t="n">
        <f aca="false">IF(P104&gt;0,Q104+P104*(1-V$20/100),Q104+P104)</f>
        <v>1936.69445385291</v>
      </c>
      <c r="R105" s="48" t="n">
        <f aca="false">R$4+Q105/V$28</f>
        <v>62.9082276405035</v>
      </c>
    </row>
    <row r="106" customFormat="false" ht="12.8" hidden="false" customHeight="false" outlineLevel="0" collapsed="false">
      <c r="A106" s="1" t="n">
        <v>102</v>
      </c>
      <c r="B106" s="37" t="n">
        <v>43647</v>
      </c>
      <c r="C106" s="38" t="n">
        <f aca="false">V$26-V$26*SIN(2*PI()/365*A106)</f>
        <v>0.241753193099273</v>
      </c>
      <c r="D106" s="2" t="n">
        <f aca="false">IF((E106+F106)&gt;C106,C106,E106+F106)</f>
        <v>0.241753193099273</v>
      </c>
      <c r="E106" s="38" t="n">
        <f aca="false">(V$23+V$24*SIN(2*PI()/365*A106))*V$25/100*V$7*V$8/100</f>
        <v>25.7721508856735</v>
      </c>
      <c r="F106" s="38" t="n">
        <f aca="false">(V$23+V$24*SIN(2*PI()/365*A106))*V$25/100*V$9*(1-V$14/100)*(1-V$16/100)</f>
        <v>5.45790409501925</v>
      </c>
      <c r="G106" s="38" t="n">
        <f aca="false">IF(C106&gt;E106,100,C106/E106*100)</f>
        <v>0.938040422670584</v>
      </c>
      <c r="H106" s="38" t="n">
        <f aca="false">L106/F106*100</f>
        <v>0</v>
      </c>
      <c r="I106" s="38" t="n">
        <f aca="false">(V$23+V$24*SIN(2*PI()/365*A106))*V$25/100*V$7*V$8/100*(1-V$15/100)</f>
        <v>22.9372142882494</v>
      </c>
      <c r="J106" s="38" t="n">
        <f aca="false">(V$23+V$24*SIN(2*PI()/365*A106))*V$25/100*V$9*(1-V$14/100)</f>
        <v>6.13247651125759</v>
      </c>
      <c r="K106" s="39" t="n">
        <f aca="false">IF(E106/C106*100&lt;100,E106/C106*100,100)</f>
        <v>100</v>
      </c>
      <c r="L106" s="2" t="n">
        <f aca="false">IF(((C106-E106)&gt;0)AND(F106&gt;(C106-E106)),(C106-E106),IF(C106&lt;E106,0,F106))</f>
        <v>0</v>
      </c>
      <c r="M106" s="2" t="n">
        <f aca="false">IF(C106&lt;(E106+F106),0,C106-E106-F106)</f>
        <v>0</v>
      </c>
      <c r="N106" s="2" t="n">
        <f aca="false">IF(C106&lt;(E106+F106),0,(C106-E106-F106)/(1-V$16/100))</f>
        <v>0</v>
      </c>
      <c r="O106" s="2" t="n">
        <f aca="false">L106+M106</f>
        <v>0</v>
      </c>
      <c r="P106" s="2" t="n">
        <f aca="false">IF( N106=0,I106*(1-G106/100)+J106*(1-H106/100),-N106)</f>
        <v>28.8545304576487</v>
      </c>
      <c r="Q106" s="47" t="n">
        <f aca="false">IF(P105&gt;0,Q105+P105*(1-V$20/100),Q105+P105)</f>
        <v>1963.60227235641</v>
      </c>
      <c r="R106" s="48" t="n">
        <f aca="false">R$4+Q106/V$28</f>
        <v>63.2265072898108</v>
      </c>
    </row>
    <row r="107" customFormat="false" ht="12.8" hidden="false" customHeight="false" outlineLevel="0" collapsed="false">
      <c r="A107" s="1" t="n">
        <v>103</v>
      </c>
      <c r="B107" s="37" t="n">
        <v>43648</v>
      </c>
      <c r="C107" s="38" t="n">
        <f aca="false">V$26-V$26*SIN(2*PI()/365*A107)</f>
        <v>0.28866197000341</v>
      </c>
      <c r="D107" s="2" t="n">
        <f aca="false">IF((E107+F107)&gt;C107,C107,E107+F107)</f>
        <v>0.28866197000341</v>
      </c>
      <c r="E107" s="38" t="n">
        <f aca="false">(V$23+V$24*SIN(2*PI()/365*A107))*V$25/100*V$7*V$8/100</f>
        <v>25.7327553550579</v>
      </c>
      <c r="F107" s="38" t="n">
        <f aca="false">(V$23+V$24*SIN(2*PI()/365*A107))*V$25/100*V$9*(1-V$14/100)*(1-V$16/100)</f>
        <v>5.4495610960656</v>
      </c>
      <c r="G107" s="38" t="n">
        <f aca="false">IF(C107&gt;E107,100,C107/E107*100)</f>
        <v>1.12176860200349</v>
      </c>
      <c r="H107" s="38" t="n">
        <f aca="false">L107/F107*100</f>
        <v>0</v>
      </c>
      <c r="I107" s="38" t="n">
        <f aca="false">(V$23+V$24*SIN(2*PI()/365*A107))*V$25/100*V$7*V$8/100*(1-V$15/100)</f>
        <v>22.9021522660015</v>
      </c>
      <c r="J107" s="38" t="n">
        <f aca="false">(V$23+V$24*SIN(2*PI()/365*A107))*V$25/100*V$9*(1-V$14/100)</f>
        <v>6.12310235512988</v>
      </c>
      <c r="K107" s="39" t="n">
        <f aca="false">IF(E107/C107*100&lt;100,E107/C107*100,100)</f>
        <v>100</v>
      </c>
      <c r="L107" s="2" t="n">
        <f aca="false">IF(((C107-E107)&gt;0)AND(F107&gt;(C107-E107)),(C107-E107),IF(C107&lt;E107,0,F107))</f>
        <v>0</v>
      </c>
      <c r="M107" s="2" t="n">
        <f aca="false">IF(C107&lt;(E107+F107),0,C107-E107-F107)</f>
        <v>0</v>
      </c>
      <c r="N107" s="2" t="n">
        <f aca="false">IF(C107&lt;(E107+F107),0,(C107-E107-F107)/(1-V$16/100))</f>
        <v>0</v>
      </c>
      <c r="O107" s="2" t="n">
        <f aca="false">L107+M107</f>
        <v>0</v>
      </c>
      <c r="P107" s="2" t="n">
        <f aca="false">IF( N107=0,I107*(1-G107/100)+J107*(1-H107/100),-N107)</f>
        <v>28.7683454678284</v>
      </c>
      <c r="Q107" s="47" t="n">
        <f aca="false">IF(P106&gt;0,Q106+P106*(1-V$20/100),Q106+P106)</f>
        <v>1990.43698568203</v>
      </c>
      <c r="R107" s="48" t="n">
        <f aca="false">R$4+Q107/V$28</f>
        <v>63.5439222131136</v>
      </c>
    </row>
    <row r="108" customFormat="false" ht="12.8" hidden="false" customHeight="false" outlineLevel="0" collapsed="false">
      <c r="A108" s="1" t="n">
        <v>104</v>
      </c>
      <c r="B108" s="37" t="n">
        <v>43649</v>
      </c>
      <c r="C108" s="38" t="n">
        <f aca="false">V$26-V$26*SIN(2*PI()/365*A108)</f>
        <v>0.339681005179425</v>
      </c>
      <c r="D108" s="2" t="n">
        <f aca="false">IF((E108+F108)&gt;C108,C108,E108+F108)</f>
        <v>0.339681005179425</v>
      </c>
      <c r="E108" s="38" t="n">
        <f aca="false">(V$23+V$24*SIN(2*PI()/365*A108))*V$25/100*V$7*V$8/100</f>
        <v>25.6899078946271</v>
      </c>
      <c r="F108" s="38" t="n">
        <f aca="false">(V$23+V$24*SIN(2*PI()/365*A108))*V$25/100*V$9*(1-V$14/100)*(1-V$16/100)</f>
        <v>5.44048706375902</v>
      </c>
      <c r="G108" s="38" t="n">
        <f aca="false">IF(C108&gt;E108,100,C108/E108*100)</f>
        <v>1.32223520058033</v>
      </c>
      <c r="H108" s="38" t="n">
        <f aca="false">L108/F108*100</f>
        <v>0</v>
      </c>
      <c r="I108" s="38" t="n">
        <f aca="false">(V$23+V$24*SIN(2*PI()/365*A108))*V$25/100*V$7*V$8/100*(1-V$15/100)</f>
        <v>22.8640180262181</v>
      </c>
      <c r="J108" s="38" t="n">
        <f aca="false">(V$23+V$24*SIN(2*PI()/365*A108))*V$25/100*V$9*(1-V$14/100)</f>
        <v>6.11290681321238</v>
      </c>
      <c r="K108" s="39" t="n">
        <f aca="false">IF(E108/C108*100&lt;100,E108/C108*100,100)</f>
        <v>100</v>
      </c>
      <c r="L108" s="2" t="n">
        <f aca="false">IF(((C108-E108)&gt;0)AND(F108&gt;(C108-E108)),(C108-E108),IF(C108&lt;E108,0,F108))</f>
        <v>0</v>
      </c>
      <c r="M108" s="2" t="n">
        <f aca="false">IF(C108&lt;(E108+F108),0,C108-E108-F108)</f>
        <v>0</v>
      </c>
      <c r="N108" s="2" t="n">
        <f aca="false">IF(C108&lt;(E108+F108),0,(C108-E108-F108)/(1-V$16/100))</f>
        <v>0</v>
      </c>
      <c r="O108" s="2" t="n">
        <f aca="false">L108+M108</f>
        <v>0</v>
      </c>
      <c r="P108" s="2" t="n">
        <f aca="false">IF( N108=0,I108*(1-G108/100)+J108*(1-H108/100),-N108)</f>
        <v>28.6746087448208</v>
      </c>
      <c r="Q108" s="47" t="n">
        <f aca="false">IF(P107&gt;0,Q107+P107*(1-V$20/100),Q107+P107)</f>
        <v>2017.19154696711</v>
      </c>
      <c r="R108" s="48" t="n">
        <f aca="false">R$4+Q108/V$28</f>
        <v>63.8603890564617</v>
      </c>
    </row>
    <row r="109" customFormat="false" ht="12.8" hidden="false" customHeight="false" outlineLevel="0" collapsed="false">
      <c r="A109" s="1" t="n">
        <v>105</v>
      </c>
      <c r="B109" s="37" t="n">
        <v>43650</v>
      </c>
      <c r="C109" s="38" t="n">
        <f aca="false">V$26-V$26*SIN(2*PI()/365*A109)</f>
        <v>0.394795180586112</v>
      </c>
      <c r="D109" s="2" t="n">
        <f aca="false">IF((E109+F109)&gt;C109,C109,E109+F109)</f>
        <v>0.394795180586112</v>
      </c>
      <c r="E109" s="38" t="n">
        <f aca="false">(V$23+V$24*SIN(2*PI()/365*A109))*V$25/100*V$7*V$8/100</f>
        <v>25.6436212010083</v>
      </c>
      <c r="F109" s="38" t="n">
        <f aca="false">(V$23+V$24*SIN(2*PI()/365*A109))*V$25/100*V$9*(1-V$14/100)*(1-V$16/100)</f>
        <v>5.43068468693114</v>
      </c>
      <c r="G109" s="38" t="n">
        <f aca="false">IF(C109&gt;E109,100,C109/E109*100)</f>
        <v>1.53954536097495</v>
      </c>
      <c r="H109" s="38" t="n">
        <f aca="false">L109/F109*100</f>
        <v>0</v>
      </c>
      <c r="I109" s="38" t="n">
        <f aca="false">(V$23+V$24*SIN(2*PI()/365*A109))*V$25/100*V$7*V$8/100*(1-V$15/100)</f>
        <v>22.8228228688974</v>
      </c>
      <c r="J109" s="38" t="n">
        <f aca="false">(V$23+V$24*SIN(2*PI()/365*A109))*V$25/100*V$9*(1-V$14/100)</f>
        <v>6.1018929066642</v>
      </c>
      <c r="K109" s="39" t="n">
        <f aca="false">IF(E109/C109*100&lt;100,E109/C109*100,100)</f>
        <v>100</v>
      </c>
      <c r="L109" s="2" t="n">
        <f aca="false">IF(((C109-E109)&gt;0)AND(F109&gt;(C109-E109)),(C109-E109),IF(C109&lt;E109,0,F109))</f>
        <v>0</v>
      </c>
      <c r="M109" s="2" t="n">
        <f aca="false">IF(C109&lt;(E109+F109),0,C109-E109-F109)</f>
        <v>0</v>
      </c>
      <c r="N109" s="2" t="n">
        <f aca="false">IF(C109&lt;(E109+F109),0,(C109-E109-F109)/(1-V$16/100))</f>
        <v>0</v>
      </c>
      <c r="O109" s="2" t="n">
        <f aca="false">L109+M109</f>
        <v>0</v>
      </c>
      <c r="P109" s="2" t="n">
        <f aca="false">IF( N109=0,I109*(1-G109/100)+J109*(1-H109/100),-N109)</f>
        <v>28.57334806484</v>
      </c>
      <c r="Q109" s="47" t="n">
        <f aca="false">IF(P108&gt;0,Q108+P108*(1-V$20/100),Q108+P108)</f>
        <v>2043.85893309979</v>
      </c>
      <c r="R109" s="48" t="n">
        <f aca="false">R$4+Q109/V$28</f>
        <v>64.1758247468409</v>
      </c>
    </row>
    <row r="110" customFormat="false" ht="12.8" hidden="false" customHeight="false" outlineLevel="0" collapsed="false">
      <c r="A110" s="1" t="n">
        <v>106</v>
      </c>
      <c r="B110" s="37" t="n">
        <v>43651</v>
      </c>
      <c r="C110" s="38" t="n">
        <f aca="false">V$26-V$26*SIN(2*PI()/365*A110)</f>
        <v>0.453988164703834</v>
      </c>
      <c r="D110" s="2" t="n">
        <f aca="false">IF((E110+F110)&gt;C110,C110,E110+F110)</f>
        <v>0.453988164703834</v>
      </c>
      <c r="E110" s="38" t="n">
        <f aca="false">(V$23+V$24*SIN(2*PI()/365*A110))*V$25/100*V$7*V$8/100</f>
        <v>25.593908989948</v>
      </c>
      <c r="F110" s="38" t="n">
        <f aca="false">(V$23+V$24*SIN(2*PI()/365*A110))*V$25/100*V$9*(1-V$14/100)*(1-V$16/100)</f>
        <v>5.42015687023775</v>
      </c>
      <c r="G110" s="38" t="n">
        <f aca="false">IF(C110&gt;E110,100,C110/E110*100)</f>
        <v>1.77381331191784</v>
      </c>
      <c r="H110" s="38" t="n">
        <f aca="false">L110/F110*100</f>
        <v>0</v>
      </c>
      <c r="I110" s="38" t="n">
        <f aca="false">(V$23+V$24*SIN(2*PI()/365*A110))*V$25/100*V$7*V$8/100*(1-V$15/100)</f>
        <v>22.7785790010537</v>
      </c>
      <c r="J110" s="38" t="n">
        <f aca="false">(V$23+V$24*SIN(2*PI()/365*A110))*V$25/100*V$9*(1-V$14/100)</f>
        <v>6.09006389914353</v>
      </c>
      <c r="K110" s="39" t="n">
        <f aca="false">IF(E110/C110*100&lt;100,E110/C110*100,100)</f>
        <v>100</v>
      </c>
      <c r="L110" s="2" t="n">
        <f aca="false">IF(((C110-E110)&gt;0)AND(F110&gt;(C110-E110)),(C110-E110),IF(C110&lt;E110,0,F110))</f>
        <v>0</v>
      </c>
      <c r="M110" s="2" t="n">
        <f aca="false">IF(C110&lt;(E110+F110),0,C110-E110-F110)</f>
        <v>0</v>
      </c>
      <c r="N110" s="2" t="n">
        <f aca="false">IF(C110&lt;(E110+F110),0,(C110-E110-F110)/(1-V$16/100))</f>
        <v>0</v>
      </c>
      <c r="O110" s="2" t="n">
        <f aca="false">L110+M110</f>
        <v>0</v>
      </c>
      <c r="P110" s="2" t="n">
        <f aca="false">IF( N110=0,I110*(1-G110/100)+J110*(1-H110/100),-N110)</f>
        <v>28.4645934336108</v>
      </c>
      <c r="Q110" s="47" t="n">
        <f aca="false">IF(P109&gt;0,Q109+P109*(1-V$20/100),Q109+P109)</f>
        <v>2070.43214680009</v>
      </c>
      <c r="R110" s="48" t="n">
        <f aca="false">R$4+Q110/V$28</f>
        <v>64.4901465167903</v>
      </c>
    </row>
    <row r="111" customFormat="false" ht="12.8" hidden="false" customHeight="false" outlineLevel="0" collapsed="false">
      <c r="A111" s="1" t="n">
        <v>107</v>
      </c>
      <c r="B111" s="37" t="n">
        <v>43652</v>
      </c>
      <c r="C111" s="38" t="n">
        <f aca="false">V$26-V$26*SIN(2*PI()/365*A111)</f>
        <v>0.517242417373913</v>
      </c>
      <c r="D111" s="2" t="n">
        <f aca="false">IF((E111+F111)&gt;C111,C111,E111+F111)</f>
        <v>0.517242417373913</v>
      </c>
      <c r="E111" s="38" t="n">
        <f aca="false">(V$23+V$24*SIN(2*PI()/365*A111))*V$25/100*V$7*V$8/100</f>
        <v>25.540785992247</v>
      </c>
      <c r="F111" s="38" t="n">
        <f aca="false">(V$23+V$24*SIN(2*PI()/365*A111))*V$25/100*V$9*(1-V$14/100)*(1-V$16/100)</f>
        <v>5.40890673329814</v>
      </c>
      <c r="G111" s="38" t="n">
        <f aca="false">IF(C111&gt;E111,100,C111/E111*100)</f>
        <v>2.02516248924729</v>
      </c>
      <c r="H111" s="38" t="n">
        <f aca="false">L111/F111*100</f>
        <v>0</v>
      </c>
      <c r="I111" s="38" t="n">
        <f aca="false">(V$23+V$24*SIN(2*PI()/365*A111))*V$25/100*V$7*V$8/100*(1-V$15/100)</f>
        <v>22.7312995330998</v>
      </c>
      <c r="J111" s="38" t="n">
        <f aca="false">(V$23+V$24*SIN(2*PI()/365*A111))*V$25/100*V$9*(1-V$14/100)</f>
        <v>6.07742329584061</v>
      </c>
      <c r="K111" s="39" t="n">
        <f aca="false">IF(E111/C111*100&lt;100,E111/C111*100,100)</f>
        <v>100</v>
      </c>
      <c r="L111" s="2" t="n">
        <f aca="false">IF(((C111-E111)&gt;0)AND(F111&gt;(C111-E111)),(C111-E111),IF(C111&lt;E111,0,F111))</f>
        <v>0</v>
      </c>
      <c r="M111" s="2" t="n">
        <f aca="false">IF(C111&lt;(E111+F111),0,C111-E111-F111)</f>
        <v>0</v>
      </c>
      <c r="N111" s="2" t="n">
        <f aca="false">IF(C111&lt;(E111+F111),0,(C111-E111-F111)/(1-V$16/100))</f>
        <v>0</v>
      </c>
      <c r="O111" s="2" t="n">
        <f aca="false">L111+M111</f>
        <v>0</v>
      </c>
      <c r="P111" s="2" t="n">
        <f aca="false">IF( N111=0,I111*(1-G111/100)+J111*(1-H111/100),-N111)</f>
        <v>28.3483770774777</v>
      </c>
      <c r="Q111" s="47" t="n">
        <f aca="false">IF(P110&gt;0,Q110+P110*(1-V$20/100),Q110+P110)</f>
        <v>2096.90421869335</v>
      </c>
      <c r="R111" s="48" t="n">
        <f aca="false">R$4+Q111/V$28</f>
        <v>64.8032719289275</v>
      </c>
    </row>
    <row r="112" customFormat="false" ht="12.8" hidden="false" customHeight="false" outlineLevel="0" collapsed="false">
      <c r="A112" s="1" t="n">
        <v>108</v>
      </c>
      <c r="B112" s="37" t="n">
        <v>43653</v>
      </c>
      <c r="C112" s="38" t="n">
        <f aca="false">V$26-V$26*SIN(2*PI()/365*A112)</f>
        <v>0.584539194996141</v>
      </c>
      <c r="D112" s="2" t="n">
        <f aca="false">IF((E112+F112)&gt;C112,C112,E112+F112)</f>
        <v>0.584539194996141</v>
      </c>
      <c r="E112" s="38" t="n">
        <f aca="false">(V$23+V$24*SIN(2*PI()/365*A112))*V$25/100*V$7*V$8/100</f>
        <v>25.4842679493961</v>
      </c>
      <c r="F112" s="38" t="n">
        <f aca="false">(V$23+V$24*SIN(2*PI()/365*A112))*V$25/100*V$9*(1-V$14/100)*(1-V$16/100)</f>
        <v>5.39693760977071</v>
      </c>
      <c r="G112" s="38" t="n">
        <f aca="false">IF(C112&gt;E112,100,C112/E112*100)</f>
        <v>2.29372566697563</v>
      </c>
      <c r="H112" s="38" t="n">
        <f aca="false">L112/F112*100</f>
        <v>0</v>
      </c>
      <c r="I112" s="38" t="n">
        <f aca="false">(V$23+V$24*SIN(2*PI()/365*A112))*V$25/100*V$7*V$8/100*(1-V$15/100)</f>
        <v>22.6809984749625</v>
      </c>
      <c r="J112" s="38" t="n">
        <f aca="false">(V$23+V$24*SIN(2*PI()/365*A112))*V$25/100*V$9*(1-V$14/100)</f>
        <v>6.063974842439</v>
      </c>
      <c r="K112" s="39" t="n">
        <f aca="false">IF(E112/C112*100&lt;100,E112/C112*100,100)</f>
        <v>100</v>
      </c>
      <c r="L112" s="2" t="n">
        <f aca="false">IF(((C112-E112)&gt;0)AND(F112&gt;(C112-E112)),(C112-E112),IF(C112&lt;E112,0,F112))</f>
        <v>0</v>
      </c>
      <c r="M112" s="2" t="n">
        <f aca="false">IF(C112&lt;(E112+F112),0,C112-E112-F112)</f>
        <v>0</v>
      </c>
      <c r="N112" s="2" t="n">
        <f aca="false">IF(C112&lt;(E112+F112),0,(C112-E112-F112)/(1-V$16/100))</f>
        <v>0</v>
      </c>
      <c r="O112" s="2" t="n">
        <f aca="false">L112+M112</f>
        <v>0</v>
      </c>
      <c r="P112" s="2" t="n">
        <f aca="false">IF( N112=0,I112*(1-G112/100)+J112*(1-H112/100),-N112)</f>
        <v>28.224733433855</v>
      </c>
      <c r="Q112" s="47" t="n">
        <f aca="false">IF(P111&gt;0,Q111+P111*(1-V$20/100),Q111+P111)</f>
        <v>2123.2682093754</v>
      </c>
      <c r="R112" s="48" t="n">
        <f aca="false">R$4+Q112/V$28</f>
        <v>65.1151189003768</v>
      </c>
    </row>
    <row r="113" customFormat="false" ht="12.8" hidden="false" customHeight="false" outlineLevel="0" collapsed="false">
      <c r="A113" s="1" t="n">
        <v>109</v>
      </c>
      <c r="B113" s="37" t="n">
        <v>43654</v>
      </c>
      <c r="C113" s="38" t="n">
        <f aca="false">V$26-V$26*SIN(2*PI()/365*A113)</f>
        <v>0.655858556082926</v>
      </c>
      <c r="D113" s="2" t="n">
        <f aca="false">IF((E113+F113)&gt;C113,C113,E113+F113)</f>
        <v>0.655858556082926</v>
      </c>
      <c r="E113" s="38" t="n">
        <f aca="false">(V$23+V$24*SIN(2*PI()/365*A113))*V$25/100*V$7*V$8/100</f>
        <v>25.4243716089111</v>
      </c>
      <c r="F113" s="38" t="n">
        <f aca="false">(V$23+V$24*SIN(2*PI()/365*A113))*V$25/100*V$9*(1-V$14/100)*(1-V$16/100)</f>
        <v>5.38425304636505</v>
      </c>
      <c r="G113" s="38" t="n">
        <f aca="false">IF(C113&gt;E113,100,C113/E113*100)</f>
        <v>2.57964509869361</v>
      </c>
      <c r="H113" s="38" t="n">
        <f aca="false">L113/F113*100</f>
        <v>0</v>
      </c>
      <c r="I113" s="38" t="n">
        <f aca="false">(V$23+V$24*SIN(2*PI()/365*A113))*V$25/100*V$7*V$8/100*(1-V$15/100)</f>
        <v>22.6276907319309</v>
      </c>
      <c r="J113" s="38" t="n">
        <f aca="false">(V$23+V$24*SIN(2*PI()/365*A113))*V$25/100*V$9*(1-V$14/100)</f>
        <v>6.04972252400567</v>
      </c>
      <c r="K113" s="39" t="n">
        <f aca="false">IF(E113/C113*100&lt;100,E113/C113*100,100)</f>
        <v>100</v>
      </c>
      <c r="L113" s="2" t="n">
        <f aca="false">IF(((C113-E113)&gt;0)AND(F113&gt;(C113-E113)),(C113-E113),IF(C113&lt;E113,0,F113))</f>
        <v>0</v>
      </c>
      <c r="M113" s="2" t="n">
        <f aca="false">IF(C113&lt;(E113+F113),0,C113-E113-F113)</f>
        <v>0</v>
      </c>
      <c r="N113" s="2" t="n">
        <f aca="false">IF(C113&lt;(E113+F113),0,(C113-E113-F113)/(1-V$16/100))</f>
        <v>0</v>
      </c>
      <c r="O113" s="2" t="n">
        <f aca="false">L113+M113</f>
        <v>0</v>
      </c>
      <c r="P113" s="2" t="n">
        <f aca="false">IF( N113=0,I113*(1-G113/100)+J113*(1-H113/100),-N113)</f>
        <v>28.0936991410228</v>
      </c>
      <c r="Q113" s="47" t="n">
        <f aca="false">IF(P112&gt;0,Q112+P112*(1-V$20/100),Q112+P112)</f>
        <v>2149.51721146889</v>
      </c>
      <c r="R113" s="48" t="n">
        <f aca="false">R$4+Q113/V$28</f>
        <v>65.4256057270919</v>
      </c>
    </row>
    <row r="114" customFormat="false" ht="12.8" hidden="false" customHeight="false" outlineLevel="0" collapsed="false">
      <c r="A114" s="1" t="n">
        <v>110</v>
      </c>
      <c r="B114" s="37" t="n">
        <v>43655</v>
      </c>
      <c r="C114" s="38" t="n">
        <f aca="false">V$26-V$26*SIN(2*PI()/365*A114)</f>
        <v>0.73117936716838</v>
      </c>
      <c r="D114" s="2" t="n">
        <f aca="false">IF((E114+F114)&gt;C114,C114,E114+F114)</f>
        <v>0.73117936716838</v>
      </c>
      <c r="E114" s="38" t="n">
        <f aca="false">(V$23+V$24*SIN(2*PI()/365*A114))*V$25/100*V$7*V$8/100</f>
        <v>25.3611147193705</v>
      </c>
      <c r="F114" s="38" t="n">
        <f aca="false">(V$23+V$24*SIN(2*PI()/365*A114))*V$25/100*V$9*(1-V$14/100)*(1-V$16/100)</f>
        <v>5.37085680179106</v>
      </c>
      <c r="G114" s="38" t="n">
        <f aca="false">IF(C114&gt;E114,100,C114/E114*100)</f>
        <v>2.88307266955389</v>
      </c>
      <c r="H114" s="38" t="n">
        <f aca="false">L114/F114*100</f>
        <v>0</v>
      </c>
      <c r="I114" s="38" t="n">
        <f aca="false">(V$23+V$24*SIN(2*PI()/365*A114))*V$25/100*V$7*V$8/100*(1-V$15/100)</f>
        <v>22.5713921002397</v>
      </c>
      <c r="J114" s="38" t="n">
        <f aca="false">(V$23+V$24*SIN(2*PI()/365*A114))*V$25/100*V$9*(1-V$14/100)</f>
        <v>6.03467056381018</v>
      </c>
      <c r="K114" s="39" t="n">
        <f aca="false">IF(E114/C114*100&lt;100,E114/C114*100,100)</f>
        <v>100</v>
      </c>
      <c r="L114" s="2" t="n">
        <f aca="false">IF(((C114-E114)&gt;0)AND(F114&gt;(C114-E114)),(C114-E114),IF(C114&lt;E114,0,F114))</f>
        <v>0</v>
      </c>
      <c r="M114" s="2" t="n">
        <f aca="false">IF(C114&lt;(E114+F114),0,C114-E114-F114)</f>
        <v>0</v>
      </c>
      <c r="N114" s="2" t="n">
        <f aca="false">IF(C114&lt;(E114+F114),0,(C114-E114-F114)/(1-V$16/100))</f>
        <v>0</v>
      </c>
      <c r="O114" s="2" t="n">
        <f aca="false">L114+M114</f>
        <v>0</v>
      </c>
      <c r="P114" s="2" t="n">
        <f aca="false">IF( N114=0,I114*(1-G114/100)+J114*(1-H114/100),-N114)</f>
        <v>27.95531302727</v>
      </c>
      <c r="Q114" s="47" t="n">
        <f aca="false">IF(P113&gt;0,Q113+P113*(1-V$20/100),Q113+P113)</f>
        <v>2175.64435167004</v>
      </c>
      <c r="R114" s="48" t="n">
        <f aca="false">R$4+Q114/V$28</f>
        <v>65.734651108067</v>
      </c>
    </row>
    <row r="115" customFormat="false" ht="12.8" hidden="false" customHeight="false" outlineLevel="0" collapsed="false">
      <c r="A115" s="1" t="n">
        <v>111</v>
      </c>
      <c r="B115" s="37" t="n">
        <v>43656</v>
      </c>
      <c r="C115" s="38" t="n">
        <f aca="false">V$26-V$26*SIN(2*PI()/365*A115)</f>
        <v>0.810479309070622</v>
      </c>
      <c r="D115" s="2" t="n">
        <f aca="false">IF((E115+F115)&gt;C115,C115,E115+F115)</f>
        <v>0.810479309070622</v>
      </c>
      <c r="E115" s="38" t="n">
        <f aca="false">(V$23+V$24*SIN(2*PI()/365*A115))*V$25/100*V$7*V$8/100</f>
        <v>25.2945160251557</v>
      </c>
      <c r="F115" s="38" t="n">
        <f aca="false">(V$23+V$24*SIN(2*PI()/365*A115))*V$25/100*V$9*(1-V$14/100)*(1-V$16/100)</f>
        <v>5.35675284564512</v>
      </c>
      <c r="G115" s="38" t="n">
        <f aca="false">IF(C115&gt;E115,100,C115/E115*100)</f>
        <v>3.20417005909341</v>
      </c>
      <c r="H115" s="38" t="n">
        <f aca="false">L115/F115*100</f>
        <v>0</v>
      </c>
      <c r="I115" s="38" t="n">
        <f aca="false">(V$23+V$24*SIN(2*PI()/365*A115))*V$25/100*V$7*V$8/100*(1-V$15/100)</f>
        <v>22.5121192623885</v>
      </c>
      <c r="J115" s="38" t="n">
        <f aca="false">(V$23+V$24*SIN(2*PI()/365*A115))*V$25/100*V$9*(1-V$14/100)</f>
        <v>6.01882342207317</v>
      </c>
      <c r="K115" s="39" t="n">
        <f aca="false">IF(E115/C115*100&lt;100,E115/C115*100,100)</f>
        <v>100</v>
      </c>
      <c r="L115" s="2" t="n">
        <f aca="false">IF(((C115-E115)&gt;0)AND(F115&gt;(C115-E115)),(C115-E115),IF(C115&lt;E115,0,F115))</f>
        <v>0</v>
      </c>
      <c r="M115" s="2" t="n">
        <f aca="false">IF(C115&lt;(E115+F115),0,C115-E115-F115)</f>
        <v>0</v>
      </c>
      <c r="N115" s="2" t="n">
        <f aca="false">IF(C115&lt;(E115+F115),0,(C115-E115-F115)/(1-V$16/100))</f>
        <v>0</v>
      </c>
      <c r="O115" s="2" t="n">
        <f aca="false">L115+M115</f>
        <v>0</v>
      </c>
      <c r="P115" s="2" t="n">
        <f aca="false">IF( N115=0,I115*(1-G115/100)+J115*(1-H115/100),-N115)</f>
        <v>27.8096160993889</v>
      </c>
      <c r="Q115" s="47" t="n">
        <f aca="false">IF(P114&gt;0,Q114+P114*(1-V$20/100),Q114+P114)</f>
        <v>2201.6427927854</v>
      </c>
      <c r="R115" s="48" t="n">
        <f aca="false">R$4+Q115/V$28</f>
        <v>66.0421741694276</v>
      </c>
    </row>
    <row r="116" customFormat="false" ht="12.8" hidden="false" customHeight="false" outlineLevel="0" collapsed="false">
      <c r="A116" s="1" t="n">
        <v>112</v>
      </c>
      <c r="B116" s="37" t="n">
        <v>43657</v>
      </c>
      <c r="C116" s="38" t="n">
        <f aca="false">V$26-V$26*SIN(2*PI()/365*A116)</f>
        <v>0.893734883505436</v>
      </c>
      <c r="D116" s="2" t="n">
        <f aca="false">IF((E116+F116)&gt;C116,C116,E116+F116)</f>
        <v>0.893734883505436</v>
      </c>
      <c r="E116" s="38" t="n">
        <f aca="false">(V$23+V$24*SIN(2*PI()/365*A116))*V$25/100*V$7*V$8/100</f>
        <v>25.2245952608971</v>
      </c>
      <c r="F116" s="38" t="n">
        <f aca="false">(V$23+V$24*SIN(2*PI()/365*A116))*V$25/100*V$9*(1-V$14/100)*(1-V$16/100)</f>
        <v>5.34194535723384</v>
      </c>
      <c r="G116" s="38" t="n">
        <f aca="false">IF(C116&gt;E116,100,C116/E116*100)</f>
        <v>3.54310891517413</v>
      </c>
      <c r="H116" s="38" t="n">
        <f aca="false">L116/F116*100</f>
        <v>0</v>
      </c>
      <c r="I116" s="38" t="n">
        <f aca="false">(V$23+V$24*SIN(2*PI()/365*A116))*V$25/100*V$7*V$8/100*(1-V$15/100)</f>
        <v>22.4498897821984</v>
      </c>
      <c r="J116" s="38" t="n">
        <f aca="false">(V$23+V$24*SIN(2*PI()/365*A116))*V$25/100*V$9*(1-V$14/100)</f>
        <v>6.00218579464476</v>
      </c>
      <c r="K116" s="39" t="n">
        <f aca="false">IF(E116/C116*100&lt;100,E116/C116*100,100)</f>
        <v>100</v>
      </c>
      <c r="L116" s="2" t="n">
        <f aca="false">IF(((C116-E116)&gt;0)AND(F116&gt;(C116-E116)),(C116-E116),IF(C116&lt;E116,0,F116))</f>
        <v>0</v>
      </c>
      <c r="M116" s="2" t="n">
        <f aca="false">IF(C116&lt;(E116+F116),0,C116-E116-F116)</f>
        <v>0</v>
      </c>
      <c r="N116" s="2" t="n">
        <f aca="false">IF(C116&lt;(E116+F116),0,(C116-E116-F116)/(1-V$16/100))</f>
        <v>0</v>
      </c>
      <c r="O116" s="2" t="n">
        <f aca="false">L116+M116</f>
        <v>0</v>
      </c>
      <c r="P116" s="2" t="n">
        <f aca="false">IF( N116=0,I116*(1-G116/100)+J116*(1-H116/100),-N116)</f>
        <v>27.6566515305234</v>
      </c>
      <c r="Q116" s="47" t="n">
        <f aca="false">IF(P115&gt;0,Q115+P115*(1-V$20/100),Q115+P115)</f>
        <v>2227.50573575783</v>
      </c>
      <c r="R116" s="48" t="n">
        <f aca="false">R$4+Q116/V$28</f>
        <v>66.3480944883954</v>
      </c>
    </row>
    <row r="117" customFormat="false" ht="12.8" hidden="false" customHeight="false" outlineLevel="0" collapsed="false">
      <c r="A117" s="1" t="n">
        <v>113</v>
      </c>
      <c r="B117" s="37" t="n">
        <v>43658</v>
      </c>
      <c r="C117" s="38" t="n">
        <f aca="false">V$26-V$26*SIN(2*PI()/365*A117)</f>
        <v>0.98092142004931</v>
      </c>
      <c r="D117" s="2" t="n">
        <f aca="false">IF((E117+F117)&gt;C117,C117,E117+F117)</f>
        <v>0.98092142004931</v>
      </c>
      <c r="E117" s="38" t="n">
        <f aca="false">(V$23+V$24*SIN(2*PI()/365*A117))*V$25/100*V$7*V$8/100</f>
        <v>25.1513731456263</v>
      </c>
      <c r="F117" s="38" t="n">
        <f aca="false">(V$23+V$24*SIN(2*PI()/365*A117))*V$25/100*V$9*(1-V$14/100)*(1-V$16/100)</f>
        <v>5.32643872433559</v>
      </c>
      <c r="G117" s="38" t="n">
        <f aca="false">IF(C117&gt;E117,100,C117/E117*100)</f>
        <v>3.90007103934159</v>
      </c>
      <c r="H117" s="38" t="n">
        <f aca="false">L117/F117*100</f>
        <v>0</v>
      </c>
      <c r="I117" s="38" t="n">
        <f aca="false">(V$23+V$24*SIN(2*PI()/365*A117))*V$25/100*V$7*V$8/100*(1-V$15/100)</f>
        <v>22.3847220996074</v>
      </c>
      <c r="J117" s="38" t="n">
        <f aca="false">(V$23+V$24*SIN(2*PI()/365*A117))*V$25/100*V$9*(1-V$14/100)</f>
        <v>5.98476261161302</v>
      </c>
      <c r="K117" s="39" t="n">
        <f aca="false">IF(E117/C117*100&lt;100,E117/C117*100,100)</f>
        <v>100</v>
      </c>
      <c r="L117" s="2" t="n">
        <f aca="false">IF(((C117-E117)&gt;0)AND(F117&gt;(C117-E117)),(C117-E117),IF(C117&lt;E117,0,F117))</f>
        <v>0</v>
      </c>
      <c r="M117" s="2" t="n">
        <f aca="false">IF(C117&lt;(E117+F117),0,C117-E117-F117)</f>
        <v>0</v>
      </c>
      <c r="N117" s="2" t="n">
        <f aca="false">IF(C117&lt;(E117+F117),0,(C117-E117-F117)/(1-V$16/100))</f>
        <v>0</v>
      </c>
      <c r="O117" s="2" t="n">
        <f aca="false">L117+M117</f>
        <v>0</v>
      </c>
      <c r="P117" s="2" t="n">
        <f aca="false">IF( N117=0,I117*(1-G117/100)+J117*(1-H117/100),-N117)</f>
        <v>27.4964646473766</v>
      </c>
      <c r="Q117" s="47" t="n">
        <f aca="false">IF(P116&gt;0,Q116+P116*(1-V$20/100),Q116+P116)</f>
        <v>2253.22642168122</v>
      </c>
      <c r="R117" s="48" t="n">
        <f aca="false">R$4+Q117/V$28</f>
        <v>66.6523321171192</v>
      </c>
    </row>
    <row r="118" customFormat="false" ht="12.8" hidden="false" customHeight="false" outlineLevel="0" collapsed="false">
      <c r="A118" s="1" t="n">
        <v>114</v>
      </c>
      <c r="B118" s="37" t="n">
        <v>43659</v>
      </c>
      <c r="C118" s="38" t="n">
        <f aca="false">V$26-V$26*SIN(2*PI()/365*A118)</f>
        <v>1.07201308344983</v>
      </c>
      <c r="D118" s="2" t="n">
        <f aca="false">IF((E118+F118)&gt;C118,C118,E118+F118)</f>
        <v>1.07201308344983</v>
      </c>
      <c r="E118" s="38" t="n">
        <f aca="false">(V$23+V$24*SIN(2*PI()/365*A118))*V$25/100*V$7*V$8/100</f>
        <v>25.0748713766363</v>
      </c>
      <c r="F118" s="38" t="n">
        <f aca="false">(V$23+V$24*SIN(2*PI()/365*A118))*V$25/100*V$9*(1-V$14/100)*(1-V$16/100)</f>
        <v>5.31023754190036</v>
      </c>
      <c r="G118" s="38" t="n">
        <f aca="false">IF(C118&gt;E118,100,C118/E118*100)</f>
        <v>4.27524858392169</v>
      </c>
      <c r="H118" s="38" t="n">
        <f aca="false">L118/F118*100</f>
        <v>0</v>
      </c>
      <c r="I118" s="38" t="n">
        <f aca="false">(V$23+V$24*SIN(2*PI()/365*A118))*V$25/100*V$7*V$8/100*(1-V$15/100)</f>
        <v>22.3166355252063</v>
      </c>
      <c r="J118" s="38" t="n">
        <f aca="false">(V$23+V$24*SIN(2*PI()/365*A118))*V$25/100*V$9*(1-V$14/100)</f>
        <v>5.9665590358431</v>
      </c>
      <c r="K118" s="39" t="n">
        <f aca="false">IF(E118/C118*100&lt;100,E118/C118*100,100)</f>
        <v>100</v>
      </c>
      <c r="L118" s="2" t="n">
        <f aca="false">IF(((C118-E118)&gt;0)AND(F118&gt;(C118-E118)),(C118-E118),IF(C118&lt;E118,0,F118))</f>
        <v>0</v>
      </c>
      <c r="M118" s="2" t="n">
        <f aca="false">IF(C118&lt;(E118+F118),0,C118-E118-F118)</f>
        <v>0</v>
      </c>
      <c r="N118" s="2" t="n">
        <f aca="false">IF(C118&lt;(E118+F118),0,(C118-E118-F118)/(1-V$16/100))</f>
        <v>0</v>
      </c>
      <c r="O118" s="2" t="n">
        <f aca="false">L118+M118</f>
        <v>0</v>
      </c>
      <c r="P118" s="2" t="n">
        <f aca="false">IF( N118=0,I118*(1-G118/100)+J118*(1-H118/100),-N118)</f>
        <v>27.329102916779</v>
      </c>
      <c r="Q118" s="47" t="n">
        <f aca="false">IF(P117&gt;0,Q117+P117*(1-V$20/100),Q117+P117)</f>
        <v>2278.79813380328</v>
      </c>
      <c r="R118" s="48" t="n">
        <f aca="false">R$4+Q118/V$28</f>
        <v>66.9548076063654</v>
      </c>
    </row>
    <row r="119" customFormat="false" ht="12.8" hidden="false" customHeight="false" outlineLevel="0" collapsed="false">
      <c r="A119" s="1" t="n">
        <v>115</v>
      </c>
      <c r="B119" s="37" t="n">
        <v>43660</v>
      </c>
      <c r="C119" s="38" t="n">
        <f aca="false">V$26-V$26*SIN(2*PI()/365*A119)</f>
        <v>1.16698288128121</v>
      </c>
      <c r="D119" s="2" t="n">
        <f aca="false">IF((E119+F119)&gt;C119,C119,E119+F119)</f>
        <v>1.16698288128121</v>
      </c>
      <c r="E119" s="38" t="n">
        <f aca="false">(V$23+V$24*SIN(2*PI()/365*A119))*V$25/100*V$7*V$8/100</f>
        <v>24.9951126230522</v>
      </c>
      <c r="F119" s="38" t="n">
        <f aca="false">(V$23+V$24*SIN(2*PI()/365*A119))*V$25/100*V$9*(1-V$14/100)*(1-V$16/100)</f>
        <v>5.29334661068816</v>
      </c>
      <c r="G119" s="38" t="n">
        <f aca="false">IF(C119&gt;E119,100,C119/E119*100)</f>
        <v>4.66884426119743</v>
      </c>
      <c r="H119" s="38" t="n">
        <f aca="false">L119/F119*100</f>
        <v>0</v>
      </c>
      <c r="I119" s="38" t="n">
        <f aca="false">(V$23+V$24*SIN(2*PI()/365*A119))*V$25/100*V$7*V$8/100*(1-V$15/100)</f>
        <v>22.2456502345164</v>
      </c>
      <c r="J119" s="38" t="n">
        <f aca="false">(V$23+V$24*SIN(2*PI()/365*A119))*V$25/100*V$9*(1-V$14/100)</f>
        <v>5.94758046144737</v>
      </c>
      <c r="K119" s="39" t="n">
        <f aca="false">IF(E119/C119*100&lt;100,E119/C119*100,100)</f>
        <v>100</v>
      </c>
      <c r="L119" s="2" t="n">
        <f aca="false">IF(((C119-E119)&gt;0)AND(F119&gt;(C119-E119)),(C119-E119),IF(C119&lt;E119,0,F119))</f>
        <v>0</v>
      </c>
      <c r="M119" s="2" t="n">
        <f aca="false">IF(C119&lt;(E119+F119),0,C119-E119-F119)</f>
        <v>0</v>
      </c>
      <c r="N119" s="2" t="n">
        <f aca="false">IF(C119&lt;(E119+F119),0,(C119-E119-F119)/(1-V$16/100))</f>
        <v>0</v>
      </c>
      <c r="O119" s="2" t="n">
        <f aca="false">L119+M119</f>
        <v>0</v>
      </c>
      <c r="P119" s="2" t="n">
        <f aca="false">IF( N119=0,I119*(1-G119/100)+J119*(1-H119/100),-N119)</f>
        <v>27.1546159316235</v>
      </c>
      <c r="Q119" s="47" t="n">
        <f aca="false">IF(P118&gt;0,Q118+P118*(1-V$20/100),Q118+P118)</f>
        <v>2304.21419951589</v>
      </c>
      <c r="R119" s="48" t="n">
        <f aca="false">R$4+Q119/V$28</f>
        <v>67.2554420290602</v>
      </c>
    </row>
    <row r="120" customFormat="false" ht="12.8" hidden="false" customHeight="false" outlineLevel="0" collapsed="false">
      <c r="A120" s="1" t="n">
        <v>116</v>
      </c>
      <c r="B120" s="37" t="n">
        <v>43661</v>
      </c>
      <c r="C120" s="38" t="n">
        <f aca="false">V$26-V$26*SIN(2*PI()/365*A120)</f>
        <v>1.26580267194273</v>
      </c>
      <c r="D120" s="2" t="n">
        <f aca="false">IF((E120+F120)&gt;C120,C120,E120+F120)</f>
        <v>1.26580267194273</v>
      </c>
      <c r="E120" s="38" t="n">
        <f aca="false">(V$23+V$24*SIN(2*PI()/365*A120))*V$25/100*V$7*V$8/100</f>
        <v>24.912120519114</v>
      </c>
      <c r="F120" s="38" t="n">
        <f aca="false">(V$23+V$24*SIN(2*PI()/365*A120))*V$25/100*V$9*(1-V$14/100)*(1-V$16/100)</f>
        <v>5.27577093584645</v>
      </c>
      <c r="G120" s="38" t="n">
        <f aca="false">IF(C120&gt;E120,100,C120/E120*100)</f>
        <v>5.0810715650301</v>
      </c>
      <c r="H120" s="38" t="n">
        <f aca="false">L120/F120*100</f>
        <v>0</v>
      </c>
      <c r="I120" s="38" t="n">
        <f aca="false">(V$23+V$24*SIN(2*PI()/365*A120))*V$25/100*V$7*V$8/100*(1-V$15/100)</f>
        <v>22.1717872620115</v>
      </c>
      <c r="J120" s="38" t="n">
        <f aca="false">(V$23+V$24*SIN(2*PI()/365*A120))*V$25/100*V$9*(1-V$14/100)</f>
        <v>5.92783251218702</v>
      </c>
      <c r="K120" s="39" t="n">
        <f aca="false">IF(E120/C120*100&lt;100,E120/C120*100,100)</f>
        <v>100</v>
      </c>
      <c r="L120" s="2" t="n">
        <f aca="false">IF(((C120-E120)&gt;0)AND(F120&gt;(C120-E120)),(C120-E120),IF(C120&lt;E120,0,F120))</f>
        <v>0</v>
      </c>
      <c r="M120" s="2" t="n">
        <f aca="false">IF(C120&lt;(E120+F120),0,C120-E120-F120)</f>
        <v>0</v>
      </c>
      <c r="N120" s="2" t="n">
        <f aca="false">IF(C120&lt;(E120+F120),0,(C120-E120-F120)/(1-V$16/100))</f>
        <v>0</v>
      </c>
      <c r="O120" s="2" t="n">
        <f aca="false">L120+M120</f>
        <v>0</v>
      </c>
      <c r="P120" s="2" t="n">
        <f aca="false">IF( N120=0,I120*(1-G120/100)+J120*(1-H120/100),-N120)</f>
        <v>26.9730553961695</v>
      </c>
      <c r="Q120" s="47" t="n">
        <f aca="false">IF(P119&gt;0,Q119+P119*(1-V$20/100),Q119+P119)</f>
        <v>2329.46799233229</v>
      </c>
      <c r="R120" s="48" t="n">
        <f aca="false">R$4+Q120/V$28</f>
        <v>67.5541570036777</v>
      </c>
    </row>
    <row r="121" customFormat="false" ht="12.8" hidden="false" customHeight="false" outlineLevel="0" collapsed="false">
      <c r="A121" s="1" t="n">
        <v>117</v>
      </c>
      <c r="B121" s="37" t="n">
        <v>43662</v>
      </c>
      <c r="C121" s="38" t="n">
        <f aca="false">V$26-V$26*SIN(2*PI()/365*A121)</f>
        <v>1.36844317299773</v>
      </c>
      <c r="D121" s="2" t="n">
        <f aca="false">IF((E121+F121)&gt;C121,C121,E121+F121)</f>
        <v>1.36844317299773</v>
      </c>
      <c r="E121" s="38" t="n">
        <f aca="false">(V$23+V$24*SIN(2*PI()/365*A121))*V$25/100*V$7*V$8/100</f>
        <v>24.8259196571734</v>
      </c>
      <c r="F121" s="38" t="n">
        <f aca="false">(V$23+V$24*SIN(2*PI()/365*A121))*V$25/100*V$9*(1-V$14/100)*(1-V$16/100)</f>
        <v>5.25751572542699</v>
      </c>
      <c r="G121" s="38" t="n">
        <f aca="false">IF(C121&gt;E121,100,C121/E121*100)</f>
        <v>5.51215500531243</v>
      </c>
      <c r="H121" s="38" t="n">
        <f aca="false">L121/F121*100</f>
        <v>0</v>
      </c>
      <c r="I121" s="38" t="n">
        <f aca="false">(V$23+V$24*SIN(2*PI()/365*A121))*V$25/100*V$7*V$8/100*(1-V$15/100)</f>
        <v>22.0950684948843</v>
      </c>
      <c r="J121" s="38" t="n">
        <f aca="false">(V$23+V$24*SIN(2*PI()/365*A121))*V$25/100*V$9*(1-V$14/100)</f>
        <v>5.90732103980561</v>
      </c>
      <c r="K121" s="39" t="n">
        <f aca="false">IF(E121/C121*100&lt;100,E121/C121*100,100)</f>
        <v>100</v>
      </c>
      <c r="L121" s="2" t="n">
        <f aca="false">IF(((C121-E121)&gt;0)AND(F121&gt;(C121-E121)),(C121-E121),IF(C121&lt;E121,0,F121))</f>
        <v>0</v>
      </c>
      <c r="M121" s="2" t="n">
        <f aca="false">IF(C121&lt;(E121+F121),0,C121-E121-F121)</f>
        <v>0</v>
      </c>
      <c r="N121" s="2" t="n">
        <f aca="false">IF(C121&lt;(E121+F121),0,(C121-E121-F121)/(1-V$16/100))</f>
        <v>0</v>
      </c>
      <c r="O121" s="2" t="n">
        <f aca="false">L121+M121</f>
        <v>0</v>
      </c>
      <c r="P121" s="2" t="n">
        <f aca="false">IF( N121=0,I121*(1-G121/100)+J121*(1-H121/100),-N121)</f>
        <v>26.784475110722</v>
      </c>
      <c r="Q121" s="47" t="n">
        <f aca="false">IF(P120&gt;0,Q120+P120*(1-V$20/100),Q120+P120)</f>
        <v>2354.55293385073</v>
      </c>
      <c r="R121" s="48" t="n">
        <f aca="false">R$4+Q121/V$28</f>
        <v>67.8508747174657</v>
      </c>
    </row>
    <row r="122" customFormat="false" ht="12.8" hidden="false" customHeight="false" outlineLevel="0" collapsed="false">
      <c r="A122" s="1" t="n">
        <v>118</v>
      </c>
      <c r="B122" s="37" t="n">
        <v>43663</v>
      </c>
      <c r="C122" s="38" t="n">
        <f aca="false">V$26-V$26*SIN(2*PI()/365*A122)</f>
        <v>1.47487396985056</v>
      </c>
      <c r="D122" s="2" t="n">
        <f aca="false">IF((E122+F122)&gt;C122,C122,E122+F122)</f>
        <v>1.47487396985056</v>
      </c>
      <c r="E122" s="38" t="n">
        <f aca="false">(V$23+V$24*SIN(2*PI()/365*A122))*V$25/100*V$7*V$8/100</f>
        <v>24.736535580406</v>
      </c>
      <c r="F122" s="38" t="n">
        <f aca="false">(V$23+V$24*SIN(2*PI()/365*A122))*V$25/100*V$9*(1-V$14/100)*(1-V$16/100)</f>
        <v>5.23858638884261</v>
      </c>
      <c r="G122" s="38" t="n">
        <f aca="false">IF(C122&gt;E122,100,C122/E122*100)</f>
        <v>5.96233035566556</v>
      </c>
      <c r="H122" s="38" t="n">
        <f aca="false">L122/F122*100</f>
        <v>0</v>
      </c>
      <c r="I122" s="38" t="n">
        <f aca="false">(V$23+V$24*SIN(2*PI()/365*A122))*V$25/100*V$7*V$8/100*(1-V$15/100)</f>
        <v>22.0155166665614</v>
      </c>
      <c r="J122" s="38" t="n">
        <f aca="false">(V$23+V$24*SIN(2*PI()/365*A122))*V$25/100*V$9*(1-V$14/100)</f>
        <v>5.88605212229507</v>
      </c>
      <c r="K122" s="39" t="n">
        <f aca="false">IF(E122/C122*100&lt;100,E122/C122*100,100)</f>
        <v>100</v>
      </c>
      <c r="L122" s="2" t="n">
        <f aca="false">IF(((C122-E122)&gt;0)AND(F122&gt;(C122-E122)),(C122-E122),IF(C122&lt;E122,0,F122))</f>
        <v>0</v>
      </c>
      <c r="M122" s="2" t="n">
        <f aca="false">IF(C122&lt;(E122+F122),0,C122-E122-F122)</f>
        <v>0</v>
      </c>
      <c r="N122" s="2" t="n">
        <f aca="false">IF(C122&lt;(E122+F122),0,(C122-E122-F122)/(1-V$16/100))</f>
        <v>0</v>
      </c>
      <c r="O122" s="2" t="n">
        <f aca="false">L122+M122</f>
        <v>0</v>
      </c>
      <c r="P122" s="2" t="n">
        <f aca="false">IF( N122=0,I122*(1-G122/100)+J122*(1-H122/100),-N122)</f>
        <v>26.5889309556894</v>
      </c>
      <c r="Q122" s="47" t="n">
        <f aca="false">IF(P121&gt;0,Q121+P121*(1-V$20/100),Q121+P121)</f>
        <v>2379.4624957037</v>
      </c>
      <c r="R122" s="48" t="n">
        <f aca="false">R$4+Q122/V$28</f>
        <v>68.1455179495036</v>
      </c>
    </row>
    <row r="123" customFormat="false" ht="12.8" hidden="false" customHeight="false" outlineLevel="0" collapsed="false">
      <c r="A123" s="1" t="n">
        <v>119</v>
      </c>
      <c r="B123" s="37" t="n">
        <v>43664</v>
      </c>
      <c r="C123" s="38" t="n">
        <f aca="false">V$26-V$26*SIN(2*PI()/365*A123)</f>
        <v>1.58506352475917</v>
      </c>
      <c r="D123" s="2" t="n">
        <f aca="false">IF((E123+F123)&gt;C123,C123,E123+F123)</f>
        <v>1.58506352475917</v>
      </c>
      <c r="E123" s="38" t="n">
        <f aca="false">(V$23+V$24*SIN(2*PI()/365*A123))*V$25/100*V$7*V$8/100</f>
        <v>24.6439947752429</v>
      </c>
      <c r="F123" s="38" t="n">
        <f aca="false">(V$23+V$24*SIN(2*PI()/365*A123))*V$25/100*V$9*(1-V$14/100)*(1-V$16/100)</f>
        <v>5.21898853526427</v>
      </c>
      <c r="G123" s="38" t="n">
        <f aca="false">IF(C123&gt;E123,100,C123/E123*100)</f>
        <v>6.43184491481676</v>
      </c>
      <c r="H123" s="38" t="n">
        <f aca="false">L123/F123*100</f>
        <v>0</v>
      </c>
      <c r="I123" s="38" t="n">
        <f aca="false">(V$23+V$24*SIN(2*PI()/365*A123))*V$25/100*V$7*V$8/100*(1-V$15/100)</f>
        <v>21.9331553499661</v>
      </c>
      <c r="J123" s="38" t="n">
        <f aca="false">(V$23+V$24*SIN(2*PI()/365*A123))*V$25/100*V$9*(1-V$14/100)</f>
        <v>5.86403206209469</v>
      </c>
      <c r="K123" s="39" t="n">
        <f aca="false">IF(E123/C123*100&lt;100,E123/C123*100,100)</f>
        <v>100</v>
      </c>
      <c r="L123" s="2" t="n">
        <f aca="false">IF(((C123-E123)&gt;0)AND(F123&gt;(C123-E123)),(C123-E123),IF(C123&lt;E123,0,F123))</f>
        <v>0</v>
      </c>
      <c r="M123" s="2" t="n">
        <f aca="false">IF(C123&lt;(E123+F123),0,C123-E123-F123)</f>
        <v>0</v>
      </c>
      <c r="N123" s="2" t="n">
        <f aca="false">IF(C123&lt;(E123+F123),0,(C123-E123-F123)/(1-V$16/100))</f>
        <v>0</v>
      </c>
      <c r="O123" s="2" t="n">
        <f aca="false">L123+M123</f>
        <v>0</v>
      </c>
      <c r="P123" s="2" t="n">
        <f aca="false">IF( N123=0,I123*(1-G123/100)+J123*(1-H123/100),-N123)</f>
        <v>26.3864808750252</v>
      </c>
      <c r="Q123" s="47" t="n">
        <f aca="false">IF(P122&gt;0,Q122+P122*(1-V$20/100),Q122+P122)</f>
        <v>2404.19020149249</v>
      </c>
      <c r="R123" s="48" t="n">
        <f aca="false">R$4+Q123/V$28</f>
        <v>68.4380100935845</v>
      </c>
    </row>
    <row r="124" customFormat="false" ht="12.8" hidden="false" customHeight="false" outlineLevel="0" collapsed="false">
      <c r="A124" s="1" t="n">
        <v>120</v>
      </c>
      <c r="B124" s="37" t="n">
        <v>43665</v>
      </c>
      <c r="C124" s="38" t="n">
        <f aca="false">V$26-V$26*SIN(2*PI()/365*A124)</f>
        <v>1.69897918618033</v>
      </c>
      <c r="D124" s="2" t="n">
        <f aca="false">IF((E124+F124)&gt;C124,C124,E124+F124)</f>
        <v>1.69897918618033</v>
      </c>
      <c r="E124" s="38" t="n">
        <f aca="false">(V$23+V$24*SIN(2*PI()/365*A124))*V$25/100*V$7*V$8/100</f>
        <v>24.5483246635217</v>
      </c>
      <c r="F124" s="38" t="n">
        <f aca="false">(V$23+V$24*SIN(2*PI()/365*A124))*V$25/100*V$9*(1-V$14/100)*(1-V$16/100)</f>
        <v>5.19872797195894</v>
      </c>
      <c r="G124" s="38" t="n">
        <f aca="false">IF(C124&gt;E124,100,C124/E124*100)</f>
        <v>6.92095778212099</v>
      </c>
      <c r="H124" s="38" t="n">
        <f aca="false">L124/F124*100</f>
        <v>0</v>
      </c>
      <c r="I124" s="38" t="n">
        <f aca="false">(V$23+V$24*SIN(2*PI()/365*A124))*V$25/100*V$7*V$8/100*(1-V$15/100)</f>
        <v>21.8480089505343</v>
      </c>
      <c r="J124" s="38" t="n">
        <f aca="false">(V$23+V$24*SIN(2*PI()/365*A124))*V$25/100*V$9*(1-V$14/100)</f>
        <v>5.84126738422353</v>
      </c>
      <c r="K124" s="39" t="n">
        <f aca="false">IF(E124/C124*100&lt;100,E124/C124*100,100)</f>
        <v>100</v>
      </c>
      <c r="L124" s="2" t="n">
        <f aca="false">IF(((C124-E124)&gt;0)AND(F124&gt;(C124-E124)),(C124-E124),IF(C124&lt;E124,0,F124))</f>
        <v>0</v>
      </c>
      <c r="M124" s="2" t="n">
        <f aca="false">IF(C124&lt;(E124+F124),0,C124-E124-F124)</f>
        <v>0</v>
      </c>
      <c r="N124" s="2" t="n">
        <f aca="false">IF(C124&lt;(E124+F124),0,(C124-E124-F124)/(1-V$16/100))</f>
        <v>0</v>
      </c>
      <c r="O124" s="2" t="n">
        <f aca="false">L124+M124</f>
        <v>0</v>
      </c>
      <c r="P124" s="2" t="n">
        <f aca="false">IF( N124=0,I124*(1-G124/100)+J124*(1-H124/100),-N124)</f>
        <v>26.1771848590574</v>
      </c>
      <c r="Q124" s="47" t="n">
        <f aca="false">IF(P123&gt;0,Q123+P123*(1-V$20/100),Q123+P123)</f>
        <v>2428.72962870627</v>
      </c>
      <c r="R124" s="48" t="n">
        <f aca="false">R$4+Q124/V$28</f>
        <v>68.7282751809152</v>
      </c>
    </row>
    <row r="125" customFormat="false" ht="12.8" hidden="false" customHeight="false" outlineLevel="0" collapsed="false">
      <c r="A125" s="1" t="n">
        <v>121</v>
      </c>
      <c r="B125" s="37" t="n">
        <v>43666</v>
      </c>
      <c r="C125" s="38" t="n">
        <f aca="false">V$26-V$26*SIN(2*PI()/365*A125)</f>
        <v>1.81658719844509</v>
      </c>
      <c r="D125" s="2" t="n">
        <f aca="false">IF((E125+F125)&gt;C125,C125,E125+F125)</f>
        <v>1.81658719844509</v>
      </c>
      <c r="E125" s="38" t="n">
        <f aca="false">(V$23+V$24*SIN(2*PI()/365*A125))*V$25/100*V$7*V$8/100</f>
        <v>24.4495535943615</v>
      </c>
      <c r="F125" s="38" t="n">
        <f aca="false">(V$23+V$24*SIN(2*PI()/365*A125))*V$25/100*V$9*(1-V$14/100)*(1-V$16/100)</f>
        <v>5.17781070256879</v>
      </c>
      <c r="G125" s="38" t="n">
        <f aca="false">IF(C125&gt;E125,100,C125/E125*100)</f>
        <v>7.42994014771717</v>
      </c>
      <c r="H125" s="38" t="n">
        <f aca="false">L125/F125*100</f>
        <v>0</v>
      </c>
      <c r="I125" s="38" t="n">
        <f aca="false">(V$23+V$24*SIN(2*PI()/365*A125))*V$25/100*V$7*V$8/100*(1-V$15/100)</f>
        <v>21.7601026989817</v>
      </c>
      <c r="J125" s="38" t="n">
        <f aca="false">(V$23+V$24*SIN(2*PI()/365*A125))*V$25/100*V$9*(1-V$14/100)</f>
        <v>5.81776483434695</v>
      </c>
      <c r="K125" s="39" t="n">
        <f aca="false">IF(E125/C125*100&lt;100,E125/C125*100,100)</f>
        <v>100</v>
      </c>
      <c r="L125" s="2" t="n">
        <f aca="false">IF(((C125-E125)&gt;0)AND(F125&gt;(C125-E125)),(C125-E125),IF(C125&lt;E125,0,F125))</f>
        <v>0</v>
      </c>
      <c r="M125" s="2" t="n">
        <f aca="false">IF(C125&lt;(E125+F125),0,C125-E125-F125)</f>
        <v>0</v>
      </c>
      <c r="N125" s="2" t="n">
        <f aca="false">IF(C125&lt;(E125+F125),0,(C125-E125-F125)/(1-V$16/100))</f>
        <v>0</v>
      </c>
      <c r="O125" s="2" t="n">
        <f aca="false">L125+M125</f>
        <v>0</v>
      </c>
      <c r="P125" s="2" t="n">
        <f aca="false">IF( N125=0,I125*(1-G125/100)+J125*(1-H125/100),-N125)</f>
        <v>25.9611049267125</v>
      </c>
      <c r="Q125" s="47" t="n">
        <f aca="false">IF(P124&gt;0,Q124+P124*(1-V$20/100),Q124+P124)</f>
        <v>2453.07441062519</v>
      </c>
      <c r="R125" s="48" t="n">
        <f aca="false">R$4+Q125/V$28</f>
        <v>69.0162379026278</v>
      </c>
    </row>
    <row r="126" customFormat="false" ht="12.8" hidden="false" customHeight="false" outlineLevel="0" collapsed="false">
      <c r="A126" s="1" t="n">
        <v>122</v>
      </c>
      <c r="B126" s="37" t="n">
        <v>43667</v>
      </c>
      <c r="C126" s="38" t="n">
        <f aca="false">V$26-V$26*SIN(2*PI()/365*A126)</f>
        <v>1.9378527117612</v>
      </c>
      <c r="D126" s="2" t="n">
        <f aca="false">IF((E126+F126)&gt;C126,C126,E126+F126)</f>
        <v>1.9378527117612</v>
      </c>
      <c r="E126" s="38" t="n">
        <f aca="false">(V$23+V$24*SIN(2*PI()/365*A126))*V$25/100*V$7*V$8/100</f>
        <v>24.3477108357615</v>
      </c>
      <c r="F126" s="38" t="n">
        <f aca="false">(V$23+V$24*SIN(2*PI()/365*A126))*V$25/100*V$9*(1-V$14/100)*(1-V$16/100)</f>
        <v>5.15624292533217</v>
      </c>
      <c r="G126" s="38" t="n">
        <f aca="false">IF(C126&gt;E126,100,C126/E126*100)</f>
        <v>7.9590755978378</v>
      </c>
      <c r="H126" s="38" t="n">
        <f aca="false">L126/F126*100</f>
        <v>0</v>
      </c>
      <c r="I126" s="38" t="n">
        <f aca="false">(V$23+V$24*SIN(2*PI()/365*A126))*V$25/100*V$7*V$8/100*(1-V$15/100)</f>
        <v>21.6694626438277</v>
      </c>
      <c r="J126" s="38" t="n">
        <f aca="false">(V$23+V$24*SIN(2*PI()/365*A126))*V$25/100*V$9*(1-V$14/100)</f>
        <v>5.79353137677771</v>
      </c>
      <c r="K126" s="39" t="n">
        <f aca="false">IF(E126/C126*100&lt;100,E126/C126*100,100)</f>
        <v>100</v>
      </c>
      <c r="L126" s="2" t="n">
        <f aca="false">IF(((C126-E126)&gt;0)AND(F126&gt;(C126-E126)),(C126-E126),IF(C126&lt;E126,0,F126))</f>
        <v>0</v>
      </c>
      <c r="M126" s="2" t="n">
        <f aca="false">IF(C126&lt;(E126+F126),0,C126-E126-F126)</f>
        <v>0</v>
      </c>
      <c r="N126" s="2" t="n">
        <f aca="false">IF(C126&lt;(E126+F126),0,(C126-E126-F126)/(1-V$16/100))</f>
        <v>0</v>
      </c>
      <c r="O126" s="2" t="n">
        <f aca="false">L126+M126</f>
        <v>0</v>
      </c>
      <c r="P126" s="2" t="n">
        <f aca="false">IF( N126=0,I126*(1-G126/100)+J126*(1-H126/100),-N126)</f>
        <v>25.738305107138</v>
      </c>
      <c r="Q126" s="47" t="n">
        <f aca="false">IF(P125&gt;0,Q125+P125*(1-V$20/100),Q125+P125)</f>
        <v>2477.21823820703</v>
      </c>
      <c r="R126" s="48" t="n">
        <f aca="false">R$4+Q126/V$28</f>
        <v>69.3018236320946</v>
      </c>
    </row>
    <row r="127" customFormat="false" ht="12.8" hidden="false" customHeight="false" outlineLevel="0" collapsed="false">
      <c r="A127" s="1" t="n">
        <v>123</v>
      </c>
      <c r="B127" s="37" t="n">
        <v>43668</v>
      </c>
      <c r="C127" s="38" t="n">
        <f aca="false">V$26-V$26*SIN(2*PI()/365*A127)</f>
        <v>2.06273979253996</v>
      </c>
      <c r="D127" s="2" t="n">
        <f aca="false">IF((E127+F127)&gt;C127,C127,E127+F127)</f>
        <v>2.06273979253996</v>
      </c>
      <c r="E127" s="38" t="n">
        <f aca="false">(V$23+V$24*SIN(2*PI()/365*A127))*V$25/100*V$7*V$8/100</f>
        <v>24.2428265659291</v>
      </c>
      <c r="F127" s="38" t="n">
        <f aca="false">(V$23+V$24*SIN(2*PI()/365*A127))*V$25/100*V$9*(1-V$14/100)*(1-V$16/100)</f>
        <v>5.13403103124694</v>
      </c>
      <c r="G127" s="38" t="n">
        <f aca="false">IF(C127&gt;E127,100,C127/E127*100)</f>
        <v>8.50866043582117</v>
      </c>
      <c r="H127" s="38" t="n">
        <f aca="false">L127/F127*100</f>
        <v>0</v>
      </c>
      <c r="I127" s="38" t="n">
        <f aca="false">(V$23+V$24*SIN(2*PI()/365*A127))*V$25/100*V$7*V$8/100*(1-V$15/100)</f>
        <v>21.5761156436769</v>
      </c>
      <c r="J127" s="38" t="n">
        <f aca="false">(V$23+V$24*SIN(2*PI()/365*A127))*V$25/100*V$9*(1-V$14/100)</f>
        <v>5.76857419241229</v>
      </c>
      <c r="K127" s="39" t="n">
        <f aca="false">IF(E127/C127*100&lt;100,E127/C127*100,100)</f>
        <v>100</v>
      </c>
      <c r="L127" s="2" t="n">
        <f aca="false">IF(((C127-E127)&gt;0)AND(F127&gt;(C127-E127)),(C127-E127),IF(C127&lt;E127,0,F127))</f>
        <v>0</v>
      </c>
      <c r="M127" s="2" t="n">
        <f aca="false">IF(C127&lt;(E127+F127),0,C127-E127-F127)</f>
        <v>0</v>
      </c>
      <c r="N127" s="2" t="n">
        <f aca="false">IF(C127&lt;(E127+F127),0,(C127-E127-F127)/(1-V$16/100))</f>
        <v>0</v>
      </c>
      <c r="O127" s="2" t="n">
        <f aca="false">L127+M127</f>
        <v>0</v>
      </c>
      <c r="P127" s="2" t="n">
        <f aca="false">IF( N127=0,I127*(1-G127/100)+J127*(1-H127/100),-N127)</f>
        <v>25.5088514207287</v>
      </c>
      <c r="Q127" s="47" t="n">
        <f aca="false">IF(P126&gt;0,Q126+P126*(1-V$20/100),Q126+P126)</f>
        <v>2501.15486195667</v>
      </c>
      <c r="R127" s="48" t="n">
        <f aca="false">R$4+Q127/V$28</f>
        <v>69.5849584470423</v>
      </c>
    </row>
    <row r="128" customFormat="false" ht="12.8" hidden="false" customHeight="false" outlineLevel="0" collapsed="false">
      <c r="A128" s="1" t="n">
        <v>124</v>
      </c>
      <c r="B128" s="37" t="n">
        <v>43669</v>
      </c>
      <c r="C128" s="38" t="n">
        <f aca="false">V$26-V$26*SIN(2*PI()/365*A128)</f>
        <v>2.19121143404404</v>
      </c>
      <c r="D128" s="2" t="n">
        <f aca="false">IF((E128+F128)&gt;C128,C128,E128+F128)</f>
        <v>2.19121143404404</v>
      </c>
      <c r="E128" s="38" t="n">
        <f aca="false">(V$23+V$24*SIN(2*PI()/365*A128))*V$25/100*V$7*V$8/100</f>
        <v>24.1349318643372</v>
      </c>
      <c r="F128" s="38" t="n">
        <f aca="false">(V$23+V$24*SIN(2*PI()/365*A128))*V$25/100*V$9*(1-V$14/100)*(1-V$16/100)</f>
        <v>5.11118160217669</v>
      </c>
      <c r="G128" s="38" t="n">
        <f aca="false">IF(C128&gt;E128,100,C128/E128*100)</f>
        <v>9.07900401940586</v>
      </c>
      <c r="H128" s="38" t="n">
        <f aca="false">L128/F128*100</f>
        <v>0</v>
      </c>
      <c r="I128" s="38" t="n">
        <f aca="false">(V$23+V$24*SIN(2*PI()/365*A128))*V$25/100*V$7*V$8/100*(1-V$15/100)</f>
        <v>21.4800893592601</v>
      </c>
      <c r="J128" s="38" t="n">
        <f aca="false">(V$23+V$24*SIN(2*PI()/365*A128))*V$25/100*V$9*(1-V$14/100)</f>
        <v>5.74290067660303</v>
      </c>
      <c r="K128" s="39" t="n">
        <f aca="false">IF(E128/C128*100&lt;100,E128/C128*100,100)</f>
        <v>100</v>
      </c>
      <c r="L128" s="2" t="n">
        <f aca="false">IF(((C128-E128)&gt;0)AND(F128&gt;(C128-E128)),(C128-E128),IF(C128&lt;E128,0,F128))</f>
        <v>0</v>
      </c>
      <c r="M128" s="2" t="n">
        <f aca="false">IF(C128&lt;(E128+F128),0,C128-E128-F128)</f>
        <v>0</v>
      </c>
      <c r="N128" s="2" t="n">
        <f aca="false">IF(C128&lt;(E128+F128),0,(C128-E128-F128)/(1-V$16/100))</f>
        <v>0</v>
      </c>
      <c r="O128" s="2" t="n">
        <f aca="false">L128+M128</f>
        <v>0</v>
      </c>
      <c r="P128" s="2" t="n">
        <f aca="false">IF( N128=0,I128*(1-G128/100)+J128*(1-H128/100),-N128)</f>
        <v>25.2728118595639</v>
      </c>
      <c r="Q128" s="47" t="n">
        <f aca="false">IF(P127&gt;0,Q127+P127*(1-V$20/100),Q127+P127)</f>
        <v>2524.87809377795</v>
      </c>
      <c r="R128" s="48" t="n">
        <f aca="false">R$4+Q128/V$28</f>
        <v>69.8655691514562</v>
      </c>
    </row>
    <row r="129" customFormat="false" ht="12.8" hidden="false" customHeight="false" outlineLevel="0" collapsed="false">
      <c r="A129" s="1" t="n">
        <v>125</v>
      </c>
      <c r="B129" s="37" t="n">
        <v>43670</v>
      </c>
      <c r="C129" s="38" t="n">
        <f aca="false">V$26-V$26*SIN(2*PI()/365*A129)</f>
        <v>2.32322956735341</v>
      </c>
      <c r="D129" s="2" t="n">
        <f aca="false">IF((E129+F129)&gt;C129,C129,E129+F129)</f>
        <v>2.32322956735341</v>
      </c>
      <c r="E129" s="38" t="n">
        <f aca="false">(V$23+V$24*SIN(2*PI()/365*A129))*V$25/100*V$7*V$8/100</f>
        <v>24.0240587025142</v>
      </c>
      <c r="F129" s="38" t="n">
        <f aca="false">(V$23+V$24*SIN(2*PI()/365*A129))*V$25/100*V$9*(1-V$14/100)*(1-V$16/100)</f>
        <v>5.0877014089004</v>
      </c>
      <c r="G129" s="38" t="n">
        <f aca="false">IF(C129&gt;E129,100,C129/E129*100)</f>
        <v>9.67042911492005</v>
      </c>
      <c r="H129" s="38" t="n">
        <f aca="false">L129/F129*100</f>
        <v>0</v>
      </c>
      <c r="I129" s="38" t="n">
        <f aca="false">(V$23+V$24*SIN(2*PI()/365*A129))*V$25/100*V$7*V$8/100*(1-V$15/100)</f>
        <v>21.3814122452376</v>
      </c>
      <c r="J129" s="38" t="n">
        <f aca="false">(V$23+V$24*SIN(2*PI()/365*A129))*V$25/100*V$9*(1-V$14/100)</f>
        <v>5.71651843696674</v>
      </c>
      <c r="K129" s="39" t="n">
        <f aca="false">IF(E129/C129*100&lt;100,E129/C129*100,100)</f>
        <v>100</v>
      </c>
      <c r="L129" s="2" t="n">
        <f aca="false">IF(((C129-E129)&gt;0)AND(F129&gt;(C129-E129)),(C129-E129),IF(C129&lt;E129,0,F129))</f>
        <v>0</v>
      </c>
      <c r="M129" s="2" t="n">
        <f aca="false">IF(C129&lt;(E129+F129),0,C129-E129-F129)</f>
        <v>0</v>
      </c>
      <c r="N129" s="2" t="n">
        <f aca="false">IF(C129&lt;(E129+F129),0,(C129-E129-F129)/(1-V$16/100))</f>
        <v>0</v>
      </c>
      <c r="O129" s="2" t="n">
        <f aca="false">L129+M129</f>
        <v>0</v>
      </c>
      <c r="P129" s="2" t="n">
        <f aca="false">IF( N129=0,I129*(1-G129/100)+J129*(1-H129/100),-N129)</f>
        <v>25.0302563672598</v>
      </c>
      <c r="Q129" s="47" t="n">
        <f aca="false">IF(P128&gt;0,Q128+P128*(1-V$20/100),Q128+P128)</f>
        <v>2548.38180880734</v>
      </c>
      <c r="R129" s="48" t="n">
        <f aca="false">R$4+Q129/V$28</f>
        <v>70.1435832972704</v>
      </c>
    </row>
    <row r="130" customFormat="false" ht="12.8" hidden="false" customHeight="false" outlineLevel="0" collapsed="false">
      <c r="A130" s="1" t="n">
        <v>126</v>
      </c>
      <c r="B130" s="37" t="n">
        <v>43671</v>
      </c>
      <c r="C130" s="38" t="n">
        <f aca="false">V$26-V$26*SIN(2*PI()/365*A130)</f>
        <v>2.45875507264601</v>
      </c>
      <c r="D130" s="2" t="n">
        <f aca="false">IF((E130+F130)&gt;C130,C130,E130+F130)</f>
        <v>2.45875507264601</v>
      </c>
      <c r="E130" s="38" t="n">
        <f aca="false">(V$23+V$24*SIN(2*PI()/365*A130))*V$25/100*V$7*V$8/100</f>
        <v>23.9102399345708</v>
      </c>
      <c r="F130" s="38" t="n">
        <f aca="false">(V$23+V$24*SIN(2*PI()/365*A130))*V$25/100*V$9*(1-V$14/100)*(1-V$16/100)</f>
        <v>5.06359740910606</v>
      </c>
      <c r="G130" s="38" t="n">
        <f aca="false">IF(C130&gt;E130,100,C130/E130*100)</f>
        <v>10.2832722690122</v>
      </c>
      <c r="H130" s="38" t="n">
        <f aca="false">L130/F130*100</f>
        <v>0</v>
      </c>
      <c r="I130" s="38" t="n">
        <f aca="false">(V$23+V$24*SIN(2*PI()/365*A130))*V$25/100*V$7*V$8/100*(1-V$15/100)</f>
        <v>21.280113541768</v>
      </c>
      <c r="J130" s="38" t="n">
        <f aca="false">(V$23+V$24*SIN(2*PI()/365*A130))*V$25/100*V$9*(1-V$14/100)</f>
        <v>5.68943529113041</v>
      </c>
      <c r="K130" s="39" t="n">
        <f aca="false">IF(E130/C130*100&lt;100,E130/C130*100,100)</f>
        <v>100</v>
      </c>
      <c r="L130" s="2" t="n">
        <f aca="false">IF(((C130-E130)&gt;0)AND(F130&gt;(C130-E130)),(C130-E130),IF(C130&lt;E130,0,F130))</f>
        <v>0</v>
      </c>
      <c r="M130" s="2" t="n">
        <f aca="false">IF(C130&lt;(E130+F130),0,C130-E130-F130)</f>
        <v>0</v>
      </c>
      <c r="N130" s="2" t="n">
        <f aca="false">IF(C130&lt;(E130+F130),0,(C130-E130-F130)/(1-V$16/100))</f>
        <v>0</v>
      </c>
      <c r="O130" s="2" t="n">
        <f aca="false">L130+M130</f>
        <v>0</v>
      </c>
      <c r="P130" s="2" t="n">
        <f aca="false">IF( N130=0,I130*(1-G130/100)+J130*(1-H130/100),-N130)</f>
        <v>24.7812568182435</v>
      </c>
      <c r="Q130" s="47" t="n">
        <f aca="false">IF(P129&gt;0,Q129+P129*(1-V$20/100),Q129+P129)</f>
        <v>2571.6599472289</v>
      </c>
      <c r="R130" s="48" t="n">
        <f aca="false">R$4+Q130/V$28</f>
        <v>70.4189292058349</v>
      </c>
    </row>
    <row r="131" customFormat="false" ht="12.8" hidden="false" customHeight="false" outlineLevel="0" collapsed="false">
      <c r="A131" s="1" t="n">
        <v>127</v>
      </c>
      <c r="B131" s="37" t="n">
        <v>43672</v>
      </c>
      <c r="C131" s="38" t="n">
        <f aca="false">V$26-V$26*SIN(2*PI()/365*A131)</f>
        <v>2.59774779078973</v>
      </c>
      <c r="D131" s="2" t="n">
        <f aca="false">IF((E131+F131)&gt;C131,C131,E131+F131)</f>
        <v>2.59774779078973</v>
      </c>
      <c r="E131" s="38" t="n">
        <f aca="false">(V$23+V$24*SIN(2*PI()/365*A131))*V$25/100*V$7*V$8/100</f>
        <v>23.7935092874646</v>
      </c>
      <c r="F131" s="38" t="n">
        <f aca="false">(V$23+V$24*SIN(2*PI()/365*A131))*V$25/100*V$9*(1-V$14/100)*(1-V$16/100)</f>
        <v>5.03887674532904</v>
      </c>
      <c r="G131" s="38" t="n">
        <f aca="false">IF(C131&gt;E131,100,C131/E131*100)</f>
        <v>10.9178841986051</v>
      </c>
      <c r="H131" s="38" t="n">
        <f aca="false">L131/F131*100</f>
        <v>0</v>
      </c>
      <c r="I131" s="38" t="n">
        <f aca="false">(V$23+V$24*SIN(2*PI()/365*A131))*V$25/100*V$7*V$8/100*(1-V$15/100)</f>
        <v>21.1762232658435</v>
      </c>
      <c r="J131" s="38" t="n">
        <f aca="false">(V$23+V$24*SIN(2*PI()/365*A131))*V$25/100*V$9*(1-V$14/100)</f>
        <v>5.66165926441465</v>
      </c>
      <c r="K131" s="39" t="n">
        <f aca="false">IF(E131/C131*100&lt;100,E131/C131*100,100)</f>
        <v>100</v>
      </c>
      <c r="L131" s="2" t="n">
        <f aca="false">IF(((C131-E131)&gt;0)AND(F131&gt;(C131-E131)),(C131-E131),IF(C131&lt;E131,0,F131))</f>
        <v>0</v>
      </c>
      <c r="M131" s="2" t="n">
        <f aca="false">IF(C131&lt;(E131+F131),0,C131-E131-F131)</f>
        <v>0</v>
      </c>
      <c r="N131" s="2" t="n">
        <f aca="false">IF(C131&lt;(E131+F131),0,(C131-E131-F131)/(1-V$16/100))</f>
        <v>0</v>
      </c>
      <c r="O131" s="2" t="n">
        <f aca="false">L131+M131</f>
        <v>0</v>
      </c>
      <c r="P131" s="2" t="n">
        <f aca="false">IF( N131=0,I131*(1-G131/100)+J131*(1-H131/100),-N131)</f>
        <v>24.5258869964553</v>
      </c>
      <c r="Q131" s="47" t="n">
        <f aca="false">IF(P130&gt;0,Q130+P130*(1-V$20/100),Q130+P130)</f>
        <v>2594.70651606986</v>
      </c>
      <c r="R131" s="48" t="n">
        <f aca="false">R$4+Q131/V$28</f>
        <v>70.6915359891564</v>
      </c>
    </row>
    <row r="132" customFormat="false" ht="12.8" hidden="false" customHeight="false" outlineLevel="0" collapsed="false">
      <c r="A132" s="1" t="n">
        <v>128</v>
      </c>
      <c r="B132" s="37" t="n">
        <v>43673</v>
      </c>
      <c r="C132" s="38" t="n">
        <f aca="false">V$26-V$26*SIN(2*PI()/365*A132)</f>
        <v>2.74016653524246</v>
      </c>
      <c r="D132" s="2" t="n">
        <f aca="false">IF((E132+F132)&gt;C132,C132,E132+F132)</f>
        <v>2.74016653524246</v>
      </c>
      <c r="E132" s="38" t="n">
        <f aca="false">(V$23+V$24*SIN(2*PI()/365*A132))*V$25/100*V$7*V$8/100</f>
        <v>23.6739013510053</v>
      </c>
      <c r="F132" s="38" t="n">
        <f aca="false">(V$23+V$24*SIN(2*PI()/365*A132))*V$25/100*V$9*(1-V$14/100)*(1-V$16/100)</f>
        <v>5.01354674283551</v>
      </c>
      <c r="G132" s="38" t="n">
        <f aca="false">IF(C132&gt;E132,100,C132/E132*100)</f>
        <v>11.5746301997921</v>
      </c>
      <c r="H132" s="38" t="n">
        <f aca="false">L132/F132*100</f>
        <v>0</v>
      </c>
      <c r="I132" s="38" t="n">
        <f aca="false">(V$23+V$24*SIN(2*PI()/365*A132))*V$25/100*V$7*V$8/100*(1-V$15/100)</f>
        <v>21.0697722023948</v>
      </c>
      <c r="J132" s="38" t="n">
        <f aca="false">(V$23+V$24*SIN(2*PI()/365*A132))*V$25/100*V$9*(1-V$14/100)</f>
        <v>5.63319858745563</v>
      </c>
      <c r="K132" s="39" t="n">
        <f aca="false">IF(E132/C132*100&lt;100,E132/C132*100,100)</f>
        <v>100</v>
      </c>
      <c r="L132" s="2" t="n">
        <f aca="false">IF(((C132-E132)&gt;0)AND(F132&gt;(C132-E132)),(C132-E132),IF(C132&lt;E132,0,F132))</f>
        <v>0</v>
      </c>
      <c r="M132" s="2" t="n">
        <f aca="false">IF(C132&lt;(E132+F132),0,C132-E132-F132)</f>
        <v>0</v>
      </c>
      <c r="N132" s="2" t="n">
        <f aca="false">IF(C132&lt;(E132+F132),0,(C132-E132-F132)/(1-V$16/100))</f>
        <v>0</v>
      </c>
      <c r="O132" s="2" t="n">
        <f aca="false">L132+M132</f>
        <v>0</v>
      </c>
      <c r="P132" s="2" t="n">
        <f aca="false">IF( N132=0,I132*(1-G132/100)+J132*(1-H132/100),-N132)</f>
        <v>24.2642225734846</v>
      </c>
      <c r="Q132" s="47" t="n">
        <f aca="false">IF(P131&gt;0,Q131+P131*(1-V$20/100),Q131+P131)</f>
        <v>2617.51559097657</v>
      </c>
      <c r="R132" s="48" t="n">
        <f aca="false">R$4+Q132/V$28</f>
        <v>70.9613335709033</v>
      </c>
    </row>
    <row r="133" customFormat="false" ht="12.8" hidden="false" customHeight="false" outlineLevel="0" collapsed="false">
      <c r="A133" s="1" t="n">
        <v>129</v>
      </c>
      <c r="B133" s="37" t="n">
        <v>43674</v>
      </c>
      <c r="C133" s="38" t="n">
        <f aca="false">V$26-V$26*SIN(2*PI()/365*A133)</f>
        <v>2.88596910425659</v>
      </c>
      <c r="D133" s="2" t="n">
        <f aca="false">IF((E133+F133)&gt;C133,C133,E133+F133)</f>
        <v>2.88596910425659</v>
      </c>
      <c r="E133" s="38" t="n">
        <f aca="false">(V$23+V$24*SIN(2*PI()/365*A133))*V$25/100*V$7*V$8/100</f>
        <v>23.551451567606</v>
      </c>
      <c r="F133" s="38" t="n">
        <f aca="false">(V$23+V$24*SIN(2*PI()/365*A133))*V$25/100*V$9*(1-V$14/100)*(1-V$16/100)</f>
        <v>4.98761490745189</v>
      </c>
      <c r="G133" s="38" t="n">
        <f aca="false">IF(C133&gt;E133,100,C133/E133*100)</f>
        <v>12.2538905764353</v>
      </c>
      <c r="H133" s="38" t="n">
        <f aca="false">L133/F133*100</f>
        <v>0</v>
      </c>
      <c r="I133" s="38" t="n">
        <f aca="false">(V$23+V$24*SIN(2*PI()/365*A133))*V$25/100*V$7*V$8/100*(1-V$15/100)</f>
        <v>20.9607918951694</v>
      </c>
      <c r="J133" s="38" t="n">
        <f aca="false">(V$23+V$24*SIN(2*PI()/365*A133))*V$25/100*V$9*(1-V$14/100)</f>
        <v>5.60406169376616</v>
      </c>
      <c r="K133" s="39" t="n">
        <f aca="false">IF(E133/C133*100&lt;100,E133/C133*100,100)</f>
        <v>100</v>
      </c>
      <c r="L133" s="2" t="n">
        <f aca="false">IF(((C133-E133)&gt;0)AND(F133&gt;(C133-E133)),(C133-E133),IF(C133&lt;E133,0,F133))</f>
        <v>0</v>
      </c>
      <c r="M133" s="2" t="n">
        <f aca="false">IF(C133&lt;(E133+F133),0,C133-E133-F133)</f>
        <v>0</v>
      </c>
      <c r="N133" s="2" t="n">
        <f aca="false">IF(C133&lt;(E133+F133),0,(C133-E133-F133)/(1-V$16/100))</f>
        <v>0</v>
      </c>
      <c r="O133" s="2" t="n">
        <f aca="false">L133+M133</f>
        <v>0</v>
      </c>
      <c r="P133" s="2" t="n">
        <f aca="false">IF( N133=0,I133*(1-G133/100)+J133*(1-H133/100),-N133)</f>
        <v>23.9963410861472</v>
      </c>
      <c r="Q133" s="47" t="n">
        <f aca="false">IF(P132&gt;0,Q132+P132*(1-V$20/100),Q132+P132)</f>
        <v>2640.08131796991</v>
      </c>
      <c r="R133" s="48" t="n">
        <f aca="false">R$4+Q133/V$28</f>
        <v>71.228252707171</v>
      </c>
    </row>
    <row r="134" customFormat="false" ht="12.8" hidden="false" customHeight="false" outlineLevel="0" collapsed="false">
      <c r="A134" s="1" t="n">
        <v>130</v>
      </c>
      <c r="B134" s="37" t="n">
        <v>43675</v>
      </c>
      <c r="C134" s="38" t="n">
        <f aca="false">V$26-V$26*SIN(2*PI()/365*A134)</f>
        <v>3.03511229338424</v>
      </c>
      <c r="D134" s="2" t="n">
        <f aca="false">IF((E134+F134)&gt;C134,C134,E134+F134)</f>
        <v>3.03511229338424</v>
      </c>
      <c r="E134" s="38" t="n">
        <f aca="false">(V$23+V$24*SIN(2*PI()/365*A134))*V$25/100*V$7*V$8/100</f>
        <v>23.4261962217802</v>
      </c>
      <c r="F134" s="38" t="n">
        <f aca="false">(V$23+V$24*SIN(2*PI()/365*A134))*V$25/100*V$9*(1-V$14/100)*(1-V$16/100)</f>
        <v>4.96108892334065</v>
      </c>
      <c r="G134" s="38" t="n">
        <f aca="false">IF(C134&gt;E134,100,C134/E134*100)</f>
        <v>12.956061089262</v>
      </c>
      <c r="H134" s="38" t="n">
        <f aca="false">L134/F134*100</f>
        <v>0</v>
      </c>
      <c r="I134" s="38" t="n">
        <f aca="false">(V$23+V$24*SIN(2*PI()/365*A134))*V$25/100*V$7*V$8/100*(1-V$15/100)</f>
        <v>20.8493146373844</v>
      </c>
      <c r="J134" s="38" t="n">
        <f aca="false">(V$23+V$24*SIN(2*PI()/365*A134))*V$25/100*V$9*(1-V$14/100)</f>
        <v>5.57425721723668</v>
      </c>
      <c r="K134" s="39" t="n">
        <f aca="false">IF(E134/C134*100&lt;100,E134/C134*100,100)</f>
        <v>100</v>
      </c>
      <c r="L134" s="2" t="n">
        <f aca="false">IF(((C134-E134)&gt;0)AND(F134&gt;(C134-E134)),(C134-E134),IF(C134&lt;E134,0,F134))</f>
        <v>0</v>
      </c>
      <c r="M134" s="2" t="n">
        <f aca="false">IF(C134&lt;(E134+F134),0,C134-E134-F134)</f>
        <v>0</v>
      </c>
      <c r="N134" s="2" t="n">
        <f aca="false">IF(C134&lt;(E134+F134),0,(C134-E134-F134)/(1-V$16/100))</f>
        <v>0</v>
      </c>
      <c r="O134" s="2" t="n">
        <f aca="false">L134+M134</f>
        <v>0</v>
      </c>
      <c r="P134" s="2" t="n">
        <f aca="false">IF( N134=0,I134*(1-G134/100)+J134*(1-H134/100),-N134)</f>
        <v>23.7223219135091</v>
      </c>
      <c r="Q134" s="47" t="n">
        <f aca="false">IF(P133&gt;0,Q133+P133*(1-V$20/100),Q133+P133)</f>
        <v>2662.39791518002</v>
      </c>
      <c r="R134" s="48" t="n">
        <f aca="false">R$4+Q134/V$28</f>
        <v>71.4922250070006</v>
      </c>
    </row>
    <row r="135" customFormat="false" ht="12.8" hidden="false" customHeight="false" outlineLevel="0" collapsed="false">
      <c r="A135" s="1" t="n">
        <v>131</v>
      </c>
      <c r="B135" s="37" t="n">
        <v>43676</v>
      </c>
      <c r="C135" s="38" t="n">
        <f aca="false">V$26-V$26*SIN(2*PI()/365*A135)</f>
        <v>3.18755190827969</v>
      </c>
      <c r="D135" s="2" t="n">
        <f aca="false">IF((E135+F135)&gt;C135,C135,E135+F135)</f>
        <v>3.18755190827969</v>
      </c>
      <c r="E135" s="38" t="n">
        <f aca="false">(V$23+V$24*SIN(2*PI()/365*A135))*V$25/100*V$7*V$8/100</f>
        <v>23.29817242939</v>
      </c>
      <c r="F135" s="38" t="n">
        <f aca="false">(V$23+V$24*SIN(2*PI()/365*A135))*V$25/100*V$9*(1-V$14/100)*(1-V$16/100)</f>
        <v>4.93397665072336</v>
      </c>
      <c r="G135" s="38" t="n">
        <f aca="false">IF(C135&gt;E135,100,C135/E135*100)</f>
        <v>13.6815534263051</v>
      </c>
      <c r="H135" s="38" t="n">
        <f aca="false">L135/F135*100</f>
        <v>0</v>
      </c>
      <c r="I135" s="38" t="n">
        <f aca="false">(V$23+V$24*SIN(2*PI()/365*A135))*V$25/100*V$7*V$8/100*(1-V$15/100)</f>
        <v>20.7353734621571</v>
      </c>
      <c r="J135" s="38" t="n">
        <f aca="false">(V$23+V$24*SIN(2*PI()/365*A135))*V$25/100*V$9*(1-V$14/100)</f>
        <v>5.54379398957681</v>
      </c>
      <c r="K135" s="39" t="n">
        <f aca="false">IF(E135/C135*100&lt;100,E135/C135*100,100)</f>
        <v>100</v>
      </c>
      <c r="L135" s="2" t="n">
        <f aca="false">IF(((C135-E135)&gt;0)AND(F135&gt;(C135-E135)),(C135-E135),IF(C135&lt;E135,0,F135))</f>
        <v>0</v>
      </c>
      <c r="M135" s="2" t="n">
        <f aca="false">IF(C135&lt;(E135+F135),0,C135-E135-F135)</f>
        <v>0</v>
      </c>
      <c r="N135" s="2" t="n">
        <f aca="false">IF(C135&lt;(E135+F135),0,(C135-E135-F135)/(1-V$16/100))</f>
        <v>0</v>
      </c>
      <c r="O135" s="2" t="n">
        <f aca="false">L135+M135</f>
        <v>0</v>
      </c>
      <c r="P135" s="2" t="n">
        <f aca="false">IF( N135=0,I135*(1-G135/100)+J135*(1-H135/100),-N135)</f>
        <v>23.442246253365</v>
      </c>
      <c r="Q135" s="47" t="n">
        <f aca="false">IF(P134&gt;0,Q134+P134*(1-V$20/100),Q134+P134)</f>
        <v>2684.45967455959</v>
      </c>
      <c r="R135" s="48" t="n">
        <f aca="false">R$4+Q135/V$28</f>
        <v>71.7531829526443</v>
      </c>
    </row>
    <row r="136" customFormat="false" ht="12.8" hidden="false" customHeight="false" outlineLevel="0" collapsed="false">
      <c r="A136" s="1" t="n">
        <v>132</v>
      </c>
      <c r="B136" s="37" t="n">
        <v>43677</v>
      </c>
      <c r="C136" s="38" t="n">
        <f aca="false">V$26-V$26*SIN(2*PI()/365*A136)</f>
        <v>3.34324277779514</v>
      </c>
      <c r="D136" s="2" t="n">
        <f aca="false">IF((E136+F136)&gt;C136,C136,E136+F136)</f>
        <v>3.34324277779514</v>
      </c>
      <c r="E136" s="38" t="n">
        <f aca="false">(V$23+V$24*SIN(2*PI()/365*A136))*V$25/100*V$7*V$8/100</f>
        <v>23.1674181266482</v>
      </c>
      <c r="F136" s="38" t="n">
        <f aca="false">(V$23+V$24*SIN(2*PI()/365*A136))*V$25/100*V$9*(1-V$14/100)*(1-V$16/100)</f>
        <v>4.90628612355153</v>
      </c>
      <c r="G136" s="38" t="n">
        <f aca="false">IF(C136&gt;E136,100,C136/E136*100)</f>
        <v>14.4307956955704</v>
      </c>
      <c r="H136" s="38" t="n">
        <f aca="false">L136/F136*100</f>
        <v>0</v>
      </c>
      <c r="I136" s="38" t="n">
        <f aca="false">(V$23+V$24*SIN(2*PI()/365*A136))*V$25/100*V$7*V$8/100*(1-V$15/100)</f>
        <v>20.6190021327169</v>
      </c>
      <c r="J136" s="38" t="n">
        <f aca="false">(V$23+V$24*SIN(2*PI()/365*A136))*V$25/100*V$9*(1-V$14/100)</f>
        <v>5.51268103769835</v>
      </c>
      <c r="K136" s="39" t="n">
        <f aca="false">IF(E136/C136*100&lt;100,E136/C136*100,100)</f>
        <v>100</v>
      </c>
      <c r="L136" s="2" t="n">
        <f aca="false">IF(((C136-E136)&gt;0)AND(F136&gt;(C136-E136)),(C136-E136),IF(C136&lt;E136,0,F136))</f>
        <v>0</v>
      </c>
      <c r="M136" s="2" t="n">
        <f aca="false">IF(C136&lt;(E136+F136),0,C136-E136-F136)</f>
        <v>0</v>
      </c>
      <c r="N136" s="2" t="n">
        <f aca="false">IF(C136&lt;(E136+F136),0,(C136-E136-F136)/(1-V$16/100))</f>
        <v>0</v>
      </c>
      <c r="O136" s="2" t="n">
        <f aca="false">L136+M136</f>
        <v>0</v>
      </c>
      <c r="P136" s="2" t="n">
        <f aca="false">IF( N136=0,I136*(1-G136/100)+J136*(1-H136/100),-N136)</f>
        <v>23.1561970981776</v>
      </c>
      <c r="Q136" s="47" t="n">
        <f aca="false">IF(P135&gt;0,Q135+P135*(1-V$20/100),Q135+P135)</f>
        <v>2706.26096357522</v>
      </c>
      <c r="R136" s="48" t="n">
        <f aca="false">R$4+Q136/V$28</f>
        <v>72.0110599195726</v>
      </c>
    </row>
    <row r="137" customFormat="false" ht="12.8" hidden="false" customHeight="false" outlineLevel="0" collapsed="false">
      <c r="A137" s="1" t="n">
        <v>133</v>
      </c>
      <c r="B137" s="37" t="n">
        <v>43678</v>
      </c>
      <c r="C137" s="38" t="n">
        <f aca="false">V$26-V$26*SIN(2*PI()/365*A137)</f>
        <v>3.50213876736586</v>
      </c>
      <c r="D137" s="2" t="n">
        <f aca="false">IF((E137+F137)&gt;C137,C137,E137+F137)</f>
        <v>3.50213876736586</v>
      </c>
      <c r="E137" s="38" t="n">
        <f aca="false">(V$23+V$24*SIN(2*PI()/365*A137))*V$25/100*V$7*V$8/100</f>
        <v>23.0339720588765</v>
      </c>
      <c r="F137" s="38" t="n">
        <f aca="false">(V$23+V$24*SIN(2*PI()/365*A137))*V$25/100*V$9*(1-V$14/100)*(1-V$16/100)</f>
        <v>4.87802554712598</v>
      </c>
      <c r="G137" s="38" t="n">
        <f aca="false">IF(C137&gt;E137,100,C137/E137*100)</f>
        <v>15.2042329408673</v>
      </c>
      <c r="H137" s="38" t="n">
        <f aca="false">L137/F137*100</f>
        <v>0</v>
      </c>
      <c r="I137" s="38" t="n">
        <f aca="false">(V$23+V$24*SIN(2*PI()/365*A137))*V$25/100*V$7*V$8/100*(1-V$15/100)</f>
        <v>20.5002351324</v>
      </c>
      <c r="J137" s="38" t="n">
        <f aca="false">(V$23+V$24*SIN(2*PI()/365*A137))*V$25/100*V$9*(1-V$14/100)</f>
        <v>5.48092758104042</v>
      </c>
      <c r="K137" s="39" t="n">
        <f aca="false">IF(E137/C137*100&lt;100,E137/C137*100,100)</f>
        <v>100</v>
      </c>
      <c r="L137" s="2" t="n">
        <f aca="false">IF(((C137-E137)&gt;0)AND(F137&gt;(C137-E137)),(C137-E137),IF(C137&lt;E137,0,F137))</f>
        <v>0</v>
      </c>
      <c r="M137" s="2" t="n">
        <f aca="false">IF(C137&lt;(E137+F137),0,C137-E137-F137)</f>
        <v>0</v>
      </c>
      <c r="N137" s="2" t="n">
        <f aca="false">IF(C137&lt;(E137+F137),0,(C137-E137-F137)/(1-V$16/100))</f>
        <v>0</v>
      </c>
      <c r="O137" s="2" t="n">
        <f aca="false">L137+M137</f>
        <v>0</v>
      </c>
      <c r="P137" s="2" t="n">
        <f aca="false">IF( N137=0,I137*(1-G137/100)+J137*(1-H137/100),-N137)</f>
        <v>22.8642592104849</v>
      </c>
      <c r="Q137" s="47" t="n">
        <f aca="false">IF(P136&gt;0,Q136+P136*(1-V$20/100),Q136+P136)</f>
        <v>2727.79622687652</v>
      </c>
      <c r="R137" s="48" t="n">
        <f aca="false">R$4+Q137/V$28</f>
        <v>72.2657901962164</v>
      </c>
    </row>
    <row r="138" customFormat="false" ht="12.8" hidden="false" customHeight="false" outlineLevel="0" collapsed="false">
      <c r="A138" s="1" t="n">
        <v>134</v>
      </c>
      <c r="B138" s="37" t="n">
        <v>43679</v>
      </c>
      <c r="C138" s="38" t="n">
        <f aca="false">V$26-V$26*SIN(2*PI()/365*A138)</f>
        <v>3.66419279268089</v>
      </c>
      <c r="D138" s="2" t="n">
        <f aca="false">IF((E138+F138)&gt;C138,C138,E138+F138)</f>
        <v>3.66419279268089</v>
      </c>
      <c r="E138" s="38" t="n">
        <f aca="false">(V$23+V$24*SIN(2*PI()/365*A138))*V$25/100*V$7*V$8/100</f>
        <v>22.8978737690248</v>
      </c>
      <c r="F138" s="38" t="n">
        <f aca="false">(V$23+V$24*SIN(2*PI()/365*A138))*V$25/100*V$9*(1-V$14/100)*(1-V$16/100)</f>
        <v>4.8492032956654</v>
      </c>
      <c r="G138" s="38" t="n">
        <f aca="false">IF(C138&gt;E138,100,C138/E138*100)</f>
        <v>16.0023276817853</v>
      </c>
      <c r="H138" s="38" t="n">
        <f aca="false">L138/F138*100</f>
        <v>0</v>
      </c>
      <c r="I138" s="38" t="n">
        <f aca="false">(V$23+V$24*SIN(2*PI()/365*A138))*V$25/100*V$7*V$8/100*(1-V$15/100)</f>
        <v>20.379107654432</v>
      </c>
      <c r="J138" s="38" t="n">
        <f aca="false">(V$23+V$24*SIN(2*PI()/365*A138))*V$25/100*V$9*(1-V$14/100)</f>
        <v>5.44854302883753</v>
      </c>
      <c r="K138" s="39" t="n">
        <f aca="false">IF(E138/C138*100&lt;100,E138/C138*100,100)</f>
        <v>100</v>
      </c>
      <c r="L138" s="2" t="n">
        <f aca="false">IF(((C138-E138)&gt;0)AND(F138&gt;(C138-E138)),(C138-E138),IF(C138&lt;E138,0,F138))</f>
        <v>0</v>
      </c>
      <c r="M138" s="2" t="n">
        <f aca="false">IF(C138&lt;(E138+F138),0,C138-E138-F138)</f>
        <v>0</v>
      </c>
      <c r="N138" s="2" t="n">
        <f aca="false">IF(C138&lt;(E138+F138),0,(C138-E138-F138)/(1-V$16/100))</f>
        <v>0</v>
      </c>
      <c r="O138" s="2" t="n">
        <f aca="false">L138+M138</f>
        <v>0</v>
      </c>
      <c r="P138" s="2" t="n">
        <f aca="false">IF( N138=0,I138*(1-G138/100)+J138*(1-H138/100),-N138)</f>
        <v>22.5665190977836</v>
      </c>
      <c r="Q138" s="47" t="n">
        <f aca="false">IF(P137&gt;0,Q137+P137*(1-V$20/100),Q137+P137)</f>
        <v>2749.05998794227</v>
      </c>
      <c r="R138" s="48" t="n">
        <f aca="false">R$4+Q138/V$28</f>
        <v>72.5173090034389</v>
      </c>
    </row>
    <row r="139" customFormat="false" ht="12.8" hidden="false" customHeight="false" outlineLevel="0" collapsed="false">
      <c r="A139" s="1" t="n">
        <v>135</v>
      </c>
      <c r="B139" s="37" t="n">
        <v>43680</v>
      </c>
      <c r="C139" s="38" t="n">
        <f aca="false">V$26-V$26*SIN(2*PI()/365*A139)</f>
        <v>3.82935683363512</v>
      </c>
      <c r="D139" s="2" t="n">
        <f aca="false">IF((E139+F139)&gt;C139,C139,E139+F139)</f>
        <v>3.82935683363512</v>
      </c>
      <c r="E139" s="38" t="n">
        <f aca="false">(V$23+V$24*SIN(2*PI()/365*A139))*V$25/100*V$7*V$8/100</f>
        <v>22.7591635859536</v>
      </c>
      <c r="F139" s="38" t="n">
        <f aca="false">(V$23+V$24*SIN(2*PI()/365*A139))*V$25/100*V$9*(1-V$14/100)*(1-V$16/100)</f>
        <v>4.81982790982495</v>
      </c>
      <c r="G139" s="38" t="n">
        <f aca="false">IF(C139&gt;E139,100,C139/E139*100)</f>
        <v>16.8255604788504</v>
      </c>
      <c r="H139" s="38" t="n">
        <f aca="false">L139/F139*100</f>
        <v>0</v>
      </c>
      <c r="I139" s="38" t="n">
        <f aca="false">(V$23+V$24*SIN(2*PI()/365*A139))*V$25/100*V$7*V$8/100*(1-V$15/100)</f>
        <v>20.2556555914987</v>
      </c>
      <c r="J139" s="38" t="n">
        <f aca="false">(V$23+V$24*SIN(2*PI()/365*A139))*V$25/100*V$9*(1-V$14/100)</f>
        <v>5.41553697733141</v>
      </c>
      <c r="K139" s="39" t="n">
        <f aca="false">IF(E139/C139*100&lt;100,E139/C139*100,100)</f>
        <v>100</v>
      </c>
      <c r="L139" s="2" t="n">
        <f aca="false">IF(((C139-E139)&gt;0)AND(F139&gt;(C139-E139)),(C139-E139),IF(C139&lt;E139,0,F139))</f>
        <v>0</v>
      </c>
      <c r="M139" s="2" t="n">
        <f aca="false">IF(C139&lt;(E139+F139),0,C139-E139-F139)</f>
        <v>0</v>
      </c>
      <c r="N139" s="2" t="n">
        <f aca="false">IF(C139&lt;(E139+F139),0,(C139-E139-F139)/(1-V$16/100))</f>
        <v>0</v>
      </c>
      <c r="O139" s="2" t="n">
        <f aca="false">L139+M139</f>
        <v>0</v>
      </c>
      <c r="P139" s="2" t="n">
        <f aca="false">IF( N139=0,I139*(1-G139/100)+J139*(1-H139/100),-N139)</f>
        <v>22.2630649868948</v>
      </c>
      <c r="Q139" s="47" t="n">
        <f aca="false">IF(P138&gt;0,Q138+P138*(1-V$20/100),Q138+P138)</f>
        <v>2770.04685070321</v>
      </c>
      <c r="R139" s="48" t="n">
        <f aca="false">R$4+Q139/V$28</f>
        <v>72.765552513731</v>
      </c>
    </row>
    <row r="140" customFormat="false" ht="12.8" hidden="false" customHeight="false" outlineLevel="0" collapsed="false">
      <c r="A140" s="1" t="n">
        <v>136</v>
      </c>
      <c r="B140" s="37" t="n">
        <v>43681</v>
      </c>
      <c r="C140" s="38" t="n">
        <f aca="false">V$26-V$26*SIN(2*PI()/365*A140)</f>
        <v>3.99758194855868</v>
      </c>
      <c r="D140" s="2" t="n">
        <f aca="false">IF((E140+F140)&gt;C140,C140,E140+F140)</f>
        <v>3.99758194855868</v>
      </c>
      <c r="E140" s="38" t="n">
        <f aca="false">(V$23+V$24*SIN(2*PI()/365*A140))*V$25/100*V$7*V$8/100</f>
        <v>22.6178826124838</v>
      </c>
      <c r="F140" s="38" t="n">
        <f aca="false">(V$23+V$24*SIN(2*PI()/365*A140))*V$25/100*V$9*(1-V$14/100)*(1-V$16/100)</f>
        <v>4.78990809416542</v>
      </c>
      <c r="G140" s="38" t="n">
        <f aca="false">IF(C140&gt;E140,100,C140/E140*100)</f>
        <v>17.6744305249521</v>
      </c>
      <c r="H140" s="38" t="n">
        <f aca="false">L140/F140*100</f>
        <v>0</v>
      </c>
      <c r="I140" s="38" t="n">
        <f aca="false">(V$23+V$24*SIN(2*PI()/365*A140))*V$25/100*V$7*V$8/100*(1-V$15/100)</f>
        <v>20.1299155251106</v>
      </c>
      <c r="J140" s="38" t="n">
        <f aca="false">(V$23+V$24*SIN(2*PI()/365*A140))*V$25/100*V$9*(1-V$14/100)</f>
        <v>5.38191920692744</v>
      </c>
      <c r="K140" s="39" t="n">
        <f aca="false">IF(E140/C140*100&lt;100,E140/C140*100,100)</f>
        <v>100</v>
      </c>
      <c r="L140" s="2" t="n">
        <f aca="false">IF(((C140-E140)&gt;0)AND(F140&gt;(C140-E140)),(C140-E140),IF(C140&lt;E140,0,F140))</f>
        <v>0</v>
      </c>
      <c r="M140" s="2" t="n">
        <f aca="false">IF(C140&lt;(E140+F140),0,C140-E140-F140)</f>
        <v>0</v>
      </c>
      <c r="N140" s="2" t="n">
        <f aca="false">IF(C140&lt;(E140+F140),0,(C140-E140-F140)/(1-V$16/100))</f>
        <v>0</v>
      </c>
      <c r="O140" s="2" t="n">
        <f aca="false">L140+M140</f>
        <v>0</v>
      </c>
      <c r="P140" s="2" t="n">
        <f aca="false">IF( N140=0,I140*(1-G140/100)+J140*(1-H140/100),-N140)</f>
        <v>21.9539867978208</v>
      </c>
      <c r="Q140" s="47" t="n">
        <f aca="false">IF(P139&gt;0,Q139+P139*(1-V$20/100),Q139+P139)</f>
        <v>2790.75150114102</v>
      </c>
      <c r="R140" s="48" t="n">
        <f aca="false">R$4+Q140/V$28</f>
        <v>73.0104578701246</v>
      </c>
    </row>
    <row r="141" customFormat="false" ht="12.8" hidden="false" customHeight="false" outlineLevel="0" collapsed="false">
      <c r="A141" s="1" t="n">
        <v>137</v>
      </c>
      <c r="B141" s="37" t="n">
        <v>43682</v>
      </c>
      <c r="C141" s="38" t="n">
        <f aca="false">V$26-V$26*SIN(2*PI()/365*A141)</f>
        <v>4.16881828871941</v>
      </c>
      <c r="D141" s="2" t="n">
        <f aca="false">IF((E141+F141)&gt;C141,C141,E141+F141)</f>
        <v>4.16881828871941</v>
      </c>
      <c r="E141" s="38" t="n">
        <f aca="false">(V$23+V$24*SIN(2*PI()/365*A141))*V$25/100*V$7*V$8/100</f>
        <v>22.474072713217</v>
      </c>
      <c r="F141" s="38" t="n">
        <f aca="false">(V$23+V$24*SIN(2*PI()/365*A141))*V$25/100*V$9*(1-V$14/100)*(1-V$16/100)</f>
        <v>4.75945271457391</v>
      </c>
      <c r="G141" s="38" t="n">
        <f aca="false">IF(C141&gt;E141,100,C141/E141*100)</f>
        <v>18.5494562641854</v>
      </c>
      <c r="H141" s="38" t="n">
        <f aca="false">L141/F141*100</f>
        <v>0</v>
      </c>
      <c r="I141" s="38" t="n">
        <f aca="false">(V$23+V$24*SIN(2*PI()/365*A141))*V$25/100*V$7*V$8/100*(1-V$15/100)</f>
        <v>20.0019247147631</v>
      </c>
      <c r="J141" s="38" t="n">
        <f aca="false">(V$23+V$24*SIN(2*PI()/365*A141))*V$25/100*V$9*(1-V$14/100)</f>
        <v>5.34769967929653</v>
      </c>
      <c r="K141" s="39" t="n">
        <f aca="false">IF(E141/C141*100&lt;100,E141/C141*100,100)</f>
        <v>100</v>
      </c>
      <c r="L141" s="2" t="n">
        <f aca="false">IF(((C141-E141)&gt;0)AND(F141&gt;(C141-E141)),(C141-E141),IF(C141&lt;E141,0,F141))</f>
        <v>0</v>
      </c>
      <c r="M141" s="2" t="n">
        <f aca="false">IF(C141&lt;(E141+F141),0,C141-E141-F141)</f>
        <v>0</v>
      </c>
      <c r="N141" s="2" t="n">
        <f aca="false">IF(C141&lt;(E141+F141),0,(C141-E141-F141)/(1-V$16/100))</f>
        <v>0</v>
      </c>
      <c r="O141" s="2" t="n">
        <f aca="false">L141+M141</f>
        <v>0</v>
      </c>
      <c r="P141" s="2" t="n">
        <f aca="false">IF( N141=0,I141*(1-G141/100)+J141*(1-H141/100),-N141)</f>
        <v>21.6393761170994</v>
      </c>
      <c r="Q141" s="47" t="n">
        <f aca="false">IF(P140&gt;0,Q140+P140*(1-V$20/100),Q140+P140)</f>
        <v>2811.168708863</v>
      </c>
      <c r="R141" s="48" t="n">
        <f aca="false">R$4+Q141/V$28</f>
        <v>73.2519632048189</v>
      </c>
    </row>
    <row r="142" customFormat="false" ht="12.8" hidden="false" customHeight="false" outlineLevel="0" collapsed="false">
      <c r="A142" s="1" t="n">
        <v>138</v>
      </c>
      <c r="B142" s="37" t="n">
        <v>43683</v>
      </c>
      <c r="C142" s="38" t="n">
        <f aca="false">V$26-V$26*SIN(2*PI()/365*A142)</f>
        <v>4.34301511309415</v>
      </c>
      <c r="D142" s="2" t="n">
        <f aca="false">IF((E142+F142)&gt;C142,C142,E142+F142)</f>
        <v>4.34301511309415</v>
      </c>
      <c r="E142" s="38" t="n">
        <f aca="false">(V$23+V$24*SIN(2*PI()/365*A142))*V$25/100*V$7*V$8/100</f>
        <v>22.3277765021299</v>
      </c>
      <c r="F142" s="38" t="n">
        <f aca="false">(V$23+V$24*SIN(2*PI()/365*A142))*V$25/100*V$9*(1-V$14/100)*(1-V$16/100)</f>
        <v>4.72847079563668</v>
      </c>
      <c r="G142" s="38" t="n">
        <f aca="false">IF(C142&gt;E142,100,C142/E142*100)</f>
        <v>19.4511760393153</v>
      </c>
      <c r="H142" s="38" t="n">
        <f aca="false">L142/F142*100</f>
        <v>0</v>
      </c>
      <c r="I142" s="38" t="n">
        <f aca="false">(V$23+V$24*SIN(2*PI()/365*A142))*V$25/100*V$7*V$8/100*(1-V$15/100)</f>
        <v>19.8717210868956</v>
      </c>
      <c r="J142" s="38" t="n">
        <f aca="false">(V$23+V$24*SIN(2*PI()/365*A142))*V$25/100*V$9*(1-V$14/100)</f>
        <v>5.31288853442324</v>
      </c>
      <c r="K142" s="39" t="n">
        <f aca="false">IF(E142/C142*100&lt;100,E142/C142*100,100)</f>
        <v>100</v>
      </c>
      <c r="L142" s="2" t="n">
        <f aca="false">IF(((C142-E142)&gt;0)AND(F142&gt;(C142-E142)),(C142-E142),IF(C142&lt;E142,0,F142))</f>
        <v>0</v>
      </c>
      <c r="M142" s="2" t="n">
        <f aca="false">IF(C142&lt;(E142+F142),0,C142-E142-F142)</f>
        <v>0</v>
      </c>
      <c r="N142" s="2" t="n">
        <f aca="false">IF(C142&lt;(E142+F142),0,(C142-E142-F142)/(1-V$16/100))</f>
        <v>0</v>
      </c>
      <c r="O142" s="2" t="n">
        <f aca="false">L142+M142</f>
        <v>0</v>
      </c>
      <c r="P142" s="2" t="n">
        <f aca="false">IF( N142=0,I142*(1-G142/100)+J142*(1-H142/100),-N142)</f>
        <v>21.319326170665</v>
      </c>
      <c r="Q142" s="47" t="n">
        <f aca="false">IF(P141&gt;0,Q141+P141*(1-V$20/100),Q141+P141)</f>
        <v>2831.2933286519</v>
      </c>
      <c r="R142" s="48" t="n">
        <f aca="false">R$4+Q142/V$28</f>
        <v>73.4900076575129</v>
      </c>
    </row>
    <row r="143" customFormat="false" ht="12.8" hidden="false" customHeight="false" outlineLevel="0" collapsed="false">
      <c r="A143" s="1" t="n">
        <v>139</v>
      </c>
      <c r="B143" s="37" t="n">
        <v>43684</v>
      </c>
      <c r="C143" s="38" t="n">
        <f aca="false">V$26-V$26*SIN(2*PI()/365*A143)</f>
        <v>4.52012080340437</v>
      </c>
      <c r="D143" s="2" t="n">
        <f aca="false">IF((E143+F143)&gt;C143,C143,E143+F143)</f>
        <v>4.52012080340437</v>
      </c>
      <c r="E143" s="38" t="n">
        <f aca="false">(V$23+V$24*SIN(2*PI()/365*A143))*V$25/100*V$7*V$8/100</f>
        <v>22.1790373299472</v>
      </c>
      <c r="F143" s="38" t="n">
        <f aca="false">(V$23+V$24*SIN(2*PI()/365*A143))*V$25/100*V$9*(1-V$14/100)*(1-V$16/100)</f>
        <v>4.69697151796495</v>
      </c>
      <c r="G143" s="38" t="n">
        <f aca="false">IF(C143&gt;E143,100,C143/E143*100)</f>
        <v>20.3801487691311</v>
      </c>
      <c r="H143" s="38" t="n">
        <f aca="false">L143/F143*100</f>
        <v>0</v>
      </c>
      <c r="I143" s="38" t="n">
        <f aca="false">(V$23+V$24*SIN(2*PI()/365*A143))*V$25/100*V$7*V$8/100*(1-V$15/100)</f>
        <v>19.739343223653</v>
      </c>
      <c r="J143" s="38" t="n">
        <f aca="false">(V$23+V$24*SIN(2*PI()/365*A143))*V$25/100*V$9*(1-V$14/100)</f>
        <v>5.27749608760107</v>
      </c>
      <c r="K143" s="39" t="n">
        <f aca="false">IF(E143/C143*100&lt;100,E143/C143*100,100)</f>
        <v>100</v>
      </c>
      <c r="L143" s="2" t="n">
        <f aca="false">IF(((C143-E143)&gt;0)AND(F143&gt;(C143-E143)),(C143-E143),IF(C143&lt;E143,0,F143))</f>
        <v>0</v>
      </c>
      <c r="M143" s="2" t="n">
        <f aca="false">IF(C143&lt;(E143+F143),0,C143-E143-F143)</f>
        <v>0</v>
      </c>
      <c r="N143" s="2" t="n">
        <f aca="false">IF(C143&lt;(E143+F143),0,(C143-E143-F143)/(1-V$16/100))</f>
        <v>0</v>
      </c>
      <c r="O143" s="2" t="n">
        <f aca="false">L143+M143</f>
        <v>0</v>
      </c>
      <c r="P143" s="2" t="n">
        <f aca="false">IF( N143=0,I143*(1-G143/100)+J143*(1-H143/100),-N143)</f>
        <v>20.9939317962242</v>
      </c>
      <c r="Q143" s="47" t="n">
        <f aca="false">IF(P142&gt;0,Q142+P142*(1-V$20/100),Q142+P142)</f>
        <v>2851.12030199062</v>
      </c>
      <c r="R143" s="48" t="n">
        <f aca="false">R$4+Q143/V$28</f>
        <v>73.7245313934393</v>
      </c>
    </row>
    <row r="144" customFormat="false" ht="12.8" hidden="false" customHeight="false" outlineLevel="0" collapsed="false">
      <c r="A144" s="1" t="n">
        <v>140</v>
      </c>
      <c r="B144" s="37" t="n">
        <v>43685</v>
      </c>
      <c r="C144" s="38" t="n">
        <f aca="false">V$26-V$26*SIN(2*PI()/365*A144)</f>
        <v>4.70008287941176</v>
      </c>
      <c r="D144" s="2" t="n">
        <f aca="false">IF((E144+F144)&gt;C144,C144,E144+F144)</f>
        <v>4.70008287941176</v>
      </c>
      <c r="E144" s="38" t="n">
        <f aca="false">(V$23+V$24*SIN(2*PI()/365*A144))*V$25/100*V$7*V$8/100</f>
        <v>22.0278992712958</v>
      </c>
      <c r="F144" s="38" t="n">
        <f aca="false">(V$23+V$24*SIN(2*PI()/365*A144))*V$25/100*V$9*(1-V$14/100)*(1-V$16/100)</f>
        <v>4.66496421547451</v>
      </c>
      <c r="G144" s="38" t="n">
        <f aca="false">IF(C144&gt;E144,100,C144/E144*100)</f>
        <v>21.3369546570261</v>
      </c>
      <c r="H144" s="38" t="n">
        <f aca="false">L144/F144*100</f>
        <v>0</v>
      </c>
      <c r="I144" s="38" t="n">
        <f aca="false">(V$23+V$24*SIN(2*PI()/365*A144))*V$25/100*V$7*V$8/100*(1-V$15/100)</f>
        <v>19.6048303514532</v>
      </c>
      <c r="J144" s="38" t="n">
        <f aca="false">(V$23+V$24*SIN(2*PI()/365*A144))*V$25/100*V$9*(1-V$14/100)</f>
        <v>5.24153282637585</v>
      </c>
      <c r="K144" s="39" t="n">
        <f aca="false">IF(E144/C144*100&lt;100,E144/C144*100,100)</f>
        <v>100</v>
      </c>
      <c r="L144" s="2" t="n">
        <f aca="false">IF(((C144-E144)&gt;0)AND(F144&gt;(C144-E144)),(C144-E144),IF(C144&lt;E144,0,F144))</f>
        <v>0</v>
      </c>
      <c r="M144" s="2" t="n">
        <f aca="false">IF(C144&lt;(E144+F144),0,C144-E144-F144)</f>
        <v>0</v>
      </c>
      <c r="N144" s="2" t="n">
        <f aca="false">IF(C144&lt;(E144+F144),0,(C144-E144-F144)/(1-V$16/100))</f>
        <v>0</v>
      </c>
      <c r="O144" s="2" t="n">
        <f aca="false">L144+M144</f>
        <v>0</v>
      </c>
      <c r="P144" s="2" t="n">
        <f aca="false">IF( N144=0,I144*(1-G144/100)+J144*(1-H144/100),-N144)</f>
        <v>20.6632894151526</v>
      </c>
      <c r="Q144" s="47" t="n">
        <f aca="false">IF(P143&gt;0,Q143+P143*(1-V$20/100),Q143+P143)</f>
        <v>2870.64465856111</v>
      </c>
      <c r="R144" s="48" t="n">
        <f aca="false">R$4+Q144/V$28</f>
        <v>73.9554756210955</v>
      </c>
    </row>
    <row r="145" customFormat="false" ht="12.8" hidden="false" customHeight="false" outlineLevel="0" collapsed="false">
      <c r="A145" s="1" t="n">
        <v>141</v>
      </c>
      <c r="B145" s="37" t="n">
        <v>43686</v>
      </c>
      <c r="C145" s="38" t="n">
        <f aca="false">V$26-V$26*SIN(2*PI()/365*A145)</f>
        <v>4.88284801446931</v>
      </c>
      <c r="D145" s="2" t="n">
        <f aca="false">IF((E145+F145)&gt;C145,C145,E145+F145)</f>
        <v>4.88284801446931</v>
      </c>
      <c r="E145" s="38" t="n">
        <f aca="false">(V$23+V$24*SIN(2*PI()/365*A145))*V$25/100*V$7*V$8/100</f>
        <v>21.8744071116441</v>
      </c>
      <c r="F145" s="38" t="n">
        <f aca="false">(V$23+V$24*SIN(2*PI()/365*A145))*V$25/100*V$9*(1-V$14/100)*(1-V$16/100)</f>
        <v>4.63245837261986</v>
      </c>
      <c r="G145" s="38" t="n">
        <f aca="false">IF(C145&gt;E145,100,C145/E145*100)</f>
        <v>22.3221959322047</v>
      </c>
      <c r="H145" s="38" t="n">
        <f aca="false">L145/F145*100</f>
        <v>0</v>
      </c>
      <c r="I145" s="38" t="n">
        <f aca="false">(V$23+V$24*SIN(2*PI()/365*A145))*V$25/100*V$7*V$8/100*(1-V$15/100)</f>
        <v>19.4682223293633</v>
      </c>
      <c r="J145" s="38" t="n">
        <f aca="false">(V$23+V$24*SIN(2*PI()/365*A145))*V$25/100*V$9*(1-V$14/100)</f>
        <v>5.20500940743804</v>
      </c>
      <c r="K145" s="39" t="n">
        <f aca="false">IF(E145/C145*100&lt;100,E145/C145*100,100)</f>
        <v>100</v>
      </c>
      <c r="L145" s="2" t="n">
        <f aca="false">IF(((C145-E145)&gt;0)AND(F145&gt;(C145-E145)),(C145-E145),IF(C145&lt;E145,0,F145))</f>
        <v>0</v>
      </c>
      <c r="M145" s="2" t="n">
        <f aca="false">IF(C145&lt;(E145+F145),0,C145-E145-F145)</f>
        <v>0</v>
      </c>
      <c r="N145" s="2" t="n">
        <f aca="false">IF(C145&lt;(E145+F145),0,(C145-E145-F145)/(1-V$16/100))</f>
        <v>0</v>
      </c>
      <c r="O145" s="2" t="n">
        <f aca="false">L145+M145</f>
        <v>0</v>
      </c>
      <c r="P145" s="2" t="n">
        <f aca="false">IF( N145=0,I145*(1-G145/100)+J145*(1-H145/100),-N145)</f>
        <v>20.3274970039236</v>
      </c>
      <c r="Q145" s="47" t="n">
        <f aca="false">IF(P144&gt;0,Q144+P144*(1-V$20/100),Q144+P144)</f>
        <v>2889.8615177172</v>
      </c>
      <c r="R145" s="48" t="n">
        <f aca="false">R$4+Q145/V$28</f>
        <v>74.1827826096643</v>
      </c>
    </row>
    <row r="146" customFormat="false" ht="12.8" hidden="false" customHeight="false" outlineLevel="0" collapsed="false">
      <c r="A146" s="1" t="n">
        <v>142</v>
      </c>
      <c r="B146" s="37" t="n">
        <v>43687</v>
      </c>
      <c r="C146" s="38" t="n">
        <f aca="false">V$26-V$26*SIN(2*PI()/365*A146)</f>
        <v>5.06836205132311</v>
      </c>
      <c r="D146" s="2" t="n">
        <f aca="false">IF((E146+F146)&gt;C146,C146,E146+F146)</f>
        <v>5.06836205132311</v>
      </c>
      <c r="E146" s="38" t="n">
        <f aca="false">(V$23+V$24*SIN(2*PI()/365*A146))*V$25/100*V$7*V$8/100</f>
        <v>21.7186063340318</v>
      </c>
      <c r="F146" s="38" t="n">
        <f aca="false">(V$23+V$24*SIN(2*PI()/365*A146))*V$25/100*V$9*(1-V$14/100)*(1-V$16/100)</f>
        <v>4.59946362158376</v>
      </c>
      <c r="G146" s="38" t="n">
        <f aca="false">IF(C146&gt;E146,100,C146/E146*100)</f>
        <v>23.3364976249939</v>
      </c>
      <c r="H146" s="38" t="n">
        <f aca="false">L146/F146*100</f>
        <v>0</v>
      </c>
      <c r="I146" s="38" t="n">
        <f aca="false">(V$23+V$24*SIN(2*PI()/365*A146))*V$25/100*V$7*V$8/100*(1-V$15/100)</f>
        <v>19.3295596372883</v>
      </c>
      <c r="J146" s="38" t="n">
        <f aca="false">(V$23+V$24*SIN(2*PI()/365*A146))*V$25/100*V$9*(1-V$14/100)</f>
        <v>5.1679366534649</v>
      </c>
      <c r="K146" s="39" t="n">
        <f aca="false">IF(E146/C146*100&lt;100,E146/C146*100,100)</f>
        <v>100</v>
      </c>
      <c r="L146" s="2" t="n">
        <f aca="false">IF(((C146-E146)&gt;0)AND(F146&gt;(C146-E146)),(C146-E146),IF(C146&lt;E146,0,F146))</f>
        <v>0</v>
      </c>
      <c r="M146" s="2" t="n">
        <f aca="false">IF(C146&lt;(E146+F146),0,C146-E146-F146)</f>
        <v>0</v>
      </c>
      <c r="N146" s="2" t="n">
        <f aca="false">IF(C146&lt;(E146+F146),0,(C146-E146-F146)/(1-V$16/100))</f>
        <v>0</v>
      </c>
      <c r="O146" s="2" t="n">
        <f aca="false">L146+M146</f>
        <v>0</v>
      </c>
      <c r="P146" s="2" t="n">
        <f aca="false">IF( N146=0,I146*(1-G146/100)+J146*(1-H146/100),-N146)</f>
        <v>19.9866540650756</v>
      </c>
      <c r="Q146" s="47" t="n">
        <f aca="false">IF(P145&gt;0,Q145+P145*(1-V$20/100),Q145+P145)</f>
        <v>2908.76608993085</v>
      </c>
      <c r="R146" s="48" t="n">
        <f aca="false">R$4+Q146/V$28</f>
        <v>74.406395706121</v>
      </c>
    </row>
    <row r="147" customFormat="false" ht="12.8" hidden="false" customHeight="false" outlineLevel="0" collapsed="false">
      <c r="A147" s="1" t="n">
        <v>143</v>
      </c>
      <c r="B147" s="37" t="n">
        <v>43688</v>
      </c>
      <c r="C147" s="38" t="n">
        <f aca="false">V$26-V$26*SIN(2*PI()/365*A147)</f>
        <v>5.25657001816031</v>
      </c>
      <c r="D147" s="2" t="n">
        <f aca="false">IF((E147+F147)&gt;C147,C147,E147+F147)</f>
        <v>5.25657001816031</v>
      </c>
      <c r="E147" s="38" t="n">
        <f aca="false">(V$23+V$24*SIN(2*PI()/365*A147))*V$25/100*V$7*V$8/100</f>
        <v>21.5605431055917</v>
      </c>
      <c r="F147" s="38" t="n">
        <f aca="false">(V$23+V$24*SIN(2*PI()/365*A147))*V$25/100*V$9*(1-V$14/100)*(1-V$16/100)</f>
        <v>4.56598973942305</v>
      </c>
      <c r="G147" s="38" t="n">
        <f aca="false">IF(C147&gt;E147,100,C147/E147*100)</f>
        <v>24.3805083778109</v>
      </c>
      <c r="H147" s="38" t="n">
        <f aca="false">L147/F147*100</f>
        <v>0</v>
      </c>
      <c r="I147" s="38" t="n">
        <f aca="false">(V$23+V$24*SIN(2*PI()/365*A147))*V$25/100*V$7*V$8/100*(1-V$15/100)</f>
        <v>19.1888833639766</v>
      </c>
      <c r="J147" s="38" t="n">
        <f aca="false">(V$23+V$24*SIN(2*PI()/365*A147))*V$25/100*V$9*(1-V$14/100)</f>
        <v>5.13032554991354</v>
      </c>
      <c r="K147" s="39" t="n">
        <f aca="false">IF(E147/C147*100&lt;100,E147/C147*100,100)</f>
        <v>100</v>
      </c>
      <c r="L147" s="2" t="n">
        <f aca="false">IF(((C147-E147)&gt;0)AND(F147&gt;(C147-E147)),(C147-E147),IF(C147&lt;E147,0,F147))</f>
        <v>0</v>
      </c>
      <c r="M147" s="2" t="n">
        <f aca="false">IF(C147&lt;(E147+F147),0,C147-E147-F147)</f>
        <v>0</v>
      </c>
      <c r="N147" s="2" t="n">
        <f aca="false">IF(C147&lt;(E147+F147),0,(C147-E147-F147)/(1-V$16/100))</f>
        <v>0</v>
      </c>
      <c r="O147" s="2" t="n">
        <f aca="false">L147+M147</f>
        <v>0</v>
      </c>
      <c r="P147" s="2" t="n">
        <f aca="false">IF( N147=0,I147*(1-G147/100)+J147*(1-H147/100),-N147)</f>
        <v>19.6408615977275</v>
      </c>
      <c r="Q147" s="47" t="n">
        <f aca="false">IF(P146&gt;0,Q146+P146*(1-V$20/100),Q146+P146)</f>
        <v>2927.35367821137</v>
      </c>
      <c r="R147" s="48" t="n">
        <f aca="false">R$4+Q147/V$28</f>
        <v>74.6262593520209</v>
      </c>
    </row>
    <row r="148" customFormat="false" ht="12.8" hidden="false" customHeight="false" outlineLevel="0" collapsed="false">
      <c r="A148" s="1" t="n">
        <v>144</v>
      </c>
      <c r="B148" s="37" t="n">
        <v>43689</v>
      </c>
      <c r="C148" s="38" t="n">
        <f aca="false">V$26-V$26*SIN(2*PI()/365*A148)</f>
        <v>5.44741614489847</v>
      </c>
      <c r="D148" s="2" t="n">
        <f aca="false">IF((E148+F148)&gt;C148,C148,E148+F148)</f>
        <v>5.44741614489847</v>
      </c>
      <c r="E148" s="38" t="n">
        <f aca="false">(V$23+V$24*SIN(2*PI()/365*A148))*V$25/100*V$7*V$8/100</f>
        <v>21.4002642638696</v>
      </c>
      <c r="F148" s="38" t="n">
        <f aca="false">(V$23+V$24*SIN(2*PI()/365*A148))*V$25/100*V$9*(1-V$14/100)*(1-V$16/100)</f>
        <v>4.53204664517142</v>
      </c>
      <c r="G148" s="38" t="n">
        <f aca="false">IF(C148&gt;E148,100,C148/E148*100)</f>
        <v>25.4549012934173</v>
      </c>
      <c r="H148" s="38" t="n">
        <f aca="false">L148/F148*100</f>
        <v>0</v>
      </c>
      <c r="I148" s="38" t="n">
        <f aca="false">(V$23+V$24*SIN(2*PI()/365*A148))*V$25/100*V$7*V$8/100*(1-V$15/100)</f>
        <v>19.046235194844</v>
      </c>
      <c r="J148" s="38" t="n">
        <f aca="false">(V$23+V$24*SIN(2*PI()/365*A148))*V$25/100*V$9*(1-V$14/100)</f>
        <v>5.09218724176564</v>
      </c>
      <c r="K148" s="39" t="n">
        <f aca="false">IF(E148/C148*100&lt;100,E148/C148*100,100)</f>
        <v>100</v>
      </c>
      <c r="L148" s="2" t="n">
        <f aca="false">IF(((C148-E148)&gt;0)AND(F148&gt;(C148-E148)),(C148-E148),IF(C148&lt;E148,0,F148))</f>
        <v>0</v>
      </c>
      <c r="M148" s="2" t="n">
        <f aca="false">IF(C148&lt;(E148+F148),0,C148-E148-F148)</f>
        <v>0</v>
      </c>
      <c r="N148" s="2" t="n">
        <f aca="false">IF(C148&lt;(E148+F148),0,(C148-E148-F148)/(1-V$16/100))</f>
        <v>0</v>
      </c>
      <c r="O148" s="2" t="n">
        <f aca="false">L148+M148</f>
        <v>0</v>
      </c>
      <c r="P148" s="2" t="n">
        <f aca="false">IF( N148=0,I148*(1-G148/100)+J148*(1-H148/100),-N148)</f>
        <v>19.29022206765</v>
      </c>
      <c r="Q148" s="47" t="n">
        <f aca="false">IF(P147&gt;0,Q147+P147*(1-V$20/100),Q147+P147)</f>
        <v>2945.61967949725</v>
      </c>
      <c r="R148" s="48" t="n">
        <f aca="false">R$4+Q148/V$28</f>
        <v>74.8423190999622</v>
      </c>
    </row>
    <row r="149" customFormat="false" ht="12.8" hidden="false" customHeight="false" outlineLevel="0" collapsed="false">
      <c r="A149" s="1" t="n">
        <v>145</v>
      </c>
      <c r="B149" s="37" t="n">
        <v>43690</v>
      </c>
      <c r="C149" s="38" t="n">
        <f aca="false">V$26-V$26*SIN(2*PI()/365*A149)</f>
        <v>5.64084387971146</v>
      </c>
      <c r="D149" s="2" t="n">
        <f aca="false">IF((E149+F149)&gt;C149,C149,E149+F149)</f>
        <v>5.64084387971146</v>
      </c>
      <c r="E149" s="38" t="n">
        <f aca="false">(V$23+V$24*SIN(2*PI()/365*A149))*V$25/100*V$7*V$8/100</f>
        <v>21.2378173029456</v>
      </c>
      <c r="F149" s="38" t="n">
        <f aca="false">(V$23+V$24*SIN(2*PI()/365*A149))*V$25/100*V$9*(1-V$14/100)*(1-V$16/100)</f>
        <v>4.49764439690025</v>
      </c>
      <c r="G149" s="38" t="n">
        <f aca="false">IF(C149&gt;E149,100,C149/E149*100)</f>
        <v>26.5603748221768</v>
      </c>
      <c r="H149" s="38" t="n">
        <f aca="false">L149/F149*100</f>
        <v>0</v>
      </c>
      <c r="I149" s="38" t="n">
        <f aca="false">(V$23+V$24*SIN(2*PI()/365*A149))*V$25/100*V$7*V$8/100*(1-V$15/100)</f>
        <v>18.9016573996216</v>
      </c>
      <c r="J149" s="38" t="n">
        <f aca="false">(V$23+V$24*SIN(2*PI()/365*A149))*V$25/100*V$9*(1-V$14/100)</f>
        <v>5.053533030225</v>
      </c>
      <c r="K149" s="39" t="n">
        <f aca="false">IF(E149/C149*100&lt;100,E149/C149*100,100)</f>
        <v>100</v>
      </c>
      <c r="L149" s="2" t="n">
        <f aca="false">IF(((C149-E149)&gt;0)AND(F149&gt;(C149-E149)),(C149-E149),IF(C149&lt;E149,0,F149))</f>
        <v>0</v>
      </c>
      <c r="M149" s="2" t="n">
        <f aca="false">IF(C149&lt;(E149+F149),0,C149-E149-F149)</f>
        <v>0</v>
      </c>
      <c r="N149" s="2" t="n">
        <f aca="false">IF(C149&lt;(E149+F149),0,(C149-E149-F149)/(1-V$16/100))</f>
        <v>0</v>
      </c>
      <c r="O149" s="2" t="n">
        <f aca="false">L149+M149</f>
        <v>0</v>
      </c>
      <c r="P149" s="2" t="n">
        <f aca="false">IF( N149=0,I149*(1-G149/100)+J149*(1-H149/100),-N149)</f>
        <v>18.9348393769034</v>
      </c>
      <c r="Q149" s="47" t="n">
        <f aca="false">IF(P148&gt;0,Q148+P148*(1-V$20/100),Q148+P148)</f>
        <v>2963.55958602017</v>
      </c>
      <c r="R149" s="48" t="n">
        <f aca="false">R$4+Q149/V$28</f>
        <v>75.0545216297204</v>
      </c>
    </row>
    <row r="150" customFormat="false" ht="12.8" hidden="false" customHeight="false" outlineLevel="0" collapsed="false">
      <c r="A150" s="1" t="n">
        <v>146</v>
      </c>
      <c r="B150" s="37" t="n">
        <v>43691</v>
      </c>
      <c r="C150" s="38" t="n">
        <f aca="false">V$26-V$26*SIN(2*PI()/365*A150)</f>
        <v>5.83679590578694</v>
      </c>
      <c r="D150" s="2" t="n">
        <f aca="false">IF((E150+F150)&gt;C150,C150,E150+F150)</f>
        <v>5.83679590578694</v>
      </c>
      <c r="E150" s="38" t="n">
        <f aca="false">(V$23+V$24*SIN(2*PI()/365*A150))*V$25/100*V$7*V$8/100</f>
        <v>21.0732503593599</v>
      </c>
      <c r="F150" s="38" t="n">
        <f aca="false">(V$23+V$24*SIN(2*PI()/365*A150))*V$25/100*V$9*(1-V$14/100)*(1-V$16/100)</f>
        <v>4.46279318873818</v>
      </c>
      <c r="G150" s="38" t="n">
        <f aca="false">IF(C150&gt;E150,100,C150/E150*100)</f>
        <v>27.6976536901175</v>
      </c>
      <c r="H150" s="38" t="n">
        <f aca="false">L150/F150*100</f>
        <v>0</v>
      </c>
      <c r="I150" s="38" t="n">
        <f aca="false">(V$23+V$24*SIN(2*PI()/365*A150))*V$25/100*V$7*V$8/100*(1-V$15/100)</f>
        <v>18.7551928198303</v>
      </c>
      <c r="J150" s="38" t="n">
        <f aca="false">(V$23+V$24*SIN(2*PI()/365*A150))*V$25/100*V$9*(1-V$14/100)</f>
        <v>5.01437436936874</v>
      </c>
      <c r="K150" s="39" t="n">
        <f aca="false">IF(E150/C150*100&lt;100,E150/C150*100,100)</f>
        <v>100</v>
      </c>
      <c r="L150" s="2" t="n">
        <f aca="false">IF(((C150-E150)&gt;0)AND(F150&gt;(C150-E150)),(C150-E150),IF(C150&lt;E150,0,F150))</f>
        <v>0</v>
      </c>
      <c r="M150" s="2" t="n">
        <f aca="false">IF(C150&lt;(E150+F150),0,C150-E150-F150)</f>
        <v>0</v>
      </c>
      <c r="N150" s="2" t="n">
        <f aca="false">IF(C150&lt;(E150+F150),0,(C150-E150-F150)/(1-V$16/100))</f>
        <v>0</v>
      </c>
      <c r="O150" s="2" t="n">
        <f aca="false">L150+M150</f>
        <v>0</v>
      </c>
      <c r="P150" s="2" t="n">
        <f aca="false">IF( N150=0,I150*(1-G150/100)+J150*(1-H150/100),-N150)</f>
        <v>18.5748188330487</v>
      </c>
      <c r="Q150" s="47" t="n">
        <f aca="false">IF(P149&gt;0,Q149+P149*(1-V$20/100),Q149+P149)</f>
        <v>2981.16898664069</v>
      </c>
      <c r="R150" s="48" t="n">
        <f aca="false">R$4+Q150/V$28</f>
        <v>75.2628147640479</v>
      </c>
    </row>
    <row r="151" customFormat="false" ht="12.8" hidden="false" customHeight="false" outlineLevel="0" collapsed="false">
      <c r="A151" s="1" t="n">
        <v>147</v>
      </c>
      <c r="B151" s="37" t="n">
        <v>43692</v>
      </c>
      <c r="C151" s="38" t="n">
        <f aca="false">V$26-V$26*SIN(2*PI()/365*A151)</f>
        <v>6.03521415831058</v>
      </c>
      <c r="D151" s="2" t="n">
        <f aca="false">IF((E151+F151)&gt;C151,C151,E151+F151)</f>
        <v>6.03521415831058</v>
      </c>
      <c r="E151" s="38" t="n">
        <f aca="false">(V$23+V$24*SIN(2*PI()/365*A151))*V$25/100*V$7*V$8/100</f>
        <v>20.9066121978497</v>
      </c>
      <c r="F151" s="38" t="n">
        <f aca="false">(V$23+V$24*SIN(2*PI()/365*A151))*V$25/100*V$9*(1-V$14/100)*(1-V$16/100)</f>
        <v>4.42750334785032</v>
      </c>
      <c r="G151" s="38" t="n">
        <f aca="false">IF(C151&gt;E151,100,C151/E151*100)</f>
        <v>28.8674898696946</v>
      </c>
      <c r="H151" s="38" t="n">
        <f aca="false">L151/F151*100</f>
        <v>0</v>
      </c>
      <c r="I151" s="38" t="n">
        <f aca="false">(V$23+V$24*SIN(2*PI()/365*A151))*V$25/100*V$7*V$8/100*(1-V$15/100)</f>
        <v>18.6068848560862</v>
      </c>
      <c r="J151" s="38" t="n">
        <f aca="false">(V$23+V$24*SIN(2*PI()/365*A151))*V$25/100*V$9*(1-V$14/100)</f>
        <v>4.97472286275317</v>
      </c>
      <c r="K151" s="39" t="n">
        <f aca="false">IF(E151/C151*100&lt;100,E151/C151*100,100)</f>
        <v>100</v>
      </c>
      <c r="L151" s="2" t="n">
        <f aca="false">IF(((C151-E151)&gt;0)AND(F151&gt;(C151-E151)),(C151-E151),IF(C151&lt;E151,0,F151))</f>
        <v>0</v>
      </c>
      <c r="M151" s="2" t="n">
        <f aca="false">IF(C151&lt;(E151+F151),0,C151-E151-F151)</f>
        <v>0</v>
      </c>
      <c r="N151" s="2" t="n">
        <f aca="false">IF(C151&lt;(E151+F151),0,(C151-E151-F151)/(1-V$16/100))</f>
        <v>0</v>
      </c>
      <c r="O151" s="2" t="n">
        <f aca="false">L151+M151</f>
        <v>0</v>
      </c>
      <c r="P151" s="2" t="n">
        <f aca="false">IF( N151=0,I151*(1-G151/100)+J151*(1-H151/100),-N151)</f>
        <v>18.210267117943</v>
      </c>
      <c r="Q151" s="47" t="n">
        <f aca="false">IF(P150&gt;0,Q150+P150*(1-V$20/100),Q150+P150)</f>
        <v>2998.44356815542</v>
      </c>
      <c r="R151" s="48" t="n">
        <f aca="false">R$4+Q151/V$28</f>
        <v>75.4671474841353</v>
      </c>
    </row>
    <row r="152" customFormat="false" ht="12.8" hidden="false" customHeight="false" outlineLevel="0" collapsed="false">
      <c r="A152" s="1" t="n">
        <v>148</v>
      </c>
      <c r="B152" s="37" t="n">
        <v>43693</v>
      </c>
      <c r="C152" s="38" t="n">
        <f aca="false">V$26-V$26*SIN(2*PI()/365*A152)</f>
        <v>6.23603984167195</v>
      </c>
      <c r="D152" s="2" t="n">
        <f aca="false">IF((E152+F152)&gt;C152,C152,E152+F152)</f>
        <v>6.23603984167195</v>
      </c>
      <c r="E152" s="38" t="n">
        <f aca="false">(V$23+V$24*SIN(2*PI()/365*A152))*V$25/100*V$7*V$8/100</f>
        <v>20.7379521968985</v>
      </c>
      <c r="F152" s="38" t="n">
        <f aca="false">(V$23+V$24*SIN(2*PI()/365*A152))*V$25/100*V$9*(1-V$14/100)*(1-V$16/100)</f>
        <v>4.39178533137816</v>
      </c>
      <c r="G152" s="38" t="n">
        <f aca="false">IF(C152&gt;E152,100,C152/E152*100)</f>
        <v>30.0706635952445</v>
      </c>
      <c r="H152" s="38" t="n">
        <f aca="false">L152/F152*100</f>
        <v>0</v>
      </c>
      <c r="I152" s="38" t="n">
        <f aca="false">(V$23+V$24*SIN(2*PI()/365*A152))*V$25/100*V$7*V$8/100*(1-V$15/100)</f>
        <v>18.4567774552396</v>
      </c>
      <c r="J152" s="38" t="n">
        <f aca="false">(V$23+V$24*SIN(2*PI()/365*A152))*V$25/100*V$9*(1-V$14/100)</f>
        <v>4.93459025997546</v>
      </c>
      <c r="K152" s="39" t="n">
        <f aca="false">IF(E152/C152*100&lt;100,E152/C152*100,100)</f>
        <v>100</v>
      </c>
      <c r="L152" s="2" t="n">
        <f aca="false">IF(((C152-E152)&gt;0)AND(F152&gt;(C152-E152)),(C152-E152),IF(C152&lt;E152,0,F152))</f>
        <v>0</v>
      </c>
      <c r="M152" s="2" t="n">
        <f aca="false">IF(C152&lt;(E152+F152),0,C152-E152-F152)</f>
        <v>0</v>
      </c>
      <c r="N152" s="2" t="n">
        <f aca="false">IF(C152&lt;(E152+F152),0,(C152-E152-F152)/(1-V$16/100))</f>
        <v>0</v>
      </c>
      <c r="O152" s="2" t="n">
        <f aca="false">L152+M152</f>
        <v>0</v>
      </c>
      <c r="P152" s="2" t="n">
        <f aca="false">IF( N152=0,I152*(1-G152/100)+J152*(1-H152/100),-N152)</f>
        <v>17.841292256127</v>
      </c>
      <c r="Q152" s="47" t="n">
        <f aca="false">IF(P151&gt;0,Q151+P151*(1-V$20/100),Q151+P151)</f>
        <v>3015.37911657511</v>
      </c>
      <c r="R152" s="48" t="n">
        <f aca="false">R$4+Q152/V$28</f>
        <v>75.6674699447295</v>
      </c>
    </row>
    <row r="153" customFormat="false" ht="12.8" hidden="false" customHeight="false" outlineLevel="0" collapsed="false">
      <c r="A153" s="1" t="n">
        <v>149</v>
      </c>
      <c r="B153" s="37" t="n">
        <v>43694</v>
      </c>
      <c r="C153" s="38" t="n">
        <f aca="false">V$26-V$26*SIN(2*PI()/365*A153)</f>
        <v>6.43921344688689</v>
      </c>
      <c r="D153" s="2" t="n">
        <f aca="false">IF((E153+F153)&gt;C153,C153,E153+F153)</f>
        <v>6.43921344688689</v>
      </c>
      <c r="E153" s="38" t="n">
        <f aca="false">(V$23+V$24*SIN(2*PI()/365*A153))*V$25/100*V$7*V$8/100</f>
        <v>20.5673203341045</v>
      </c>
      <c r="F153" s="38" t="n">
        <f aca="false">(V$23+V$24*SIN(2*PI()/365*A153))*V$25/100*V$9*(1-V$14/100)*(1-V$16/100)</f>
        <v>4.35564972334082</v>
      </c>
      <c r="G153" s="38" t="n">
        <f aca="false">IF(C153&gt;E153,100,C153/E153*100)</f>
        <v>31.3079844252216</v>
      </c>
      <c r="H153" s="38" t="n">
        <f aca="false">L153/F153*100</f>
        <v>0</v>
      </c>
      <c r="I153" s="38" t="n">
        <f aca="false">(V$23+V$24*SIN(2*PI()/365*A153))*V$25/100*V$7*V$8/100*(1-V$15/100)</f>
        <v>18.304915097353</v>
      </c>
      <c r="J153" s="38" t="n">
        <f aca="false">(V$23+V$24*SIN(2*PI()/365*A153))*V$25/100*V$9*(1-V$14/100)</f>
        <v>4.89398845319193</v>
      </c>
      <c r="K153" s="39" t="n">
        <f aca="false">IF(E153/C153*100&lt;100,E153/C153*100,100)</f>
        <v>100</v>
      </c>
      <c r="L153" s="2" t="n">
        <f aca="false">IF(((C153-E153)&gt;0)AND(F153&gt;(C153-E153)),(C153-E153),IF(C153&lt;E153,0,F153))</f>
        <v>0</v>
      </c>
      <c r="M153" s="2" t="n">
        <f aca="false">IF(C153&lt;(E153+F153),0,C153-E153-F153)</f>
        <v>0</v>
      </c>
      <c r="N153" s="2" t="n">
        <f aca="false">IF(C153&lt;(E153+F153),0,(C153-E153-F153)/(1-V$16/100))</f>
        <v>0</v>
      </c>
      <c r="O153" s="2" t="n">
        <f aca="false">L153+M153</f>
        <v>0</v>
      </c>
      <c r="P153" s="2" t="n">
        <f aca="false">IF( N153=0,I153*(1-G153/100)+J153*(1-H153/100),-N153)</f>
        <v>17.4680035828156</v>
      </c>
      <c r="Q153" s="47" t="n">
        <f aca="false">IF(P152&gt;0,Q152+P152*(1-V$20/100),Q152+P152)</f>
        <v>3031.97151837331</v>
      </c>
      <c r="R153" s="48" t="n">
        <f aca="false">R$4+Q153/V$28</f>
        <v>75.8637334889038</v>
      </c>
    </row>
    <row r="154" customFormat="false" ht="12.8" hidden="false" customHeight="false" outlineLevel="0" collapsed="false">
      <c r="A154" s="1" t="n">
        <v>150</v>
      </c>
      <c r="B154" s="37" t="n">
        <v>43695</v>
      </c>
      <c r="C154" s="38" t="n">
        <f aca="false">V$26-V$26*SIN(2*PI()/365*A154)</f>
        <v>6.64467476923133</v>
      </c>
      <c r="D154" s="2" t="n">
        <f aca="false">IF((E154+F154)&gt;C154,C154,E154+F154)</f>
        <v>6.64467476923133</v>
      </c>
      <c r="E154" s="38" t="n">
        <f aca="false">(V$23+V$24*SIN(2*PI()/365*A154))*V$25/100*V$7*V$8/100</f>
        <v>20.3947671713714</v>
      </c>
      <c r="F154" s="38" t="n">
        <f aca="false">(V$23+V$24*SIN(2*PI()/365*A154))*V$25/100*V$9*(1-V$14/100)*(1-V$16/100)</f>
        <v>4.31910723149885</v>
      </c>
      <c r="G154" s="38" t="n">
        <f aca="false">IF(C154&gt;E154,100,C154/E154*100)</f>
        <v>32.5802923534161</v>
      </c>
      <c r="H154" s="38" t="n">
        <f aca="false">L154/F154*100</f>
        <v>0</v>
      </c>
      <c r="I154" s="38" t="n">
        <f aca="false">(V$23+V$24*SIN(2*PI()/365*A154))*V$25/100*V$7*V$8/100*(1-V$15/100)</f>
        <v>18.1513427825205</v>
      </c>
      <c r="J154" s="38" t="n">
        <f aca="false">(V$23+V$24*SIN(2*PI()/365*A154))*V$25/100*V$9*(1-V$14/100)</f>
        <v>4.85292947359421</v>
      </c>
      <c r="K154" s="39" t="n">
        <f aca="false">IF(E154/C154*100&lt;100,E154/C154*100,100)</f>
        <v>100</v>
      </c>
      <c r="L154" s="2" t="n">
        <f aca="false">IF(((C154-E154)&gt;0)AND(F154&gt;(C154-E154)),(C154-E154),IF(C154&lt;E154,0,F154))</f>
        <v>0</v>
      </c>
      <c r="M154" s="2" t="n">
        <f aca="false">IF(C154&lt;(E154+F154),0,C154-E154-F154)</f>
        <v>0</v>
      </c>
      <c r="N154" s="2" t="n">
        <f aca="false">IF(C154&lt;(E154+F154),0,(C154-E154-F154)/(1-V$16/100))</f>
        <v>0</v>
      </c>
      <c r="O154" s="2" t="n">
        <f aca="false">L154+M154</f>
        <v>0</v>
      </c>
      <c r="P154" s="2" t="n">
        <f aca="false">IF( N154=0,I154*(1-G154/100)+J154*(1-H154/100),-N154)</f>
        <v>17.0905117114988</v>
      </c>
      <c r="Q154" s="47" t="n">
        <f aca="false">IF(P153&gt;0,Q153+P153*(1-V$20/100),Q153+P153)</f>
        <v>3048.21676170533</v>
      </c>
      <c r="R154" s="48" t="n">
        <f aca="false">R$4+Q154/V$28</f>
        <v>76.055890662476</v>
      </c>
    </row>
    <row r="155" customFormat="false" ht="12.8" hidden="false" customHeight="false" outlineLevel="0" collapsed="false">
      <c r="A155" s="1" t="n">
        <v>151</v>
      </c>
      <c r="B155" s="37" t="n">
        <v>43696</v>
      </c>
      <c r="C155" s="38" t="n">
        <f aca="false">V$26-V$26*SIN(2*PI()/365*A155)</f>
        <v>6.85236292608125</v>
      </c>
      <c r="D155" s="2" t="n">
        <f aca="false">IF((E155+F155)&gt;C155,C155,E155+F155)</f>
        <v>6.85236292608125</v>
      </c>
      <c r="E155" s="38" t="n">
        <f aca="false">(V$23+V$24*SIN(2*PI()/365*A155))*V$25/100*V$7*V$8/100</f>
        <v>20.2203438399251</v>
      </c>
      <c r="F155" s="38" t="n">
        <f aca="false">(V$23+V$24*SIN(2*PI()/365*A155))*V$25/100*V$9*(1-V$14/100)*(1-V$16/100)</f>
        <v>4.28216868418122</v>
      </c>
      <c r="G155" s="38" t="n">
        <f aca="false">IF(C155&gt;E155,100,C155/E155*100)</f>
        <v>33.8884589714605</v>
      </c>
      <c r="H155" s="38" t="n">
        <f aca="false">L155/F155*100</f>
        <v>0</v>
      </c>
      <c r="I155" s="38" t="n">
        <f aca="false">(V$23+V$24*SIN(2*PI()/365*A155))*V$25/100*V$7*V$8/100*(1-V$15/100)</f>
        <v>17.9961060175333</v>
      </c>
      <c r="J155" s="38" t="n">
        <f aca="false">(V$23+V$24*SIN(2*PI()/365*A155))*V$25/100*V$9*(1-V$14/100)</f>
        <v>4.81142548784406</v>
      </c>
      <c r="K155" s="39" t="n">
        <f aca="false">IF(E155/C155*100&lt;100,E155/C155*100,100)</f>
        <v>100</v>
      </c>
      <c r="L155" s="2" t="n">
        <f aca="false">IF(((C155-E155)&gt;0)AND(F155&gt;(C155-E155)),(C155-E155),IF(C155&lt;E155,0,F155))</f>
        <v>0</v>
      </c>
      <c r="M155" s="2" t="n">
        <f aca="false">IF(C155&lt;(E155+F155),0,C155-E155-F155)</f>
        <v>0</v>
      </c>
      <c r="N155" s="2" t="n">
        <f aca="false">IF(C155&lt;(E155+F155),0,(C155-E155-F155)/(1-V$16/100))</f>
        <v>0</v>
      </c>
      <c r="O155" s="2" t="n">
        <f aca="false">L155+M155</f>
        <v>0</v>
      </c>
      <c r="P155" s="2" t="n">
        <f aca="false">IF( N155=0,I155*(1-G155/100)+J155*(1-H155/100),-N155)</f>
        <v>16.7089285011651</v>
      </c>
      <c r="Q155" s="47" t="n">
        <f aca="false">IF(P154&gt;0,Q154+P154*(1-V$20/100),Q154+P154)</f>
        <v>3064.11093759702</v>
      </c>
      <c r="R155" s="48" t="n">
        <f aca="false">R$4+Q155/V$28</f>
        <v>76.2438952280701</v>
      </c>
    </row>
    <row r="156" customFormat="false" ht="12.8" hidden="false" customHeight="false" outlineLevel="0" collapsed="false">
      <c r="A156" s="1" t="n">
        <v>152</v>
      </c>
      <c r="B156" s="37" t="n">
        <v>43697</v>
      </c>
      <c r="C156" s="38" t="n">
        <f aca="false">V$26-V$26*SIN(2*PI()/365*A156)</f>
        <v>7.06221637495349</v>
      </c>
      <c r="D156" s="2" t="n">
        <f aca="false">IF((E156+F156)&gt;C156,C156,E156+F156)</f>
        <v>7.06221637495349</v>
      </c>
      <c r="E156" s="38" t="n">
        <f aca="false">(V$23+V$24*SIN(2*PI()/365*A156))*V$25/100*V$7*V$8/100</f>
        <v>20.0441020251632</v>
      </c>
      <c r="F156" s="38" t="n">
        <f aca="false">(V$23+V$24*SIN(2*PI()/365*A156))*V$25/100*V$9*(1-V$14/100)*(1-V$16/100)</f>
        <v>4.2448450270767</v>
      </c>
      <c r="G156" s="38" t="n">
        <f aca="false">IF(C156&gt;E156,100,C156/E156*100)</f>
        <v>35.2333886850488</v>
      </c>
      <c r="H156" s="38" t="n">
        <f aca="false">L156/F156*100</f>
        <v>0</v>
      </c>
      <c r="I156" s="38" t="n">
        <f aca="false">(V$23+V$24*SIN(2*PI()/365*A156))*V$25/100*V$7*V$8/100*(1-V$15/100)</f>
        <v>17.8392508023952</v>
      </c>
      <c r="J156" s="38" t="n">
        <f aca="false">(V$23+V$24*SIN(2*PI()/365*A156))*V$25/100*V$9*(1-V$14/100)</f>
        <v>4.76948879446821</v>
      </c>
      <c r="K156" s="39" t="n">
        <f aca="false">IF(E156/C156*100&lt;100,E156/C156*100,100)</f>
        <v>100</v>
      </c>
      <c r="L156" s="2" t="n">
        <f aca="false">IF(((C156-E156)&gt;0)AND(F156&gt;(C156-E156)),(C156-E156),IF(C156&lt;E156,0,F156))</f>
        <v>0</v>
      </c>
      <c r="M156" s="2" t="n">
        <f aca="false">IF(C156&lt;(E156+F156),0,C156-E156-F156)</f>
        <v>0</v>
      </c>
      <c r="N156" s="2" t="n">
        <f aca="false">IF(C156&lt;(E156+F156),0,(C156-E156-F156)/(1-V$16/100))</f>
        <v>0</v>
      </c>
      <c r="O156" s="2" t="n">
        <f aca="false">L156+M156</f>
        <v>0</v>
      </c>
      <c r="P156" s="2" t="n">
        <f aca="false">IF( N156=0,I156*(1-G156/100)+J156*(1-H156/100),-N156)</f>
        <v>16.3233670231548</v>
      </c>
      <c r="Q156" s="47" t="n">
        <f aca="false">IF(P155&gt;0,Q155+P155*(1-V$20/100),Q155+P155)</f>
        <v>3079.65024110311</v>
      </c>
      <c r="R156" s="48" t="n">
        <f aca="false">R$4+Q156/V$28</f>
        <v>76.4277021788175</v>
      </c>
    </row>
    <row r="157" customFormat="false" ht="12.8" hidden="false" customHeight="false" outlineLevel="0" collapsed="false">
      <c r="A157" s="1" t="n">
        <v>153</v>
      </c>
      <c r="B157" s="37" t="n">
        <v>43698</v>
      </c>
      <c r="C157" s="38" t="n">
        <f aca="false">V$26-V$26*SIN(2*PI()/365*A157)</f>
        <v>7.27417293174214</v>
      </c>
      <c r="D157" s="2" t="n">
        <f aca="false">IF((E157+F157)&gt;C157,C157,E157+F157)</f>
        <v>7.27417293174214</v>
      </c>
      <c r="E157" s="38" t="n">
        <f aca="false">(V$23+V$24*SIN(2*PI()/365*A157))*V$25/100*V$7*V$8/100</f>
        <v>19.8660939513389</v>
      </c>
      <c r="F157" s="38" t="n">
        <f aca="false">(V$23+V$24*SIN(2*PI()/365*A157))*V$25/100*V$9*(1-V$14/100)*(1-V$16/100)</f>
        <v>4.20714731999042</v>
      </c>
      <c r="G157" s="38" t="n">
        <f aca="false">IF(C157&gt;E157,100,C157/E157*100)</f>
        <v>36.6160199864144</v>
      </c>
      <c r="H157" s="38" t="n">
        <f aca="false">L157/F157*100</f>
        <v>0</v>
      </c>
      <c r="I157" s="38" t="n">
        <f aca="false">(V$23+V$24*SIN(2*PI()/365*A157))*V$25/100*V$7*V$8/100*(1-V$15/100)</f>
        <v>17.6808236166917</v>
      </c>
      <c r="J157" s="38" t="n">
        <f aca="false">(V$23+V$24*SIN(2*PI()/365*A157))*V$25/100*V$9*(1-V$14/100)</f>
        <v>4.72713182021395</v>
      </c>
      <c r="K157" s="39" t="n">
        <f aca="false">IF(E157/C157*100&lt;100,E157/C157*100,100)</f>
        <v>100</v>
      </c>
      <c r="L157" s="2" t="n">
        <f aca="false">IF(((C157-E157)&gt;0)AND(F157&gt;(C157-E157)),(C157-E157),IF(C157&lt;E157,0,F157))</f>
        <v>0</v>
      </c>
      <c r="M157" s="2" t="n">
        <f aca="false">IF(C157&lt;(E157+F157),0,C157-E157-F157)</f>
        <v>0</v>
      </c>
      <c r="N157" s="2" t="n">
        <f aca="false">IF(C157&lt;(E157+F157),0,(C157-E157-F157)/(1-V$16/100))</f>
        <v>0</v>
      </c>
      <c r="O157" s="2" t="n">
        <f aca="false">L157+M157</f>
        <v>0</v>
      </c>
      <c r="P157" s="2" t="n">
        <f aca="false">IF( N157=0,I157*(1-G157/100)+J157*(1-H157/100),-N157)</f>
        <v>15.9339415276551</v>
      </c>
      <c r="Q157" s="47" t="n">
        <f aca="false">IF(P156&gt;0,Q156+P156*(1-V$20/100),Q156+P156)</f>
        <v>3094.83097243464</v>
      </c>
      <c r="R157" s="48" t="n">
        <f aca="false">R$4+Q157/V$28</f>
        <v>76.6072677516937</v>
      </c>
    </row>
    <row r="158" customFormat="false" ht="12.8" hidden="false" customHeight="false" outlineLevel="0" collapsed="false">
      <c r="A158" s="1" t="n">
        <v>154</v>
      </c>
      <c r="B158" s="37" t="n">
        <v>43699</v>
      </c>
      <c r="C158" s="38" t="n">
        <f aca="false">V$26-V$26*SIN(2*PI()/365*A158)</f>
        <v>7.48816978914502</v>
      </c>
      <c r="D158" s="2" t="n">
        <f aca="false">IF((E158+F158)&gt;C158,C158,E158+F158)</f>
        <v>7.48816978914502</v>
      </c>
      <c r="E158" s="38" t="n">
        <f aca="false">(V$23+V$24*SIN(2*PI()/365*A158))*V$25/100*V$7*V$8/100</f>
        <v>19.6863723660864</v>
      </c>
      <c r="F158" s="38" t="n">
        <f aca="false">(V$23+V$24*SIN(2*PI()/365*A158))*V$25/100*V$9*(1-V$14/100)*(1-V$16/100)</f>
        <v>4.16908673356655</v>
      </c>
      <c r="G158" s="38" t="n">
        <f aca="false">IF(C158&gt;E158,100,C158/E158*100)</f>
        <v>38.0373267857355</v>
      </c>
      <c r="H158" s="38" t="n">
        <f aca="false">L158/F158*100</f>
        <v>0</v>
      </c>
      <c r="I158" s="38" t="n">
        <f aca="false">(V$23+V$24*SIN(2*PI()/365*A158))*V$25/100*V$7*V$8/100*(1-V$15/100)</f>
        <v>17.5208714058169</v>
      </c>
      <c r="J158" s="38" t="n">
        <f aca="false">(V$23+V$24*SIN(2*PI()/365*A158))*V$25/100*V$9*(1-V$14/100)</f>
        <v>4.68436711636691</v>
      </c>
      <c r="K158" s="39" t="n">
        <f aca="false">IF(E158/C158*100&lt;100,E158/C158*100,100)</f>
        <v>100</v>
      </c>
      <c r="L158" s="2" t="n">
        <f aca="false">IF(((C158-E158)&gt;0)AND(F158&gt;(C158-E158)),(C158-E158),IF(C158&lt;E158,0,F158))</f>
        <v>0</v>
      </c>
      <c r="M158" s="2" t="n">
        <f aca="false">IF(C158&lt;(E158+F158),0,C158-E158-F158)</f>
        <v>0</v>
      </c>
      <c r="N158" s="2" t="n">
        <f aca="false">IF(C158&lt;(E158+F158),0,(C158-E158-F158)/(1-V$16/100))</f>
        <v>0</v>
      </c>
      <c r="O158" s="2" t="n">
        <f aca="false">L158+M158</f>
        <v>0</v>
      </c>
      <c r="P158" s="2" t="n">
        <f aca="false">IF( N158=0,I158*(1-G158/100)+J158*(1-H158/100),-N158)</f>
        <v>15.5407674098447</v>
      </c>
      <c r="Q158" s="47" t="n">
        <f aca="false">IF(P157&gt;0,Q157+P157*(1-V$20/100),Q157+P157)</f>
        <v>3109.64953805536</v>
      </c>
      <c r="R158" s="48" t="n">
        <f aca="false">R$4+Q158/V$28</f>
        <v>76.7825494404855</v>
      </c>
    </row>
    <row r="159" customFormat="false" ht="12.8" hidden="false" customHeight="false" outlineLevel="0" collapsed="false">
      <c r="A159" s="1" t="n">
        <v>155</v>
      </c>
      <c r="B159" s="37" t="n">
        <v>43700</v>
      </c>
      <c r="C159" s="38" t="n">
        <f aca="false">V$26-V$26*SIN(2*PI()/365*A159)</f>
        <v>7.70414353527487</v>
      </c>
      <c r="D159" s="2" t="n">
        <f aca="false">IF((E159+F159)&gt;C159,C159,E159+F159)</f>
        <v>7.70414353527487</v>
      </c>
      <c r="E159" s="38" t="n">
        <f aca="false">(V$23+V$24*SIN(2*PI()/365*A159))*V$25/100*V$7*V$8/100</f>
        <v>19.50499052479</v>
      </c>
      <c r="F159" s="38" t="n">
        <f aca="false">(V$23+V$24*SIN(2*PI()/365*A159))*V$25/100*V$9*(1-V$14/100)*(1-V$16/100)</f>
        <v>4.13067454597827</v>
      </c>
      <c r="G159" s="38" t="n">
        <f aca="false">IF(C159&gt;E159,100,C159/E159*100)</f>
        <v>39.4983198042739</v>
      </c>
      <c r="H159" s="38" t="n">
        <f aca="false">L159/F159*100</f>
        <v>0</v>
      </c>
      <c r="I159" s="38" t="n">
        <f aca="false">(V$23+V$24*SIN(2*PI()/365*A159))*V$25/100*V$7*V$8/100*(1-V$15/100)</f>
        <v>17.3594415670631</v>
      </c>
      <c r="J159" s="38" t="n">
        <f aca="false">(V$23+V$24*SIN(2*PI()/365*A159))*V$25/100*V$9*(1-V$14/100)</f>
        <v>4.64120735503176</v>
      </c>
      <c r="K159" s="39" t="n">
        <f aca="false">IF(E159/C159*100&lt;100,E159/C159*100,100)</f>
        <v>100</v>
      </c>
      <c r="L159" s="2" t="n">
        <f aca="false">IF(((C159-E159)&gt;0)AND(F159&gt;(C159-E159)),(C159-E159),IF(C159&lt;E159,0,F159))</f>
        <v>0</v>
      </c>
      <c r="M159" s="2" t="n">
        <f aca="false">IF(C159&lt;(E159+F159),0,C159-E159-F159)</f>
        <v>0</v>
      </c>
      <c r="N159" s="2" t="n">
        <f aca="false">IF(C159&lt;(E159+F159),0,(C159-E159-F159)/(1-V$16/100))</f>
        <v>0</v>
      </c>
      <c r="O159" s="2" t="n">
        <f aca="false">L159+M159</f>
        <v>0</v>
      </c>
      <c r="P159" s="2" t="n">
        <f aca="false">IF( N159=0,I159*(1-G159/100)+J159*(1-H159/100),-N159)</f>
        <v>15.1439611757002</v>
      </c>
      <c r="Q159" s="47" t="n">
        <f aca="false">IF(P158&gt;0,Q158+P158*(1-V$20/100),Q158+P158)</f>
        <v>3124.10245174651</v>
      </c>
      <c r="R159" s="48" t="n">
        <f aca="false">R$4+Q159/V$28</f>
        <v>76.9535060083875</v>
      </c>
    </row>
    <row r="160" customFormat="false" ht="12.8" hidden="false" customHeight="false" outlineLevel="0" collapsed="false">
      <c r="A160" s="1" t="n">
        <v>156</v>
      </c>
      <c r="B160" s="37" t="n">
        <v>43701</v>
      </c>
      <c r="C160" s="38" t="n">
        <f aca="false">V$26-V$26*SIN(2*PI()/365*A160)</f>
        <v>7.92203017244961</v>
      </c>
      <c r="D160" s="2" t="n">
        <f aca="false">IF((E160+F160)&gt;C160,C160,E160+F160)</f>
        <v>7.92203017244961</v>
      </c>
      <c r="E160" s="38" t="n">
        <f aca="false">(V$23+V$24*SIN(2*PI()/365*A160))*V$25/100*V$7*V$8/100</f>
        <v>19.3220021748038</v>
      </c>
      <c r="F160" s="38" t="n">
        <f aca="false">(V$23+V$24*SIN(2*PI()/365*A160))*V$25/100*V$9*(1-V$14/100)*(1-V$16/100)</f>
        <v>4.09192213958576</v>
      </c>
      <c r="G160" s="38" t="n">
        <f aca="false">IF(C160&gt;E160,100,C160/E160*100)</f>
        <v>41.0000480321862</v>
      </c>
      <c r="H160" s="38" t="n">
        <f aca="false">L160/F160*100</f>
        <v>0</v>
      </c>
      <c r="I160" s="38" t="n">
        <f aca="false">(V$23+V$24*SIN(2*PI()/365*A160))*V$25/100*V$7*V$8/100*(1-V$15/100)</f>
        <v>17.1965819355754</v>
      </c>
      <c r="J160" s="38" t="n">
        <f aca="false">(V$23+V$24*SIN(2*PI()/365*A160))*V$25/100*V$9*(1-V$14/100)</f>
        <v>4.59766532537726</v>
      </c>
      <c r="K160" s="39" t="n">
        <f aca="false">IF(E160/C160*100&lt;100,E160/C160*100,100)</f>
        <v>100</v>
      </c>
      <c r="L160" s="2" t="n">
        <f aca="false">IF(((C160-E160)&gt;0)AND(F160&gt;(C160-E160)),(C160-E160),IF(C160&lt;E160,0,F160))</f>
        <v>0</v>
      </c>
      <c r="M160" s="2" t="n">
        <f aca="false">IF(C160&lt;(E160+F160),0,C160-E160-F160)</f>
        <v>0</v>
      </c>
      <c r="N160" s="2" t="n">
        <f aca="false">IF(C160&lt;(E160+F160),0,(C160-E160-F160)/(1-V$16/100))</f>
        <v>0</v>
      </c>
      <c r="O160" s="2" t="n">
        <f aca="false">L160+M160</f>
        <v>0</v>
      </c>
      <c r="P160" s="2" t="n">
        <f aca="false">IF( N160=0,I160*(1-G160/100)+J160*(1-H160/100),-N160)</f>
        <v>14.7436404074725</v>
      </c>
      <c r="Q160" s="47" t="n">
        <f aca="false">IF(P159&gt;0,Q159+P159*(1-V$20/100),Q159+P159)</f>
        <v>3138.18633563992</v>
      </c>
      <c r="R160" s="48" t="n">
        <f aca="false">R$4+Q160/V$28</f>
        <v>77.1200975002207</v>
      </c>
    </row>
    <row r="161" customFormat="false" ht="12.8" hidden="false" customHeight="false" outlineLevel="0" collapsed="false">
      <c r="A161" s="1" t="n">
        <v>157</v>
      </c>
      <c r="B161" s="37" t="n">
        <v>43702</v>
      </c>
      <c r="C161" s="38" t="n">
        <f aca="false">V$26-V$26*SIN(2*PI()/365*A161)</f>
        <v>8.14176513615626</v>
      </c>
      <c r="D161" s="2" t="n">
        <f aca="false">IF((E161+F161)&gt;C161,C161,E161+F161)</f>
        <v>8.14176513615626</v>
      </c>
      <c r="E161" s="38" t="n">
        <f aca="false">(V$23+V$24*SIN(2*PI()/365*A161))*V$25/100*V$7*V$8/100</f>
        <v>19.1374615395251</v>
      </c>
      <c r="F161" s="38" t="n">
        <f aca="false">(V$23+V$24*SIN(2*PI()/365*A161))*V$25/100*V$9*(1-V$14/100)*(1-V$16/100)</f>
        <v>4.0528409975634</v>
      </c>
      <c r="G161" s="38" t="n">
        <f aca="false">IF(C161&gt;E161,100,C161/E161*100)</f>
        <v>42.5436002540925</v>
      </c>
      <c r="H161" s="38" t="n">
        <f aca="false">L161/F161*100</f>
        <v>0</v>
      </c>
      <c r="I161" s="38" t="n">
        <f aca="false">(V$23+V$24*SIN(2*PI()/365*A161))*V$25/100*V$7*V$8/100*(1-V$15/100)</f>
        <v>17.0323407701773</v>
      </c>
      <c r="J161" s="38" t="n">
        <f aca="false">(V$23+V$24*SIN(2*PI()/365*A161))*V$25/100*V$9*(1-V$14/100)</f>
        <v>4.55375392984651</v>
      </c>
      <c r="K161" s="39" t="n">
        <f aca="false">IF(E161/C161*100&lt;100,E161/C161*100,100)</f>
        <v>100</v>
      </c>
      <c r="L161" s="2" t="n">
        <f aca="false">IF(((C161-E161)&gt;0)AND(F161&gt;(C161-E161)),(C161-E161),IF(C161&lt;E161,0,F161))</f>
        <v>0</v>
      </c>
      <c r="M161" s="2" t="n">
        <f aca="false">IF(C161&lt;(E161+F161),0,C161-E161-F161)</f>
        <v>0</v>
      </c>
      <c r="N161" s="2" t="n">
        <f aca="false">IF(C161&lt;(E161+F161),0,(C161-E161-F161)/(1-V$16/100))</f>
        <v>0</v>
      </c>
      <c r="O161" s="2" t="n">
        <f aca="false">L161+M161</f>
        <v>0</v>
      </c>
      <c r="P161" s="2" t="n">
        <f aca="false">IF( N161=0,I161*(1-G161/100)+J161*(1-H161/100),-N161)</f>
        <v>14.3399237288448</v>
      </c>
      <c r="Q161" s="47" t="n">
        <f aca="false">IF(P160&gt;0,Q160+P160*(1-V$20/100),Q160+P160)</f>
        <v>3151.89792121887</v>
      </c>
      <c r="R161" s="48" t="n">
        <f aca="false">R$4+Q161/V$28</f>
        <v>77.2822852542724</v>
      </c>
    </row>
    <row r="162" customFormat="false" ht="12.8" hidden="false" customHeight="false" outlineLevel="0" collapsed="false">
      <c r="A162" s="1" t="n">
        <v>158</v>
      </c>
      <c r="B162" s="37" t="n">
        <v>43703</v>
      </c>
      <c r="C162" s="38" t="n">
        <f aca="false">V$26-V$26*SIN(2*PI()/365*A162)</f>
        <v>8.3632833141828</v>
      </c>
      <c r="D162" s="2" t="n">
        <f aca="false">IF((E162+F162)&gt;C162,C162,E162+F162)</f>
        <v>8.3632833141828</v>
      </c>
      <c r="E162" s="38" t="n">
        <f aca="false">(V$23+V$24*SIN(2*PI()/365*A162))*V$25/100*V$7*V$8/100</f>
        <v>18.9514233023269</v>
      </c>
      <c r="F162" s="38" t="n">
        <f aca="false">(V$23+V$24*SIN(2*PI()/365*A162))*V$25/100*V$9*(1-V$14/100)*(1-V$16/100)</f>
        <v>4.01344270049698</v>
      </c>
      <c r="G162" s="38" t="n">
        <f aca="false">IF(C162&gt;E162,100,C162/E162*100)</f>
        <v>44.1301066456361</v>
      </c>
      <c r="H162" s="38" t="n">
        <f aca="false">L162/F162*100</f>
        <v>0</v>
      </c>
      <c r="I162" s="38" t="n">
        <f aca="false">(V$23+V$24*SIN(2*PI()/365*A162))*V$25/100*V$7*V$8/100*(1-V$15/100)</f>
        <v>16.866766739071</v>
      </c>
      <c r="J162" s="38" t="n">
        <f aca="false">(V$23+V$24*SIN(2*PI()/365*A162))*V$25/100*V$9*(1-V$14/100)</f>
        <v>4.50948618033369</v>
      </c>
      <c r="K162" s="39" t="n">
        <f aca="false">IF(E162/C162*100&lt;100,E162/C162*100,100)</f>
        <v>100</v>
      </c>
      <c r="L162" s="2" t="n">
        <f aca="false">IF(((C162-E162)&gt;0)AND(F162&gt;(C162-E162)),(C162-E162),IF(C162&lt;E162,0,F162))</f>
        <v>0</v>
      </c>
      <c r="M162" s="2" t="n">
        <f aca="false">IF(C162&lt;(E162+F162),0,C162-E162-F162)</f>
        <v>0</v>
      </c>
      <c r="N162" s="2" t="n">
        <f aca="false">IF(C162&lt;(E162+F162),0,(C162-E162-F162)/(1-V$16/100))</f>
        <v>0</v>
      </c>
      <c r="O162" s="2" t="n">
        <f aca="false">L162+M162</f>
        <v>0</v>
      </c>
      <c r="P162" s="2" t="n">
        <f aca="false">IF( N162=0,I162*(1-G162/100)+J162*(1-H162/100),-N162)</f>
        <v>13.932930769782</v>
      </c>
      <c r="Q162" s="47" t="n">
        <f aca="false">IF(P161&gt;0,Q161+P161*(1-V$20/100),Q161+P161)</f>
        <v>3165.23405028669</v>
      </c>
      <c r="R162" s="48" t="n">
        <f aca="false">R$4+Q162/V$28</f>
        <v>77.4400319137525</v>
      </c>
    </row>
    <row r="163" customFormat="false" ht="12.8" hidden="false" customHeight="false" outlineLevel="0" collapsed="false">
      <c r="A163" s="1" t="n">
        <v>159</v>
      </c>
      <c r="B163" s="37" t="n">
        <v>43704</v>
      </c>
      <c r="C163" s="38" t="n">
        <f aca="false">V$26-V$26*SIN(2*PI()/365*A163)</f>
        <v>8.58651906591234</v>
      </c>
      <c r="D163" s="2" t="n">
        <f aca="false">IF((E163+F163)&gt;C163,C163,E163+F163)</f>
        <v>8.58651906591234</v>
      </c>
      <c r="E163" s="38" t="n">
        <f aca="false">(V$23+V$24*SIN(2*PI()/365*A163))*V$25/100*V$7*V$8/100</f>
        <v>18.7639425903539</v>
      </c>
      <c r="F163" s="38" t="n">
        <f aca="false">(V$23+V$24*SIN(2*PI()/365*A163))*V$25/100*V$9*(1-V$14/100)*(1-V$16/100)</f>
        <v>3.97373892295224</v>
      </c>
      <c r="G163" s="38" t="n">
        <f aca="false">IF(C163&gt;E163,100,C163/E163*100)</f>
        <v>45.7607404444227</v>
      </c>
      <c r="H163" s="38" t="n">
        <f aca="false">L163/F163*100</f>
        <v>0</v>
      </c>
      <c r="I163" s="38" t="n">
        <f aca="false">(V$23+V$24*SIN(2*PI()/365*A163))*V$25/100*V$7*V$8/100*(1-V$15/100)</f>
        <v>16.699908905415</v>
      </c>
      <c r="J163" s="38" t="n">
        <f aca="false">(V$23+V$24*SIN(2*PI()/365*A163))*V$25/100*V$9*(1-V$14/100)</f>
        <v>4.46487519432835</v>
      </c>
      <c r="K163" s="39" t="n">
        <f aca="false">IF(E163/C163*100&lt;100,E163/C163*100,100)</f>
        <v>100</v>
      </c>
      <c r="L163" s="2" t="n">
        <f aca="false">IF(((C163-E163)&gt;0)AND(F163&gt;(C163-E163)),(C163-E163),IF(C163&lt;E163,0,F163))</f>
        <v>0</v>
      </c>
      <c r="M163" s="2" t="n">
        <f aca="false">IF(C163&lt;(E163+F163),0,C163-E163-F163)</f>
        <v>0</v>
      </c>
      <c r="N163" s="2" t="n">
        <f aca="false">IF(C163&lt;(E163+F163),0,(C163-E163-F163)/(1-V$16/100))</f>
        <v>0</v>
      </c>
      <c r="O163" s="2" t="n">
        <f aca="false">L163+M163</f>
        <v>0</v>
      </c>
      <c r="P163" s="2" t="n">
        <f aca="false">IF( N163=0,I163*(1-G163/100)+J163*(1-H163/100),-N163)</f>
        <v>13.5227821310814</v>
      </c>
      <c r="Q163" s="47" t="n">
        <f aca="false">IF(P162&gt;0,Q162+P162*(1-V$20/100),Q162+P162)</f>
        <v>3178.19167590259</v>
      </c>
      <c r="R163" s="48" t="n">
        <f aca="false">R$4+Q163/V$28</f>
        <v>77.593301437863</v>
      </c>
    </row>
    <row r="164" customFormat="false" ht="12.8" hidden="false" customHeight="false" outlineLevel="0" collapsed="false">
      <c r="A164" s="1" t="n">
        <v>160</v>
      </c>
      <c r="B164" s="37" t="n">
        <v>43705</v>
      </c>
      <c r="C164" s="38" t="n">
        <f aca="false">V$26-V$26*SIN(2*PI()/365*A164)</f>
        <v>8.81140624177382</v>
      </c>
      <c r="D164" s="2" t="n">
        <f aca="false">IF((E164+F164)&gt;C164,C164,E164+F164)</f>
        <v>8.81140624177382</v>
      </c>
      <c r="E164" s="38" t="n">
        <f aca="false">(V$23+V$24*SIN(2*PI()/365*A164))*V$25/100*V$7*V$8/100</f>
        <v>18.5750749581873</v>
      </c>
      <c r="F164" s="38" t="n">
        <f aca="false">(V$23+V$24*SIN(2*PI()/365*A164))*V$25/100*V$9*(1-V$14/100)*(1-V$16/100)</f>
        <v>3.93374143001531</v>
      </c>
      <c r="G164" s="38" t="n">
        <f aca="false">IF(C164&gt;E164,100,C164/E164*100)</f>
        <v>47.436719698889</v>
      </c>
      <c r="H164" s="38" t="n">
        <f aca="false">L164/F164*100</f>
        <v>0</v>
      </c>
      <c r="I164" s="38" t="n">
        <f aca="false">(V$23+V$24*SIN(2*PI()/365*A164))*V$25/100*V$7*V$8/100*(1-V$15/100)</f>
        <v>16.5318167127867</v>
      </c>
      <c r="J164" s="38" t="n">
        <f aca="false">(V$23+V$24*SIN(2*PI()/365*A164))*V$25/100*V$9*(1-V$14/100)</f>
        <v>4.41993419102844</v>
      </c>
      <c r="K164" s="39" t="n">
        <f aca="false">IF(E164/C164*100&lt;100,E164/C164*100,100)</f>
        <v>100</v>
      </c>
      <c r="L164" s="2" t="n">
        <f aca="false">IF(((C164-E164)&gt;0)AND(F164&gt;(C164-E164)),(C164-E164),IF(C164&lt;E164,0,F164))</f>
        <v>0</v>
      </c>
      <c r="M164" s="2" t="n">
        <f aca="false">IF(C164&lt;(E164+F164),0,C164-E164-F164)</f>
        <v>0</v>
      </c>
      <c r="N164" s="2" t="n">
        <f aca="false">IF(C164&lt;(E164+F164),0,(C164-E164-F164)/(1-V$16/100))</f>
        <v>0</v>
      </c>
      <c r="O164" s="2" t="n">
        <f aca="false">L164+M164</f>
        <v>0</v>
      </c>
      <c r="P164" s="2" t="n">
        <f aca="false">IF( N164=0,I164*(1-G164/100)+J164*(1-H164/100),-N164)</f>
        <v>13.1095993486364</v>
      </c>
      <c r="Q164" s="47" t="n">
        <f aca="false">IF(P163&gt;0,Q163+P163*(1-V$20/100),Q163+P163)</f>
        <v>3190.76786328449</v>
      </c>
      <c r="R164" s="48" t="n">
        <f aca="false">R$4+Q164/V$28</f>
        <v>77.7420591124777</v>
      </c>
    </row>
    <row r="165" customFormat="false" ht="12.8" hidden="false" customHeight="false" outlineLevel="0" collapsed="false">
      <c r="A165" s="1" t="n">
        <v>161</v>
      </c>
      <c r="B165" s="37" t="n">
        <v>43706</v>
      </c>
      <c r="C165" s="38" t="n">
        <f aca="false">V$26-V$26*SIN(2*PI()/365*A165)</f>
        <v>9.03787820284356</v>
      </c>
      <c r="D165" s="2" t="n">
        <f aca="false">IF((E165+F165)&gt;C165,C165,E165+F165)</f>
        <v>9.03787820284356</v>
      </c>
      <c r="E165" s="38" t="n">
        <f aca="false">(V$23+V$24*SIN(2*PI()/365*A165))*V$25/100*V$7*V$8/100</f>
        <v>18.3848763713824</v>
      </c>
      <c r="F165" s="38" t="n">
        <f aca="false">(V$23+V$24*SIN(2*PI()/365*A165))*V$25/100*V$9*(1-V$14/100)*(1-V$16/100)</f>
        <v>3.89346207380659</v>
      </c>
      <c r="G165" s="38" t="n">
        <f aca="false">IF(C165&gt;E165,100,C165/E165*100)</f>
        <v>49.1593090988186</v>
      </c>
      <c r="H165" s="38" t="n">
        <f aca="false">L165/F165*100</f>
        <v>0</v>
      </c>
      <c r="I165" s="38" t="n">
        <f aca="false">(V$23+V$24*SIN(2*PI()/365*A165))*V$25/100*V$7*V$8/100*(1-V$15/100)</f>
        <v>16.3625399705304</v>
      </c>
      <c r="J165" s="38" t="n">
        <f aca="false">(V$23+V$24*SIN(2*PI()/365*A165))*V$25/100*V$9*(1-V$14/100)</f>
        <v>4.37467648742314</v>
      </c>
      <c r="K165" s="39" t="n">
        <f aca="false">IF(E165/C165*100&lt;100,E165/C165*100,100)</f>
        <v>100</v>
      </c>
      <c r="L165" s="2" t="n">
        <f aca="false">IF(((C165-E165)&gt;0)AND(F165&gt;(C165-E165)),(C165-E165),IF(C165&lt;E165,0,F165))</f>
        <v>0</v>
      </c>
      <c r="M165" s="2" t="n">
        <f aca="false">IF(C165&lt;(E165+F165),0,C165-E165-F165)</f>
        <v>0</v>
      </c>
      <c r="N165" s="2" t="n">
        <f aca="false">IF(C165&lt;(E165+F165),0,(C165-E165-F165)/(1-V$16/100))</f>
        <v>0</v>
      </c>
      <c r="O165" s="2" t="n">
        <f aca="false">L165+M165</f>
        <v>0</v>
      </c>
      <c r="P165" s="2" t="n">
        <f aca="false">IF( N165=0,I165*(1-G165/100)+J165*(1-H165/100),-N165)</f>
        <v>12.6935048574227</v>
      </c>
      <c r="Q165" s="47" t="n">
        <f aca="false">IF(P164&gt;0,Q164+P164*(1-V$20/100),Q164+P164)</f>
        <v>3202.95979067873</v>
      </c>
      <c r="R165" s="48" t="n">
        <f aca="false">R$4+Q165/V$28</f>
        <v>77.8862715604288</v>
      </c>
    </row>
    <row r="166" customFormat="false" ht="12.8" hidden="false" customHeight="false" outlineLevel="0" collapsed="false">
      <c r="A166" s="1" t="n">
        <v>162</v>
      </c>
      <c r="B166" s="37" t="n">
        <v>43707</v>
      </c>
      <c r="C166" s="38" t="n">
        <f aca="false">V$26-V$26*SIN(2*PI()/365*A166)</f>
        <v>9.26586784059183</v>
      </c>
      <c r="D166" s="2" t="n">
        <f aca="false">IF((E166+F166)&gt;C166,C166,E166+F166)</f>
        <v>9.26586784059183</v>
      </c>
      <c r="E166" s="38" t="n">
        <f aca="false">(V$23+V$24*SIN(2*PI()/365*A166))*V$25/100*V$7*V$8/100</f>
        <v>18.1934031898855</v>
      </c>
      <c r="F166" s="38" t="n">
        <f aca="false">(V$23+V$24*SIN(2*PI()/365*A166))*V$25/100*V$9*(1-V$14/100)*(1-V$16/100)</f>
        <v>3.85291278996861</v>
      </c>
      <c r="G166" s="38" t="n">
        <f aca="false">IF(C166&gt;E166,100,C166/E166*100)</f>
        <v>50.9298218913937</v>
      </c>
      <c r="H166" s="38" t="n">
        <f aca="false">L166/F166*100</f>
        <v>0</v>
      </c>
      <c r="I166" s="38" t="n">
        <f aca="false">(V$23+V$24*SIN(2*PI()/365*A166))*V$25/100*V$7*V$8/100*(1-V$15/100)</f>
        <v>16.1921288389981</v>
      </c>
      <c r="J166" s="38" t="n">
        <f aca="false">(V$23+V$24*SIN(2*PI()/365*A166))*V$25/100*V$9*(1-V$14/100)</f>
        <v>4.32911549434676</v>
      </c>
      <c r="K166" s="39" t="n">
        <f aca="false">IF(E166/C166*100&lt;100,E166/C166*100,100)</f>
        <v>100</v>
      </c>
      <c r="L166" s="2" t="n">
        <f aca="false">IF(((C166-E166)&gt;0)AND(F166&gt;(C166-E166)),(C166-E166),IF(C166&lt;E166,0,F166))</f>
        <v>0</v>
      </c>
      <c r="M166" s="2" t="n">
        <f aca="false">IF(C166&lt;(E166+F166),0,C166-E166-F166)</f>
        <v>0</v>
      </c>
      <c r="N166" s="2" t="n">
        <f aca="false">IF(C166&lt;(E166+F166),0,(C166-E166-F166)/(1-V$16/100))</f>
        <v>0</v>
      </c>
      <c r="O166" s="2" t="n">
        <f aca="false">L166+M166</f>
        <v>0</v>
      </c>
      <c r="P166" s="2" t="n">
        <f aca="false">IF( N166=0,I166*(1-G166/100)+J166*(1-H166/100),-N166)</f>
        <v>12.2746219552181</v>
      </c>
      <c r="Q166" s="47" t="n">
        <f aca="false">IF(P165&gt;0,Q165+P165*(1-V$20/100),Q165+P165)</f>
        <v>3214.76475019613</v>
      </c>
      <c r="R166" s="48" t="n">
        <f aca="false">R$4+Q166/V$28</f>
        <v>78.0259067513974</v>
      </c>
    </row>
    <row r="167" customFormat="false" ht="12.8" hidden="false" customHeight="false" outlineLevel="0" collapsed="false">
      <c r="A167" s="1" t="n">
        <v>163</v>
      </c>
      <c r="B167" s="37" t="n">
        <v>43708</v>
      </c>
      <c r="C167" s="38" t="n">
        <f aca="false">V$26-V$26*SIN(2*PI()/365*A167)</f>
        <v>9.49530759676856</v>
      </c>
      <c r="D167" s="2" t="n">
        <f aca="false">IF((E167+F167)&gt;C167,C167,E167+F167)</f>
        <v>9.49530759676856</v>
      </c>
      <c r="E167" s="38" t="n">
        <f aca="false">(V$23+V$24*SIN(2*PI()/365*A167))*V$25/100*V$7*V$8/100</f>
        <v>18.0007121513325</v>
      </c>
      <c r="F167" s="38" t="n">
        <f aca="false">(V$23+V$24*SIN(2*PI()/365*A167))*V$25/100*V$9*(1-V$14/100)*(1-V$16/100)</f>
        <v>3.81210559412931</v>
      </c>
      <c r="G167" s="38" t="n">
        <f aca="false">IF(C167&gt;E167,100,C167/E167*100)</f>
        <v>52.7496218868521</v>
      </c>
      <c r="H167" s="38" t="n">
        <f aca="false">L167/F167*100</f>
        <v>0</v>
      </c>
      <c r="I167" s="38" t="n">
        <f aca="false">(V$23+V$24*SIN(2*PI()/365*A167))*V$25/100*V$7*V$8/100*(1-V$15/100)</f>
        <v>16.020633814686</v>
      </c>
      <c r="J167" s="38" t="n">
        <f aca="false">(V$23+V$24*SIN(2*PI()/365*A167))*V$25/100*V$9*(1-V$14/100)</f>
        <v>4.28326471250484</v>
      </c>
      <c r="K167" s="39" t="n">
        <f aca="false">IF(E167/C167*100&lt;100,E167/C167*100,100)</f>
        <v>100</v>
      </c>
      <c r="L167" s="2" t="n">
        <f aca="false">IF(((C167-E167)&gt;0)AND(F167&gt;(C167-E167)),(C167-E167),IF(C167&lt;E167,0,F167))</f>
        <v>0</v>
      </c>
      <c r="M167" s="2" t="n">
        <f aca="false">IF(C167&lt;(E167+F167),0,C167-E167-F167)</f>
        <v>0</v>
      </c>
      <c r="N167" s="2" t="n">
        <f aca="false">IF(C167&lt;(E167+F167),0,(C167-E167-F167)/(1-V$16/100))</f>
        <v>0</v>
      </c>
      <c r="O167" s="2" t="n">
        <f aca="false">L167+M167</f>
        <v>0</v>
      </c>
      <c r="P167" s="2" t="n">
        <f aca="false">IF( N167=0,I167*(1-G167/100)+J167*(1-H167/100),-N167)</f>
        <v>11.8530747660668</v>
      </c>
      <c r="Q167" s="47" t="n">
        <f aca="false">IF(P166&gt;0,Q166+P166*(1-V$20/100),Q166+P166)</f>
        <v>3226.18014861448</v>
      </c>
      <c r="R167" s="48" t="n">
        <f aca="false">R$4+Q167/V$28</f>
        <v>78.1609340114045</v>
      </c>
    </row>
    <row r="168" customFormat="false" ht="12.8" hidden="false" customHeight="false" outlineLevel="0" collapsed="false">
      <c r="A168" s="1" t="n">
        <v>164</v>
      </c>
      <c r="B168" s="37" t="n">
        <v>43709</v>
      </c>
      <c r="C168" s="38" t="n">
        <f aca="false">V$26-V$26*SIN(2*PI()/365*A168)</f>
        <v>9.72612948342226</v>
      </c>
      <c r="D168" s="2" t="n">
        <f aca="false">IF((E168+F168)&gt;C168,C168,E168+F168)</f>
        <v>9.72612948342226</v>
      </c>
      <c r="E168" s="38" t="n">
        <f aca="false">(V$23+V$24*SIN(2*PI()/365*A168))*V$25/100*V$7*V$8/100</f>
        <v>17.8068603542368</v>
      </c>
      <c r="F168" s="38" t="n">
        <f aca="false">(V$23+V$24*SIN(2*PI()/365*A168))*V$25/100*V$9*(1-V$14/100)*(1-V$16/100)</f>
        <v>3.77105257834149</v>
      </c>
      <c r="G168" s="38" t="n">
        <f aca="false">IF(C168&gt;E168,100,C168/E168*100)</f>
        <v>54.6201255580021</v>
      </c>
      <c r="H168" s="38" t="n">
        <f aca="false">L168/F168*100</f>
        <v>0</v>
      </c>
      <c r="I168" s="38" t="n">
        <f aca="false">(V$23+V$24*SIN(2*PI()/365*A168))*V$25/100*V$7*V$8/100*(1-V$15/100)</f>
        <v>15.8481057152708</v>
      </c>
      <c r="J168" s="38" t="n">
        <f aca="false">(V$23+V$24*SIN(2*PI()/365*A168))*V$25/100*V$9*(1-V$14/100)</f>
        <v>4.23713772847359</v>
      </c>
      <c r="K168" s="39" t="n">
        <f aca="false">IF(E168/C168*100&lt;100,E168/C168*100,100)</f>
        <v>100</v>
      </c>
      <c r="L168" s="2" t="n">
        <f aca="false">IF(((C168-E168)&gt;0)AND(F168&gt;(C168-E168)),(C168-E168),IF(C168&lt;E168,0,F168))</f>
        <v>0</v>
      </c>
      <c r="M168" s="2" t="n">
        <f aca="false">IF(C168&lt;(E168+F168),0,C168-E168-F168)</f>
        <v>0</v>
      </c>
      <c r="N168" s="2" t="n">
        <f aca="false">IF(C168&lt;(E168+F168),0,(C168-E168-F168)/(1-V$16/100))</f>
        <v>0</v>
      </c>
      <c r="O168" s="2" t="n">
        <f aca="false">L168+M168</f>
        <v>0</v>
      </c>
      <c r="P168" s="2" t="n">
        <f aca="false">IF( N168=0,I168*(1-G168/100)+J168*(1-H168/100),-N168)</f>
        <v>11.4289882034986</v>
      </c>
      <c r="Q168" s="47" t="n">
        <f aca="false">IF(P167&gt;0,Q167+P167*(1-V$20/100),Q167+P167)</f>
        <v>3237.20350814692</v>
      </c>
      <c r="R168" s="48" t="n">
        <f aca="false">R$4+Q168/V$28</f>
        <v>78.2913240319005</v>
      </c>
    </row>
    <row r="169" customFormat="false" ht="12.8" hidden="false" customHeight="false" outlineLevel="0" collapsed="false">
      <c r="A169" s="1" t="n">
        <v>165</v>
      </c>
      <c r="B169" s="37" t="n">
        <v>43710</v>
      </c>
      <c r="C169" s="38" t="n">
        <f aca="false">V$26-V$26*SIN(2*PI()/365*A169)</f>
        <v>9.95826510304638</v>
      </c>
      <c r="D169" s="2" t="n">
        <f aca="false">IF((E169+F169)&gt;C169,C169,E169+F169)</f>
        <v>9.95826510304638</v>
      </c>
      <c r="E169" s="38" t="n">
        <f aca="false">(V$23+V$24*SIN(2*PI()/365*A169))*V$25/100*V$7*V$8/100</f>
        <v>17.6119052410695</v>
      </c>
      <c r="F169" s="38" t="n">
        <f aca="false">(V$23+V$24*SIN(2*PI()/365*A169))*V$25/100*V$9*(1-V$14/100)*(1-V$16/100)</f>
        <v>3.72976590749974</v>
      </c>
      <c r="G169" s="38" t="n">
        <f aca="false">IF(C169&gt;E169,100,C169/E169*100)</f>
        <v>56.5428042380363</v>
      </c>
      <c r="H169" s="38" t="n">
        <f aca="false">L169/F169*100</f>
        <v>0</v>
      </c>
      <c r="I169" s="38" t="n">
        <f aca="false">(V$23+V$24*SIN(2*PI()/365*A169))*V$25/100*V$7*V$8/100*(1-V$15/100)</f>
        <v>15.6745956645519</v>
      </c>
      <c r="J169" s="38" t="n">
        <f aca="false">(V$23+V$24*SIN(2*PI()/365*A169))*V$25/100*V$9*(1-V$14/100)</f>
        <v>4.19074821067386</v>
      </c>
      <c r="K169" s="39" t="n">
        <f aca="false">IF(E169/C169*100&lt;100,E169/C169*100,100)</f>
        <v>100</v>
      </c>
      <c r="L169" s="2" t="n">
        <f aca="false">IF(((C169-E169)&gt;0)AND(F169&gt;(C169-E169)),(C169-E169),IF(C169&lt;E169,0,F169))</f>
        <v>0</v>
      </c>
      <c r="M169" s="2" t="n">
        <f aca="false">IF(C169&lt;(E169+F169),0,C169-E169-F169)</f>
        <v>0</v>
      </c>
      <c r="N169" s="2" t="n">
        <f aca="false">IF(C169&lt;(E169+F169),0,(C169-E169-F169)/(1-V$16/100))</f>
        <v>0</v>
      </c>
      <c r="O169" s="2" t="n">
        <f aca="false">L169+M169</f>
        <v>0</v>
      </c>
      <c r="P169" s="2" t="n">
        <f aca="false">IF( N169=0,I169*(1-G169/100)+J169*(1-H169/100),-N169)</f>
        <v>11.0024879335145</v>
      </c>
      <c r="Q169" s="47" t="n">
        <f aca="false">IF(P168&gt;0,Q168+P168*(1-V$20/100),Q168+P168)</f>
        <v>3247.83246717618</v>
      </c>
      <c r="R169" s="48" t="n">
        <f aca="false">R$4+Q169/V$28</f>
        <v>78.4170488784499</v>
      </c>
    </row>
    <row r="170" customFormat="false" ht="12.8" hidden="false" customHeight="false" outlineLevel="0" collapsed="false">
      <c r="A170" s="1" t="n">
        <v>166</v>
      </c>
      <c r="B170" s="37" t="n">
        <v>43711</v>
      </c>
      <c r="C170" s="38" t="n">
        <f aca="false">V$26-V$26*SIN(2*PI()/365*A170)</f>
        <v>10.1916456688469</v>
      </c>
      <c r="D170" s="2" t="n">
        <f aca="false">IF((E170+F170)&gt;C170,C170,E170+F170)</f>
        <v>10.1916456688469</v>
      </c>
      <c r="E170" s="38" t="n">
        <f aca="false">(V$23+V$24*SIN(2*PI()/365*A170))*V$25/100*V$7*V$8/100</f>
        <v>17.4159045812381</v>
      </c>
      <c r="F170" s="38" t="n">
        <f aca="false">(V$23+V$24*SIN(2*PI()/365*A170))*V$25/100*V$9*(1-V$14/100)*(1-V$16/100)</f>
        <v>3.68825781573566</v>
      </c>
      <c r="G170" s="38" t="n">
        <f aca="false">IF(C170&gt;E170,100,C170/E170*100)</f>
        <v>58.5191864212797</v>
      </c>
      <c r="H170" s="38" t="n">
        <f aca="false">L170/F170*100</f>
        <v>0</v>
      </c>
      <c r="I170" s="38" t="n">
        <f aca="false">(V$23+V$24*SIN(2*PI()/365*A170))*V$25/100*V$7*V$8/100*(1-V$15/100)</f>
        <v>15.5001550773019</v>
      </c>
      <c r="J170" s="38" t="n">
        <f aca="false">(V$23+V$24*SIN(2*PI()/365*A170))*V$25/100*V$9*(1-V$14/100)</f>
        <v>4.14410990532097</v>
      </c>
      <c r="K170" s="39" t="n">
        <f aca="false">IF(E170/C170*100&lt;100,E170/C170*100,100)</f>
        <v>100</v>
      </c>
      <c r="L170" s="2" t="n">
        <f aca="false">IF(((C170-E170)&gt;0)AND(F170&gt;(C170-E170)),(C170-E170),IF(C170&lt;E170,0,F170))</f>
        <v>0</v>
      </c>
      <c r="M170" s="2" t="n">
        <f aca="false">IF(C170&lt;(E170+F170),0,C170-E170-F170)</f>
        <v>0</v>
      </c>
      <c r="N170" s="2" t="n">
        <f aca="false">IF(C170&lt;(E170+F170),0,(C170-E170-F170)/(1-V$16/100))</f>
        <v>0</v>
      </c>
      <c r="O170" s="2" t="n">
        <f aca="false">L170+M170</f>
        <v>0</v>
      </c>
      <c r="P170" s="2" t="n">
        <f aca="false">IF( N170=0,I170*(1-G170/100)+J170*(1-H170/100),-N170)</f>
        <v>10.5737003373491</v>
      </c>
      <c r="Q170" s="47" t="n">
        <f aca="false">IF(P169&gt;0,Q169+P169*(1-V$20/100),Q169+P169)</f>
        <v>3258.06478095435</v>
      </c>
      <c r="R170" s="48" t="n">
        <f aca="false">R$4+Q170/V$28</f>
        <v>78.538081999009</v>
      </c>
    </row>
    <row r="171" customFormat="false" ht="12.8" hidden="false" customHeight="false" outlineLevel="0" collapsed="false">
      <c r="A171" s="1" t="n">
        <v>167</v>
      </c>
      <c r="B171" s="37" t="n">
        <v>43712</v>
      </c>
      <c r="C171" s="38" t="n">
        <f aca="false">V$26-V$26*SIN(2*PI()/365*A171)</f>
        <v>10.4262020251255</v>
      </c>
      <c r="D171" s="2" t="n">
        <f aca="false">IF((E171+F171)&gt;C171,C171,E171+F171)</f>
        <v>10.4262020251255</v>
      </c>
      <c r="E171" s="38" t="n">
        <f aca="false">(V$23+V$24*SIN(2*PI()/365*A171))*V$25/100*V$7*V$8/100</f>
        <v>17.2189164539682</v>
      </c>
      <c r="F171" s="38" t="n">
        <f aca="false">(V$23+V$24*SIN(2*PI()/365*A171))*V$25/100*V$9*(1-V$14/100)*(1-V$16/100)</f>
        <v>3.64654060279266</v>
      </c>
      <c r="G171" s="38" t="n">
        <f aca="false">IF(C171&gt;E171,100,C171/E171*100)</f>
        <v>60.5508601717079</v>
      </c>
      <c r="H171" s="38" t="n">
        <f aca="false">L171/F171*100</f>
        <v>0</v>
      </c>
      <c r="I171" s="38" t="n">
        <f aca="false">(V$23+V$24*SIN(2*PI()/365*A171))*V$25/100*V$7*V$8/100*(1-V$15/100)</f>
        <v>15.3248356440317</v>
      </c>
      <c r="J171" s="38" t="n">
        <f aca="false">(V$23+V$24*SIN(2*PI()/365*A171))*V$25/100*V$9*(1-V$14/100)</f>
        <v>4.09723663235131</v>
      </c>
      <c r="K171" s="39" t="n">
        <f aca="false">IF(E171/C171*100&lt;100,E171/C171*100,100)</f>
        <v>100</v>
      </c>
      <c r="L171" s="2" t="n">
        <f aca="false">IF(((C171-E171)&gt;0)AND(F171&gt;(C171-E171)),(C171-E171),IF(C171&lt;E171,0,F171))</f>
        <v>0</v>
      </c>
      <c r="M171" s="2" t="n">
        <f aca="false">IF(C171&lt;(E171+F171),0,C171-E171-F171)</f>
        <v>0</v>
      </c>
      <c r="N171" s="2" t="n">
        <f aca="false">IF(C171&lt;(E171+F171),0,(C171-E171-F171)/(1-V$16/100))</f>
        <v>0</v>
      </c>
      <c r="O171" s="2" t="n">
        <f aca="false">L171+M171</f>
        <v>0</v>
      </c>
      <c r="P171" s="2" t="n">
        <f aca="false">IF( N171=0,I171*(1-G171/100)+J171*(1-H171/100),-N171)</f>
        <v>10.1427524740213</v>
      </c>
      <c r="Q171" s="47" t="n">
        <f aca="false">IF(P170&gt;0,Q170+P170*(1-V$20/100),Q170+P170)</f>
        <v>3267.89832226808</v>
      </c>
      <c r="R171" s="48" t="n">
        <f aca="false">R$4+Q171/V$28</f>
        <v>78.6543982317938</v>
      </c>
    </row>
    <row r="172" customFormat="false" ht="12.8" hidden="false" customHeight="false" outlineLevel="0" collapsed="false">
      <c r="A172" s="1" t="n">
        <v>168</v>
      </c>
      <c r="B172" s="37" t="n">
        <v>43713</v>
      </c>
      <c r="C172" s="38" t="n">
        <f aca="false">V$26-V$26*SIN(2*PI()/365*A172)</f>
        <v>10.6618646677716</v>
      </c>
      <c r="D172" s="2" t="n">
        <f aca="false">IF((E172+F172)&gt;C172,C172,E172+F172)</f>
        <v>10.6618646677716</v>
      </c>
      <c r="E172" s="38" t="n">
        <f aca="false">(V$23+V$24*SIN(2*PI()/365*A172))*V$25/100*V$7*V$8/100</f>
        <v>17.0209992310932</v>
      </c>
      <c r="F172" s="38" t="n">
        <f aca="false">(V$23+V$24*SIN(2*PI()/365*A172))*V$25/100*V$9*(1-V$14/100)*(1-V$16/100)</f>
        <v>3.60462663038128</v>
      </c>
      <c r="G172" s="38" t="n">
        <f aca="false">IF(C172&gt;E172,100,C172/E172*100)</f>
        <v>62.6394756442673</v>
      </c>
      <c r="H172" s="38" t="n">
        <f aca="false">L172/F172*100</f>
        <v>0</v>
      </c>
      <c r="I172" s="38" t="n">
        <f aca="false">(V$23+V$24*SIN(2*PI()/365*A172))*V$25/100*V$7*V$8/100*(1-V$15/100)</f>
        <v>15.148689315673</v>
      </c>
      <c r="J172" s="38" t="n">
        <f aca="false">(V$23+V$24*SIN(2*PI()/365*A172))*V$25/100*V$9*(1-V$14/100)</f>
        <v>4.05014228132728</v>
      </c>
      <c r="K172" s="39" t="n">
        <f aca="false">IF(E172/C172*100&lt;100,E172/C172*100,100)</f>
        <v>100</v>
      </c>
      <c r="L172" s="2" t="n">
        <f aca="false">IF(((C172-E172)&gt;0)AND(F172&gt;(C172-E172)),(C172-E172),IF(C172&lt;E172,0,F172))</f>
        <v>0</v>
      </c>
      <c r="M172" s="2" t="n">
        <f aca="false">IF(C172&lt;(E172+F172),0,C172-E172-F172)</f>
        <v>0</v>
      </c>
      <c r="N172" s="2" t="n">
        <f aca="false">IF(C172&lt;(E172+F172),0,(C172-E172-F172)/(1-V$16/100))</f>
        <v>0</v>
      </c>
      <c r="O172" s="2" t="n">
        <f aca="false">L172+M172</f>
        <v>0</v>
      </c>
      <c r="P172" s="2" t="n">
        <f aca="false">IF( N172=0,I172*(1-G172/100)+J172*(1-H172/100),-N172)</f>
        <v>9.70977204268355</v>
      </c>
      <c r="Q172" s="47" t="n">
        <f aca="false">IF(P171&gt;0,Q171+P171*(1-V$20/100),Q171+P171)</f>
        <v>3277.33108206892</v>
      </c>
      <c r="R172" s="48" t="n">
        <f aca="false">R$4+Q172/V$28</f>
        <v>78.7659738127358</v>
      </c>
    </row>
    <row r="173" customFormat="false" ht="12.8" hidden="false" customHeight="false" outlineLevel="0" collapsed="false">
      <c r="A173" s="1" t="n">
        <v>169</v>
      </c>
      <c r="B173" s="37" t="n">
        <v>43714</v>
      </c>
      <c r="C173" s="38" t="n">
        <f aca="false">V$26-V$26*SIN(2*PI()/365*A173)</f>
        <v>10.8985637648581</v>
      </c>
      <c r="D173" s="2" t="n">
        <f aca="false">IF((E173+F173)&gt;C173,C173,E173+F173)</f>
        <v>10.8985637648581</v>
      </c>
      <c r="E173" s="38" t="n">
        <f aca="false">(V$23+V$24*SIN(2*PI()/365*A173))*V$25/100*V$7*V$8/100</f>
        <v>16.8222115597577</v>
      </c>
      <c r="F173" s="38" t="n">
        <f aca="false">(V$23+V$24*SIN(2*PI()/365*A173))*V$25/100*V$9*(1-V$14/100)*(1-V$16/100)</f>
        <v>3.5625283185161</v>
      </c>
      <c r="G173" s="38" t="n">
        <f aca="false">IF(C173&gt;E173,100,C173/E173*100)</f>
        <v>64.7867477242398</v>
      </c>
      <c r="H173" s="38" t="n">
        <f aca="false">L173/F173*100</f>
        <v>0</v>
      </c>
      <c r="I173" s="38" t="n">
        <f aca="false">(V$23+V$24*SIN(2*PI()/365*A173))*V$25/100*V$7*V$8/100*(1-V$15/100)</f>
        <v>14.9717682881844</v>
      </c>
      <c r="J173" s="38" t="n">
        <f aca="false">(V$23+V$24*SIN(2*PI()/365*A173))*V$25/100*V$9*(1-V$14/100)</f>
        <v>4.00284080732146</v>
      </c>
      <c r="K173" s="39" t="n">
        <f aca="false">IF(E173/C173*100&lt;100,E173/C173*100,100)</f>
        <v>100</v>
      </c>
      <c r="L173" s="2" t="n">
        <f aca="false">IF(((C173-E173)&gt;0)AND(F173&gt;(C173-E173)),(C173-E173),IF(C173&lt;E173,0,F173))</f>
        <v>0</v>
      </c>
      <c r="M173" s="2" t="n">
        <f aca="false">IF(C173&lt;(E173+F173),0,C173-E173-F173)</f>
        <v>0</v>
      </c>
      <c r="N173" s="2" t="n">
        <f aca="false">IF(C173&lt;(E173+F173),0,(C173-E173-F173)/(1-V$16/100))</f>
        <v>0</v>
      </c>
      <c r="O173" s="2" t="n">
        <f aca="false">L173+M173</f>
        <v>0</v>
      </c>
      <c r="P173" s="2" t="n">
        <f aca="false">IF( N173=0,I173*(1-G173/100)+J173*(1-H173/100),-N173)</f>
        <v>9.27488734478208</v>
      </c>
      <c r="Q173" s="47" t="n">
        <f aca="false">IF(P172&gt;0,Q172+P172*(1-V$20/100),Q172+P172)</f>
        <v>3286.36117006862</v>
      </c>
      <c r="R173" s="48" t="n">
        <f aca="false">R$4+Q173/V$28</f>
        <v>78.8727863825241</v>
      </c>
    </row>
    <row r="174" customFormat="false" ht="12.8" hidden="false" customHeight="false" outlineLevel="0" collapsed="false">
      <c r="A174" s="1" t="n">
        <v>170</v>
      </c>
      <c r="B174" s="37" t="n">
        <v>43715</v>
      </c>
      <c r="C174" s="38" t="n">
        <f aca="false">V$26-V$26*SIN(2*PI()/365*A174)</f>
        <v>11.1362291773343</v>
      </c>
      <c r="D174" s="2" t="n">
        <f aca="false">IF((E174+F174)&gt;C174,C174,E174+F174)</f>
        <v>11.1362291773343</v>
      </c>
      <c r="E174" s="38" t="n">
        <f aca="false">(V$23+V$24*SIN(2*PI()/365*A174))*V$25/100*V$7*V$8/100</f>
        <v>16.6226123450389</v>
      </c>
      <c r="F174" s="38" t="n">
        <f aca="false">(V$23+V$24*SIN(2*PI()/365*A174))*V$25/100*V$9*(1-V$14/100)*(1-V$16/100)</f>
        <v>3.5202581418355</v>
      </c>
      <c r="G174" s="38" t="n">
        <f aca="false">IF(C174&gt;E174,100,C174/E174*100)</f>
        <v>66.9944587900951</v>
      </c>
      <c r="H174" s="38" t="n">
        <f aca="false">L174/F174*100</f>
        <v>0</v>
      </c>
      <c r="I174" s="38" t="n">
        <f aca="false">(V$23+V$24*SIN(2*PI()/365*A174))*V$25/100*V$7*V$8/100*(1-V$15/100)</f>
        <v>14.7941249870846</v>
      </c>
      <c r="J174" s="38" t="n">
        <f aca="false">(V$23+V$24*SIN(2*PI()/365*A174))*V$25/100*V$9*(1-V$14/100)</f>
        <v>3.95534622678146</v>
      </c>
      <c r="K174" s="39" t="n">
        <f aca="false">IF(E174/C174*100&lt;100,E174/C174*100,100)</f>
        <v>100</v>
      </c>
      <c r="L174" s="2" t="n">
        <f aca="false">IF(((C174-E174)&gt;0)AND(F174&gt;(C174-E174)),(C174-E174),IF(C174&lt;E174,0,F174))</f>
        <v>0</v>
      </c>
      <c r="M174" s="2" t="n">
        <f aca="false">IF(C174&lt;(E174+F174),0,C174-E174-F174)</f>
        <v>0</v>
      </c>
      <c r="N174" s="2" t="n">
        <f aca="false">IF(C174&lt;(E174+F174),0,(C174-E174-F174)/(1-V$16/100))</f>
        <v>0</v>
      </c>
      <c r="O174" s="2" t="n">
        <f aca="false">L174+M174</f>
        <v>0</v>
      </c>
      <c r="P174" s="2" t="n">
        <f aca="false">IF( N174=0,I174*(1-G174/100)+J174*(1-H174/100),-N174)</f>
        <v>8.8382272460385</v>
      </c>
      <c r="Q174" s="47" t="n">
        <f aca="false">IF(P173&gt;0,Q173+P173*(1-V$20/100),Q173+P173)</f>
        <v>3294.98681529926</v>
      </c>
      <c r="R174" s="48" t="n">
        <f aca="false">R$4+Q174/V$28</f>
        <v>78.9748149932308</v>
      </c>
    </row>
    <row r="175" customFormat="false" ht="12.8" hidden="false" customHeight="false" outlineLevel="0" collapsed="false">
      <c r="A175" s="1" t="n">
        <v>171</v>
      </c>
      <c r="B175" s="37" t="n">
        <v>43716</v>
      </c>
      <c r="C175" s="38" t="n">
        <f aca="false">V$26-V$26*SIN(2*PI()/365*A175)</f>
        <v>11.3747904798092</v>
      </c>
      <c r="D175" s="2" t="n">
        <f aca="false">IF((E175+F175)&gt;C175,C175,E175+F175)</f>
        <v>11.3747904798092</v>
      </c>
      <c r="E175" s="38" t="n">
        <f aca="false">(V$23+V$24*SIN(2*PI()/365*A175))*V$25/100*V$7*V$8/100</f>
        <v>16.4222607324917</v>
      </c>
      <c r="F175" s="38" t="n">
        <f aca="false">(V$23+V$24*SIN(2*PI()/365*A175))*V$25/100*V$9*(1-V$14/100)*(1-V$16/100)</f>
        <v>3.47782862590508</v>
      </c>
      <c r="G175" s="38" t="n">
        <f aca="false">IF(C175&gt;E175,100,C175/E175*100)</f>
        <v>69.2644616054838</v>
      </c>
      <c r="H175" s="38" t="n">
        <f aca="false">L175/F175*100</f>
        <v>0</v>
      </c>
      <c r="I175" s="38" t="n">
        <f aca="false">(V$23+V$24*SIN(2*PI()/365*A175))*V$25/100*V$7*V$8/100*(1-V$15/100)</f>
        <v>14.6158120519176</v>
      </c>
      <c r="J175" s="38" t="n">
        <f aca="false">(V$23+V$24*SIN(2*PI()/365*A175))*V$25/100*V$9*(1-V$14/100)</f>
        <v>3.90767261337649</v>
      </c>
      <c r="K175" s="39" t="n">
        <f aca="false">IF(E175/C175*100&lt;100,E175/C175*100,100)</f>
        <v>100</v>
      </c>
      <c r="L175" s="2" t="n">
        <f aca="false">IF(((C175-E175)&gt;0)AND(F175&gt;(C175-E175)),(C175-E175),IF(C175&lt;E175,0,F175))</f>
        <v>0</v>
      </c>
      <c r="M175" s="2" t="n">
        <f aca="false">IF(C175&lt;(E175+F175),0,C175-E175-F175)</f>
        <v>0</v>
      </c>
      <c r="N175" s="2" t="n">
        <f aca="false">IF(C175&lt;(E175+F175),0,(C175-E175-F175)/(1-V$16/100))</f>
        <v>0</v>
      </c>
      <c r="O175" s="2" t="n">
        <f aca="false">L175+M175</f>
        <v>0</v>
      </c>
      <c r="P175" s="2" t="n">
        <f aca="false">IF( N175=0,I175*(1-G175/100)+J175*(1-H175/100),-N175)</f>
        <v>8.39992113826397</v>
      </c>
      <c r="Q175" s="47" t="n">
        <f aca="false">IF(P174&gt;0,Q174+P174*(1-V$20/100),Q174+P174)</f>
        <v>3303.20636663808</v>
      </c>
      <c r="R175" s="48" t="n">
        <f aca="false">R$4+Q175/V$28</f>
        <v>79.0720401145181</v>
      </c>
    </row>
    <row r="176" customFormat="false" ht="12.8" hidden="false" customHeight="false" outlineLevel="0" collapsed="false">
      <c r="A176" s="1" t="n">
        <v>172</v>
      </c>
      <c r="B176" s="37" t="n">
        <v>43717</v>
      </c>
      <c r="C176" s="38" t="n">
        <f aca="false">V$26-V$26*SIN(2*PI()/365*A176)</f>
        <v>11.6141769814202</v>
      </c>
      <c r="D176" s="2" t="n">
        <f aca="false">IF((E176+F176)&gt;C176,C176,E176+F176)</f>
        <v>11.6141769814202</v>
      </c>
      <c r="E176" s="38" t="n">
        <f aca="false">(V$23+V$24*SIN(2*PI()/365*A176))*V$25/100*V$7*V$8/100</f>
        <v>16.221216090623</v>
      </c>
      <c r="F176" s="38" t="n">
        <f aca="false">(V$23+V$24*SIN(2*PI()/365*A176))*V$25/100*V$9*(1-V$14/100)*(1-V$16/100)</f>
        <v>3.43525234350613</v>
      </c>
      <c r="G176" s="38" t="n">
        <f aca="false">IF(C176&gt;E176,100,C176/E176*100)</f>
        <v>71.5986823462267</v>
      </c>
      <c r="H176" s="38" t="n">
        <f aca="false">L176/F176*100</f>
        <v>0</v>
      </c>
      <c r="I176" s="38" t="n">
        <f aca="false">(V$23+V$24*SIN(2*PI()/365*A176))*V$25/100*V$7*V$8/100*(1-V$15/100)</f>
        <v>14.4368823206545</v>
      </c>
      <c r="J176" s="38" t="n">
        <f aca="false">(V$23+V$24*SIN(2*PI()/365*A176))*V$25/100*V$9*(1-V$14/100)</f>
        <v>3.85983409382711</v>
      </c>
      <c r="K176" s="39" t="n">
        <f aca="false">IF(E176/C176*100&lt;100,E176/C176*100,100)</f>
        <v>100</v>
      </c>
      <c r="L176" s="2" t="n">
        <f aca="false">IF(((C176-E176)&gt;0)AND(F176&gt;(C176-E176)),(C176-E176),IF(C176&lt;E176,0,F176))</f>
        <v>0</v>
      </c>
      <c r="M176" s="2" t="n">
        <f aca="false">IF(C176&lt;(E176+F176),0,C176-E176-F176)</f>
        <v>0</v>
      </c>
      <c r="N176" s="2" t="n">
        <f aca="false">IF(C176&lt;(E176+F176),0,(C176-E176-F176)/(1-V$16/100))</f>
        <v>0</v>
      </c>
      <c r="O176" s="2" t="n">
        <f aca="false">L176+M176</f>
        <v>0</v>
      </c>
      <c r="P176" s="2" t="n">
        <f aca="false">IF( N176=0,I176*(1-G176/100)+J176*(1-H176/100),-N176)</f>
        <v>7.96009890101763</v>
      </c>
      <c r="Q176" s="47" t="n">
        <f aca="false">IF(P175&gt;0,Q175+P175*(1-V$20/100),Q175+P175)</f>
        <v>3311.01829329666</v>
      </c>
      <c r="R176" s="48" t="n">
        <f aca="false">R$4+Q176/V$28</f>
        <v>79.1644436394261</v>
      </c>
    </row>
    <row r="177" customFormat="false" ht="12.8" hidden="false" customHeight="false" outlineLevel="0" collapsed="false">
      <c r="A177" s="1" t="n">
        <v>173</v>
      </c>
      <c r="B177" s="37" t="n">
        <v>43718</v>
      </c>
      <c r="C177" s="38" t="n">
        <f aca="false">V$26-V$26*SIN(2*PI()/365*A177)</f>
        <v>11.8543177467806</v>
      </c>
      <c r="D177" s="2" t="n">
        <f aca="false">IF((E177+F177)&gt;C177,C177,E177+F177)</f>
        <v>11.8543177467806</v>
      </c>
      <c r="E177" s="38" t="n">
        <f aca="false">(V$23+V$24*SIN(2*PI()/365*A177))*V$25/100*V$7*V$8/100</f>
        <v>16.019537993299</v>
      </c>
      <c r="F177" s="38" t="n">
        <f aca="false">(V$23+V$24*SIN(2*PI()/365*A177))*V$25/100*V$9*(1-V$14/100)*(1-V$16/100)</f>
        <v>3.39254191090998</v>
      </c>
      <c r="G177" s="38" t="n">
        <f aca="false">IF(C177&gt;E177,100,C177/E177*100)</f>
        <v>73.9991237683585</v>
      </c>
      <c r="H177" s="38" t="n">
        <f aca="false">L177/F177*100</f>
        <v>0</v>
      </c>
      <c r="I177" s="38" t="n">
        <f aca="false">(V$23+V$24*SIN(2*PI()/365*A177))*V$25/100*V$7*V$8/100*(1-V$15/100)</f>
        <v>14.2573888140361</v>
      </c>
      <c r="J177" s="38" t="n">
        <f aca="false">(V$23+V$24*SIN(2*PI()/365*A177))*V$25/100*V$9*(1-V$14/100)</f>
        <v>3.81184484371908</v>
      </c>
      <c r="K177" s="39" t="n">
        <f aca="false">IF(E177/C177*100&lt;100,E177/C177*100,100)</f>
        <v>100</v>
      </c>
      <c r="L177" s="2" t="n">
        <f aca="false">IF(((C177-E177)&gt;0)AND(F177&gt;(C177-E177)),(C177-E177),IF(C177&lt;E177,0,F177))</f>
        <v>0</v>
      </c>
      <c r="M177" s="2" t="n">
        <f aca="false">IF(C177&lt;(E177+F177),0,C177-E177-F177)</f>
        <v>0</v>
      </c>
      <c r="N177" s="2" t="n">
        <f aca="false">IF(C177&lt;(E177+F177),0,(C177-E177-F177)/(1-V$16/100))</f>
        <v>0</v>
      </c>
      <c r="O177" s="2" t="n">
        <f aca="false">L177+M177</f>
        <v>0</v>
      </c>
      <c r="P177" s="2" t="n">
        <f aca="false">IF( N177=0,I177*(1-G177/100)+J177*(1-H177/100),-N177)</f>
        <v>7.51889086312052</v>
      </c>
      <c r="Q177" s="47" t="n">
        <f aca="false">IF(P176&gt;0,Q176+P176*(1-V$20/100),Q176+P176)</f>
        <v>3318.42118527461</v>
      </c>
      <c r="R177" s="48" t="n">
        <f aca="false">R$4+Q177/V$28</f>
        <v>79.2520088897378</v>
      </c>
    </row>
    <row r="178" customFormat="false" ht="12.8" hidden="false" customHeight="false" outlineLevel="0" collapsed="false">
      <c r="A178" s="1" t="n">
        <v>174</v>
      </c>
      <c r="B178" s="37" t="n">
        <v>43719</v>
      </c>
      <c r="C178" s="38" t="n">
        <f aca="false">V$26-V$26*SIN(2*PI()/365*A178)</f>
        <v>12.0951416169989</v>
      </c>
      <c r="D178" s="2" t="n">
        <f aca="false">IF((E178+F178)&gt;C178,C178,E178+F178)</f>
        <v>12.0951416169989</v>
      </c>
      <c r="E178" s="38" t="n">
        <f aca="false">(V$23+V$24*SIN(2*PI()/365*A178))*V$25/100*V$7*V$8/100</f>
        <v>15.8172862020926</v>
      </c>
      <c r="F178" s="38" t="n">
        <f aca="false">(V$23+V$24*SIN(2*PI()/365*A178))*V$25/100*V$9*(1-V$14/100)*(1-V$16/100)</f>
        <v>3.34970998413959</v>
      </c>
      <c r="G178" s="38" t="n">
        <f aca="false">IF(C178&gt;E178,100,C178/E178*100)</f>
        <v>76.467868523481</v>
      </c>
      <c r="H178" s="38" t="n">
        <f aca="false">L178/F178*100</f>
        <v>0</v>
      </c>
      <c r="I178" s="38" t="n">
        <f aca="false">(V$23+V$24*SIN(2*PI()/365*A178))*V$25/100*V$7*V$8/100*(1-V$15/100)</f>
        <v>14.0773847198624</v>
      </c>
      <c r="J178" s="38" t="n">
        <f aca="false">(V$23+V$24*SIN(2*PI()/365*A178))*V$25/100*V$9*(1-V$14/100)</f>
        <v>3.76371908330291</v>
      </c>
      <c r="K178" s="39" t="n">
        <f aca="false">IF(E178/C178*100&lt;100,E178/C178*100,100)</f>
        <v>100</v>
      </c>
      <c r="L178" s="2" t="n">
        <f aca="false">IF(((C178-E178)&gt;0)AND(F178&gt;(C178-E178)),(C178-E178),IF(C178&lt;E178,0,F178))</f>
        <v>0</v>
      </c>
      <c r="M178" s="2" t="n">
        <f aca="false">IF(C178&lt;(E178+F178),0,C178-E178-F178)</f>
        <v>0</v>
      </c>
      <c r="N178" s="2" t="n">
        <f aca="false">IF(C178&lt;(E178+F178),0,(C178-E178-F178)/(1-V$16/100))</f>
        <v>0</v>
      </c>
      <c r="O178" s="2" t="n">
        <f aca="false">L178+M178</f>
        <v>0</v>
      </c>
      <c r="P178" s="2" t="n">
        <f aca="false">IF( N178=0,I178*(1-G178/100)+J178*(1-H178/100),-N178)</f>
        <v>7.07642776403633</v>
      </c>
      <c r="Q178" s="47" t="n">
        <f aca="false">IF(P177&gt;0,Q177+P177*(1-V$20/100),Q177+P177)</f>
        <v>3325.41375377731</v>
      </c>
      <c r="R178" s="48" t="n">
        <f aca="false">R$4+Q178/V$28</f>
        <v>79.3347206209213</v>
      </c>
    </row>
    <row r="179" customFormat="false" ht="12.8" hidden="false" customHeight="false" outlineLevel="0" collapsed="false">
      <c r="A179" s="1" t="n">
        <v>175</v>
      </c>
      <c r="B179" s="37" t="n">
        <v>43720</v>
      </c>
      <c r="C179" s="38" t="n">
        <f aca="false">V$26-V$26*SIN(2*PI()/365*A179)</f>
        <v>12.3365772307649</v>
      </c>
      <c r="D179" s="2" t="n">
        <f aca="false">IF((E179+F179)&gt;C179,C179,E179+F179)</f>
        <v>12.3365772307649</v>
      </c>
      <c r="E179" s="38" t="n">
        <f aca="false">(V$23+V$24*SIN(2*PI()/365*A179))*V$25/100*V$7*V$8/100</f>
        <v>15.6145206485743</v>
      </c>
      <c r="F179" s="38" t="n">
        <f aca="false">(V$23+V$24*SIN(2*PI()/365*A179))*V$25/100*V$9*(1-V$14/100)*(1-V$16/100)</f>
        <v>3.30676925521924</v>
      </c>
      <c r="G179" s="38" t="n">
        <f aca="false">IF(C179&gt;E179,100,C179/E179*100)</f>
        <v>79.0070826278699</v>
      </c>
      <c r="H179" s="38" t="n">
        <f aca="false">L179/F179*100</f>
        <v>0</v>
      </c>
      <c r="I179" s="38" t="n">
        <f aca="false">(V$23+V$24*SIN(2*PI()/365*A179))*V$25/100*V$7*V$8/100*(1-V$15/100)</f>
        <v>13.8969233772312</v>
      </c>
      <c r="J179" s="38" t="n">
        <f aca="false">(V$23+V$24*SIN(2*PI()/365*A179))*V$25/100*V$9*(1-V$14/100)</f>
        <v>3.71547107328005</v>
      </c>
      <c r="K179" s="39" t="n">
        <f aca="false">IF(E179/C179*100&lt;100,E179/C179*100,100)</f>
        <v>100</v>
      </c>
      <c r="L179" s="2" t="n">
        <f aca="false">IF(((C179-E179)&gt;0)AND(F179&gt;(C179-E179)),(C179-E179),IF(C179&lt;E179,0,F179))</f>
        <v>0</v>
      </c>
      <c r="M179" s="2" t="n">
        <f aca="false">IF(C179&lt;(E179+F179),0,C179-E179-F179)</f>
        <v>0</v>
      </c>
      <c r="N179" s="2" t="n">
        <f aca="false">IF(C179&lt;(E179+F179),0,(C179-E179-F179)/(1-V$16/100))</f>
        <v>0</v>
      </c>
      <c r="O179" s="2" t="n">
        <f aca="false">L179+M179</f>
        <v>0</v>
      </c>
      <c r="P179" s="2" t="n">
        <f aca="false">IF( N179=0,I179*(1-G179/100)+J179*(1-H179/100),-N179)</f>
        <v>6.63284071513042</v>
      </c>
      <c r="Q179" s="47" t="n">
        <f aca="false">IF(P178&gt;0,Q178+P178*(1-V$20/100),Q178+P178)</f>
        <v>3331.99483159787</v>
      </c>
      <c r="R179" s="48" t="n">
        <f aca="false">R$4+Q179/V$28</f>
        <v>79.4125650266473</v>
      </c>
    </row>
    <row r="180" customFormat="false" ht="12.8" hidden="false" customHeight="false" outlineLevel="0" collapsed="false">
      <c r="A180" s="1" t="n">
        <v>176</v>
      </c>
      <c r="B180" s="37" t="n">
        <v>43721</v>
      </c>
      <c r="C180" s="38" t="n">
        <f aca="false">V$26-V$26*SIN(2*PI()/365*A180)</f>
        <v>12.5785530454958</v>
      </c>
      <c r="D180" s="2" t="n">
        <f aca="false">IF((E180+F180)&gt;C180,C180,E180+F180)</f>
        <v>12.5785530454958</v>
      </c>
      <c r="E180" s="38" t="n">
        <f aca="false">(V$23+V$24*SIN(2*PI()/365*A180))*V$25/100*V$7*V$8/100</f>
        <v>15.4113014165539</v>
      </c>
      <c r="F180" s="38" t="n">
        <f aca="false">(V$23+V$24*SIN(2*PI()/365*A180))*V$25/100*V$9*(1-V$14/100)*(1-V$16/100)</f>
        <v>3.26373244841365</v>
      </c>
      <c r="G180" s="38" t="n">
        <f aca="false">IF(C180&gt;E180,100,C180/E180*100)</f>
        <v>81.6190190919548</v>
      </c>
      <c r="H180" s="38" t="n">
        <f aca="false">L180/F180*100</f>
        <v>0</v>
      </c>
      <c r="I180" s="38" t="n">
        <f aca="false">(V$23+V$24*SIN(2*PI()/365*A180))*V$25/100*V$7*V$8/100*(1-V$15/100)</f>
        <v>13.716058260733</v>
      </c>
      <c r="J180" s="38" t="n">
        <f aca="false">(V$23+V$24*SIN(2*PI()/365*A180))*V$25/100*V$9*(1-V$14/100)</f>
        <v>3.66711511057714</v>
      </c>
      <c r="K180" s="39" t="n">
        <f aca="false">IF(E180/C180*100&lt;100,E180/C180*100,100)</f>
        <v>100</v>
      </c>
      <c r="L180" s="2" t="n">
        <f aca="false">IF(((C180-E180)&gt;0)AND(F180&gt;(C180-E180)),(C180-E180),IF(C180&lt;E180,0,F180))</f>
        <v>0</v>
      </c>
      <c r="M180" s="2" t="n">
        <f aca="false">IF(C180&lt;(E180+F180),0,C180-E180-F180)</f>
        <v>0</v>
      </c>
      <c r="N180" s="2" t="n">
        <f aca="false">IF(C180&lt;(E180+F180),0,(C180-E180-F180)/(1-V$16/100))</f>
        <v>0</v>
      </c>
      <c r="O180" s="2" t="n">
        <f aca="false">L180+M180</f>
        <v>0</v>
      </c>
      <c r="P180" s="2" t="n">
        <f aca="false">IF( N180=0,I180*(1-G180/100)+J180*(1-H180/100),-N180)</f>
        <v>6.18826116081882</v>
      </c>
      <c r="Q180" s="47" t="n">
        <f aca="false">IF(P179&gt;0,Q179+P179*(1-V$20/100),Q179+P179)</f>
        <v>3338.16337346294</v>
      </c>
      <c r="R180" s="48" t="n">
        <f aca="false">R$4+Q180/V$28</f>
        <v>79.4855297428802</v>
      </c>
    </row>
    <row r="181" customFormat="false" ht="12.8" hidden="false" customHeight="false" outlineLevel="0" collapsed="false">
      <c r="A181" s="1" t="n">
        <v>177</v>
      </c>
      <c r="B181" s="37" t="n">
        <v>43722</v>
      </c>
      <c r="C181" s="38" t="n">
        <f aca="false">V$26-V$26*SIN(2*PI()/365*A181)</f>
        <v>12.8209973585353</v>
      </c>
      <c r="D181" s="2" t="n">
        <f aca="false">IF((E181+F181)&gt;C181,C181,E181+F181)</f>
        <v>12.8209973585353</v>
      </c>
      <c r="E181" s="38" t="n">
        <f aca="false">(V$23+V$24*SIN(2*PI()/365*A181))*V$25/100*V$7*V$8/100</f>
        <v>15.2076887242755</v>
      </c>
      <c r="F181" s="38" t="n">
        <f aca="false">(V$23+V$24*SIN(2*PI()/365*A181))*V$25/100*V$9*(1-V$14/100)*(1-V$16/100)</f>
        <v>3.22061231645749</v>
      </c>
      <c r="G181" s="38" t="n">
        <f aca="false">IF(C181&gt;E181,100,C181/E181*100)</f>
        <v>84.3060217169599</v>
      </c>
      <c r="H181" s="38" t="n">
        <f aca="false">L181/F181*100</f>
        <v>0</v>
      </c>
      <c r="I181" s="38" t="n">
        <f aca="false">(V$23+V$24*SIN(2*PI()/365*A181))*V$25/100*V$7*V$8/100*(1-V$15/100)</f>
        <v>13.5348429646052</v>
      </c>
      <c r="J181" s="38" t="n">
        <f aca="false">(V$23+V$24*SIN(2*PI()/365*A181))*V$25/100*V$9*(1-V$14/100)</f>
        <v>3.61866552410954</v>
      </c>
      <c r="K181" s="39" t="n">
        <f aca="false">IF(E181/C181*100&lt;100,E181/C181*100,100)</f>
        <v>100</v>
      </c>
      <c r="L181" s="2" t="n">
        <f aca="false">IF(((C181-E181)&gt;0)AND(F181&gt;(C181-E181)),(C181-E181),IF(C181&lt;E181,0,F181))</f>
        <v>0</v>
      </c>
      <c r="M181" s="2" t="n">
        <f aca="false">IF(C181&lt;(E181+F181),0,C181-E181-F181)</f>
        <v>0</v>
      </c>
      <c r="N181" s="2" t="n">
        <f aca="false">IF(C181&lt;(E181+F181),0,(C181-E181-F181)/(1-V$16/100))</f>
        <v>0</v>
      </c>
      <c r="O181" s="2" t="n">
        <f aca="false">L181+M181</f>
        <v>0</v>
      </c>
      <c r="P181" s="2" t="n">
        <f aca="false">IF( N181=0,I181*(1-G181/100)+J181*(1-H181/100),-N181)</f>
        <v>5.74282083961825</v>
      </c>
      <c r="Q181" s="47" t="n">
        <f aca="false">IF(P180&gt;0,Q180+P180*(1-V$20/100),Q180+P180)</f>
        <v>3343.9184563425</v>
      </c>
      <c r="R181" s="48" t="n">
        <f aca="false">R$4+Q181/V$28</f>
        <v>79.5536038515413</v>
      </c>
    </row>
    <row r="182" customFormat="false" ht="12.8" hidden="false" customHeight="false" outlineLevel="0" collapsed="false">
      <c r="A182" s="1" t="n">
        <v>178</v>
      </c>
      <c r="B182" s="37" t="n">
        <v>43723</v>
      </c>
      <c r="C182" s="38" t="n">
        <f aca="false">V$26-V$26*SIN(2*PI()/365*A182)</f>
        <v>13.0638383284011</v>
      </c>
      <c r="D182" s="2" t="n">
        <f aca="false">IF((E182+F182)&gt;C182,C182,E182+F182)</f>
        <v>13.0638383284011</v>
      </c>
      <c r="E182" s="38" t="n">
        <f aca="false">(V$23+V$24*SIN(2*PI()/365*A182))*V$25/100*V$7*V$8/100</f>
        <v>15.0037429065741</v>
      </c>
      <c r="F182" s="38" t="n">
        <f aca="false">(V$23+V$24*SIN(2*PI()/365*A182))*V$25/100*V$9*(1-V$14/100)*(1-V$16/100)</f>
        <v>3.17742163677647</v>
      </c>
      <c r="G182" s="38" t="n">
        <f aca="false">IF(C182&gt;E182,100,C182/E182*100)</f>
        <v>87.0705290656309</v>
      </c>
      <c r="H182" s="38" t="n">
        <f aca="false">L182/F182*100</f>
        <v>0</v>
      </c>
      <c r="I182" s="38" t="n">
        <f aca="false">(V$23+V$24*SIN(2*PI()/365*A182))*V$25/100*V$7*V$8/100*(1-V$15/100)</f>
        <v>13.353331186851</v>
      </c>
      <c r="J182" s="38" t="n">
        <f aca="false">(V$23+V$24*SIN(2*PI()/365*A182))*V$25/100*V$9*(1-V$14/100)</f>
        <v>3.57013667053536</v>
      </c>
      <c r="K182" s="39" t="n">
        <f aca="false">IF(E182/C182*100&lt;100,E182/C182*100,100)</f>
        <v>100</v>
      </c>
      <c r="L182" s="2" t="n">
        <f aca="false">IF(((C182-E182)&gt;0)AND(F182&gt;(C182-E182)),(C182-E182),IF(C182&lt;E182,0,F182))</f>
        <v>0</v>
      </c>
      <c r="M182" s="2" t="n">
        <f aca="false">IF(C182&lt;(E182+F182),0,C182-E182-F182)</f>
        <v>0</v>
      </c>
      <c r="N182" s="2" t="n">
        <f aca="false">IF(C182&lt;(E182+F182),0,(C182-E182-F182)/(1-V$16/100))</f>
        <v>0</v>
      </c>
      <c r="O182" s="2" t="n">
        <f aca="false">L182+M182</f>
        <v>0</v>
      </c>
      <c r="P182" s="2" t="n">
        <f aca="false">IF( N182=0,I182*(1-G182/100)+J182*(1-H182/100),-N182)</f>
        <v>5.29665174510931</v>
      </c>
      <c r="Q182" s="47" t="n">
        <f aca="false">IF(P181&gt;0,Q181+P181*(1-V$20/100),Q181+P181)</f>
        <v>3349.25927972334</v>
      </c>
      <c r="R182" s="48" t="n">
        <f aca="false">R$4+Q182/V$28</f>
        <v>79.6167778837448</v>
      </c>
    </row>
    <row r="183" customFormat="false" ht="12.8" hidden="false" customHeight="false" outlineLevel="0" collapsed="false">
      <c r="A183" s="1" t="n">
        <v>179</v>
      </c>
      <c r="B183" s="37" t="n">
        <v>43724</v>
      </c>
      <c r="C183" s="38" t="n">
        <f aca="false">V$26-V$26*SIN(2*PI()/365*A183)</f>
        <v>13.307003996073</v>
      </c>
      <c r="D183" s="2" t="n">
        <f aca="false">IF((E183+F183)&gt;C183,C183,E183+F183)</f>
        <v>13.307003996073</v>
      </c>
      <c r="E183" s="38" t="n">
        <f aca="false">(V$23+V$24*SIN(2*PI()/365*A183))*V$25/100*V$7*V$8/100</f>
        <v>14.7995243969972</v>
      </c>
      <c r="F183" s="38" t="n">
        <f aca="false">(V$23+V$24*SIN(2*PI()/365*A183))*V$25/100*V$9*(1-V$14/100)*(1-V$16/100)</f>
        <v>3.1341732077011</v>
      </c>
      <c r="G183" s="38" t="n">
        <f aca="false">IF(C183&gt;E183,100,C183/E183*100)</f>
        <v>89.9150786141003</v>
      </c>
      <c r="H183" s="38" t="n">
        <f aca="false">L183/F183*100</f>
        <v>0</v>
      </c>
      <c r="I183" s="38" t="n">
        <f aca="false">(V$23+V$24*SIN(2*PI()/365*A183))*V$25/100*V$7*V$8/100*(1-V$15/100)</f>
        <v>13.1715767133275</v>
      </c>
      <c r="J183" s="38" t="n">
        <f aca="false">(V$23+V$24*SIN(2*PI()/365*A183))*V$25/100*V$9*(1-V$14/100)</f>
        <v>3.52154293000123</v>
      </c>
      <c r="K183" s="39" t="n">
        <f aca="false">IF(E183/C183*100&lt;100,E183/C183*100,100)</f>
        <v>100</v>
      </c>
      <c r="L183" s="2" t="n">
        <f aca="false">IF(((C183-E183)&gt;0)AND(F183&gt;(C183-E183)),(C183-E183),IF(C183&lt;E183,0,F183))</f>
        <v>0</v>
      </c>
      <c r="M183" s="2" t="n">
        <f aca="false">IF(C183&lt;(E183+F183),0,C183-E183-F183)</f>
        <v>0</v>
      </c>
      <c r="N183" s="2" t="n">
        <f aca="false">IF(C183&lt;(E183+F183),0,(C183-E183-F183)/(1-V$16/100))</f>
        <v>0</v>
      </c>
      <c r="O183" s="2" t="n">
        <f aca="false">L183+M183</f>
        <v>0</v>
      </c>
      <c r="P183" s="2" t="n">
        <f aca="false">IF( N183=0,I183*(1-G183/100)+J183*(1-H183/100),-N183)</f>
        <v>4.84988608682378</v>
      </c>
      <c r="Q183" s="47" t="n">
        <f aca="false">IF(P182&gt;0,Q182+P182*(1-V$20/100),Q182+P182)</f>
        <v>3354.1851658463</v>
      </c>
      <c r="R183" s="48" t="n">
        <f aca="false">R$4+Q183/V$28</f>
        <v>79.6750438226033</v>
      </c>
    </row>
    <row r="184" customFormat="false" ht="12.8" hidden="false" customHeight="false" outlineLevel="0" collapsed="false">
      <c r="A184" s="1" t="n">
        <v>180</v>
      </c>
      <c r="B184" s="37" t="n">
        <v>43725</v>
      </c>
      <c r="C184" s="38" t="n">
        <f aca="false">V$26-V$26*SIN(2*PI()/365*A184)</f>
        <v>13.5504223063155</v>
      </c>
      <c r="D184" s="2" t="n">
        <f aca="false">IF((E184+F184)&gt;C184,C184,E184+F184)</f>
        <v>13.5504223063155</v>
      </c>
      <c r="E184" s="38" t="n">
        <f aca="false">(V$23+V$24*SIN(2*PI()/365*A184))*V$25/100*V$7*V$8/100</f>
        <v>14.5950937098964</v>
      </c>
      <c r="F184" s="38" t="n">
        <f aca="false">(V$23+V$24*SIN(2*PI()/365*A184))*V$25/100*V$9*(1-V$14/100)*(1-V$16/100)</f>
        <v>3.09087984467429</v>
      </c>
      <c r="G184" s="38" t="n">
        <f aca="false">IF(C184&gt;E184,100,C184/E184*100)</f>
        <v>92.8423110920314</v>
      </c>
      <c r="H184" s="38" t="n">
        <f aca="false">L184/F184*100</f>
        <v>0</v>
      </c>
      <c r="I184" s="38" t="n">
        <f aca="false">(V$23+V$24*SIN(2*PI()/365*A184))*V$25/100*V$7*V$8/100*(1-V$15/100)</f>
        <v>12.9896334018078</v>
      </c>
      <c r="J184" s="38" t="n">
        <f aca="false">(V$23+V$24*SIN(2*PI()/365*A184))*V$25/100*V$9*(1-V$14/100)</f>
        <v>3.47289870188123</v>
      </c>
      <c r="K184" s="39" t="n">
        <f aca="false">IF(E184/C184*100&lt;100,E184/C184*100,100)</f>
        <v>100</v>
      </c>
      <c r="L184" s="2" t="n">
        <f aca="false">IF(((C184-E184)&gt;0)AND(F184&gt;(C184-E184)),(C184-E184),IF(C184&lt;E184,0,F184))</f>
        <v>0</v>
      </c>
      <c r="M184" s="2" t="n">
        <f aca="false">IF(C184&lt;(E184+F184),0,C184-E184-F184)</f>
        <v>0</v>
      </c>
      <c r="N184" s="2" t="n">
        <f aca="false">IF(C184&lt;(E184+F184),0,(C184-E184-F184)/(1-V$16/100))</f>
        <v>0</v>
      </c>
      <c r="O184" s="2" t="n">
        <f aca="false">L184+M184</f>
        <v>0</v>
      </c>
      <c r="P184" s="2" t="n">
        <f aca="false">IF( N184=0,I184*(1-G184/100)+J184*(1-H184/100),-N184)</f>
        <v>4.4026562510682</v>
      </c>
      <c r="Q184" s="47" t="n">
        <f aca="false">IF(P183&gt;0,Q183+P183*(1-V$20/100),Q183+P183)</f>
        <v>3358.69555990704</v>
      </c>
      <c r="R184" s="48" t="n">
        <f aca="false">R$4+Q184/V$28</f>
        <v>79.7283951056033</v>
      </c>
    </row>
    <row r="185" customFormat="false" ht="12.8" hidden="false" customHeight="false" outlineLevel="0" collapsed="false">
      <c r="A185" s="1" t="n">
        <v>181</v>
      </c>
      <c r="B185" s="37" t="n">
        <v>43726</v>
      </c>
      <c r="C185" s="38" t="n">
        <f aca="false">V$26-V$26*SIN(2*PI()/365*A185)</f>
        <v>13.79402112903</v>
      </c>
      <c r="D185" s="2" t="n">
        <f aca="false">IF((E185+F185)&gt;C185,C185,E185+F185)</f>
        <v>13.79402112903</v>
      </c>
      <c r="E185" s="38" t="n">
        <f aca="false">(V$23+V$24*SIN(2*PI()/365*A185))*V$25/100*V$7*V$8/100</f>
        <v>14.3905114224963</v>
      </c>
      <c r="F185" s="38" t="n">
        <f aca="false">(V$23+V$24*SIN(2*PI()/365*A185))*V$25/100*V$9*(1-V$14/100)*(1-V$16/100)</f>
        <v>3.04755437645387</v>
      </c>
      <c r="G185" s="38" t="n">
        <f aca="false">IF(C185&gt;E185,100,C185/E185*100)</f>
        <v>95.8549750182346</v>
      </c>
      <c r="H185" s="38" t="n">
        <f aca="false">L185/F185*100</f>
        <v>0</v>
      </c>
      <c r="I185" s="38" t="n">
        <f aca="false">(V$23+V$24*SIN(2*PI()/365*A185))*V$25/100*V$7*V$8/100*(1-V$15/100)</f>
        <v>12.8075551660217</v>
      </c>
      <c r="J185" s="38" t="n">
        <f aca="false">(V$23+V$24*SIN(2*PI()/365*A185))*V$25/100*V$9*(1-V$14/100)</f>
        <v>3.42421840050997</v>
      </c>
      <c r="K185" s="39" t="n">
        <f aca="false">IF(E185/C185*100&lt;100,E185/C185*100,100)</f>
        <v>100</v>
      </c>
      <c r="L185" s="2" t="n">
        <f aca="false">IF(((C185-E185)&gt;0)AND(F185&gt;(C185-E185)),(C185-E185),IF(C185&lt;E185,0,F185))</f>
        <v>0</v>
      </c>
      <c r="M185" s="2" t="n">
        <f aca="false">IF(C185&lt;(E185+F185),0,C185-E185-F185)</f>
        <v>0</v>
      </c>
      <c r="N185" s="2" t="n">
        <f aca="false">IF(C185&lt;(E185+F185),0,(C185-E185-F185)/(1-V$16/100))</f>
        <v>0</v>
      </c>
      <c r="O185" s="2" t="n">
        <f aca="false">L185+M185</f>
        <v>0</v>
      </c>
      <c r="P185" s="2" t="n">
        <f aca="false">IF( N185=0,I185*(1-G185/100)+J185*(1-H185/100),-N185)</f>
        <v>3.95509476169496</v>
      </c>
      <c r="Q185" s="47" t="n">
        <f aca="false">IF(P184&gt;0,Q184+P184*(1-V$20/100),Q184+P184)</f>
        <v>3362.79003022054</v>
      </c>
      <c r="R185" s="48" t="n">
        <f aca="false">R$4+Q185/V$28</f>
        <v>79.7768266265498</v>
      </c>
    </row>
    <row r="186" customFormat="false" ht="12.8" hidden="false" customHeight="false" outlineLevel="0" collapsed="false">
      <c r="A186" s="1" t="n">
        <v>182</v>
      </c>
      <c r="B186" s="37" t="n">
        <v>43727</v>
      </c>
      <c r="C186" s="38" t="n">
        <f aca="false">V$26-V$26*SIN(2*PI()/365*A186)</f>
        <v>14.0377282806281</v>
      </c>
      <c r="D186" s="2" t="n">
        <f aca="false">IF((E186+F186)&gt;C186,C186,E186+F186)</f>
        <v>14.0377282806281</v>
      </c>
      <c r="E186" s="38" t="n">
        <f aca="false">(V$23+V$24*SIN(2*PI()/365*A186))*V$25/100*V$7*V$8/100</f>
        <v>14.185838156944</v>
      </c>
      <c r="F186" s="38" t="n">
        <f aca="false">(V$23+V$24*SIN(2*PI()/365*A186))*V$25/100*V$9*(1-V$14/100)*(1-V$16/100)</f>
        <v>3.0042096413111</v>
      </c>
      <c r="G186" s="38" t="n">
        <f aca="false">IF(C186&gt;E186,100,C186/E186*100)</f>
        <v>98.9559314389655</v>
      </c>
      <c r="H186" s="38" t="n">
        <f aca="false">L186/F186*100</f>
        <v>0</v>
      </c>
      <c r="I186" s="38" t="n">
        <f aca="false">(V$23+V$24*SIN(2*PI()/365*A186))*V$25/100*V$7*V$8/100*(1-V$15/100)</f>
        <v>12.6253959596801</v>
      </c>
      <c r="J186" s="38" t="n">
        <f aca="false">(V$23+V$24*SIN(2*PI()/365*A186))*V$25/100*V$9*(1-V$14/100)</f>
        <v>3.37551645091135</v>
      </c>
      <c r="K186" s="39" t="n">
        <f aca="false">IF(E186/C186*100&lt;100,E186/C186*100,100)</f>
        <v>100</v>
      </c>
      <c r="L186" s="2" t="n">
        <f aca="false">IF(((C186-E186)&gt;0)AND(F186&gt;(C186-E186)),(C186-E186),IF(C186&lt;E186,0,F186))</f>
        <v>0</v>
      </c>
      <c r="M186" s="2" t="n">
        <f aca="false">IF(C186&lt;(E186+F186),0,C186-E186-F186)</f>
        <v>0</v>
      </c>
      <c r="N186" s="2" t="n">
        <f aca="false">IF(C186&lt;(E186+F186),0,(C186-E186-F186)/(1-V$16/100))</f>
        <v>0</v>
      </c>
      <c r="O186" s="2" t="n">
        <f aca="false">L186+M186</f>
        <v>0</v>
      </c>
      <c r="P186" s="2" t="n">
        <f aca="false">IF( N186=0,I186*(1-G186/100)+J186*(1-H186/100),-N186)</f>
        <v>3.50733424083249</v>
      </c>
      <c r="Q186" s="47" t="n">
        <f aca="false">IF(P185&gt;0,Q185+P185*(1-V$20/100),Q185+P185)</f>
        <v>3366.46826834891</v>
      </c>
      <c r="R186" s="48" t="n">
        <f aca="false">R$4+Q186/V$28</f>
        <v>79.8203347370797</v>
      </c>
    </row>
    <row r="187" customFormat="false" ht="12.8" hidden="false" customHeight="false" outlineLevel="0" collapsed="false">
      <c r="A187" s="1" t="n">
        <v>183</v>
      </c>
      <c r="B187" s="37" t="n">
        <v>43728</v>
      </c>
      <c r="C187" s="38" t="n">
        <f aca="false">V$26-V$26*SIN(2*PI()/365*A187)</f>
        <v>14.281471545421</v>
      </c>
      <c r="D187" s="2" t="n">
        <f aca="false">IF((E187+F187)&gt;C187,C187,E187+F187)</f>
        <v>14.281471545421</v>
      </c>
      <c r="E187" s="38" t="n">
        <f aca="false">(V$23+V$24*SIN(2*PI()/365*A187))*V$25/100*V$7*V$8/100</f>
        <v>13.9811345623452</v>
      </c>
      <c r="F187" s="38" t="n">
        <f aca="false">(V$23+V$24*SIN(2*PI()/365*A187))*V$25/100*V$9*(1-V$14/100)*(1-V$16/100)</f>
        <v>2.96085848322647</v>
      </c>
      <c r="G187" s="38" t="n">
        <f aca="false">IF(C187&gt;E187,100,C187/E187*100)</f>
        <v>100</v>
      </c>
      <c r="H187" s="38" t="n">
        <f aca="false">L187/F187*100</f>
        <v>10.1435777757464</v>
      </c>
      <c r="I187" s="38" t="n">
        <f aca="false">(V$23+V$24*SIN(2*PI()/365*A187))*V$25/100*V$7*V$8/100*(1-V$15/100)</f>
        <v>12.4432097604872</v>
      </c>
      <c r="J187" s="38" t="n">
        <f aca="false">(V$23+V$24*SIN(2*PI()/365*A187))*V$25/100*V$9*(1-V$14/100)</f>
        <v>3.32680728452412</v>
      </c>
      <c r="K187" s="39" t="n">
        <f aca="false">IF(E187/C187*100&lt;100,E187/C187*100,100)</f>
        <v>97.8970165495855</v>
      </c>
      <c r="L187" s="2" t="n">
        <f aca="false">IF(((C187-E187)&gt;0)AND(F187&gt;(C187-E187)),(C187-E187),IF(C187&lt;E187,0,F187))</f>
        <v>0.300336983075862</v>
      </c>
      <c r="M187" s="2" t="n">
        <f aca="false">IF(C187&lt;(E187+F187),0,C187-E187-F187)</f>
        <v>0</v>
      </c>
      <c r="N187" s="2" t="n">
        <f aca="false">IF(C187&lt;(E187+F187),0,(C187-E187-F187)/(1-V$16/100))</f>
        <v>0</v>
      </c>
      <c r="O187" s="2" t="n">
        <f aca="false">L187+M187</f>
        <v>0.300336983075862</v>
      </c>
      <c r="P187" s="2" t="n">
        <f aca="false">IF( N187=0,I187*(1-G187/100)+J187*(1-H187/100),-N187)</f>
        <v>2.98935000016922</v>
      </c>
      <c r="Q187" s="47" t="n">
        <f aca="false">IF(P186&gt;0,Q186+P186*(1-V$20/100),Q186+P186)</f>
        <v>3369.73008919289</v>
      </c>
      <c r="R187" s="48" t="n">
        <f aca="false">R$4+Q187/V$28</f>
        <v>79.8589172477424</v>
      </c>
    </row>
    <row r="188" customFormat="false" ht="12.8" hidden="false" customHeight="false" outlineLevel="0" collapsed="false">
      <c r="A188" s="1" t="n">
        <v>184</v>
      </c>
      <c r="B188" s="37" t="n">
        <v>43729</v>
      </c>
      <c r="C188" s="38" t="n">
        <f aca="false">V$26-V$26*SIN(2*PI()/365*A188)</f>
        <v>14.5251786970191</v>
      </c>
      <c r="D188" s="2" t="n">
        <f aca="false">IF((E188+F188)&gt;C188,C188,E188+F188)</f>
        <v>14.5251786970191</v>
      </c>
      <c r="E188" s="38" t="n">
        <f aca="false">(V$23+V$24*SIN(2*PI()/365*A188))*V$25/100*V$7*V$8/100</f>
        <v>13.7764612967928</v>
      </c>
      <c r="F188" s="38" t="n">
        <f aca="false">(V$23+V$24*SIN(2*PI()/365*A188))*V$25/100*V$9*(1-V$14/100)*(1-V$16/100)</f>
        <v>2.9175137480837</v>
      </c>
      <c r="G188" s="38" t="n">
        <f aca="false">IF(C188&gt;E188,100,C188/E188*100)</f>
        <v>100</v>
      </c>
      <c r="H188" s="38" t="n">
        <f aca="false">L188/F188*100</f>
        <v>25.6628576546738</v>
      </c>
      <c r="I188" s="38" t="n">
        <f aca="false">(V$23+V$24*SIN(2*PI()/365*A188))*V$25/100*V$7*V$8/100*(1-V$15/100)</f>
        <v>12.2610505541456</v>
      </c>
      <c r="J188" s="38" t="n">
        <f aca="false">(V$23+V$24*SIN(2*PI()/365*A188))*V$25/100*V$9*(1-V$14/100)</f>
        <v>3.2781053349255</v>
      </c>
      <c r="K188" s="39" t="n">
        <f aca="false">IF(E188/C188*100&lt;100,E188/C188*100,100)</f>
        <v>94.8453825192532</v>
      </c>
      <c r="L188" s="2" t="n">
        <f aca="false">IF(((C188-E188)&gt;0)AND(F188&gt;(C188-E188)),(C188-E188),IF(C188&lt;E188,0,F188))</f>
        <v>0.748717400226257</v>
      </c>
      <c r="M188" s="2" t="n">
        <f aca="false">IF(C188&lt;(E188+F188),0,C188-E188-F188)</f>
        <v>0</v>
      </c>
      <c r="N188" s="2" t="n">
        <f aca="false">IF(C188&lt;(E188+F188),0,(C188-E188-F188)/(1-V$16/100))</f>
        <v>0</v>
      </c>
      <c r="O188" s="2" t="n">
        <f aca="false">L188+M188</f>
        <v>0.748717400226257</v>
      </c>
      <c r="P188" s="2" t="n">
        <f aca="false">IF( N188=0,I188*(1-G188/100)+J188*(1-H188/100),-N188)</f>
        <v>2.4368498290533</v>
      </c>
      <c r="Q188" s="47" t="n">
        <f aca="false">IF(P187&gt;0,Q187+P187*(1-V$20/100),Q187+P187)</f>
        <v>3372.51018469304</v>
      </c>
      <c r="R188" s="48" t="n">
        <f aca="false">R$4+Q188/V$28</f>
        <v>79.8918016608997</v>
      </c>
    </row>
    <row r="189" customFormat="false" ht="12.8" hidden="false" customHeight="false" outlineLevel="0" collapsed="false">
      <c r="A189" s="1" t="n">
        <v>185</v>
      </c>
      <c r="B189" s="37" t="n">
        <v>43730</v>
      </c>
      <c r="C189" s="38" t="n">
        <f aca="false">V$26-V$26*SIN(2*PI()/365*A189)</f>
        <v>14.7687775197336</v>
      </c>
      <c r="D189" s="2" t="n">
        <f aca="false">IF((E189+F189)&gt;C189,C189,E189+F189)</f>
        <v>14.7687775197336</v>
      </c>
      <c r="E189" s="38" t="n">
        <f aca="false">(V$23+V$24*SIN(2*PI()/365*A189))*V$25/100*V$7*V$8/100</f>
        <v>13.5718790093928</v>
      </c>
      <c r="F189" s="38" t="n">
        <f aca="false">(V$23+V$24*SIN(2*PI()/365*A189))*V$25/100*V$9*(1-V$14/100)*(1-V$16/100)</f>
        <v>2.87418827986327</v>
      </c>
      <c r="G189" s="38" t="n">
        <f aca="false">IF(C189&gt;E189,100,C189/E189*100)</f>
        <v>100</v>
      </c>
      <c r="H189" s="38" t="n">
        <f aca="false">L189/F189*100</f>
        <v>41.6430099143607</v>
      </c>
      <c r="I189" s="38" t="n">
        <f aca="false">(V$23+V$24*SIN(2*PI()/365*A189))*V$25/100*V$7*V$8/100*(1-V$15/100)</f>
        <v>12.0789723183596</v>
      </c>
      <c r="J189" s="38" t="n">
        <f aca="false">(V$23+V$24*SIN(2*PI()/365*A189))*V$25/100*V$9*(1-V$14/100)</f>
        <v>3.22942503355424</v>
      </c>
      <c r="K189" s="39" t="n">
        <f aca="false">IF(E189/C189*100&lt;100,E189/C189*100,100)</f>
        <v>91.8957509601482</v>
      </c>
      <c r="L189" s="2" t="n">
        <f aca="false">IF(((C189-E189)&gt;0)AND(F189&gt;(C189-E189)),(C189-E189),IF(C189&lt;E189,0,F189))</f>
        <v>1.19689851034086</v>
      </c>
      <c r="M189" s="2" t="n">
        <f aca="false">IF(C189&lt;(E189+F189),0,C189-E189-F189)</f>
        <v>0</v>
      </c>
      <c r="N189" s="2" t="n">
        <f aca="false">IF(C189&lt;(E189+F189),0,(C189-E189-F189)/(1-V$16/100))</f>
        <v>0</v>
      </c>
      <c r="O189" s="2" t="n">
        <f aca="false">L189+M189</f>
        <v>1.19689851034086</v>
      </c>
      <c r="P189" s="2" t="n">
        <f aca="false">IF( N189=0,I189*(1-G189/100)+J189*(1-H189/100),-N189)</f>
        <v>1.8845952466544</v>
      </c>
      <c r="Q189" s="47" t="n">
        <f aca="false">IF(P188&gt;0,Q188+P188*(1-V$20/100),Q188+P188)</f>
        <v>3374.77645503406</v>
      </c>
      <c r="R189" s="48" t="n">
        <f aca="false">R$4+Q189/V$28</f>
        <v>79.9186082832679</v>
      </c>
    </row>
    <row r="190" customFormat="false" ht="12.8" hidden="false" customHeight="false" outlineLevel="0" collapsed="false">
      <c r="A190" s="1" t="n">
        <v>186</v>
      </c>
      <c r="B190" s="37" t="n">
        <v>43731</v>
      </c>
      <c r="C190" s="38" t="n">
        <f aca="false">V$26-V$26*SIN(2*PI()/365*A190)</f>
        <v>15.0121958299762</v>
      </c>
      <c r="D190" s="2" t="n">
        <f aca="false">IF((E190+F190)&gt;C190,C190,E190+F190)</f>
        <v>15.0121958299762</v>
      </c>
      <c r="E190" s="38" t="n">
        <f aca="false">(V$23+V$24*SIN(2*PI()/365*A190))*V$25/100*V$7*V$8/100</f>
        <v>13.367448322292</v>
      </c>
      <c r="F190" s="38" t="n">
        <f aca="false">(V$23+V$24*SIN(2*PI()/365*A190))*V$25/100*V$9*(1-V$14/100)*(1-V$16/100)</f>
        <v>2.83089491683647</v>
      </c>
      <c r="G190" s="38" t="n">
        <f aca="false">IF(C190&gt;E190,100,C190/E190*100)</f>
        <v>100</v>
      </c>
      <c r="H190" s="38" t="n">
        <f aca="false">L190/F190*100</f>
        <v>58.0999138435767</v>
      </c>
      <c r="I190" s="38" t="n">
        <f aca="false">(V$23+V$24*SIN(2*PI()/365*A190))*V$25/100*V$7*V$8/100*(1-V$15/100)</f>
        <v>11.8970290068399</v>
      </c>
      <c r="J190" s="38" t="n">
        <f aca="false">(V$23+V$24*SIN(2*PI()/365*A190))*V$25/100*V$9*(1-V$14/100)</f>
        <v>3.18078080543423</v>
      </c>
      <c r="K190" s="39" t="n">
        <f aca="false">IF(E190/C190*100&lt;100,E190/C190*100,100)</f>
        <v>89.0439245110301</v>
      </c>
      <c r="L190" s="2" t="n">
        <f aca="false">IF(((C190-E190)&gt;0)AND(F190&gt;(C190-E190)),(C190-E190),IF(C190&lt;E190,0,F190))</f>
        <v>1.64474750768418</v>
      </c>
      <c r="M190" s="2" t="n">
        <f aca="false">IF(C190&lt;(E190+F190),0,C190-E190-F190)</f>
        <v>0</v>
      </c>
      <c r="N190" s="2" t="n">
        <f aca="false">IF(C190&lt;(E190+F190),0,(C190-E190-F190)/(1-V$16/100))</f>
        <v>0</v>
      </c>
      <c r="O190" s="2" t="n">
        <f aca="false">L190+M190</f>
        <v>1.64474750768418</v>
      </c>
      <c r="P190" s="2" t="n">
        <f aca="false">IF( N190=0,I190*(1-G190/100)+J190*(1-H190/100),-N190)</f>
        <v>1.33274989792392</v>
      </c>
      <c r="Q190" s="47" t="n">
        <f aca="false">IF(P189&gt;0,Q189+P189*(1-V$20/100),Q189+P189)</f>
        <v>3376.52912861345</v>
      </c>
      <c r="R190" s="48" t="n">
        <f aca="false">R$4+Q190/V$28</f>
        <v>79.9393398164513</v>
      </c>
    </row>
    <row r="191" customFormat="false" ht="12.8" hidden="false" customHeight="false" outlineLevel="0" collapsed="false">
      <c r="A191" s="1" t="n">
        <v>187</v>
      </c>
      <c r="B191" s="37" t="n">
        <v>43732</v>
      </c>
      <c r="C191" s="38" t="n">
        <f aca="false">V$26-V$26*SIN(2*PI()/365*A191)</f>
        <v>15.255361497648</v>
      </c>
      <c r="D191" s="2" t="n">
        <f aca="false">IF((E191+F191)&gt;C191,C191,E191+F191)</f>
        <v>15.255361497648</v>
      </c>
      <c r="E191" s="38" t="n">
        <f aca="false">(V$23+V$24*SIN(2*PI()/365*A191))*V$25/100*V$7*V$8/100</f>
        <v>13.163229812715</v>
      </c>
      <c r="F191" s="38" t="n">
        <f aca="false">(V$23+V$24*SIN(2*PI()/365*A191))*V$25/100*V$9*(1-V$14/100)*(1-V$16/100)</f>
        <v>2.7876464877611</v>
      </c>
      <c r="G191" s="38" t="n">
        <f aca="false">IF(C191&gt;E191,100,C191/E191*100)</f>
        <v>100</v>
      </c>
      <c r="H191" s="38" t="n">
        <f aca="false">L191/F191*100</f>
        <v>75.0501074694463</v>
      </c>
      <c r="I191" s="38" t="n">
        <f aca="false">(V$23+V$24*SIN(2*PI()/365*A191))*V$25/100*V$7*V$8/100*(1-V$15/100)</f>
        <v>11.7152745333164</v>
      </c>
      <c r="J191" s="38" t="n">
        <f aca="false">(V$23+V$24*SIN(2*PI()/365*A191))*V$25/100*V$9*(1-V$14/100)</f>
        <v>3.13218706490011</v>
      </c>
      <c r="K191" s="39" t="n">
        <f aca="false">IF(E191/C191*100&lt;100,E191/C191*100,100)</f>
        <v>86.2859252122245</v>
      </c>
      <c r="L191" s="2" t="n">
        <f aca="false">IF(((C191-E191)&gt;0)AND(F191&gt;(C191-E191)),(C191-E191),IF(C191&lt;E191,0,F191))</f>
        <v>2.09213168493295</v>
      </c>
      <c r="M191" s="2" t="n">
        <f aca="false">IF(C191&lt;(E191+F191),0,C191-E191-F191)</f>
        <v>0</v>
      </c>
      <c r="N191" s="2" t="n">
        <f aca="false">IF(C191&lt;(E191+F191),0,(C191-E191-F191)/(1-V$16/100))</f>
        <v>0</v>
      </c>
      <c r="O191" s="2" t="n">
        <f aca="false">L191+M191</f>
        <v>2.09213168493295</v>
      </c>
      <c r="P191" s="2" t="n">
        <f aca="false">IF( N191=0,I191*(1-G191/100)+J191*(1-H191/100),-N191)</f>
        <v>0.781477306548482</v>
      </c>
      <c r="Q191" s="47" t="n">
        <f aca="false">IF(P190&gt;0,Q190+P190*(1-V$20/100),Q190+P190)</f>
        <v>3377.76858601852</v>
      </c>
      <c r="R191" s="48" t="n">
        <f aca="false">R$4+Q191/V$28</f>
        <v>79.9540007622342</v>
      </c>
    </row>
    <row r="192" customFormat="false" ht="12.8" hidden="false" customHeight="false" outlineLevel="0" collapsed="false">
      <c r="A192" s="1" t="n">
        <v>188</v>
      </c>
      <c r="B192" s="37" t="n">
        <v>43733</v>
      </c>
      <c r="C192" s="38" t="n">
        <f aca="false">V$26-V$26*SIN(2*PI()/365*A192)</f>
        <v>15.4982024675138</v>
      </c>
      <c r="D192" s="2" t="n">
        <f aca="false">IF((E192+F192)&gt;C192,C192,E192+F192)</f>
        <v>15.4982024675138</v>
      </c>
      <c r="E192" s="38" t="n">
        <f aca="false">(V$23+V$24*SIN(2*PI()/365*A192))*V$25/100*V$7*V$8/100</f>
        <v>12.9592839950137</v>
      </c>
      <c r="F192" s="38" t="n">
        <f aca="false">(V$23+V$24*SIN(2*PI()/365*A192))*V$25/100*V$9*(1-V$14/100)*(1-V$16/100)</f>
        <v>2.74445580808007</v>
      </c>
      <c r="G192" s="38" t="n">
        <f aca="false">IF(C192&gt;E192,100,C192/E192*100)</f>
        <v>100</v>
      </c>
      <c r="H192" s="38" t="n">
        <f aca="false">L192/F192*100</f>
        <v>92.5108163529238</v>
      </c>
      <c r="I192" s="38" t="n">
        <f aca="false">(V$23+V$24*SIN(2*PI()/365*A192))*V$25/100*V$7*V$8/100*(1-V$15/100)</f>
        <v>11.5337627555622</v>
      </c>
      <c r="J192" s="38" t="n">
        <f aca="false">(V$23+V$24*SIN(2*PI()/365*A192))*V$25/100*V$9*(1-V$14/100)</f>
        <v>3.08365821132592</v>
      </c>
      <c r="K192" s="39" t="n">
        <f aca="false">IF(E192/C192*100&lt;100,E192/C192*100,100)</f>
        <v>83.6179810024937</v>
      </c>
      <c r="L192" s="2" t="n">
        <f aca="false">IF(((C192-E192)&gt;0)AND(F192&gt;(C192-E192)),(C192-E192),IF(C192&lt;E192,0,F192))</f>
        <v>2.53891847250011</v>
      </c>
      <c r="M192" s="2" t="n">
        <f aca="false">IF(C192&lt;(E192+F192),0,C192-E192-F192)</f>
        <v>0</v>
      </c>
      <c r="N192" s="2" t="n">
        <f aca="false">IF(C192&lt;(E192+F192),0,(C192-E192-F192)/(1-V$16/100))</f>
        <v>0</v>
      </c>
      <c r="O192" s="2" t="n">
        <f aca="false">L192+M192</f>
        <v>2.53891847250011</v>
      </c>
      <c r="P192" s="2" t="n">
        <f aca="false">IF( N192=0,I192*(1-G192/100)+J192*(1-H192/100),-N192)</f>
        <v>0.230940826494343</v>
      </c>
      <c r="Q192" s="47" t="n">
        <f aca="false">IF(P191&gt;0,Q191+P191*(1-V$20/100),Q191+P191)</f>
        <v>3378.49535991361</v>
      </c>
      <c r="R192" s="48" t="n">
        <f aca="false">R$4+Q192/V$28</f>
        <v>79.9625974212471</v>
      </c>
    </row>
    <row r="193" customFormat="false" ht="12.8" hidden="false" customHeight="false" outlineLevel="0" collapsed="false">
      <c r="A193" s="1" t="n">
        <v>189</v>
      </c>
      <c r="B193" s="37" t="n">
        <v>43734</v>
      </c>
      <c r="C193" s="38" t="n">
        <f aca="false">V$26-V$26*SIN(2*PI()/365*A193)</f>
        <v>15.7406467805533</v>
      </c>
      <c r="D193" s="2" t="n">
        <f aca="false">IF((E193+F193)&gt;C193,C193,E193+F193)</f>
        <v>15.4570069788592</v>
      </c>
      <c r="E193" s="38" t="n">
        <f aca="false">(V$23+V$24*SIN(2*PI()/365*A193))*V$25/100*V$7*V$8/100</f>
        <v>12.7556713027353</v>
      </c>
      <c r="F193" s="38" t="n">
        <f aca="false">(V$23+V$24*SIN(2*PI()/365*A193))*V$25/100*V$9*(1-V$14/100)*(1-V$16/100)</f>
        <v>2.70133567612391</v>
      </c>
      <c r="G193" s="38" t="n">
        <f aca="false">IF(C193&gt;E193,100,C193/E193*100)</f>
        <v>100</v>
      </c>
      <c r="H193" s="38" t="n">
        <f aca="false">L193/F193*100</f>
        <v>100</v>
      </c>
      <c r="I193" s="38" t="n">
        <f aca="false">(V$23+V$24*SIN(2*PI()/365*A193))*V$25/100*V$7*V$8/100*(1-V$15/100)</f>
        <v>11.3525474594344</v>
      </c>
      <c r="J193" s="38" t="n">
        <f aca="false">(V$23+V$24*SIN(2*PI()/365*A193))*V$25/100*V$9*(1-V$14/100)</f>
        <v>3.03520862485833</v>
      </c>
      <c r="K193" s="39" t="n">
        <f aca="false">IF(E193/C193*100&lt;100,E193/C193*100,100)</f>
        <v>81.0365131786973</v>
      </c>
      <c r="L193" s="2" t="n">
        <f aca="false">IF(((C193-E193)&gt;0)AND(F193&gt;(C193-E193)),(C193-E193),IF(C193&lt;E193,0,F193))</f>
        <v>2.70133567612391</v>
      </c>
      <c r="M193" s="2" t="n">
        <f aca="false">IF(C193&lt;(E193+F193),0,C193-E193-F193)</f>
        <v>0.283639801694131</v>
      </c>
      <c r="N193" s="2" t="n">
        <f aca="false">IF(C193&lt;(E193+F193),0,(C193-E193-F193)/(1-V$16/100))</f>
        <v>0.3186964063979</v>
      </c>
      <c r="O193" s="2" t="n">
        <f aca="false">L193+M193</f>
        <v>2.98497547781804</v>
      </c>
      <c r="P193" s="2" t="n">
        <f aca="false">IF( N193=0,I193*(1-G193/100)+J193*(1-H193/100),-N193)</f>
        <v>-0.3186964063979</v>
      </c>
      <c r="Q193" s="47" t="n">
        <f aca="false">IF(P192&gt;0,Q192+P192*(1-V$20/100),Q192+P192)</f>
        <v>3378.71013488225</v>
      </c>
      <c r="R193" s="48" t="n">
        <f aca="false">R$4+Q193/V$28</f>
        <v>79.9651378910994</v>
      </c>
    </row>
    <row r="194" customFormat="false" ht="12.8" hidden="false" customHeight="false" outlineLevel="0" collapsed="false">
      <c r="A194" s="1" t="n">
        <v>190</v>
      </c>
      <c r="B194" s="37" t="n">
        <v>43735</v>
      </c>
      <c r="C194" s="38" t="n">
        <f aca="false">V$26-V$26*SIN(2*PI()/365*A194)</f>
        <v>15.9826225952842</v>
      </c>
      <c r="D194" s="2" t="n">
        <f aca="false">IF((E194+F194)&gt;C194,C194,E194+F194)</f>
        <v>15.2107509400331</v>
      </c>
      <c r="E194" s="38" t="n">
        <f aca="false">(V$23+V$24*SIN(2*PI()/365*A194))*V$25/100*V$7*V$8/100</f>
        <v>12.5524520707148</v>
      </c>
      <c r="F194" s="38" t="n">
        <f aca="false">(V$23+V$24*SIN(2*PI()/365*A194))*V$25/100*V$9*(1-V$14/100)*(1-V$16/100)</f>
        <v>2.65829886931832</v>
      </c>
      <c r="G194" s="38" t="n">
        <f aca="false">IF(C194&gt;E194,100,C194/E194*100)</f>
        <v>100</v>
      </c>
      <c r="H194" s="38" t="n">
        <f aca="false">L194/F194*100</f>
        <v>100</v>
      </c>
      <c r="I194" s="38" t="n">
        <f aca="false">(V$23+V$24*SIN(2*PI()/365*A194))*V$25/100*V$7*V$8/100*(1-V$15/100)</f>
        <v>11.1716823429362</v>
      </c>
      <c r="J194" s="38" t="n">
        <f aca="false">(V$23+V$24*SIN(2*PI()/365*A194))*V$25/100*V$9*(1-V$14/100)</f>
        <v>2.98685266215542</v>
      </c>
      <c r="K194" s="39" t="n">
        <f aca="false">IF(E194/C194*100&lt;100,E194/C194*100,100)</f>
        <v>78.5381247406699</v>
      </c>
      <c r="L194" s="2" t="n">
        <f aca="false">IF(((C194-E194)&gt;0)AND(F194&gt;(C194-E194)),(C194-E194),IF(C194&lt;E194,0,F194))</f>
        <v>2.65829886931832</v>
      </c>
      <c r="M194" s="2" t="n">
        <f aca="false">IF(C194&lt;(E194+F194),0,C194-E194-F194)</f>
        <v>0.771871655251073</v>
      </c>
      <c r="N194" s="2" t="n">
        <f aca="false">IF(C194&lt;(E194+F194),0,(C194-E194-F194)/(1-V$16/100))</f>
        <v>0.867271522754015</v>
      </c>
      <c r="O194" s="2" t="n">
        <f aca="false">L194+M194</f>
        <v>3.4301705245694</v>
      </c>
      <c r="P194" s="2" t="n">
        <f aca="false">IF( N194=0,I194*(1-G194/100)+J194*(1-H194/100),-N194)</f>
        <v>-0.867271522754015</v>
      </c>
      <c r="Q194" s="47" t="n">
        <f aca="false">IF(P193&gt;0,Q193+P193*(1-V$20/100),Q193+P193)</f>
        <v>3378.39143847585</v>
      </c>
      <c r="R194" s="48" t="n">
        <f aca="false">R$4+Q194/V$28</f>
        <v>79.9613681845194</v>
      </c>
    </row>
    <row r="195" customFormat="false" ht="12.8" hidden="false" customHeight="false" outlineLevel="0" collapsed="false">
      <c r="A195" s="1" t="n">
        <v>191</v>
      </c>
      <c r="B195" s="37" t="n">
        <v>43736</v>
      </c>
      <c r="C195" s="38" t="n">
        <f aca="false">V$26-V$26*SIN(2*PI()/365*A195)</f>
        <v>16.2240582090503</v>
      </c>
      <c r="D195" s="2" t="n">
        <f aca="false">IF((E195+F195)&gt;C195,C195,E195+F195)</f>
        <v>14.9650446575946</v>
      </c>
      <c r="E195" s="38" t="n">
        <f aca="false">(V$23+V$24*SIN(2*PI()/365*A195))*V$25/100*V$7*V$8/100</f>
        <v>12.3496865171966</v>
      </c>
      <c r="F195" s="38" t="n">
        <f aca="false">(V$23+V$24*SIN(2*PI()/365*A195))*V$25/100*V$9*(1-V$14/100)*(1-V$16/100)</f>
        <v>2.61535814039798</v>
      </c>
      <c r="G195" s="38" t="n">
        <f aca="false">IF(C195&gt;E195,100,C195/E195*100)</f>
        <v>100</v>
      </c>
      <c r="H195" s="38" t="n">
        <f aca="false">L195/F195*100</f>
        <v>100</v>
      </c>
      <c r="I195" s="38" t="n">
        <f aca="false">(V$23+V$24*SIN(2*PI()/365*A195))*V$25/100*V$7*V$8/100*(1-V$15/100)</f>
        <v>10.991221000305</v>
      </c>
      <c r="J195" s="38" t="n">
        <f aca="false">(V$23+V$24*SIN(2*PI()/365*A195))*V$25/100*V$9*(1-V$14/100)</f>
        <v>2.93860465213256</v>
      </c>
      <c r="K195" s="39" t="n">
        <f aca="false">IF(E195/C195*100&lt;100,E195/C195*100,100)</f>
        <v>76.1195895507053</v>
      </c>
      <c r="L195" s="2" t="n">
        <f aca="false">IF(((C195-E195)&gt;0)AND(F195&gt;(C195-E195)),(C195-E195),IF(C195&lt;E195,0,F195))</f>
        <v>2.61535814039798</v>
      </c>
      <c r="M195" s="2" t="n">
        <f aca="false">IF(C195&lt;(E195+F195),0,C195-E195-F195)</f>
        <v>1.25901355145572</v>
      </c>
      <c r="N195" s="2" t="n">
        <f aca="false">IF(C195&lt;(E195+F195),0,(C195-E195-F195)/(1-V$16/100))</f>
        <v>1.41462196792778</v>
      </c>
      <c r="O195" s="2" t="n">
        <f aca="false">L195+M195</f>
        <v>3.8743716918537</v>
      </c>
      <c r="P195" s="2" t="n">
        <f aca="false">IF( N195=0,I195*(1-G195/100)+J195*(1-H195/100),-N195)</f>
        <v>-1.41462196792778</v>
      </c>
      <c r="Q195" s="47" t="n">
        <f aca="false">IF(P194&gt;0,Q194+P194*(1-V$20/100),Q194+P194)</f>
        <v>3377.5241669531</v>
      </c>
      <c r="R195" s="48" t="n">
        <f aca="false">R$4+Q195/V$28</f>
        <v>79.9511096466123</v>
      </c>
    </row>
    <row r="196" customFormat="false" ht="12.8" hidden="false" customHeight="false" outlineLevel="0" collapsed="false">
      <c r="A196" s="1" t="n">
        <v>192</v>
      </c>
      <c r="B196" s="37" t="n">
        <v>43737</v>
      </c>
      <c r="C196" s="38" t="n">
        <f aca="false">V$26-V$26*SIN(2*PI()/365*A196)</f>
        <v>16.4648820792686</v>
      </c>
      <c r="D196" s="2" t="n">
        <f aca="false">IF((E196+F196)&gt;C196,C196,E196+F196)</f>
        <v>14.7199609396177</v>
      </c>
      <c r="E196" s="38" t="n">
        <f aca="false">(V$23+V$24*SIN(2*PI()/365*A196))*V$25/100*V$7*V$8/100</f>
        <v>12.1474347259901</v>
      </c>
      <c r="F196" s="38" t="n">
        <f aca="false">(V$23+V$24*SIN(2*PI()/365*A196))*V$25/100*V$9*(1-V$14/100)*(1-V$16/100)</f>
        <v>2.57252621362759</v>
      </c>
      <c r="G196" s="38" t="n">
        <f aca="false">IF(C196&gt;E196,100,C196/E196*100)</f>
        <v>100</v>
      </c>
      <c r="H196" s="38" t="n">
        <f aca="false">L196/F196*100</f>
        <v>100</v>
      </c>
      <c r="I196" s="38" t="n">
        <f aca="false">(V$23+V$24*SIN(2*PI()/365*A196))*V$25/100*V$7*V$8/100*(1-V$15/100)</f>
        <v>10.8112169061312</v>
      </c>
      <c r="J196" s="38" t="n">
        <f aca="false">(V$23+V$24*SIN(2*PI()/365*A196))*V$25/100*V$9*(1-V$14/100)</f>
        <v>2.89047889171639</v>
      </c>
      <c r="K196" s="39" t="n">
        <f aca="false">IF(E196/C196*100&lt;100,E196/C196*100,100)</f>
        <v>73.777842243312</v>
      </c>
      <c r="L196" s="2" t="n">
        <f aca="false">IF(((C196-E196)&gt;0)AND(F196&gt;(C196-E196)),(C196-E196),IF(C196&lt;E196,0,F196))</f>
        <v>2.57252621362759</v>
      </c>
      <c r="M196" s="2" t="n">
        <f aca="false">IF(C196&lt;(E196+F196),0,C196-E196-F196)</f>
        <v>1.74492113965087</v>
      </c>
      <c r="N196" s="2" t="n">
        <f aca="false">IF(C196&lt;(E196+F196),0,(C196-E196-F196)/(1-V$16/100))</f>
        <v>1.96058555016951</v>
      </c>
      <c r="O196" s="2" t="n">
        <f aca="false">L196+M196</f>
        <v>4.31744735327845</v>
      </c>
      <c r="P196" s="2" t="n">
        <f aca="false">IF( N196=0,I196*(1-G196/100)+J196*(1-H196/100),-N196)</f>
        <v>-1.96058555016951</v>
      </c>
      <c r="Q196" s="47" t="n">
        <f aca="false">IF(P195&gt;0,Q195+P195*(1-V$20/100),Q195+P195)</f>
        <v>3376.10954498517</v>
      </c>
      <c r="R196" s="48" t="n">
        <f aca="false">R$4+Q196/V$28</f>
        <v>79.9343767634246</v>
      </c>
    </row>
    <row r="197" customFormat="false" ht="12.8" hidden="false" customHeight="false" outlineLevel="0" collapsed="false">
      <c r="A197" s="1" t="n">
        <v>193</v>
      </c>
      <c r="B197" s="37" t="n">
        <v>43738</v>
      </c>
      <c r="C197" s="38" t="n">
        <f aca="false">V$26-V$26*SIN(2*PI()/365*A197)</f>
        <v>16.705022844629</v>
      </c>
      <c r="D197" s="2" t="n">
        <f aca="false">IF((E197+F197)&gt;C197,C197,E197+F197)</f>
        <v>14.4755724096976</v>
      </c>
      <c r="E197" s="38" t="n">
        <f aca="false">(V$23+V$24*SIN(2*PI()/365*A197))*V$25/100*V$7*V$8/100</f>
        <v>11.9457566286661</v>
      </c>
      <c r="F197" s="38" t="n">
        <f aca="false">(V$23+V$24*SIN(2*PI()/365*A197))*V$25/100*V$9*(1-V$14/100)*(1-V$16/100)</f>
        <v>2.52981578103144</v>
      </c>
      <c r="G197" s="38" t="n">
        <f aca="false">IF(C197&gt;E197,100,C197/E197*100)</f>
        <v>100</v>
      </c>
      <c r="H197" s="38" t="n">
        <f aca="false">L197/F197*100</f>
        <v>100</v>
      </c>
      <c r="I197" s="38" t="n">
        <f aca="false">(V$23+V$24*SIN(2*PI()/365*A197))*V$25/100*V$7*V$8/100*(1-V$15/100)</f>
        <v>10.6317233995129</v>
      </c>
      <c r="J197" s="38" t="n">
        <f aca="false">(V$23+V$24*SIN(2*PI()/365*A197))*V$25/100*V$9*(1-V$14/100)</f>
        <v>2.84248964160836</v>
      </c>
      <c r="K197" s="39" t="n">
        <f aca="false">IF(E197/C197*100&lt;100,E197/C197*100,100)</f>
        <v>71.5099688265735</v>
      </c>
      <c r="L197" s="2" t="n">
        <f aca="false">IF(((C197-E197)&gt;0)AND(F197&gt;(C197-E197)),(C197-E197),IF(C197&lt;E197,0,F197))</f>
        <v>2.52981578103144</v>
      </c>
      <c r="M197" s="2" t="n">
        <f aca="false">IF(C197&lt;(E197+F197),0,C197-E197-F197)</f>
        <v>2.22945043493137</v>
      </c>
      <c r="N197" s="2" t="n">
        <f aca="false">IF(C197&lt;(E197+F197),0,(C197-E197-F197)/(1-V$16/100))</f>
        <v>2.50500048868693</v>
      </c>
      <c r="O197" s="2" t="n">
        <f aca="false">L197+M197</f>
        <v>4.75926621596281</v>
      </c>
      <c r="P197" s="2" t="n">
        <f aca="false">IF( N197=0,I197*(1-G197/100)+J197*(1-H197/100),-N197)</f>
        <v>-2.50500048868693</v>
      </c>
      <c r="Q197" s="47" t="n">
        <f aca="false">IF(P196&gt;0,Q196+P196*(1-V$20/100),Q196+P196)</f>
        <v>3374.148959435</v>
      </c>
      <c r="R197" s="48" t="n">
        <f aca="false">R$4+Q197/V$28</f>
        <v>79.9111859394913</v>
      </c>
    </row>
    <row r="198" customFormat="false" ht="12.8" hidden="false" customHeight="false" outlineLevel="0" collapsed="false">
      <c r="A198" s="1" t="n">
        <v>194</v>
      </c>
      <c r="B198" s="37" t="n">
        <v>43739</v>
      </c>
      <c r="C198" s="38" t="n">
        <f aca="false">V$26-V$26*SIN(2*PI()/365*A198)</f>
        <v>16.94440934624</v>
      </c>
      <c r="D198" s="2" t="n">
        <f aca="false">IF((E198+F198)&gt;C198,C198,E198+F198)</f>
        <v>14.2319514854299</v>
      </c>
      <c r="E198" s="38" t="n">
        <f aca="false">(V$23+V$24*SIN(2*PI()/365*A198))*V$25/100*V$7*V$8/100</f>
        <v>11.7447119867974</v>
      </c>
      <c r="F198" s="38" t="n">
        <f aca="false">(V$23+V$24*SIN(2*PI()/365*A198))*V$25/100*V$9*(1-V$14/100)*(1-V$16/100)</f>
        <v>2.48723949863249</v>
      </c>
      <c r="G198" s="38" t="n">
        <f aca="false">IF(C198&gt;E198,100,C198/E198*100)</f>
        <v>100</v>
      </c>
      <c r="H198" s="38" t="n">
        <f aca="false">L198/F198*100</f>
        <v>100</v>
      </c>
      <c r="I198" s="38" t="n">
        <f aca="false">(V$23+V$24*SIN(2*PI()/365*A198))*V$25/100*V$7*V$8/100*(1-V$15/100)</f>
        <v>10.4527936682497</v>
      </c>
      <c r="J198" s="38" t="n">
        <f aca="false">(V$23+V$24*SIN(2*PI()/365*A198))*V$25/100*V$9*(1-V$14/100)</f>
        <v>2.79465112205897</v>
      </c>
      <c r="K198" s="39" t="n">
        <f aca="false">IF(E198/C198*100&lt;100,E198/C198*100,100)</f>
        <v>69.313197921553</v>
      </c>
      <c r="L198" s="2" t="n">
        <f aca="false">IF(((C198-E198)&gt;0)AND(F198&gt;(C198-E198)),(C198-E198),IF(C198&lt;E198,0,F198))</f>
        <v>2.48723949863249</v>
      </c>
      <c r="M198" s="2" t="n">
        <f aca="false">IF(C198&lt;(E198+F198),0,C198-E198-F198)</f>
        <v>2.71245786081004</v>
      </c>
      <c r="N198" s="2" t="n">
        <f aca="false">IF(C198&lt;(E198+F198),0,(C198-E198-F198)/(1-V$16/100))</f>
        <v>3.04770546158432</v>
      </c>
      <c r="O198" s="2" t="n">
        <f aca="false">L198+M198</f>
        <v>5.19969735944253</v>
      </c>
      <c r="P198" s="2" t="n">
        <f aca="false">IF( N198=0,I198*(1-G198/100)+J198*(1-H198/100),-N198)</f>
        <v>-3.04770546158432</v>
      </c>
      <c r="Q198" s="47" t="n">
        <f aca="false">IF(P197&gt;0,Q197+P197*(1-V$20/100),Q197+P197)</f>
        <v>3371.64395894631</v>
      </c>
      <c r="R198" s="48" t="n">
        <f aca="false">R$4+Q198/V$28</f>
        <v>79.8815554929744</v>
      </c>
    </row>
    <row r="199" customFormat="false" ht="12.8" hidden="false" customHeight="false" outlineLevel="0" collapsed="false">
      <c r="A199" s="1" t="n">
        <v>195</v>
      </c>
      <c r="B199" s="37" t="n">
        <v>43740</v>
      </c>
      <c r="C199" s="38" t="n">
        <f aca="false">V$26-V$26*SIN(2*PI()/365*A199)</f>
        <v>17.1829706487148</v>
      </c>
      <c r="D199" s="2" t="n">
        <f aca="false">IF((E199+F199)&gt;C199,C199,E199+F199)</f>
        <v>13.9891703569524</v>
      </c>
      <c r="E199" s="38" t="n">
        <f aca="false">(V$23+V$24*SIN(2*PI()/365*A199))*V$25/100*V$7*V$8/100</f>
        <v>11.5443603742503</v>
      </c>
      <c r="F199" s="38" t="n">
        <f aca="false">(V$23+V$24*SIN(2*PI()/365*A199))*V$25/100*V$9*(1-V$14/100)*(1-V$16/100)</f>
        <v>2.44480998270207</v>
      </c>
      <c r="G199" s="38" t="n">
        <f aca="false">IF(C199&gt;E199,100,C199/E199*100)</f>
        <v>100</v>
      </c>
      <c r="H199" s="38" t="n">
        <f aca="false">L199/F199*100</f>
        <v>100</v>
      </c>
      <c r="I199" s="38" t="n">
        <f aca="false">(V$23+V$24*SIN(2*PI()/365*A199))*V$25/100*V$7*V$8/100*(1-V$15/100)</f>
        <v>10.2744807330828</v>
      </c>
      <c r="J199" s="38" t="n">
        <f aca="false">(V$23+V$24*SIN(2*PI()/365*A199))*V$25/100*V$9*(1-V$14/100)</f>
        <v>2.74697750865401</v>
      </c>
      <c r="K199" s="39" t="n">
        <f aca="false">IF(E199/C199*100&lt;100,E199/C199*100,100)</f>
        <v>67.1848925908148</v>
      </c>
      <c r="L199" s="2" t="n">
        <f aca="false">IF(((C199-E199)&gt;0)AND(F199&gt;(C199-E199)),(C199-E199),IF(C199&lt;E199,0,F199))</f>
        <v>2.44480998270207</v>
      </c>
      <c r="M199" s="2" t="n">
        <f aca="false">IF(C199&lt;(E199+F199),0,C199-E199-F199)</f>
        <v>3.19380029176246</v>
      </c>
      <c r="N199" s="2" t="n">
        <f aca="false">IF(C199&lt;(E199+F199),0,(C199-E199-F199)/(1-V$16/100))</f>
        <v>3.58853965366569</v>
      </c>
      <c r="O199" s="2" t="n">
        <f aca="false">L199+M199</f>
        <v>5.63861027446453</v>
      </c>
      <c r="P199" s="2" t="n">
        <f aca="false">IF( N199=0,I199*(1-G199/100)+J199*(1-H199/100),-N199)</f>
        <v>-3.58853965366569</v>
      </c>
      <c r="Q199" s="47" t="n">
        <f aca="false">IF(P198&gt;0,Q198+P198*(1-V$20/100),Q198+P198)</f>
        <v>3368.59625348473</v>
      </c>
      <c r="R199" s="48" t="n">
        <f aca="false">R$4+Q199/V$28</f>
        <v>79.8455056502353</v>
      </c>
    </row>
    <row r="200" customFormat="false" ht="12.8" hidden="false" customHeight="false" outlineLevel="0" collapsed="false">
      <c r="A200" s="1" t="n">
        <v>196</v>
      </c>
      <c r="B200" s="37" t="n">
        <v>43741</v>
      </c>
      <c r="C200" s="38" t="n">
        <f aca="false">V$26-V$26*SIN(2*PI()/365*A200)</f>
        <v>17.420636061191</v>
      </c>
      <c r="D200" s="2" t="n">
        <f aca="false">IF((E200+F200)&gt;C200,C200,E200+F200)</f>
        <v>13.7473009655529</v>
      </c>
      <c r="E200" s="38" t="n">
        <f aca="false">(V$23+V$24*SIN(2*PI()/365*A200))*V$25/100*V$7*V$8/100</f>
        <v>11.3447611595315</v>
      </c>
      <c r="F200" s="38" t="n">
        <f aca="false">(V$23+V$24*SIN(2*PI()/365*A200))*V$25/100*V$9*(1-V$14/100)*(1-V$16/100)</f>
        <v>2.40253980602147</v>
      </c>
      <c r="G200" s="38" t="n">
        <f aca="false">IF(C200&gt;E200,100,C200/E200*100)</f>
        <v>100</v>
      </c>
      <c r="H200" s="38" t="n">
        <f aca="false">L200/F200*100</f>
        <v>100</v>
      </c>
      <c r="I200" s="38" t="n">
        <f aca="false">(V$23+V$24*SIN(2*PI()/365*A200))*V$25/100*V$7*V$8/100*(1-V$15/100)</f>
        <v>10.096837431983</v>
      </c>
      <c r="J200" s="38" t="n">
        <f aca="false">(V$23+V$24*SIN(2*PI()/365*A200))*V$25/100*V$9*(1-V$14/100)</f>
        <v>2.69948292811401</v>
      </c>
      <c r="K200" s="39" t="n">
        <f aca="false">IF(E200/C200*100&lt;100,E200/C200*100,100)</f>
        <v>65.1225427113127</v>
      </c>
      <c r="L200" s="2" t="n">
        <f aca="false">IF(((C200-E200)&gt;0)AND(F200&gt;(C200-E200)),(C200-E200),IF(C200&lt;E200,0,F200))</f>
        <v>2.40253980602147</v>
      </c>
      <c r="M200" s="2" t="n">
        <f aca="false">IF(C200&lt;(E200+F200),0,C200-E200-F200)</f>
        <v>3.67333509563809</v>
      </c>
      <c r="N200" s="2" t="n">
        <f aca="false">IF(C200&lt;(E200+F200),0,(C200-E200-F200)/(1-V$16/100))</f>
        <v>4.12734280408774</v>
      </c>
      <c r="O200" s="2" t="n">
        <f aca="false">L200+M200</f>
        <v>6.07587490165956</v>
      </c>
      <c r="P200" s="2" t="n">
        <f aca="false">IF( N200=0,I200*(1-G200/100)+J200*(1-H200/100),-N200)</f>
        <v>-4.12734280408774</v>
      </c>
      <c r="Q200" s="47" t="n">
        <f aca="false">IF(P199&gt;0,Q199+P199*(1-V$20/100),Q199+P199)</f>
        <v>3365.00771383106</v>
      </c>
      <c r="R200" s="48" t="n">
        <f aca="false">R$4+Q200/V$28</f>
        <v>79.8030585398408</v>
      </c>
    </row>
    <row r="201" customFormat="false" ht="12.8" hidden="false" customHeight="false" outlineLevel="0" collapsed="false">
      <c r="A201" s="1" t="n">
        <v>197</v>
      </c>
      <c r="B201" s="37" t="n">
        <v>43742</v>
      </c>
      <c r="C201" s="38" t="n">
        <f aca="false">V$26-V$26*SIN(2*PI()/365*A201)</f>
        <v>17.6573351582776</v>
      </c>
      <c r="D201" s="2" t="n">
        <f aca="false">IF((E201+F201)&gt;C201,C201,E201+F201)</f>
        <v>13.5064149823522</v>
      </c>
      <c r="E201" s="38" t="n">
        <f aca="false">(V$23+V$24*SIN(2*PI()/365*A201))*V$25/100*V$7*V$8/100</f>
        <v>11.1459734881959</v>
      </c>
      <c r="F201" s="38" t="n">
        <f aca="false">(V$23+V$24*SIN(2*PI()/365*A201))*V$25/100*V$9*(1-V$14/100)*(1-V$16/100)</f>
        <v>2.36044149415629</v>
      </c>
      <c r="G201" s="38" t="n">
        <f aca="false">IF(C201&gt;E201,100,C201/E201*100)</f>
        <v>100</v>
      </c>
      <c r="H201" s="38" t="n">
        <f aca="false">L201/F201*100</f>
        <v>100</v>
      </c>
      <c r="I201" s="38" t="n">
        <f aca="false">(V$23+V$24*SIN(2*PI()/365*A201))*V$25/100*V$7*V$8/100*(1-V$15/100)</f>
        <v>9.91991640449438</v>
      </c>
      <c r="J201" s="38" t="n">
        <f aca="false">(V$23+V$24*SIN(2*PI()/365*A201))*V$25/100*V$9*(1-V$14/100)</f>
        <v>2.65218145410819</v>
      </c>
      <c r="K201" s="39" t="n">
        <f aca="false">IF(E201/C201*100&lt;100,E201/C201*100,100)</f>
        <v>63.1237578506903</v>
      </c>
      <c r="L201" s="2" t="n">
        <f aca="false">IF(((C201-E201)&gt;0)AND(F201&gt;(C201-E201)),(C201-E201),IF(C201&lt;E201,0,F201))</f>
        <v>2.36044149415629</v>
      </c>
      <c r="M201" s="2" t="n">
        <f aca="false">IF(C201&lt;(E201+F201),0,C201-E201-F201)</f>
        <v>4.15092017592534</v>
      </c>
      <c r="N201" s="2" t="n">
        <f aca="false">IF(C201&lt;(E201+F201),0,(C201-E201-F201)/(1-V$16/100))</f>
        <v>4.6639552538487</v>
      </c>
      <c r="O201" s="2" t="n">
        <f aca="false">L201+M201</f>
        <v>6.51136167008163</v>
      </c>
      <c r="P201" s="2" t="n">
        <f aca="false">IF( N201=0,I201*(1-G201/100)+J201*(1-H201/100),-N201)</f>
        <v>-4.6639552538487</v>
      </c>
      <c r="Q201" s="47" t="n">
        <f aca="false">IF(P200&gt;0,Q200+P200*(1-V$20/100),Q200+P200)</f>
        <v>3360.88037102698</v>
      </c>
      <c r="R201" s="48" t="n">
        <f aca="false">R$4+Q201/V$28</f>
        <v>79.7542381860063</v>
      </c>
    </row>
    <row r="202" customFormat="false" ht="12.8" hidden="false" customHeight="false" outlineLevel="0" collapsed="false">
      <c r="A202" s="1" t="n">
        <v>198</v>
      </c>
      <c r="B202" s="37" t="n">
        <v>43743</v>
      </c>
      <c r="C202" s="38" t="n">
        <f aca="false">V$26-V$26*SIN(2*PI()/365*A202)</f>
        <v>17.8929978009236</v>
      </c>
      <c r="D202" s="2" t="n">
        <f aca="false">IF((E202+F202)&gt;C202,C202,E202+F202)</f>
        <v>13.2665837870658</v>
      </c>
      <c r="E202" s="38" t="n">
        <f aca="false">(V$23+V$24*SIN(2*PI()/365*A202))*V$25/100*V$7*V$8/100</f>
        <v>10.9480562653209</v>
      </c>
      <c r="F202" s="38" t="n">
        <f aca="false">(V$23+V$24*SIN(2*PI()/365*A202))*V$25/100*V$9*(1-V$14/100)*(1-V$16/100)</f>
        <v>2.3185275217449</v>
      </c>
      <c r="G202" s="38" t="n">
        <f aca="false">IF(C202&gt;E202,100,C202/E202*100)</f>
        <v>100</v>
      </c>
      <c r="H202" s="38" t="n">
        <f aca="false">L202/F202*100</f>
        <v>100</v>
      </c>
      <c r="I202" s="38" t="n">
        <f aca="false">(V$23+V$24*SIN(2*PI()/365*A202))*V$25/100*V$7*V$8/100*(1-V$15/100)</f>
        <v>9.74377007613564</v>
      </c>
      <c r="J202" s="38" t="n">
        <f aca="false">(V$23+V$24*SIN(2*PI()/365*A202))*V$25/100*V$9*(1-V$14/100)</f>
        <v>2.60508710308416</v>
      </c>
      <c r="K202" s="39" t="n">
        <f aca="false">IF(E202/C202*100&lt;100,E202/C202*100,100)</f>
        <v>61.186260609476</v>
      </c>
      <c r="L202" s="2" t="n">
        <f aca="false">IF(((C202-E202)&gt;0)AND(F202&gt;(C202-E202)),(C202-E202),IF(C202&lt;E202,0,F202))</f>
        <v>2.3185275217449</v>
      </c>
      <c r="M202" s="2" t="n">
        <f aca="false">IF(C202&lt;(E202+F202),0,C202-E202-F202)</f>
        <v>4.62641401385779</v>
      </c>
      <c r="N202" s="2" t="n">
        <f aca="false">IF(C202&lt;(E202+F202),0,(C202-E202-F202)/(1-V$16/100))</f>
        <v>5.19821799309865</v>
      </c>
      <c r="O202" s="2" t="n">
        <f aca="false">L202+M202</f>
        <v>6.9449415356027</v>
      </c>
      <c r="P202" s="2" t="n">
        <f aca="false">IF( N202=0,I202*(1-G202/100)+J202*(1-H202/100),-N202)</f>
        <v>-5.19821799309865</v>
      </c>
      <c r="Q202" s="47" t="n">
        <f aca="false">IF(P201&gt;0,Q201+P201*(1-V$20/100),Q201+P201)</f>
        <v>3356.21641577313</v>
      </c>
      <c r="R202" s="48" t="n">
        <f aca="false">R$4+Q202/V$28</f>
        <v>79.6990705014767</v>
      </c>
    </row>
    <row r="203" customFormat="false" ht="12.8" hidden="false" customHeight="false" outlineLevel="0" collapsed="false">
      <c r="A203" s="1" t="n">
        <v>199</v>
      </c>
      <c r="B203" s="37" t="n">
        <v>43744</v>
      </c>
      <c r="C203" s="38" t="n">
        <f aca="false">V$26-V$26*SIN(2*PI()/365*A203)</f>
        <v>18.1275541572022</v>
      </c>
      <c r="D203" s="2" t="n">
        <f aca="false">IF((E203+F203)&gt;C203,C203,E203+F203)</f>
        <v>13.0278784468529</v>
      </c>
      <c r="E203" s="38" t="n">
        <f aca="false">(V$23+V$24*SIN(2*PI()/365*A203))*V$25/100*V$7*V$8/100</f>
        <v>10.751068138051</v>
      </c>
      <c r="F203" s="38" t="n">
        <f aca="false">(V$23+V$24*SIN(2*PI()/365*A203))*V$25/100*V$9*(1-V$14/100)*(1-V$16/100)</f>
        <v>2.27681030880191</v>
      </c>
      <c r="G203" s="38" t="n">
        <f aca="false">IF(C203&gt;E203,100,C203/E203*100)</f>
        <v>100</v>
      </c>
      <c r="H203" s="38" t="n">
        <f aca="false">L203/F203*100</f>
        <v>100</v>
      </c>
      <c r="I203" s="38" t="n">
        <f aca="false">(V$23+V$24*SIN(2*PI()/365*A203))*V$25/100*V$7*V$8/100*(1-V$15/100)</f>
        <v>9.56845064286541</v>
      </c>
      <c r="J203" s="38" t="n">
        <f aca="false">(V$23+V$24*SIN(2*PI()/365*A203))*V$25/100*V$9*(1-V$14/100)</f>
        <v>2.5582138301145</v>
      </c>
      <c r="K203" s="39" t="n">
        <f aca="false">IF(E203/C203*100&lt;100,E203/C203*100,100)</f>
        <v>59.3078803947721</v>
      </c>
      <c r="L203" s="2" t="n">
        <f aca="false">IF(((C203-E203)&gt;0)AND(F203&gt;(C203-E203)),(C203-E203),IF(C203&lt;E203,0,F203))</f>
        <v>2.27681030880191</v>
      </c>
      <c r="M203" s="2" t="n">
        <f aca="false">IF(C203&lt;(E203+F203),0,C203-E203-F203)</f>
        <v>5.09967571034927</v>
      </c>
      <c r="N203" s="2" t="n">
        <f aca="false">IF(C203&lt;(E203+F203),0,(C203-E203-F203)/(1-V$16/100))</f>
        <v>5.72997270825761</v>
      </c>
      <c r="O203" s="2" t="n">
        <f aca="false">L203+M203</f>
        <v>7.37648601915118</v>
      </c>
      <c r="P203" s="2" t="n">
        <f aca="false">IF( N203=0,I203*(1-G203/100)+J203*(1-H203/100),-N203)</f>
        <v>-5.72997270825761</v>
      </c>
      <c r="Q203" s="47" t="n">
        <f aca="false">IF(P202&gt;0,Q202+P202*(1-V$20/100),Q202+P202)</f>
        <v>3351.01819778003</v>
      </c>
      <c r="R203" s="48" t="n">
        <f aca="false">R$4+Q203/V$28</f>
        <v>79.6375832798482</v>
      </c>
    </row>
    <row r="204" customFormat="false" ht="12.8" hidden="false" customHeight="false" outlineLevel="0" collapsed="false">
      <c r="A204" s="1" t="n">
        <v>200</v>
      </c>
      <c r="B204" s="37" t="n">
        <v>43745</v>
      </c>
      <c r="C204" s="38" t="n">
        <f aca="false">V$26-V$26*SIN(2*PI()/365*A204)</f>
        <v>18.3609347230028</v>
      </c>
      <c r="D204" s="2" t="n">
        <f aca="false">IF((E204+F204)&gt;C204,C204,E204+F204)</f>
        <v>12.7903696952575</v>
      </c>
      <c r="E204" s="38" t="n">
        <f aca="false">(V$23+V$24*SIN(2*PI()/365*A204))*V$25/100*V$7*V$8/100</f>
        <v>10.5550674782196</v>
      </c>
      <c r="F204" s="38" t="n">
        <f aca="false">(V$23+V$24*SIN(2*PI()/365*A204))*V$25/100*V$9*(1-V$14/100)*(1-V$16/100)</f>
        <v>2.23530221703783</v>
      </c>
      <c r="G204" s="38" t="n">
        <f aca="false">IF(C204&gt;E204,100,C204/E204*100)</f>
        <v>100</v>
      </c>
      <c r="H204" s="38" t="n">
        <f aca="false">L204/F204*100</f>
        <v>100</v>
      </c>
      <c r="I204" s="38" t="n">
        <f aca="false">(V$23+V$24*SIN(2*PI()/365*A204))*V$25/100*V$7*V$8/100*(1-V$15/100)</f>
        <v>9.39401005561547</v>
      </c>
      <c r="J204" s="38" t="n">
        <f aca="false">(V$23+V$24*SIN(2*PI()/365*A204))*V$25/100*V$9*(1-V$14/100)</f>
        <v>2.5115755247616</v>
      </c>
      <c r="K204" s="39" t="n">
        <f aca="false">IF(E204/C204*100&lt;100,E204/C204*100,100)</f>
        <v>57.4865475938768</v>
      </c>
      <c r="L204" s="2" t="n">
        <f aca="false">IF(((C204-E204)&gt;0)AND(F204&gt;(C204-E204)),(C204-E204),IF(C204&lt;E204,0,F204))</f>
        <v>2.23530221703783</v>
      </c>
      <c r="M204" s="2" t="n">
        <f aca="false">IF(C204&lt;(E204+F204),0,C204-E204-F204)</f>
        <v>5.5705650277453</v>
      </c>
      <c r="N204" s="2" t="n">
        <f aca="false">IF(C204&lt;(E204+F204),0,(C204-E204-F204)/(1-V$16/100))</f>
        <v>6.2590618289273</v>
      </c>
      <c r="O204" s="2" t="n">
        <f aca="false">L204+M204</f>
        <v>7.80586724478313</v>
      </c>
      <c r="P204" s="2" t="n">
        <f aca="false">IF( N204=0,I204*(1-G204/100)+J204*(1-H204/100),-N204)</f>
        <v>-6.2590618289273</v>
      </c>
      <c r="Q204" s="47" t="n">
        <f aca="false">IF(P203&gt;0,Q203+P203*(1-V$20/100),Q203+P203)</f>
        <v>3345.28822507177</v>
      </c>
      <c r="R204" s="48" t="n">
        <f aca="false">R$4+Q204/V$28</f>
        <v>79.5698061873318</v>
      </c>
    </row>
    <row r="205" customFormat="false" ht="12.8" hidden="false" customHeight="false" outlineLevel="0" collapsed="false">
      <c r="A205" s="1" t="n">
        <v>201</v>
      </c>
      <c r="B205" s="37" t="n">
        <v>43746</v>
      </c>
      <c r="C205" s="38" t="n">
        <f aca="false">V$26-V$26*SIN(2*PI()/365*A205)</f>
        <v>18.5930703426269</v>
      </c>
      <c r="D205" s="2" t="n">
        <f aca="false">IF((E205+F205)&gt;C205,C205,E205+F205)</f>
        <v>12.5541279112484</v>
      </c>
      <c r="E205" s="38" t="n">
        <f aca="false">(V$23+V$24*SIN(2*PI()/365*A205))*V$25/100*V$7*V$8/100</f>
        <v>10.3601123650523</v>
      </c>
      <c r="F205" s="38" t="n">
        <f aca="false">(V$23+V$24*SIN(2*PI()/365*A205))*V$25/100*V$9*(1-V$14/100)*(1-V$16/100)</f>
        <v>2.19401554619608</v>
      </c>
      <c r="G205" s="38" t="n">
        <f aca="false">IF(C205&gt;E205,100,C205/E205*100)</f>
        <v>100</v>
      </c>
      <c r="H205" s="38" t="n">
        <f aca="false">L205/F205*100</f>
        <v>100</v>
      </c>
      <c r="I205" s="38" t="n">
        <f aca="false">(V$23+V$24*SIN(2*PI()/365*A205))*V$25/100*V$7*V$8/100*(1-V$15/100)</f>
        <v>9.22050000489657</v>
      </c>
      <c r="J205" s="38" t="n">
        <f aca="false">(V$23+V$24*SIN(2*PI()/365*A205))*V$25/100*V$9*(1-V$14/100)</f>
        <v>2.46518600696188</v>
      </c>
      <c r="K205" s="39" t="n">
        <f aca="false">IF(E205/C205*100&lt;100,E205/C205*100,100)</f>
        <v>55.720288118851</v>
      </c>
      <c r="L205" s="2" t="n">
        <f aca="false">IF(((C205-E205)&gt;0)AND(F205&gt;(C205-E205)),(C205-E205),IF(C205&lt;E205,0,F205))</f>
        <v>2.19401554619608</v>
      </c>
      <c r="M205" s="2" t="n">
        <f aca="false">IF(C205&lt;(E205+F205),0,C205-E205-F205)</f>
        <v>6.03894243137847</v>
      </c>
      <c r="N205" s="2" t="n">
        <f aca="false">IF(C205&lt;(E205+F205),0,(C205-E205-F205)/(1-V$16/100))</f>
        <v>6.78532857458255</v>
      </c>
      <c r="O205" s="2" t="n">
        <f aca="false">L205+M205</f>
        <v>8.23295797757455</v>
      </c>
      <c r="P205" s="2" t="n">
        <f aca="false">IF( N205=0,I205*(1-G205/100)+J205*(1-H205/100),-N205)</f>
        <v>-6.78532857458255</v>
      </c>
      <c r="Q205" s="47" t="n">
        <f aca="false">IF(P204&gt;0,Q204+P204*(1-V$20/100),Q204+P204)</f>
        <v>3339.02916324284</v>
      </c>
      <c r="R205" s="48" t="n">
        <f aca="false">R$4+Q205/V$28</f>
        <v>79.4957707539635</v>
      </c>
    </row>
    <row r="206" customFormat="false" ht="12.8" hidden="false" customHeight="false" outlineLevel="0" collapsed="false">
      <c r="A206" s="1" t="n">
        <v>202</v>
      </c>
      <c r="B206" s="37" t="n">
        <v>43747</v>
      </c>
      <c r="C206" s="38" t="n">
        <f aca="false">V$26-V$26*SIN(2*PI()/365*A206)</f>
        <v>18.8238922292806</v>
      </c>
      <c r="D206" s="2" t="n">
        <f aca="false">IF((E206+F206)&gt;C206,C206,E206+F206)</f>
        <v>12.3192230983649</v>
      </c>
      <c r="E206" s="38" t="n">
        <f aca="false">(V$23+V$24*SIN(2*PI()/365*A206))*V$25/100*V$7*V$8/100</f>
        <v>10.1662605679566</v>
      </c>
      <c r="F206" s="38" t="n">
        <f aca="false">(V$23+V$24*SIN(2*PI()/365*A206))*V$25/100*V$9*(1-V$14/100)*(1-V$16/100)</f>
        <v>2.15296253040826</v>
      </c>
      <c r="G206" s="38" t="n">
        <f aca="false">IF(C206&gt;E206,100,C206/E206*100)</f>
        <v>100</v>
      </c>
      <c r="H206" s="38" t="n">
        <f aca="false">L206/F206*100</f>
        <v>100</v>
      </c>
      <c r="I206" s="38" t="n">
        <f aca="false">(V$23+V$24*SIN(2*PI()/365*A206))*V$25/100*V$7*V$8/100*(1-V$15/100)</f>
        <v>9.04797190548139</v>
      </c>
      <c r="J206" s="38" t="n">
        <f aca="false">(V$23+V$24*SIN(2*PI()/365*A206))*V$25/100*V$9*(1-V$14/100)</f>
        <v>2.41905902293063</v>
      </c>
      <c r="K206" s="39" t="n">
        <f aca="false">IF(E206/C206*100&lt;100,E206/C206*100,100)</f>
        <v>54.0072182953905</v>
      </c>
      <c r="L206" s="2" t="n">
        <f aca="false">IF(((C206-E206)&gt;0)AND(F206&gt;(C206-E206)),(C206-E206),IF(C206&lt;E206,0,F206))</f>
        <v>2.15296253040826</v>
      </c>
      <c r="M206" s="2" t="n">
        <f aca="false">IF(C206&lt;(E206+F206),0,C206-E206-F206)</f>
        <v>6.5046691309157</v>
      </c>
      <c r="N206" s="2" t="n">
        <f aca="false">IF(C206&lt;(E206+F206),0,(C206-E206-F206)/(1-V$16/100))</f>
        <v>7.30861700102888</v>
      </c>
      <c r="O206" s="2" t="n">
        <f aca="false">L206+M206</f>
        <v>8.65763166132396</v>
      </c>
      <c r="P206" s="2" t="n">
        <f aca="false">IF( N206=0,I206*(1-G206/100)+J206*(1-H206/100),-N206)</f>
        <v>-7.30861700102888</v>
      </c>
      <c r="Q206" s="47" t="n">
        <f aca="false">IF(P205&gt;0,Q205+P205*(1-V$20/100),Q205+P205)</f>
        <v>3332.24383466826</v>
      </c>
      <c r="R206" s="48" t="n">
        <f aca="false">R$4+Q206/V$28</f>
        <v>79.4155103642603</v>
      </c>
    </row>
    <row r="207" customFormat="false" ht="12.8" hidden="false" customHeight="false" outlineLevel="0" collapsed="false">
      <c r="A207" s="1" t="n">
        <v>203</v>
      </c>
      <c r="B207" s="37" t="n">
        <v>43748</v>
      </c>
      <c r="C207" s="38" t="n">
        <f aca="false">V$26-V$26*SIN(2*PI()/365*A207)</f>
        <v>19.0533319854573</v>
      </c>
      <c r="D207" s="2" t="n">
        <f aca="false">IF((E207+F207)&gt;C207,C207,E207+F207)</f>
        <v>12.0857248639726</v>
      </c>
      <c r="E207" s="38" t="n">
        <f aca="false">(V$23+V$24*SIN(2*PI()/365*A207))*V$25/100*V$7*V$8/100</f>
        <v>9.97356952940363</v>
      </c>
      <c r="F207" s="38" t="n">
        <f aca="false">(V$23+V$24*SIN(2*PI()/365*A207))*V$25/100*V$9*(1-V$14/100)*(1-V$16/100)</f>
        <v>2.11215533456895</v>
      </c>
      <c r="G207" s="38" t="n">
        <f aca="false">IF(C207&gt;E207,100,C207/E207*100)</f>
        <v>100</v>
      </c>
      <c r="H207" s="38" t="n">
        <f aca="false">L207/F207*100</f>
        <v>100</v>
      </c>
      <c r="I207" s="38" t="n">
        <f aca="false">(V$23+V$24*SIN(2*PI()/365*A207))*V$25/100*V$7*V$8/100*(1-V$15/100)</f>
        <v>8.87647688116923</v>
      </c>
      <c r="J207" s="38" t="n">
        <f aca="false">(V$23+V$24*SIN(2*PI()/365*A207))*V$25/100*V$9*(1-V$14/100)</f>
        <v>2.37320824108871</v>
      </c>
      <c r="K207" s="39" t="n">
        <f aca="false">IF(E207/C207*100&lt;100,E207/C207*100,100)</f>
        <v>52.3455400715008</v>
      </c>
      <c r="L207" s="2" t="n">
        <f aca="false">IF(((C207-E207)&gt;0)AND(F207&gt;(C207-E207)),(C207-E207),IF(C207&lt;E207,0,F207))</f>
        <v>2.11215533456895</v>
      </c>
      <c r="M207" s="2" t="n">
        <f aca="false">IF(C207&lt;(E207+F207),0,C207-E207-F207)</f>
        <v>6.96760712148471</v>
      </c>
      <c r="N207" s="2" t="n">
        <f aca="false">IF(C207&lt;(E207+F207),0,(C207-E207-F207)/(1-V$16/100))</f>
        <v>7.82877204661204</v>
      </c>
      <c r="O207" s="2" t="n">
        <f aca="false">L207+M207</f>
        <v>9.07976245605367</v>
      </c>
      <c r="P207" s="2" t="n">
        <f aca="false">IF( N207=0,I207*(1-G207/100)+J207*(1-H207/100),-N207)</f>
        <v>-7.82877204661204</v>
      </c>
      <c r="Q207" s="47" t="n">
        <f aca="false">IF(P206&gt;0,Q206+P206*(1-V$20/100),Q206+P206)</f>
        <v>3324.93521766723</v>
      </c>
      <c r="R207" s="48" t="n">
        <f aca="false">R$4+Q207/V$28</f>
        <v>79.3290602473285</v>
      </c>
    </row>
    <row r="208" customFormat="false" ht="12.8" hidden="false" customHeight="false" outlineLevel="0" collapsed="false">
      <c r="A208" s="1" t="n">
        <v>204</v>
      </c>
      <c r="B208" s="37" t="n">
        <v>43749</v>
      </c>
      <c r="C208" s="38" t="n">
        <f aca="false">V$26-V$26*SIN(2*PI()/365*A208)</f>
        <v>19.2813216232056</v>
      </c>
      <c r="D208" s="2" t="n">
        <f aca="false">IF((E208+F208)&gt;C208,C208,E208+F208)</f>
        <v>11.8537023986377</v>
      </c>
      <c r="E208" s="38" t="n">
        <f aca="false">(V$23+V$24*SIN(2*PI()/365*A208))*V$25/100*V$7*V$8/100</f>
        <v>9.78209634790672</v>
      </c>
      <c r="F208" s="38" t="n">
        <f aca="false">(V$23+V$24*SIN(2*PI()/365*A208))*V$25/100*V$9*(1-V$14/100)*(1-V$16/100)</f>
        <v>2.07160605073098</v>
      </c>
      <c r="G208" s="38" t="n">
        <f aca="false">IF(C208&gt;E208,100,C208/E208*100)</f>
        <v>100</v>
      </c>
      <c r="H208" s="38" t="n">
        <f aca="false">L208/F208*100</f>
        <v>100</v>
      </c>
      <c r="I208" s="38" t="n">
        <f aca="false">(V$23+V$24*SIN(2*PI()/365*A208))*V$25/100*V$7*V$8/100*(1-V$15/100)</f>
        <v>8.70606574963698</v>
      </c>
      <c r="J208" s="38" t="n">
        <f aca="false">(V$23+V$24*SIN(2*PI()/365*A208))*V$25/100*V$9*(1-V$14/100)</f>
        <v>2.32764724801233</v>
      </c>
      <c r="K208" s="39" t="n">
        <f aca="false">IF(E208/C208*100&lt;100,E208/C208*100,100)</f>
        <v>50.7335365234182</v>
      </c>
      <c r="L208" s="2" t="n">
        <f aca="false">IF(((C208-E208)&gt;0)AND(F208&gt;(C208-E208)),(C208-E208),IF(C208&lt;E208,0,F208))</f>
        <v>2.07160605073098</v>
      </c>
      <c r="M208" s="2" t="n">
        <f aca="false">IF(C208&lt;(E208+F208),0,C208-E208-F208)</f>
        <v>7.42761922456787</v>
      </c>
      <c r="N208" s="2" t="n">
        <f aca="false">IF(C208&lt;(E208+F208),0,(C208-E208-F208)/(1-V$16/100))</f>
        <v>8.34563957816615</v>
      </c>
      <c r="O208" s="2" t="n">
        <f aca="false">L208+M208</f>
        <v>9.49922527529885</v>
      </c>
      <c r="P208" s="2" t="n">
        <f aca="false">IF( N208=0,I208*(1-G208/100)+J208*(1-H208/100),-N208)</f>
        <v>-8.34563957816615</v>
      </c>
      <c r="Q208" s="47" t="n">
        <f aca="false">IF(P207&gt;0,Q207+P207*(1-V$20/100),Q207+P207)</f>
        <v>3317.10644562062</v>
      </c>
      <c r="R208" s="48" t="n">
        <f aca="false">R$4+Q208/V$28</f>
        <v>79.2364574664238</v>
      </c>
    </row>
    <row r="209" customFormat="false" ht="12.8" hidden="false" customHeight="false" outlineLevel="0" collapsed="false">
      <c r="A209" s="1" t="n">
        <v>205</v>
      </c>
      <c r="B209" s="37" t="n">
        <v>43750</v>
      </c>
      <c r="C209" s="38" t="n">
        <f aca="false">V$26-V$26*SIN(2*PI()/365*A209)</f>
        <v>19.5077935842753</v>
      </c>
      <c r="D209" s="2" t="n">
        <f aca="false">IF((E209+F209)&gt;C209,C209,E209+F209)</f>
        <v>11.6232244556241</v>
      </c>
      <c r="E209" s="38" t="n">
        <f aca="false">(V$23+V$24*SIN(2*PI()/365*A209))*V$25/100*V$7*V$8/100</f>
        <v>9.59189776110189</v>
      </c>
      <c r="F209" s="38" t="n">
        <f aca="false">(V$23+V$24*SIN(2*PI()/365*A209))*V$25/100*V$9*(1-V$14/100)*(1-V$16/100)</f>
        <v>2.03132669452225</v>
      </c>
      <c r="G209" s="38" t="n">
        <f aca="false">IF(C209&gt;E209,100,C209/E209*100)</f>
        <v>100</v>
      </c>
      <c r="H209" s="38" t="n">
        <f aca="false">L209/F209*100</f>
        <v>100</v>
      </c>
      <c r="I209" s="38" t="n">
        <f aca="false">(V$23+V$24*SIN(2*PI()/365*A209))*V$25/100*V$7*V$8/100*(1-V$15/100)</f>
        <v>8.53678900738068</v>
      </c>
      <c r="J209" s="38" t="n">
        <f aca="false">(V$23+V$24*SIN(2*PI()/365*A209))*V$25/100*V$9*(1-V$14/100)</f>
        <v>2.28238954440703</v>
      </c>
      <c r="K209" s="39" t="n">
        <f aca="false">IF(E209/C209*100&lt;100,E209/C209*100,100)</f>
        <v>49.1695676380011</v>
      </c>
      <c r="L209" s="2" t="n">
        <f aca="false">IF(((C209-E209)&gt;0)AND(F209&gt;(C209-E209)),(C209-E209),IF(C209&lt;E209,0,F209))</f>
        <v>2.03132669452225</v>
      </c>
      <c r="M209" s="2" t="n">
        <f aca="false">IF(C209&lt;(E209+F209),0,C209-E209-F209)</f>
        <v>7.88456912865118</v>
      </c>
      <c r="N209" s="2" t="n">
        <f aca="false">IF(C209&lt;(E209+F209),0,(C209-E209-F209)/(1-V$16/100))</f>
        <v>8.85906643668671</v>
      </c>
      <c r="O209" s="2" t="n">
        <f aca="false">L209+M209</f>
        <v>9.91589582317343</v>
      </c>
      <c r="P209" s="2" t="n">
        <f aca="false">IF( N209=0,I209*(1-G209/100)+J209*(1-H209/100),-N209)</f>
        <v>-8.85906643668671</v>
      </c>
      <c r="Q209" s="47" t="n">
        <f aca="false">IF(P208&gt;0,Q208+P208*(1-V$20/100),Q208+P208)</f>
        <v>3308.76080604245</v>
      </c>
      <c r="R209" s="48" t="n">
        <f aca="false">R$4+Q209/V$28</f>
        <v>79.1377409079694</v>
      </c>
    </row>
    <row r="210" customFormat="false" ht="12.8" hidden="false" customHeight="false" outlineLevel="0" collapsed="false">
      <c r="A210" s="1" t="n">
        <v>206</v>
      </c>
      <c r="B210" s="37" t="n">
        <v>43751</v>
      </c>
      <c r="C210" s="38" t="n">
        <f aca="false">V$26-V$26*SIN(2*PI()/365*A210)</f>
        <v>19.7326807601368</v>
      </c>
      <c r="D210" s="2" t="n">
        <f aca="false">IF((E210+F210)&gt;C210,C210,E210+F210)</f>
        <v>11.3943593305206</v>
      </c>
      <c r="E210" s="38" t="n">
        <f aca="false">(V$23+V$24*SIN(2*PI()/365*A210))*V$25/100*V$7*V$8/100</f>
        <v>9.40303012893523</v>
      </c>
      <c r="F210" s="38" t="n">
        <f aca="false">(V$23+V$24*SIN(2*PI()/365*A210))*V$25/100*V$9*(1-V$14/100)*(1-V$16/100)</f>
        <v>1.99132920158533</v>
      </c>
      <c r="G210" s="38" t="n">
        <f aca="false">IF(C210&gt;E210,100,C210/E210*100)</f>
        <v>100</v>
      </c>
      <c r="H210" s="38" t="n">
        <f aca="false">L210/F210*100</f>
        <v>100</v>
      </c>
      <c r="I210" s="38" t="n">
        <f aca="false">(V$23+V$24*SIN(2*PI()/365*A210))*V$25/100*V$7*V$8/100*(1-V$15/100)</f>
        <v>8.36869681475235</v>
      </c>
      <c r="J210" s="38" t="n">
        <f aca="false">(V$23+V$24*SIN(2*PI()/365*A210))*V$25/100*V$9*(1-V$14/100)</f>
        <v>2.23744854110711</v>
      </c>
      <c r="K210" s="39" t="n">
        <f aca="false">IF(E210/C210*100&lt;100,E210/C210*100,100)</f>
        <v>47.6520663524384</v>
      </c>
      <c r="L210" s="2" t="n">
        <f aca="false">IF(((C210-E210)&gt;0)AND(F210&gt;(C210-E210)),(C210-E210),IF(C210&lt;E210,0,F210))</f>
        <v>1.99132920158533</v>
      </c>
      <c r="M210" s="2" t="n">
        <f aca="false">IF(C210&lt;(E210+F210),0,C210-E210-F210)</f>
        <v>8.33832142961623</v>
      </c>
      <c r="N210" s="2" t="n">
        <f aca="false">IF(C210&lt;(E210+F210),0,(C210-E210-F210)/(1-V$16/100))</f>
        <v>9.36890048271486</v>
      </c>
      <c r="O210" s="2" t="n">
        <f aca="false">L210+M210</f>
        <v>10.3296506312016</v>
      </c>
      <c r="P210" s="2" t="n">
        <f aca="false">IF( N210=0,I210*(1-G210/100)+J210*(1-H210/100),-N210)</f>
        <v>-9.36890048271486</v>
      </c>
      <c r="Q210" s="47" t="n">
        <f aca="false">IF(P209&gt;0,Q209+P209*(1-V$20/100),Q209+P209)</f>
        <v>3299.90173960577</v>
      </c>
      <c r="R210" s="48" t="n">
        <f aca="false">R$4+Q210/V$28</f>
        <v>79.0329512700323</v>
      </c>
    </row>
    <row r="211" customFormat="false" ht="12.8" hidden="false" customHeight="false" outlineLevel="0" collapsed="false">
      <c r="A211" s="1" t="n">
        <v>207</v>
      </c>
      <c r="B211" s="37" t="n">
        <v>43752</v>
      </c>
      <c r="C211" s="38" t="n">
        <f aca="false">V$26-V$26*SIN(2*PI()/365*A211)</f>
        <v>19.9559165118663</v>
      </c>
      <c r="D211" s="2" t="n">
        <f aca="false">IF((E211+F211)&gt;C211,C211,E211+F211)</f>
        <v>11.1671748410028</v>
      </c>
      <c r="E211" s="38" t="n">
        <f aca="false">(V$23+V$24*SIN(2*PI()/365*A211))*V$25/100*V$7*V$8/100</f>
        <v>9.21554941696224</v>
      </c>
      <c r="F211" s="38" t="n">
        <f aca="false">(V$23+V$24*SIN(2*PI()/365*A211))*V$25/100*V$9*(1-V$14/100)*(1-V$16/100)</f>
        <v>1.95162542404058</v>
      </c>
      <c r="G211" s="38" t="n">
        <f aca="false">IF(C211&gt;E211,100,C211/E211*100)</f>
        <v>100</v>
      </c>
      <c r="H211" s="38" t="n">
        <f aca="false">L211/F211*100</f>
        <v>100</v>
      </c>
      <c r="I211" s="38" t="n">
        <f aca="false">(V$23+V$24*SIN(2*PI()/365*A211))*V$25/100*V$7*V$8/100*(1-V$15/100)</f>
        <v>8.20183898109639</v>
      </c>
      <c r="J211" s="38" t="n">
        <f aca="false">(V$23+V$24*SIN(2*PI()/365*A211))*V$25/100*V$9*(1-V$14/100)</f>
        <v>2.19283755510178</v>
      </c>
      <c r="K211" s="39" t="n">
        <f aca="false">IF(E211/C211*100&lt;100,E211/C211*100,100)</f>
        <v>46.179534833604</v>
      </c>
      <c r="L211" s="2" t="n">
        <f aca="false">IF(((C211-E211)&gt;0)AND(F211&gt;(C211-E211)),(C211-E211),IF(C211&lt;E211,0,F211))</f>
        <v>1.95162542404058</v>
      </c>
      <c r="M211" s="2" t="n">
        <f aca="false">IF(C211&lt;(E211+F211),0,C211-E211-F211)</f>
        <v>8.78874167086351</v>
      </c>
      <c r="N211" s="2" t="n">
        <f aca="false">IF(C211&lt;(E211+F211),0,(C211-E211-F211)/(1-V$16/100))</f>
        <v>9.87499064141967</v>
      </c>
      <c r="O211" s="2" t="n">
        <f aca="false">L211+M211</f>
        <v>10.7403670949041</v>
      </c>
      <c r="P211" s="2" t="n">
        <f aca="false">IF( N211=0,I211*(1-G211/100)+J211*(1-H211/100),-N211)</f>
        <v>-9.87499064141967</v>
      </c>
      <c r="Q211" s="47" t="n">
        <f aca="false">IF(P210&gt;0,Q210+P210*(1-V$20/100),Q210+P210)</f>
        <v>3290.53283912305</v>
      </c>
      <c r="R211" s="48" t="n">
        <f aca="false">R$4+Q211/V$28</f>
        <v>78.9221310502644</v>
      </c>
    </row>
    <row r="212" customFormat="false" ht="12.8" hidden="false" customHeight="false" outlineLevel="0" collapsed="false">
      <c r="A212" s="1" t="n">
        <v>208</v>
      </c>
      <c r="B212" s="37" t="n">
        <v>43753</v>
      </c>
      <c r="C212" s="38" t="n">
        <f aca="false">V$26-V$26*SIN(2*PI()/365*A212)</f>
        <v>20.1774346898929</v>
      </c>
      <c r="D212" s="2" t="n">
        <f aca="false">IF((E212+F212)&gt;C212,C212,E212+F212)</f>
        <v>10.9417383067382</v>
      </c>
      <c r="E212" s="38" t="n">
        <f aca="false">(V$23+V$24*SIN(2*PI()/365*A212))*V$25/100*V$7*V$8/100</f>
        <v>9.02951117976405</v>
      </c>
      <c r="F212" s="38" t="n">
        <f aca="false">(V$23+V$24*SIN(2*PI()/365*A212))*V$25/100*V$9*(1-V$14/100)*(1-V$16/100)</f>
        <v>1.91222712697417</v>
      </c>
      <c r="G212" s="38" t="n">
        <f aca="false">IF(C212&gt;E212,100,C212/E212*100)</f>
        <v>100</v>
      </c>
      <c r="H212" s="38" t="n">
        <f aca="false">L212/F212*100</f>
        <v>100</v>
      </c>
      <c r="I212" s="38" t="n">
        <f aca="false">(V$23+V$24*SIN(2*PI()/365*A212))*V$25/100*V$7*V$8/100*(1-V$15/100)</f>
        <v>8.03626494999001</v>
      </c>
      <c r="J212" s="38" t="n">
        <f aca="false">(V$23+V$24*SIN(2*PI()/365*A212))*V$25/100*V$9*(1-V$14/100)</f>
        <v>2.14856980558896</v>
      </c>
      <c r="K212" s="39" t="n">
        <f aca="false">IF(E212/C212*100&lt;100,E212/C212*100,100)</f>
        <v>44.7505409807474</v>
      </c>
      <c r="L212" s="2" t="n">
        <f aca="false">IF(((C212-E212)&gt;0)AND(F212&gt;(C212-E212)),(C212-E212),IF(C212&lt;E212,0,F212))</f>
        <v>1.91222712697417</v>
      </c>
      <c r="M212" s="2" t="n">
        <f aca="false">IF(C212&lt;(E212+F212),0,C212-E212-F212)</f>
        <v>9.23569638315465</v>
      </c>
      <c r="N212" s="2" t="n">
        <f aca="false">IF(C212&lt;(E212+F212),0,(C212-E212-F212)/(1-V$16/100))</f>
        <v>10.3771869473648</v>
      </c>
      <c r="O212" s="2" t="n">
        <f aca="false">L212+M212</f>
        <v>11.1479235101288</v>
      </c>
      <c r="P212" s="2" t="n">
        <f aca="false">IF( N212=0,I212*(1-G212/100)+J212*(1-H212/100),-N212)</f>
        <v>-10.3771869473648</v>
      </c>
      <c r="Q212" s="47" t="n">
        <f aca="false">IF(P211&gt;0,Q211+P211*(1-V$20/100),Q211+P211)</f>
        <v>3280.65784848163</v>
      </c>
      <c r="R212" s="48" t="n">
        <f aca="false">R$4+Q212/V$28</f>
        <v>78.805324533309</v>
      </c>
    </row>
    <row r="213" customFormat="false" ht="12.8" hidden="false" customHeight="false" outlineLevel="0" collapsed="false">
      <c r="A213" s="1" t="n">
        <v>209</v>
      </c>
      <c r="B213" s="37" t="n">
        <v>43754</v>
      </c>
      <c r="C213" s="38" t="n">
        <f aca="false">V$26-V$26*SIN(2*PI()/365*A213)</f>
        <v>20.3971696535995</v>
      </c>
      <c r="D213" s="2" t="n">
        <f aca="false">IF((E213+F213)&gt;C213,C213,E213+F213)</f>
        <v>10.7181165294372</v>
      </c>
      <c r="E213" s="38" t="n">
        <f aca="false">(V$23+V$24*SIN(2*PI()/365*A213))*V$25/100*V$7*V$8/100</f>
        <v>8.84497054448539</v>
      </c>
      <c r="F213" s="38" t="n">
        <f aca="false">(V$23+V$24*SIN(2*PI()/365*A213))*V$25/100*V$9*(1-V$14/100)*(1-V$16/100)</f>
        <v>1.8731459849518</v>
      </c>
      <c r="G213" s="38" t="n">
        <f aca="false">IF(C213&gt;E213,100,C213/E213*100)</f>
        <v>100</v>
      </c>
      <c r="H213" s="38" t="n">
        <f aca="false">L213/F213*100</f>
        <v>100</v>
      </c>
      <c r="I213" s="38" t="n">
        <f aca="false">(V$23+V$24*SIN(2*PI()/365*A213))*V$25/100*V$7*V$8/100*(1-V$15/100)</f>
        <v>7.87202378459199</v>
      </c>
      <c r="J213" s="38" t="n">
        <f aca="false">(V$23+V$24*SIN(2*PI()/365*A213))*V$25/100*V$9*(1-V$14/100)</f>
        <v>2.10465841005821</v>
      </c>
      <c r="K213" s="39" t="n">
        <f aca="false">IF(E213/C213*100&lt;100,E213/C213*100,100)</f>
        <v>43.3637151364503</v>
      </c>
      <c r="L213" s="2" t="n">
        <f aca="false">IF(((C213-E213)&gt;0)AND(F213&gt;(C213-E213)),(C213-E213),IF(C213&lt;E213,0,F213))</f>
        <v>1.8731459849518</v>
      </c>
      <c r="M213" s="2" t="n">
        <f aca="false">IF(C213&lt;(E213+F213),0,C213-E213-F213)</f>
        <v>9.67905312416233</v>
      </c>
      <c r="N213" s="2" t="n">
        <f aca="false">IF(C213&lt;(E213+F213),0,(C213-E213-F213)/(1-V$16/100))</f>
        <v>10.8753405889464</v>
      </c>
      <c r="O213" s="2" t="n">
        <f aca="false">L213+M213</f>
        <v>11.5521991091141</v>
      </c>
      <c r="P213" s="2" t="n">
        <f aca="false">IF( N213=0,I213*(1-G213/100)+J213*(1-H213/100),-N213)</f>
        <v>-10.8753405889464</v>
      </c>
      <c r="Q213" s="47" t="n">
        <f aca="false">IF(P212&gt;0,Q212+P212*(1-V$20/100),Q212+P212)</f>
        <v>3270.28066153427</v>
      </c>
      <c r="R213" s="48" t="n">
        <f aca="false">R$4+Q213/V$28</f>
        <v>78.6825777776783</v>
      </c>
    </row>
    <row r="214" customFormat="false" ht="12.8" hidden="false" customHeight="false" outlineLevel="0" collapsed="false">
      <c r="A214" s="1" t="n">
        <v>210</v>
      </c>
      <c r="B214" s="37" t="n">
        <v>43755</v>
      </c>
      <c r="C214" s="38" t="n">
        <f aca="false">V$26-V$26*SIN(2*PI()/365*A214)</f>
        <v>20.6150562907743</v>
      </c>
      <c r="D214" s="2" t="n">
        <f aca="false">IF((E214+F214)&gt;C214,C214,E214+F214)</f>
        <v>10.4963757730585</v>
      </c>
      <c r="E214" s="38" t="n">
        <f aca="false">(V$23+V$24*SIN(2*PI()/365*A214))*V$25/100*V$7*V$8/100</f>
        <v>8.66198219449918</v>
      </c>
      <c r="F214" s="38" t="n">
        <f aca="false">(V$23+V$24*SIN(2*PI()/365*A214))*V$25/100*V$9*(1-V$14/100)*(1-V$16/100)</f>
        <v>1.8343935785593</v>
      </c>
      <c r="G214" s="38" t="n">
        <f aca="false">IF(C214&gt;E214,100,C214/E214*100)</f>
        <v>100</v>
      </c>
      <c r="H214" s="38" t="n">
        <f aca="false">L214/F214*100</f>
        <v>100</v>
      </c>
      <c r="I214" s="38" t="n">
        <f aca="false">(V$23+V$24*SIN(2*PI()/365*A214))*V$25/100*V$7*V$8/100*(1-V$15/100)</f>
        <v>7.70916415310427</v>
      </c>
      <c r="J214" s="38" t="n">
        <f aca="false">(V$23+V$24*SIN(2*PI()/365*A214))*V$25/100*V$9*(1-V$14/100)</f>
        <v>2.06111638040371</v>
      </c>
      <c r="K214" s="39" t="n">
        <f aca="false">IF(E214/C214*100&lt;100,E214/C214*100,100)</f>
        <v>42.0177469919189</v>
      </c>
      <c r="L214" s="2" t="n">
        <f aca="false">IF(((C214-E214)&gt;0)AND(F214&gt;(C214-E214)),(C214-E214),IF(C214&lt;E214,0,F214))</f>
        <v>1.8343935785593</v>
      </c>
      <c r="M214" s="2" t="n">
        <f aca="false">IF(C214&lt;(E214+F214),0,C214-E214-F214)</f>
        <v>10.1186805177158</v>
      </c>
      <c r="N214" s="2" t="n">
        <f aca="false">IF(C214&lt;(E214+F214),0,(C214-E214-F214)/(1-V$16/100))</f>
        <v>11.3693039524896</v>
      </c>
      <c r="O214" s="2" t="n">
        <f aca="false">L214+M214</f>
        <v>11.9530740962751</v>
      </c>
      <c r="P214" s="2" t="n">
        <f aca="false">IF( N214=0,I214*(1-G214/100)+J214*(1-H214/100),-N214)</f>
        <v>-11.3693039524896</v>
      </c>
      <c r="Q214" s="47" t="n">
        <f aca="false">IF(P213&gt;0,Q213+P213*(1-V$20/100),Q213+P213)</f>
        <v>3259.40532094532</v>
      </c>
      <c r="R214" s="48" t="n">
        <f aca="false">R$4+Q214/V$28</f>
        <v>78.5539386021058</v>
      </c>
    </row>
    <row r="215" customFormat="false" ht="12.8" hidden="false" customHeight="false" outlineLevel="0" collapsed="false">
      <c r="A215" s="1" t="n">
        <v>211</v>
      </c>
      <c r="B215" s="37" t="n">
        <v>43756</v>
      </c>
      <c r="C215" s="38" t="n">
        <f aca="false">V$26-V$26*SIN(2*PI()/365*A215)</f>
        <v>20.8310300369041</v>
      </c>
      <c r="D215" s="2" t="n">
        <f aca="false">IF((E215+F215)&gt;C215,C215,E215+F215)</f>
        <v>10.2765817441738</v>
      </c>
      <c r="E215" s="38" t="n">
        <f aca="false">(V$23+V$24*SIN(2*PI()/365*A215))*V$25/100*V$7*V$8/100</f>
        <v>8.48060035320274</v>
      </c>
      <c r="F215" s="38" t="n">
        <f aca="false">(V$23+V$24*SIN(2*PI()/365*A215))*V$25/100*V$9*(1-V$14/100)*(1-V$16/100)</f>
        <v>1.79598139097102</v>
      </c>
      <c r="G215" s="38" t="n">
        <f aca="false">IF(C215&gt;E215,100,C215/E215*100)</f>
        <v>100</v>
      </c>
      <c r="H215" s="38" t="n">
        <f aca="false">L215/F215*100</f>
        <v>100</v>
      </c>
      <c r="I215" s="38" t="n">
        <f aca="false">(V$23+V$24*SIN(2*PI()/365*A215))*V$25/100*V$7*V$8/100*(1-V$15/100)</f>
        <v>7.54773431435044</v>
      </c>
      <c r="J215" s="38" t="n">
        <f aca="false">(V$23+V$24*SIN(2*PI()/365*A215))*V$25/100*V$9*(1-V$14/100)</f>
        <v>2.01795661906856</v>
      </c>
      <c r="K215" s="39" t="n">
        <f aca="false">IF(E215/C215*100&lt;100,E215/C215*100,100)</f>
        <v>40.7113826737256</v>
      </c>
      <c r="L215" s="2" t="n">
        <f aca="false">IF(((C215-E215)&gt;0)AND(F215&gt;(C215-E215)),(C215-E215),IF(C215&lt;E215,0,F215))</f>
        <v>1.79598139097102</v>
      </c>
      <c r="M215" s="2" t="n">
        <f aca="false">IF(C215&lt;(E215+F215),0,C215-E215-F215)</f>
        <v>10.5544482927303</v>
      </c>
      <c r="N215" s="2" t="n">
        <f aca="false">IF(C215&lt;(E215+F215),0,(C215-E215-F215)/(1-V$16/100))</f>
        <v>11.8589306659892</v>
      </c>
      <c r="O215" s="2" t="n">
        <f aca="false">L215+M215</f>
        <v>12.3504296837014</v>
      </c>
      <c r="P215" s="2" t="n">
        <f aca="false">IF( N215=0,I215*(1-G215/100)+J215*(1-H215/100),-N215)</f>
        <v>-11.8589306659892</v>
      </c>
      <c r="Q215" s="47" t="n">
        <f aca="false">IF(P214&gt;0,Q214+P214*(1-V$20/100),Q214+P214)</f>
        <v>3248.03601699283</v>
      </c>
      <c r="R215" s="48" t="n">
        <f aca="false">R$4+Q215/V$28</f>
        <v>78.4194565713757</v>
      </c>
    </row>
    <row r="216" customFormat="false" ht="12.8" hidden="false" customHeight="false" outlineLevel="0" collapsed="false">
      <c r="A216" s="1" t="n">
        <v>212</v>
      </c>
      <c r="B216" s="37" t="n">
        <v>43757</v>
      </c>
      <c r="C216" s="38" t="n">
        <f aca="false">V$26-V$26*SIN(2*PI()/365*A216)</f>
        <v>21.045026894307</v>
      </c>
      <c r="D216" s="2" t="n">
        <f aca="false">IF((E216+F216)&gt;C216,C216,E216+F216)</f>
        <v>10.0587995724974</v>
      </c>
      <c r="E216" s="38" t="n">
        <f aca="false">(V$23+V$24*SIN(2*PI()/365*A216))*V$25/100*V$7*V$8/100</f>
        <v>8.30087876795021</v>
      </c>
      <c r="F216" s="38" t="n">
        <f aca="false">(V$23+V$24*SIN(2*PI()/365*A216))*V$25/100*V$9*(1-V$14/100)*(1-V$16/100)</f>
        <v>1.75792080454715</v>
      </c>
      <c r="G216" s="38" t="n">
        <f aca="false">IF(C216&gt;E216,100,C216/E216*100)</f>
        <v>100</v>
      </c>
      <c r="H216" s="38" t="n">
        <f aca="false">L216/F216*100</f>
        <v>100</v>
      </c>
      <c r="I216" s="38" t="n">
        <f aca="false">(V$23+V$24*SIN(2*PI()/365*A216))*V$25/100*V$7*V$8/100*(1-V$15/100)</f>
        <v>7.38778210347568</v>
      </c>
      <c r="J216" s="38" t="n">
        <f aca="false">(V$23+V$24*SIN(2*PI()/365*A216))*V$25/100*V$9*(1-V$14/100)</f>
        <v>1.97519191522152</v>
      </c>
      <c r="K216" s="39" t="n">
        <f aca="false">IF(E216/C216*100&lt;100,E216/C216*100,100)</f>
        <v>39.4434220000722</v>
      </c>
      <c r="L216" s="2" t="n">
        <f aca="false">IF(((C216-E216)&gt;0)AND(F216&gt;(C216-E216)),(C216-E216),IF(C216&lt;E216,0,F216))</f>
        <v>1.75792080454715</v>
      </c>
      <c r="M216" s="2" t="n">
        <f aca="false">IF(C216&lt;(E216+F216),0,C216-E216-F216)</f>
        <v>10.9862273218096</v>
      </c>
      <c r="N216" s="2" t="n">
        <f aca="false">IF(C216&lt;(E216+F216),0,(C216-E216-F216)/(1-V$16/100))</f>
        <v>12.3440756424827</v>
      </c>
      <c r="O216" s="2" t="n">
        <f aca="false">L216+M216</f>
        <v>12.7441481263568</v>
      </c>
      <c r="P216" s="2" t="n">
        <f aca="false">IF( N216=0,I216*(1-G216/100)+J216*(1-H216/100),-N216)</f>
        <v>-12.3440756424827</v>
      </c>
      <c r="Q216" s="47" t="n">
        <f aca="false">IF(P215&gt;0,Q215+P215*(1-V$20/100),Q215+P215)</f>
        <v>3236.17708632684</v>
      </c>
      <c r="R216" s="48" t="n">
        <f aca="false">R$4+Q216/V$28</f>
        <v>78.2791829816368</v>
      </c>
    </row>
    <row r="217" customFormat="false" ht="12.8" hidden="false" customHeight="false" outlineLevel="0" collapsed="false">
      <c r="A217" s="1" t="n">
        <v>213</v>
      </c>
      <c r="B217" s="37" t="n">
        <v>43758</v>
      </c>
      <c r="C217" s="38" t="n">
        <f aca="false">V$26-V$26*SIN(2*PI()/365*A217)</f>
        <v>21.2569834510956</v>
      </c>
      <c r="D217" s="2" t="n">
        <f aca="false">IF((E217+F217)&gt;C217,C217,E217+F217)</f>
        <v>9.84309379158685</v>
      </c>
      <c r="E217" s="38" t="n">
        <f aca="false">(V$23+V$24*SIN(2*PI()/365*A217))*V$25/100*V$7*V$8/100</f>
        <v>8.12287069412598</v>
      </c>
      <c r="F217" s="38" t="n">
        <f aca="false">(V$23+V$24*SIN(2*PI()/365*A217))*V$25/100*V$9*(1-V$14/100)*(1-V$16/100)</f>
        <v>1.72022309746086</v>
      </c>
      <c r="G217" s="38" t="n">
        <f aca="false">IF(C217&gt;E217,100,C217/E217*100)</f>
        <v>100</v>
      </c>
      <c r="H217" s="38" t="n">
        <f aca="false">L217/F217*100</f>
        <v>100</v>
      </c>
      <c r="I217" s="38" t="n">
        <f aca="false">(V$23+V$24*SIN(2*PI()/365*A217))*V$25/100*V$7*V$8/100*(1-V$15/100)</f>
        <v>7.22935491777212</v>
      </c>
      <c r="J217" s="38" t="n">
        <f aca="false">(V$23+V$24*SIN(2*PI()/365*A217))*V$25/100*V$9*(1-V$14/100)</f>
        <v>1.93283494096726</v>
      </c>
      <c r="K217" s="39" t="n">
        <f aca="false">IF(E217/C217*100&lt;100,E217/C217*100,100)</f>
        <v>38.2127158955252</v>
      </c>
      <c r="L217" s="2" t="n">
        <f aca="false">IF(((C217-E217)&gt;0)AND(F217&gt;(C217-E217)),(C217-E217),IF(C217&lt;E217,0,F217))</f>
        <v>1.72022309746086</v>
      </c>
      <c r="M217" s="2" t="n">
        <f aca="false">IF(C217&lt;(E217+F217),0,C217-E217-F217)</f>
        <v>11.4138896595088</v>
      </c>
      <c r="N217" s="2" t="n">
        <f aca="false">IF(C217&lt;(E217+F217),0,(C217-E217-F217)/(1-V$16/100))</f>
        <v>12.8245951230436</v>
      </c>
      <c r="O217" s="2" t="n">
        <f aca="false">L217+M217</f>
        <v>13.1341127569697</v>
      </c>
      <c r="P217" s="2" t="n">
        <f aca="false">IF( N217=0,I217*(1-G217/100)+J217*(1-H217/100),-N217)</f>
        <v>-12.8245951230436</v>
      </c>
      <c r="Q217" s="47" t="n">
        <f aca="false">IF(P216&gt;0,Q216+P216*(1-V$20/100),Q216+P216)</f>
        <v>3223.83301068436</v>
      </c>
      <c r="R217" s="48" t="n">
        <f aca="false">R$4+Q217/V$28</f>
        <v>78.1331708452015</v>
      </c>
    </row>
    <row r="218" customFormat="false" ht="12.8" hidden="false" customHeight="false" outlineLevel="0" collapsed="false">
      <c r="A218" s="1" t="n">
        <v>214</v>
      </c>
      <c r="B218" s="37" t="n">
        <v>43759</v>
      </c>
      <c r="C218" s="38" t="n">
        <f aca="false">V$26-V$26*SIN(2*PI()/365*A218)</f>
        <v>21.4668368999679</v>
      </c>
      <c r="D218" s="2" t="n">
        <f aca="false">IF((E218+F218)&gt;C218,C218,E218+F218)</f>
        <v>9.62952831972042</v>
      </c>
      <c r="E218" s="38" t="n">
        <f aca="false">(V$23+V$24*SIN(2*PI()/365*A218))*V$25/100*V$7*V$8/100</f>
        <v>7.94662887936407</v>
      </c>
      <c r="F218" s="38" t="n">
        <f aca="false">(V$23+V$24*SIN(2*PI()/365*A218))*V$25/100*V$9*(1-V$14/100)*(1-V$16/100)</f>
        <v>1.68289944035635</v>
      </c>
      <c r="G218" s="38" t="n">
        <f aca="false">IF(C218&gt;E218,100,C218/E218*100)</f>
        <v>100</v>
      </c>
      <c r="H218" s="38" t="n">
        <f aca="false">L218/F218*100</f>
        <v>100</v>
      </c>
      <c r="I218" s="38" t="n">
        <f aca="false">(V$23+V$24*SIN(2*PI()/365*A218))*V$25/100*V$7*V$8/100*(1-V$15/100)</f>
        <v>7.07249970263402</v>
      </c>
      <c r="J218" s="38" t="n">
        <f aca="false">(V$23+V$24*SIN(2*PI()/365*A218))*V$25/100*V$9*(1-V$14/100)</f>
        <v>1.8908982475914</v>
      </c>
      <c r="K218" s="39" t="n">
        <f aca="false">IF(E218/C218*100&lt;100,E218/C218*100,100)</f>
        <v>37.0181639539822</v>
      </c>
      <c r="L218" s="2" t="n">
        <f aca="false">IF(((C218-E218)&gt;0)AND(F218&gt;(C218-E218)),(C218-E218),IF(C218&lt;E218,0,F218))</f>
        <v>1.68289944035635</v>
      </c>
      <c r="M218" s="2" t="n">
        <f aca="false">IF(C218&lt;(E218+F218),0,C218-E218-F218)</f>
        <v>11.8373085802475</v>
      </c>
      <c r="N218" s="2" t="n">
        <f aca="false">IF(C218&lt;(E218+F218),0,(C218-E218-F218)/(1-V$16/100))</f>
        <v>13.3003467193792</v>
      </c>
      <c r="O218" s="2" t="n">
        <f aca="false">L218+M218</f>
        <v>13.5202080206038</v>
      </c>
      <c r="P218" s="2" t="n">
        <f aca="false">IF( N218=0,I218*(1-G218/100)+J218*(1-H218/100),-N218)</f>
        <v>-13.3003467193792</v>
      </c>
      <c r="Q218" s="47" t="n">
        <f aca="false">IF(P217&gt;0,Q217+P217*(1-V$20/100),Q217+P217)</f>
        <v>3211.00841556132</v>
      </c>
      <c r="R218" s="48" t="n">
        <f aca="false">R$4+Q218/V$28</f>
        <v>77.9814748748373</v>
      </c>
    </row>
    <row r="219" customFormat="false" ht="12.8" hidden="false" customHeight="false" outlineLevel="0" collapsed="false">
      <c r="A219" s="1" t="n">
        <v>215</v>
      </c>
      <c r="B219" s="37" t="n">
        <v>43760</v>
      </c>
      <c r="C219" s="38" t="n">
        <f aca="false">V$26-V$26*SIN(2*PI()/365*A219)</f>
        <v>21.6745250568178</v>
      </c>
      <c r="D219" s="2" t="n">
        <f aca="false">IF((E219+F219)&gt;C219,C219,E219+F219)</f>
        <v>9.41816644095651</v>
      </c>
      <c r="E219" s="38" t="n">
        <f aca="false">(V$23+V$24*SIN(2*PI()/365*A219))*V$25/100*V$7*V$8/100</f>
        <v>7.77220554791779</v>
      </c>
      <c r="F219" s="38" t="n">
        <f aca="false">(V$23+V$24*SIN(2*PI()/365*A219))*V$25/100*V$9*(1-V$14/100)*(1-V$16/100)</f>
        <v>1.64596089303872</v>
      </c>
      <c r="G219" s="38" t="n">
        <f aca="false">IF(C219&gt;E219,100,C219/E219*100)</f>
        <v>100</v>
      </c>
      <c r="H219" s="38" t="n">
        <f aca="false">L219/F219*100</f>
        <v>100</v>
      </c>
      <c r="I219" s="38" t="n">
        <f aca="false">(V$23+V$24*SIN(2*PI()/365*A219))*V$25/100*V$7*V$8/100*(1-V$15/100)</f>
        <v>6.91726293764684</v>
      </c>
      <c r="J219" s="38" t="n">
        <f aca="false">(V$23+V$24*SIN(2*PI()/365*A219))*V$25/100*V$9*(1-V$14/100)</f>
        <v>1.84939426184126</v>
      </c>
      <c r="K219" s="39" t="n">
        <f aca="false">IF(E219/C219*100&lt;100,E219/C219*100,100)</f>
        <v>35.8587121403752</v>
      </c>
      <c r="L219" s="2" t="n">
        <f aca="false">IF(((C219-E219)&gt;0)AND(F219&gt;(C219-E219)),(C219-E219),IF(C219&lt;E219,0,F219))</f>
        <v>1.64596089303872</v>
      </c>
      <c r="M219" s="2" t="n">
        <f aca="false">IF(C219&lt;(E219+F219),0,C219-E219-F219)</f>
        <v>12.2563586158613</v>
      </c>
      <c r="N219" s="2" t="n">
        <f aca="false">IF(C219&lt;(E219+F219),0,(C219-E219-F219)/(1-V$16/100))</f>
        <v>13.7711894560239</v>
      </c>
      <c r="O219" s="2" t="n">
        <f aca="false">L219+M219</f>
        <v>13.9023195089</v>
      </c>
      <c r="P219" s="2" t="n">
        <f aca="false">IF( N219=0,I219*(1-G219/100)+J219*(1-H219/100),-N219)</f>
        <v>-13.7711894560239</v>
      </c>
      <c r="Q219" s="47" t="n">
        <f aca="false">IF(P218&gt;0,Q218+P218*(1-V$20/100),Q218+P218)</f>
        <v>3197.70806884194</v>
      </c>
      <c r="R219" s="48" t="n">
        <f aca="false">R$4+Q219/V$28</f>
        <v>77.8241514675549</v>
      </c>
    </row>
    <row r="220" customFormat="false" ht="12.8" hidden="false" customHeight="false" outlineLevel="0" collapsed="false">
      <c r="A220" s="1" t="n">
        <v>216</v>
      </c>
      <c r="B220" s="37" t="n">
        <v>43761</v>
      </c>
      <c r="C220" s="38" t="n">
        <f aca="false">V$26-V$26*SIN(2*PI()/365*A220)</f>
        <v>21.8799863791622</v>
      </c>
      <c r="D220" s="2" t="n">
        <f aca="false">IF((E220+F220)&gt;C220,C220,E220+F220)</f>
        <v>9.20907078638138</v>
      </c>
      <c r="E220" s="38" t="n">
        <f aca="false">(V$23+V$24*SIN(2*PI()/365*A220))*V$25/100*V$7*V$8/100</f>
        <v>7.59965238518463</v>
      </c>
      <c r="F220" s="38" t="n">
        <f aca="false">(V$23+V$24*SIN(2*PI()/365*A220))*V$25/100*V$9*(1-V$14/100)*(1-V$16/100)</f>
        <v>1.60941840119675</v>
      </c>
      <c r="G220" s="38" t="n">
        <f aca="false">IF(C220&gt;E220,100,C220/E220*100)</f>
        <v>100</v>
      </c>
      <c r="H220" s="38" t="n">
        <f aca="false">L220/F220*100</f>
        <v>100</v>
      </c>
      <c r="I220" s="38" t="n">
        <f aca="false">(V$23+V$24*SIN(2*PI()/365*A220))*V$25/100*V$7*V$8/100*(1-V$15/100)</f>
        <v>6.76369062281432</v>
      </c>
      <c r="J220" s="38" t="n">
        <f aca="false">(V$23+V$24*SIN(2*PI()/365*A220))*V$25/100*V$9*(1-V$14/100)</f>
        <v>1.80833528224354</v>
      </c>
      <c r="K220" s="39" t="n">
        <f aca="false">IF(E220/C220*100&lt;100,E220/C220*100,100)</f>
        <v>34.7333506222942</v>
      </c>
      <c r="L220" s="2" t="n">
        <f aca="false">IF(((C220-E220)&gt;0)AND(F220&gt;(C220-E220)),(C220-E220),IF(C220&lt;E220,0,F220))</f>
        <v>1.60941840119675</v>
      </c>
      <c r="M220" s="2" t="n">
        <f aca="false">IF(C220&lt;(E220+F220),0,C220-E220-F220)</f>
        <v>12.6709155927809</v>
      </c>
      <c r="N220" s="2" t="n">
        <f aca="false">IF(C220&lt;(E220+F220),0,(C220-E220-F220)/(1-V$16/100))</f>
        <v>14.2369838121133</v>
      </c>
      <c r="O220" s="2" t="n">
        <f aca="false">L220+M220</f>
        <v>14.2803339939776</v>
      </c>
      <c r="P220" s="2" t="n">
        <f aca="false">IF( N220=0,I220*(1-G220/100)+J220*(1-H220/100),-N220)</f>
        <v>-14.2369838121133</v>
      </c>
      <c r="Q220" s="47" t="n">
        <f aca="false">IF(P219&gt;0,Q219+P219*(1-V$20/100),Q219+P219)</f>
        <v>3183.93687938591</v>
      </c>
      <c r="R220" s="48" t="n">
        <f aca="false">R$4+Q220/V$28</f>
        <v>77.6612586878955</v>
      </c>
    </row>
    <row r="221" customFormat="false" ht="12.8" hidden="false" customHeight="false" outlineLevel="0" collapsed="false">
      <c r="A221" s="1" t="n">
        <v>217</v>
      </c>
      <c r="B221" s="37" t="n">
        <v>43762</v>
      </c>
      <c r="C221" s="38" t="n">
        <f aca="false">V$26-V$26*SIN(2*PI()/365*A221)</f>
        <v>22.0831599843772</v>
      </c>
      <c r="D221" s="2" t="n">
        <f aca="false">IF((E221+F221)&gt;C221,C221,E221+F221)</f>
        <v>9.00230331555011</v>
      </c>
      <c r="E221" s="38" t="n">
        <f aca="false">(V$23+V$24*SIN(2*PI()/365*A221))*V$25/100*V$7*V$8/100</f>
        <v>7.4290205223907</v>
      </c>
      <c r="F221" s="38" t="n">
        <f aca="false">(V$23+V$24*SIN(2*PI()/365*A221))*V$25/100*V$9*(1-V$14/100)*(1-V$16/100)</f>
        <v>1.57328279315941</v>
      </c>
      <c r="G221" s="38" t="n">
        <f aca="false">IF(C221&gt;E221,100,C221/E221*100)</f>
        <v>100</v>
      </c>
      <c r="H221" s="38" t="n">
        <f aca="false">L221/F221*100</f>
        <v>100</v>
      </c>
      <c r="I221" s="38" t="n">
        <f aca="false">(V$23+V$24*SIN(2*PI()/365*A221))*V$25/100*V$7*V$8/100*(1-V$15/100)</f>
        <v>6.61182826492772</v>
      </c>
      <c r="J221" s="38" t="n">
        <f aca="false">(V$23+V$24*SIN(2*PI()/365*A221))*V$25/100*V$9*(1-V$14/100)</f>
        <v>1.76773347546001</v>
      </c>
      <c r="K221" s="39" t="n">
        <f aca="false">IF(E221/C221*100&lt;100,E221/C221*100,100)</f>
        <v>33.6411117233511</v>
      </c>
      <c r="L221" s="2" t="n">
        <f aca="false">IF(((C221-E221)&gt;0)AND(F221&gt;(C221-E221)),(C221-E221),IF(C221&lt;E221,0,F221))</f>
        <v>1.57328279315941</v>
      </c>
      <c r="M221" s="2" t="n">
        <f aca="false">IF(C221&lt;(E221+F221),0,C221-E221-F221)</f>
        <v>13.0808566688271</v>
      </c>
      <c r="N221" s="2" t="n">
        <f aca="false">IF(C221&lt;(E221+F221),0,(C221-E221-F221)/(1-V$16/100))</f>
        <v>14.6975917627271</v>
      </c>
      <c r="O221" s="2" t="n">
        <f aca="false">L221+M221</f>
        <v>14.6541394619865</v>
      </c>
      <c r="P221" s="2" t="n">
        <f aca="false">IF( N221=0,I221*(1-G221/100)+J221*(1-H221/100),-N221)</f>
        <v>-14.6975917627271</v>
      </c>
      <c r="Q221" s="47" t="n">
        <f aca="false">IF(P220&gt;0,Q220+P220*(1-V$20/100),Q220+P220)</f>
        <v>3169.6998955738</v>
      </c>
      <c r="R221" s="48" t="n">
        <f aca="false">R$4+Q221/V$28</f>
        <v>77.4928562507257</v>
      </c>
    </row>
    <row r="222" customFormat="false" ht="12.8" hidden="false" customHeight="false" outlineLevel="0" collapsed="false">
      <c r="A222" s="1" t="n">
        <v>218</v>
      </c>
      <c r="B222" s="37" t="n">
        <v>43763</v>
      </c>
      <c r="C222" s="38" t="n">
        <f aca="false">V$26-V$26*SIN(2*PI()/365*A222)</f>
        <v>22.2839856677385</v>
      </c>
      <c r="D222" s="2" t="n">
        <f aca="false">IF((E222+F222)&gt;C222,C222,E222+F222)</f>
        <v>8.79792529812672</v>
      </c>
      <c r="E222" s="38" t="n">
        <f aca="false">(V$23+V$24*SIN(2*PI()/365*A222))*V$25/100*V$7*V$8/100</f>
        <v>7.26036052143948</v>
      </c>
      <c r="F222" s="38" t="n">
        <f aca="false">(V$23+V$24*SIN(2*PI()/365*A222))*V$25/100*V$9*(1-V$14/100)*(1-V$16/100)</f>
        <v>1.53756477668725</v>
      </c>
      <c r="G222" s="38" t="n">
        <f aca="false">IF(C222&gt;E222,100,C222/E222*100)</f>
        <v>100</v>
      </c>
      <c r="H222" s="38" t="n">
        <f aca="false">L222/F222*100</f>
        <v>100</v>
      </c>
      <c r="I222" s="38" t="n">
        <f aca="false">(V$23+V$24*SIN(2*PI()/365*A222))*V$25/100*V$7*V$8/100*(1-V$15/100)</f>
        <v>6.46172086408113</v>
      </c>
      <c r="J222" s="38" t="n">
        <f aca="false">(V$23+V$24*SIN(2*PI()/365*A222))*V$25/100*V$9*(1-V$14/100)</f>
        <v>1.7276008726823</v>
      </c>
      <c r="K222" s="39" t="n">
        <f aca="false">IF(E222/C222*100&lt;100,E222/C222*100,100)</f>
        <v>32.5810679906809</v>
      </c>
      <c r="L222" s="2" t="n">
        <f aca="false">IF(((C222-E222)&gt;0)AND(F222&gt;(C222-E222)),(C222-E222),IF(C222&lt;E222,0,F222))</f>
        <v>1.53756477668725</v>
      </c>
      <c r="M222" s="2" t="n">
        <f aca="false">IF(C222&lt;(E222+F222),0,C222-E222-F222)</f>
        <v>13.4860603696118</v>
      </c>
      <c r="N222" s="2" t="n">
        <f aca="false">IF(C222&lt;(E222+F222),0,(C222-E222-F222)/(1-V$16/100))</f>
        <v>15.1528768197886</v>
      </c>
      <c r="O222" s="2" t="n">
        <f aca="false">L222+M222</f>
        <v>15.0236251462991</v>
      </c>
      <c r="P222" s="2" t="n">
        <f aca="false">IF( N222=0,I222*(1-G222/100)+J222*(1-H222/100),-N222)</f>
        <v>-15.1528768197886</v>
      </c>
      <c r="Q222" s="47" t="n">
        <f aca="false">IF(P221&gt;0,Q221+P221*(1-V$20/100),Q221+P221)</f>
        <v>3155.00230381107</v>
      </c>
      <c r="R222" s="48" t="n">
        <f aca="false">R$4+Q222/V$28</f>
        <v>77.3190055035425</v>
      </c>
    </row>
    <row r="223" customFormat="false" ht="12.8" hidden="false" customHeight="false" outlineLevel="0" collapsed="false">
      <c r="A223" s="1" t="n">
        <v>219</v>
      </c>
      <c r="B223" s="37" t="n">
        <v>43764</v>
      </c>
      <c r="C223" s="38" t="n">
        <f aca="false">V$26-V$26*SIN(2*PI()/365*A223)</f>
        <v>22.4824039202622</v>
      </c>
      <c r="D223" s="2" t="n">
        <f aca="false">IF((E223+F223)&gt;C223,C223,E223+F223)</f>
        <v>8.59599729572862</v>
      </c>
      <c r="E223" s="38" t="n">
        <f aca="false">(V$23+V$24*SIN(2*PI()/365*A223))*V$25/100*V$7*V$8/100</f>
        <v>7.09372235992923</v>
      </c>
      <c r="F223" s="38" t="n">
        <f aca="false">(V$23+V$24*SIN(2*PI()/365*A223))*V$25/100*V$9*(1-V$14/100)*(1-V$16/100)</f>
        <v>1.50227493579939</v>
      </c>
      <c r="G223" s="38" t="n">
        <f aca="false">IF(C223&gt;E223,100,C223/E223*100)</f>
        <v>100</v>
      </c>
      <c r="H223" s="38" t="n">
        <f aca="false">L223/F223*100</f>
        <v>100</v>
      </c>
      <c r="I223" s="38" t="n">
        <f aca="false">(V$23+V$24*SIN(2*PI()/365*A223))*V$25/100*V$7*V$8/100*(1-V$15/100)</f>
        <v>6.31341290033702</v>
      </c>
      <c r="J223" s="38" t="n">
        <f aca="false">(V$23+V$24*SIN(2*PI()/365*A223))*V$25/100*V$9*(1-V$14/100)</f>
        <v>1.68794936606673</v>
      </c>
      <c r="K223" s="39" t="n">
        <f aca="false">IF(E223/C223*100&lt;100,E223/C223*100,100)</f>
        <v>31.5523303695119</v>
      </c>
      <c r="L223" s="2" t="n">
        <f aca="false">IF(((C223-E223)&gt;0)AND(F223&gt;(C223-E223)),(C223-E223),IF(C223&lt;E223,0,F223))</f>
        <v>1.50227493579939</v>
      </c>
      <c r="M223" s="2" t="n">
        <f aca="false">IF(C223&lt;(E223+F223),0,C223-E223-F223)</f>
        <v>13.8864066245336</v>
      </c>
      <c r="N223" s="2" t="n">
        <f aca="false">IF(C223&lt;(E223+F223),0,(C223-E223-F223)/(1-V$16/100))</f>
        <v>15.6027040725096</v>
      </c>
      <c r="O223" s="2" t="n">
        <f aca="false">L223+M223</f>
        <v>15.388681560333</v>
      </c>
      <c r="P223" s="2" t="n">
        <f aca="false">IF( N223=0,I223*(1-G223/100)+J223*(1-H223/100),-N223)</f>
        <v>-15.6027040725096</v>
      </c>
      <c r="Q223" s="47" t="n">
        <f aca="false">IF(P222&gt;0,Q222+P222*(1-V$20/100),Q222+P222)</f>
        <v>3139.84942699128</v>
      </c>
      <c r="R223" s="48" t="n">
        <f aca="false">R$4+Q223/V$28</f>
        <v>77.139769408295</v>
      </c>
    </row>
    <row r="224" customFormat="false" ht="12.8" hidden="false" customHeight="false" outlineLevel="0" collapsed="false">
      <c r="A224" s="1" t="n">
        <v>220</v>
      </c>
      <c r="B224" s="37" t="n">
        <v>43765</v>
      </c>
      <c r="C224" s="38" t="n">
        <f aca="false">V$26-V$26*SIN(2*PI()/365*A224)</f>
        <v>22.6783559463377</v>
      </c>
      <c r="D224" s="2" t="n">
        <f aca="false">IF((E224+F224)&gt;C224,C224,E224+F224)</f>
        <v>8.39657914398088</v>
      </c>
      <c r="E224" s="38" t="n">
        <f aca="false">(V$23+V$24*SIN(2*PI()/365*A224))*V$25/100*V$7*V$8/100</f>
        <v>6.92915541634357</v>
      </c>
      <c r="F224" s="38" t="n">
        <f aca="false">(V$23+V$24*SIN(2*PI()/365*A224))*V$25/100*V$9*(1-V$14/100)*(1-V$16/100)</f>
        <v>1.46742372763731</v>
      </c>
      <c r="G224" s="38" t="n">
        <f aca="false">IF(C224&gt;E224,100,C224/E224*100)</f>
        <v>100</v>
      </c>
      <c r="H224" s="38" t="n">
        <f aca="false">L224/F224*100</f>
        <v>100</v>
      </c>
      <c r="I224" s="38" t="n">
        <f aca="false">(V$23+V$24*SIN(2*PI()/365*A224))*V$25/100*V$7*V$8/100*(1-V$15/100)</f>
        <v>6.16694832054577</v>
      </c>
      <c r="J224" s="38" t="n">
        <f aca="false">(V$23+V$24*SIN(2*PI()/365*A224))*V$25/100*V$9*(1-V$14/100)</f>
        <v>1.64879070521047</v>
      </c>
      <c r="K224" s="39" t="n">
        <f aca="false">IF(E224/C224*100&lt;100,E224/C224*100,100)</f>
        <v>30.5540464782349</v>
      </c>
      <c r="L224" s="2" t="n">
        <f aca="false">IF(((C224-E224)&gt;0)AND(F224&gt;(C224-E224)),(C224-E224),IF(C224&lt;E224,0,F224))</f>
        <v>1.46742372763731</v>
      </c>
      <c r="M224" s="2" t="n">
        <f aca="false">IF(C224&lt;(E224+F224),0,C224-E224-F224)</f>
        <v>14.2817768023568</v>
      </c>
      <c r="N224" s="2" t="n">
        <f aca="false">IF(C224&lt;(E224+F224),0,(C224-E224-F224)/(1-V$16/100))</f>
        <v>16.0469402273672</v>
      </c>
      <c r="O224" s="2" t="n">
        <f aca="false">L224+M224</f>
        <v>15.7492005299941</v>
      </c>
      <c r="P224" s="2" t="n">
        <f aca="false">IF( N224=0,I224*(1-G224/100)+J224*(1-H224/100),-N224)</f>
        <v>-16.0469402273672</v>
      </c>
      <c r="Q224" s="47" t="n">
        <f aca="false">IF(P223&gt;0,Q223+P223*(1-V$20/100),Q223+P223)</f>
        <v>3124.24672291877</v>
      </c>
      <c r="R224" s="48" t="n">
        <f aca="false">R$4+Q224/V$28</f>
        <v>76.9552125227267</v>
      </c>
    </row>
    <row r="225" customFormat="false" ht="12.8" hidden="false" customHeight="false" outlineLevel="0" collapsed="false">
      <c r="A225" s="1" t="n">
        <v>221</v>
      </c>
      <c r="B225" s="37" t="n">
        <v>43766</v>
      </c>
      <c r="C225" s="38" t="n">
        <f aca="false">V$26-V$26*SIN(2*PI()/365*A225)</f>
        <v>22.8717836811507</v>
      </c>
      <c r="D225" s="2" t="n">
        <f aca="false">IF((E225+F225)&gt;C225,C225,E225+F225)</f>
        <v>8.19972993478566</v>
      </c>
      <c r="E225" s="38" t="n">
        <f aca="false">(V$23+V$24*SIN(2*PI()/365*A225))*V$25/100*V$7*V$8/100</f>
        <v>6.76670845541951</v>
      </c>
      <c r="F225" s="38" t="n">
        <f aca="false">(V$23+V$24*SIN(2*PI()/365*A225))*V$25/100*V$9*(1-V$14/100)*(1-V$16/100)</f>
        <v>1.43302147936615</v>
      </c>
      <c r="G225" s="38" t="n">
        <f aca="false">IF(C225&gt;E225,100,C225/E225*100)</f>
        <v>100</v>
      </c>
      <c r="H225" s="38" t="n">
        <f aca="false">L225/F225*100</f>
        <v>100</v>
      </c>
      <c r="I225" s="38" t="n">
        <f aca="false">(V$23+V$24*SIN(2*PI()/365*A225))*V$25/100*V$7*V$8/100*(1-V$15/100)</f>
        <v>6.02237052532336</v>
      </c>
      <c r="J225" s="38" t="n">
        <f aca="false">(V$23+V$24*SIN(2*PI()/365*A225))*V$25/100*V$9*(1-V$14/100)</f>
        <v>1.61013649366983</v>
      </c>
      <c r="K225" s="39" t="n">
        <f aca="false">IF(E225/C225*100&lt;100,E225/C225*100,100)</f>
        <v>29.5853989778513</v>
      </c>
      <c r="L225" s="2" t="n">
        <f aca="false">IF(((C225-E225)&gt;0)AND(F225&gt;(C225-E225)),(C225-E225),IF(C225&lt;E225,0,F225))</f>
        <v>1.43302147936615</v>
      </c>
      <c r="M225" s="2" t="n">
        <f aca="false">IF(C225&lt;(E225+F225),0,C225-E225-F225)</f>
        <v>14.672053746365</v>
      </c>
      <c r="N225" s="2" t="n">
        <f aca="false">IF(C225&lt;(E225+F225),0,(C225-E225-F225)/(1-V$16/100))</f>
        <v>16.4854536476011</v>
      </c>
      <c r="O225" s="2" t="n">
        <f aca="false">L225+M225</f>
        <v>16.1050752257312</v>
      </c>
      <c r="P225" s="2" t="n">
        <f aca="false">IF( N225=0,I225*(1-G225/100)+J225*(1-H225/100),-N225)</f>
        <v>-16.4854536476011</v>
      </c>
      <c r="Q225" s="47" t="n">
        <f aca="false">IF(P224&gt;0,Q224+P224*(1-V$20/100),Q224+P224)</f>
        <v>3108.19978269141</v>
      </c>
      <c r="R225" s="48" t="n">
        <f aca="false">R$4+Q225/V$28</f>
        <v>76.7654009812464</v>
      </c>
    </row>
    <row r="226" customFormat="false" ht="12.8" hidden="false" customHeight="false" outlineLevel="0" collapsed="false">
      <c r="A226" s="1" t="n">
        <v>222</v>
      </c>
      <c r="B226" s="37" t="n">
        <v>43767</v>
      </c>
      <c r="C226" s="38" t="n">
        <f aca="false">V$26-V$26*SIN(2*PI()/365*A226)</f>
        <v>23.0626298078888</v>
      </c>
      <c r="D226" s="2" t="n">
        <f aca="false">IF((E226+F226)&gt;C226,C226,E226+F226)</f>
        <v>8.00550799881199</v>
      </c>
      <c r="E226" s="38" t="n">
        <f aca="false">(V$23+V$24*SIN(2*PI()/365*A226))*V$25/100*V$7*V$8/100</f>
        <v>6.60642961369747</v>
      </c>
      <c r="F226" s="38" t="n">
        <f aca="false">(V$23+V$24*SIN(2*PI()/365*A226))*V$25/100*V$9*(1-V$14/100)*(1-V$16/100)</f>
        <v>1.39907838511452</v>
      </c>
      <c r="G226" s="38" t="n">
        <f aca="false">IF(C226&gt;E226,100,C226/E226*100)</f>
        <v>100</v>
      </c>
      <c r="H226" s="38" t="n">
        <f aca="false">L226/F226*100</f>
        <v>100</v>
      </c>
      <c r="I226" s="38" t="n">
        <f aca="false">(V$23+V$24*SIN(2*PI()/365*A226))*V$25/100*V$7*V$8/100*(1-V$15/100)</f>
        <v>5.87972235619075</v>
      </c>
      <c r="J226" s="38" t="n">
        <f aca="false">(V$23+V$24*SIN(2*PI()/365*A226))*V$25/100*V$9*(1-V$14/100)</f>
        <v>1.57199818552193</v>
      </c>
      <c r="K226" s="39" t="n">
        <f aca="false">IF(E226/C226*100&lt;100,E226/C226*100,100)</f>
        <v>28.6456040301079</v>
      </c>
      <c r="L226" s="2" t="n">
        <f aca="false">IF(((C226-E226)&gt;0)AND(F226&gt;(C226-E226)),(C226-E226),IF(C226&lt;E226,0,F226))</f>
        <v>1.39907838511452</v>
      </c>
      <c r="M226" s="2" t="n">
        <f aca="false">IF(C226&lt;(E226+F226),0,C226-E226-F226)</f>
        <v>15.0571218090768</v>
      </c>
      <c r="N226" s="2" t="n">
        <f aca="false">IF(C226&lt;(E226+F226),0,(C226-E226-F226)/(1-V$16/100))</f>
        <v>16.9181143922212</v>
      </c>
      <c r="O226" s="2" t="n">
        <f aca="false">L226+M226</f>
        <v>16.4562001941914</v>
      </c>
      <c r="P226" s="2" t="n">
        <f aca="false">IF( N226=0,I226*(1-G226/100)+J226*(1-H226/100),-N226)</f>
        <v>-16.9181143922212</v>
      </c>
      <c r="Q226" s="47" t="n">
        <f aca="false">IF(P225&gt;0,Q225+P225*(1-V$20/100),Q225+P225)</f>
        <v>3091.71432904381</v>
      </c>
      <c r="R226" s="48" t="n">
        <f aca="false">R$4+Q226/V$28</f>
        <v>76.5704024753309</v>
      </c>
    </row>
    <row r="227" customFormat="false" ht="12.8" hidden="false" customHeight="false" outlineLevel="0" collapsed="false">
      <c r="A227" s="1" t="n">
        <v>223</v>
      </c>
      <c r="B227" s="37" t="n">
        <v>43768</v>
      </c>
      <c r="C227" s="38" t="n">
        <f aca="false">V$26-V$26*SIN(2*PI()/365*A227)</f>
        <v>23.250837774726</v>
      </c>
      <c r="D227" s="2" t="n">
        <f aca="false">IF((E227+F227)&gt;C227,C227,E227+F227)</f>
        <v>7.81397088821116</v>
      </c>
      <c r="E227" s="38" t="n">
        <f aca="false">(V$23+V$24*SIN(2*PI()/365*A227))*V$25/100*V$7*V$8/100</f>
        <v>6.44836638525736</v>
      </c>
      <c r="F227" s="38" t="n">
        <f aca="false">(V$23+V$24*SIN(2*PI()/365*A227))*V$25/100*V$9*(1-V$14/100)*(1-V$16/100)</f>
        <v>1.3656045029538</v>
      </c>
      <c r="G227" s="38" t="n">
        <f aca="false">IF(C227&gt;E227,100,C227/E227*100)</f>
        <v>100</v>
      </c>
      <c r="H227" s="38" t="n">
        <f aca="false">L227/F227*100</f>
        <v>100</v>
      </c>
      <c r="I227" s="38" t="n">
        <f aca="false">(V$23+V$24*SIN(2*PI()/365*A227))*V$25/100*V$7*V$8/100*(1-V$15/100)</f>
        <v>5.73904608287905</v>
      </c>
      <c r="J227" s="38" t="n">
        <f aca="false">(V$23+V$24*SIN(2*PI()/365*A227))*V$25/100*V$9*(1-V$14/100)</f>
        <v>1.53438708197057</v>
      </c>
      <c r="K227" s="39" t="n">
        <f aca="false">IF(E227/C227*100&lt;100,E227/C227*100,100)</f>
        <v>27.7339098390116</v>
      </c>
      <c r="L227" s="2" t="n">
        <f aca="false">IF(((C227-E227)&gt;0)AND(F227&gt;(C227-E227)),(C227-E227),IF(C227&lt;E227,0,F227))</f>
        <v>1.3656045029538</v>
      </c>
      <c r="M227" s="2" t="n">
        <f aca="false">IF(C227&lt;(E227+F227),0,C227-E227-F227)</f>
        <v>15.4368668865149</v>
      </c>
      <c r="N227" s="2" t="n">
        <f aca="false">IF(C227&lt;(E227+F227),0,(C227-E227-F227)/(1-V$16/100))</f>
        <v>17.3447942545111</v>
      </c>
      <c r="O227" s="2" t="n">
        <f aca="false">L227+M227</f>
        <v>16.8024713894687</v>
      </c>
      <c r="P227" s="2" t="n">
        <f aca="false">IF( N227=0,I227*(1-G227/100)+J227*(1-H227/100),-N227)</f>
        <v>-17.3447942545111</v>
      </c>
      <c r="Q227" s="47" t="n">
        <f aca="false">IF(P226&gt;0,Q226+P226*(1-V$20/100),Q226+P226)</f>
        <v>3074.79621465159</v>
      </c>
      <c r="R227" s="48" t="n">
        <f aca="false">R$4+Q227/V$28</f>
        <v>76.3702862334663</v>
      </c>
    </row>
    <row r="228" customFormat="false" ht="12.8" hidden="false" customHeight="false" outlineLevel="0" collapsed="false">
      <c r="A228" s="1" t="n">
        <v>224</v>
      </c>
      <c r="B228" s="37" t="n">
        <v>43769</v>
      </c>
      <c r="C228" s="38" t="n">
        <f aca="false">V$26-V$26*SIN(2*PI()/365*A228)</f>
        <v>23.4363518115798</v>
      </c>
      <c r="D228" s="2" t="n">
        <f aca="false">IF((E228+F228)&gt;C228,C228,E228+F228)</f>
        <v>7.62517535956275</v>
      </c>
      <c r="E228" s="38" t="n">
        <f aca="false">(V$23+V$24*SIN(2*PI()/365*A228))*V$25/100*V$7*V$8/100</f>
        <v>6.29256560764504</v>
      </c>
      <c r="F228" s="38" t="n">
        <f aca="false">(V$23+V$24*SIN(2*PI()/365*A228))*V$25/100*V$9*(1-V$14/100)*(1-V$16/100)</f>
        <v>1.33260975191771</v>
      </c>
      <c r="G228" s="38" t="n">
        <f aca="false">IF(C228&gt;E228,100,C228/E228*100)</f>
        <v>100</v>
      </c>
      <c r="H228" s="38" t="n">
        <f aca="false">L228/F228*100</f>
        <v>100</v>
      </c>
      <c r="I228" s="38" t="n">
        <f aca="false">(V$23+V$24*SIN(2*PI()/365*A228))*V$25/100*V$7*V$8/100*(1-V$15/100)</f>
        <v>5.60038339080409</v>
      </c>
      <c r="J228" s="38" t="n">
        <f aca="false">(V$23+V$24*SIN(2*PI()/365*A228))*V$25/100*V$9*(1-V$14/100)</f>
        <v>1.49731432799743</v>
      </c>
      <c r="K228" s="39" t="n">
        <f aca="false">IF(E228/C228*100&lt;100,E228/C228*100,100)</f>
        <v>26.8495952707789</v>
      </c>
      <c r="L228" s="2" t="n">
        <f aca="false">IF(((C228-E228)&gt;0)AND(F228&gt;(C228-E228)),(C228-E228),IF(C228&lt;E228,0,F228))</f>
        <v>1.33260975191771</v>
      </c>
      <c r="M228" s="2" t="n">
        <f aca="false">IF(C228&lt;(E228+F228),0,C228-E228-F228)</f>
        <v>15.8111764520171</v>
      </c>
      <c r="N228" s="2" t="n">
        <f aca="false">IF(C228&lt;(E228+F228),0,(C228-E228-F228)/(1-V$16/100))</f>
        <v>17.7653668000192</v>
      </c>
      <c r="O228" s="2" t="n">
        <f aca="false">L228+M228</f>
        <v>17.1437862039348</v>
      </c>
      <c r="P228" s="2" t="n">
        <f aca="false">IF( N228=0,I228*(1-G228/100)+J228*(1-H228/100),-N228)</f>
        <v>-17.7653668000192</v>
      </c>
      <c r="Q228" s="47" t="n">
        <f aca="false">IF(P227&gt;0,Q227+P227*(1-V$20/100),Q227+P227)</f>
        <v>3057.45142039707</v>
      </c>
      <c r="R228" s="48" t="n">
        <f aca="false">R$4+Q228/V$28</f>
        <v>76.1651230006344</v>
      </c>
    </row>
    <row r="229" customFormat="false" ht="12.8" hidden="false" customHeight="false" outlineLevel="0" collapsed="false">
      <c r="A229" s="1" t="n">
        <v>225</v>
      </c>
      <c r="B229" s="37" t="n">
        <v>43770</v>
      </c>
      <c r="C229" s="38" t="n">
        <f aca="false">V$26-V$26*SIN(2*PI()/365*A229)</f>
        <v>23.6191169466374</v>
      </c>
      <c r="D229" s="2" t="n">
        <f aca="false">IF((E229+F229)&gt;C229,C229,E229+F229)</f>
        <v>7.43917735705644</v>
      </c>
      <c r="E229" s="38" t="n">
        <f aca="false">(V$23+V$24*SIN(2*PI()/365*A229))*V$25/100*V$7*V$8/100</f>
        <v>6.13907344799338</v>
      </c>
      <c r="F229" s="38" t="n">
        <f aca="false">(V$23+V$24*SIN(2*PI()/365*A229))*V$25/100*V$9*(1-V$14/100)*(1-V$16/100)</f>
        <v>1.30010390906306</v>
      </c>
      <c r="G229" s="38" t="n">
        <f aca="false">IF(C229&gt;E229,100,C229/E229*100)</f>
        <v>100</v>
      </c>
      <c r="H229" s="38" t="n">
        <f aca="false">L229/F229*100</f>
        <v>100</v>
      </c>
      <c r="I229" s="38" t="n">
        <f aca="false">(V$23+V$24*SIN(2*PI()/365*A229))*V$25/100*V$7*V$8/100*(1-V$15/100)</f>
        <v>5.46377536871411</v>
      </c>
      <c r="J229" s="38" t="n">
        <f aca="false">(V$23+V$24*SIN(2*PI()/365*A229))*V$25/100*V$9*(1-V$14/100)</f>
        <v>1.46079090905961</v>
      </c>
      <c r="K229" s="39" t="n">
        <f aca="false">IF(E229/C229*100&lt;100,E229/C229*100,100)</f>
        <v>25.9919685476107</v>
      </c>
      <c r="L229" s="2" t="n">
        <f aca="false">IF(((C229-E229)&gt;0)AND(F229&gt;(C229-E229)),(C229-E229),IF(C229&lt;E229,0,F229))</f>
        <v>1.30010390906306</v>
      </c>
      <c r="M229" s="2" t="n">
        <f aca="false">IF(C229&lt;(E229+F229),0,C229-E229-F229)</f>
        <v>16.1799395895809</v>
      </c>
      <c r="N229" s="2" t="n">
        <f aca="false">IF(C229&lt;(E229+F229),0,(C229-E229-F229)/(1-V$16/100))</f>
        <v>18.1797074040235</v>
      </c>
      <c r="O229" s="2" t="n">
        <f aca="false">L229+M229</f>
        <v>17.480043498644</v>
      </c>
      <c r="P229" s="2" t="n">
        <f aca="false">IF( N229=0,I229*(1-G229/100)+J229*(1-H229/100),-N229)</f>
        <v>-18.1797074040235</v>
      </c>
      <c r="Q229" s="47" t="n">
        <f aca="false">IF(P228&gt;0,Q228+P228*(1-V$20/100),Q228+P228)</f>
        <v>3039.68605359705</v>
      </c>
      <c r="R229" s="48" t="n">
        <f aca="false">R$4+Q229/V$28</f>
        <v>75.9549850173494</v>
      </c>
    </row>
    <row r="230" customFormat="false" ht="12.8" hidden="false" customHeight="false" outlineLevel="0" collapsed="false">
      <c r="A230" s="1" t="n">
        <v>226</v>
      </c>
      <c r="B230" s="37" t="n">
        <v>43771</v>
      </c>
      <c r="C230" s="38" t="n">
        <f aca="false">V$26-V$26*SIN(2*PI()/365*A230)</f>
        <v>23.7990790226448</v>
      </c>
      <c r="D230" s="2" t="n">
        <f aca="false">IF((E230+F230)&gt;C230,C230,E230+F230)</f>
        <v>7.25603199591454</v>
      </c>
      <c r="E230" s="38" t="n">
        <f aca="false">(V$23+V$24*SIN(2*PI()/365*A230))*V$25/100*V$7*V$8/100</f>
        <v>5.98793538934192</v>
      </c>
      <c r="F230" s="38" t="n">
        <f aca="false">(V$23+V$24*SIN(2*PI()/365*A230))*V$25/100*V$9*(1-V$14/100)*(1-V$16/100)</f>
        <v>1.26809660657261</v>
      </c>
      <c r="G230" s="38" t="n">
        <f aca="false">IF(C230&gt;E230,100,C230/E230*100)</f>
        <v>100</v>
      </c>
      <c r="H230" s="38" t="n">
        <f aca="false">L230/F230*100</f>
        <v>100</v>
      </c>
      <c r="I230" s="38" t="n">
        <f aca="false">(V$23+V$24*SIN(2*PI()/365*A230))*V$25/100*V$7*V$8/100*(1-V$15/100)</f>
        <v>5.32926249651431</v>
      </c>
      <c r="J230" s="38" t="n">
        <f aca="false">(V$23+V$24*SIN(2*PI()/365*A230))*V$25/100*V$9*(1-V$14/100)</f>
        <v>1.4248276478344</v>
      </c>
      <c r="K230" s="39" t="n">
        <f aca="false">IF(E230/C230*100&lt;100,E230/C230*100,100)</f>
        <v>25.160366010989</v>
      </c>
      <c r="L230" s="2" t="n">
        <f aca="false">IF(((C230-E230)&gt;0)AND(F230&gt;(C230-E230)),(C230-E230),IF(C230&lt;E230,0,F230))</f>
        <v>1.26809660657261</v>
      </c>
      <c r="M230" s="2" t="n">
        <f aca="false">IF(C230&lt;(E230+F230),0,C230-E230-F230)</f>
        <v>16.5430470267302</v>
      </c>
      <c r="N230" s="2" t="n">
        <f aca="false">IF(C230&lt;(E230+F230),0,(C230-E230-F230)/(1-V$16/100))</f>
        <v>18.5876932884609</v>
      </c>
      <c r="O230" s="2" t="n">
        <f aca="false">L230+M230</f>
        <v>17.8111436333028</v>
      </c>
      <c r="P230" s="2" t="n">
        <f aca="false">IF( N230=0,I230*(1-G230/100)+J230*(1-H230/100),-N230)</f>
        <v>-18.5876932884609</v>
      </c>
      <c r="Q230" s="47" t="n">
        <f aca="false">IF(P229&gt;0,Q229+P229*(1-V$20/100),Q229+P229)</f>
        <v>3021.50634619303</v>
      </c>
      <c r="R230" s="48" t="n">
        <f aca="false">R$4+Q230/V$28</f>
        <v>75.7399459982514</v>
      </c>
    </row>
    <row r="231" customFormat="false" ht="12.8" hidden="false" customHeight="false" outlineLevel="0" collapsed="false">
      <c r="A231" s="1" t="n">
        <v>227</v>
      </c>
      <c r="B231" s="37" t="n">
        <v>43772</v>
      </c>
      <c r="C231" s="38" t="n">
        <f aca="false">V$26-V$26*SIN(2*PI()/365*A231)</f>
        <v>23.976184712955</v>
      </c>
      <c r="D231" s="2" t="n">
        <f aca="false">IF((E231+F231)&gt;C231,C231,E231+F231)</f>
        <v>7.07579354606015</v>
      </c>
      <c r="E231" s="38" t="n">
        <f aca="false">(V$23+V$24*SIN(2*PI()/365*A231))*V$25/100*V$7*V$8/100</f>
        <v>5.83919621715926</v>
      </c>
      <c r="F231" s="38" t="n">
        <f aca="false">(V$23+V$24*SIN(2*PI()/365*A231))*V$25/100*V$9*(1-V$14/100)*(1-V$16/100)</f>
        <v>1.23659732890088</v>
      </c>
      <c r="G231" s="38" t="n">
        <f aca="false">IF(C231&gt;E231,100,C231/E231*100)</f>
        <v>100</v>
      </c>
      <c r="H231" s="38" t="n">
        <f aca="false">L231/F231*100</f>
        <v>100</v>
      </c>
      <c r="I231" s="38" t="n">
        <f aca="false">(V$23+V$24*SIN(2*PI()/365*A231))*V$25/100*V$7*V$8/100*(1-V$15/100)</f>
        <v>5.19688463327174</v>
      </c>
      <c r="J231" s="38" t="n">
        <f aca="false">(V$23+V$24*SIN(2*PI()/365*A231))*V$25/100*V$9*(1-V$14/100)</f>
        <v>1.38943520101223</v>
      </c>
      <c r="K231" s="39" t="n">
        <f aca="false">IF(E231/C231*100&lt;100,E231/C231*100,100)</f>
        <v>24.3541509504812</v>
      </c>
      <c r="L231" s="2" t="n">
        <f aca="false">IF(((C231-E231)&gt;0)AND(F231&gt;(C231-E231)),(C231-E231),IF(C231&lt;E231,0,F231))</f>
        <v>1.23659732890088</v>
      </c>
      <c r="M231" s="2" t="n">
        <f aca="false">IF(C231&lt;(E231+F231),0,C231-E231-F231)</f>
        <v>16.9003911668948</v>
      </c>
      <c r="N231" s="2" t="n">
        <f aca="false">IF(C231&lt;(E231+F231),0,(C231-E231-F231)/(1-V$16/100))</f>
        <v>18.9892035583088</v>
      </c>
      <c r="O231" s="2" t="n">
        <f aca="false">L231+M231</f>
        <v>18.1369884957957</v>
      </c>
      <c r="P231" s="2" t="n">
        <f aca="false">IF( N231=0,I231*(1-G231/100)+J231*(1-H231/100),-N231)</f>
        <v>-18.9892035583088</v>
      </c>
      <c r="Q231" s="47" t="n">
        <f aca="false">IF(P230&gt;0,Q230+P230*(1-V$20/100),Q230+P230)</f>
        <v>3002.91865290457</v>
      </c>
      <c r="R231" s="48" t="n">
        <f aca="false">R$4+Q231/V$28</f>
        <v>75.5200811102631</v>
      </c>
    </row>
    <row r="232" customFormat="false" ht="12.8" hidden="false" customHeight="false" outlineLevel="0" collapsed="false">
      <c r="A232" s="1" t="n">
        <v>228</v>
      </c>
      <c r="B232" s="37" t="n">
        <v>43773</v>
      </c>
      <c r="C232" s="38" t="n">
        <f aca="false">V$26-V$26*SIN(2*PI()/365*A232)</f>
        <v>24.1503815373297</v>
      </c>
      <c r="D232" s="2" t="n">
        <f aca="false">IF((E232+F232)&gt;C232,C232,E232+F232)</f>
        <v>6.89851541603583</v>
      </c>
      <c r="E232" s="38" t="n">
        <f aca="false">(V$23+V$24*SIN(2*PI()/365*A232))*V$25/100*V$7*V$8/100</f>
        <v>5.69290000607217</v>
      </c>
      <c r="F232" s="38" t="n">
        <f aca="false">(V$23+V$24*SIN(2*PI()/365*A232))*V$25/100*V$9*(1-V$14/100)*(1-V$16/100)</f>
        <v>1.20561540996365</v>
      </c>
      <c r="G232" s="38" t="n">
        <f aca="false">IF(C232&gt;E232,100,C232/E232*100)</f>
        <v>100</v>
      </c>
      <c r="H232" s="38" t="n">
        <f aca="false">L232/F232*100</f>
        <v>100</v>
      </c>
      <c r="I232" s="38" t="n">
        <f aca="false">(V$23+V$24*SIN(2*PI()/365*A232))*V$25/100*V$7*V$8/100*(1-V$15/100)</f>
        <v>5.06668100540423</v>
      </c>
      <c r="J232" s="38" t="n">
        <f aca="false">(V$23+V$24*SIN(2*PI()/365*A232))*V$25/100*V$9*(1-V$14/100)</f>
        <v>1.35462405613894</v>
      </c>
      <c r="K232" s="39" t="n">
        <f aca="false">IF(E232/C232*100&lt;100,E232/C232*100,100)</f>
        <v>23.5727124943038</v>
      </c>
      <c r="L232" s="2" t="n">
        <f aca="false">IF(((C232-E232)&gt;0)AND(F232&gt;(C232-E232)),(C232-E232),IF(C232&lt;E232,0,F232))</f>
        <v>1.20561540996365</v>
      </c>
      <c r="M232" s="2" t="n">
        <f aca="false">IF(C232&lt;(E232+F232),0,C232-E232-F232)</f>
        <v>17.2518661212939</v>
      </c>
      <c r="N232" s="2" t="n">
        <f aca="false">IF(C232&lt;(E232+F232),0,(C232-E232-F232)/(1-V$16/100))</f>
        <v>19.3841192374089</v>
      </c>
      <c r="O232" s="2" t="n">
        <f aca="false">L232+M232</f>
        <v>18.4574815312575</v>
      </c>
      <c r="P232" s="2" t="n">
        <f aca="false">IF( N232=0,I232*(1-G232/100)+J232*(1-H232/100),-N232)</f>
        <v>-19.3841192374089</v>
      </c>
      <c r="Q232" s="47" t="n">
        <f aca="false">IF(P231&gt;0,Q231+P231*(1-V$20/100),Q231+P231)</f>
        <v>2983.92944934626</v>
      </c>
      <c r="R232" s="48" t="n">
        <f aca="false">R$4+Q232/V$28</f>
        <v>75.2954669503164</v>
      </c>
    </row>
    <row r="233" customFormat="false" ht="12.8" hidden="false" customHeight="false" outlineLevel="0" collapsed="false">
      <c r="A233" s="1" t="n">
        <v>229</v>
      </c>
      <c r="B233" s="37" t="n">
        <v>43774</v>
      </c>
      <c r="C233" s="38" t="n">
        <f aca="false">V$26-V$26*SIN(2*PI()/365*A233)</f>
        <v>24.3216178774905</v>
      </c>
      <c r="D233" s="2" t="n">
        <f aca="false">IF((E233+F233)&gt;C233,C233,E233+F233)</f>
        <v>6.72425013717747</v>
      </c>
      <c r="E233" s="38" t="n">
        <f aca="false">(V$23+V$24*SIN(2*PI()/365*A233))*V$25/100*V$7*V$8/100</f>
        <v>5.54909010680532</v>
      </c>
      <c r="F233" s="38" t="n">
        <f aca="false">(V$23+V$24*SIN(2*PI()/365*A233))*V$25/100*V$9*(1-V$14/100)*(1-V$16/100)</f>
        <v>1.17516003037214</v>
      </c>
      <c r="G233" s="38" t="n">
        <f aca="false">IF(C233&gt;E233,100,C233/E233*100)</f>
        <v>100</v>
      </c>
      <c r="H233" s="38" t="n">
        <f aca="false">L233/F233*100</f>
        <v>100</v>
      </c>
      <c r="I233" s="38" t="n">
        <f aca="false">(V$23+V$24*SIN(2*PI()/365*A233))*V$25/100*V$7*V$8/100*(1-V$15/100)</f>
        <v>4.93869019505674</v>
      </c>
      <c r="J233" s="38" t="n">
        <f aca="false">(V$23+V$24*SIN(2*PI()/365*A233))*V$25/100*V$9*(1-V$14/100)</f>
        <v>1.32040452850803</v>
      </c>
      <c r="K233" s="39" t="n">
        <f aca="false">IF(E233/C233*100&lt;100,E233/C233*100,100)</f>
        <v>22.815464558141</v>
      </c>
      <c r="L233" s="2" t="n">
        <f aca="false">IF(((C233-E233)&gt;0)AND(F233&gt;(C233-E233)),(C233-E233),IF(C233&lt;E233,0,F233))</f>
        <v>1.17516003037214</v>
      </c>
      <c r="M233" s="2" t="n">
        <f aca="false">IF(C233&lt;(E233+F233),0,C233-E233-F233)</f>
        <v>17.597367740313</v>
      </c>
      <c r="N233" s="2" t="n">
        <f aca="false">IF(C233&lt;(E233+F233),0,(C233-E233-F233)/(1-V$16/100))</f>
        <v>19.7723233037225</v>
      </c>
      <c r="O233" s="2" t="n">
        <f aca="false">L233+M233</f>
        <v>18.7725277706851</v>
      </c>
      <c r="P233" s="2" t="n">
        <f aca="false">IF( N233=0,I233*(1-G233/100)+J233*(1-H233/100),-N233)</f>
        <v>-19.7723233037225</v>
      </c>
      <c r="Q233" s="47" t="n">
        <f aca="false">IF(P232&gt;0,Q232+P232*(1-V$20/100),Q232+P232)</f>
        <v>2964.54533010885</v>
      </c>
      <c r="R233" s="48" t="n">
        <f aca="false">R$4+Q233/V$28</f>
        <v>75.0661815226549</v>
      </c>
    </row>
    <row r="234" customFormat="false" ht="12.8" hidden="false" customHeight="false" outlineLevel="0" collapsed="false">
      <c r="A234" s="1" t="n">
        <v>230</v>
      </c>
      <c r="B234" s="37" t="n">
        <v>43775</v>
      </c>
      <c r="C234" s="38" t="n">
        <f aca="false">V$26-V$26*SIN(2*PI()/365*A234)</f>
        <v>24.489842992414</v>
      </c>
      <c r="D234" s="2" t="n">
        <f aca="false">IF((E234+F234)&gt;C234,C234,E234+F234)</f>
        <v>6.55304934804817</v>
      </c>
      <c r="E234" s="38" t="n">
        <f aca="false">(V$23+V$24*SIN(2*PI()/365*A234))*V$25/100*V$7*V$8/100</f>
        <v>5.40780913333556</v>
      </c>
      <c r="F234" s="38" t="n">
        <f aca="false">(V$23+V$24*SIN(2*PI()/365*A234))*V$25/100*V$9*(1-V$14/100)*(1-V$16/100)</f>
        <v>1.14524021471261</v>
      </c>
      <c r="G234" s="38" t="n">
        <f aca="false">IF(C234&gt;E234,100,C234/E234*100)</f>
        <v>100</v>
      </c>
      <c r="H234" s="38" t="n">
        <f aca="false">L234/F234*100</f>
        <v>100</v>
      </c>
      <c r="I234" s="38" t="n">
        <f aca="false">(V$23+V$24*SIN(2*PI()/365*A234))*V$25/100*V$7*V$8/100*(1-V$15/100)</f>
        <v>4.81295012866864</v>
      </c>
      <c r="J234" s="38" t="n">
        <f aca="false">(V$23+V$24*SIN(2*PI()/365*A234))*V$25/100*V$9*(1-V$14/100)</f>
        <v>1.28678675810406</v>
      </c>
      <c r="K234" s="39" t="n">
        <f aca="false">IF(E234/C234*100&lt;100,E234/C234*100,100)</f>
        <v>22.0818448489469</v>
      </c>
      <c r="L234" s="2" t="n">
        <f aca="false">IF(((C234-E234)&gt;0)AND(F234&gt;(C234-E234)),(C234-E234),IF(C234&lt;E234,0,F234))</f>
        <v>1.14524021471261</v>
      </c>
      <c r="M234" s="2" t="n">
        <f aca="false">IF(C234&lt;(E234+F234),0,C234-E234-F234)</f>
        <v>17.9367936443658</v>
      </c>
      <c r="N234" s="2" t="n">
        <f aca="false">IF(C234&lt;(E234+F234),0,(C234-E234-F234)/(1-V$16/100))</f>
        <v>20.1537007240066</v>
      </c>
      <c r="O234" s="2" t="n">
        <f aca="false">L234+M234</f>
        <v>19.0820338590785</v>
      </c>
      <c r="P234" s="2" t="n">
        <f aca="false">IF( N234=0,I234*(1-G234/100)+J234*(1-H234/100),-N234)</f>
        <v>-20.1537007240066</v>
      </c>
      <c r="Q234" s="47" t="n">
        <f aca="false">IF(P233&gt;0,Q233+P233*(1-V$20/100),Q233+P233)</f>
        <v>2944.77300680513</v>
      </c>
      <c r="R234" s="48" t="n">
        <f aca="false">R$4+Q234/V$28</f>
        <v>74.8323042157198</v>
      </c>
    </row>
    <row r="235" customFormat="false" ht="12.8" hidden="false" customHeight="false" outlineLevel="0" collapsed="false">
      <c r="A235" s="1" t="n">
        <v>231</v>
      </c>
      <c r="B235" s="37" t="n">
        <v>43776</v>
      </c>
      <c r="C235" s="38" t="n">
        <f aca="false">V$26-V$26*SIN(2*PI()/365*A235)</f>
        <v>24.6550070333682</v>
      </c>
      <c r="D235" s="2" t="n">
        <f aca="false">IF((E235+F235)&gt;C235,C235,E235+F235)</f>
        <v>6.38496377913655</v>
      </c>
      <c r="E235" s="38" t="n">
        <f aca="false">(V$23+V$24*SIN(2*PI()/365*A235))*V$25/100*V$7*V$8/100</f>
        <v>5.26909895026439</v>
      </c>
      <c r="F235" s="38" t="n">
        <f aca="false">(V$23+V$24*SIN(2*PI()/365*A235))*V$25/100*V$9*(1-V$14/100)*(1-V$16/100)</f>
        <v>1.11586482887216</v>
      </c>
      <c r="G235" s="38" t="n">
        <f aca="false">IF(C235&gt;E235,100,C235/E235*100)</f>
        <v>100</v>
      </c>
      <c r="H235" s="38" t="n">
        <f aca="false">L235/F235*100</f>
        <v>100</v>
      </c>
      <c r="I235" s="38" t="n">
        <f aca="false">(V$23+V$24*SIN(2*PI()/365*A235))*V$25/100*V$7*V$8/100*(1-V$15/100)</f>
        <v>4.68949806573531</v>
      </c>
      <c r="J235" s="38" t="n">
        <f aca="false">(V$23+V$24*SIN(2*PI()/365*A235))*V$25/100*V$9*(1-V$14/100)</f>
        <v>1.25378070659794</v>
      </c>
      <c r="K235" s="39" t="n">
        <f aca="false">IF(E235/C235*100&lt;100,E235/C235*100,100)</f>
        <v>21.37131392067</v>
      </c>
      <c r="L235" s="2" t="n">
        <f aca="false">IF(((C235-E235)&gt;0)AND(F235&gt;(C235-E235)),(C235-E235),IF(C235&lt;E235,0,F235))</f>
        <v>1.11586482887216</v>
      </c>
      <c r="M235" s="2" t="n">
        <f aca="false">IF(C235&lt;(E235+F235),0,C235-E235-F235)</f>
        <v>18.2700432542317</v>
      </c>
      <c r="N235" s="2" t="n">
        <f aca="false">IF(C235&lt;(E235+F235),0,(C235-E235-F235)/(1-V$16/100))</f>
        <v>20.5281384879008</v>
      </c>
      <c r="O235" s="2" t="n">
        <f aca="false">L235+M235</f>
        <v>19.3859080831038</v>
      </c>
      <c r="P235" s="2" t="n">
        <f aca="false">IF( N235=0,I235*(1-G235/100)+J235*(1-H235/100),-N235)</f>
        <v>-20.5281384879008</v>
      </c>
      <c r="Q235" s="47" t="n">
        <f aca="false">IF(P234&gt;0,Q234+P234*(1-V$20/100),Q234+P234)</f>
        <v>2924.61930608112</v>
      </c>
      <c r="R235" s="48" t="n">
        <f aca="false">R$4+Q235/V$28</f>
        <v>74.593915778625</v>
      </c>
    </row>
    <row r="236" customFormat="false" ht="12.8" hidden="false" customHeight="false" outlineLevel="0" collapsed="false">
      <c r="A236" s="1" t="n">
        <v>232</v>
      </c>
      <c r="B236" s="37" t="n">
        <v>43777</v>
      </c>
      <c r="C236" s="38" t="n">
        <f aca="false">V$26-V$26*SIN(2*PI()/365*A236)</f>
        <v>24.8170610586833</v>
      </c>
      <c r="D236" s="2" t="n">
        <f aca="false">IF((E236+F236)&gt;C236,C236,E236+F236)</f>
        <v>6.22004323782427</v>
      </c>
      <c r="E236" s="38" t="n">
        <f aca="false">(V$23+V$24*SIN(2*PI()/365*A236))*V$25/100*V$7*V$8/100</f>
        <v>5.13300066041269</v>
      </c>
      <c r="F236" s="38" t="n">
        <f aca="false">(V$23+V$24*SIN(2*PI()/365*A236))*V$25/100*V$9*(1-V$14/100)*(1-V$16/100)</f>
        <v>1.08704257741159</v>
      </c>
      <c r="G236" s="38" t="n">
        <f aca="false">IF(C236&gt;E236,100,C236/E236*100)</f>
        <v>100</v>
      </c>
      <c r="H236" s="38" t="n">
        <f aca="false">L236/F236*100</f>
        <v>100</v>
      </c>
      <c r="I236" s="38" t="n">
        <f aca="false">(V$23+V$24*SIN(2*PI()/365*A236))*V$25/100*V$7*V$8/100*(1-V$15/100)</f>
        <v>4.56837058776729</v>
      </c>
      <c r="J236" s="38" t="n">
        <f aca="false">(V$23+V$24*SIN(2*PI()/365*A236))*V$25/100*V$9*(1-V$14/100)</f>
        <v>1.22139615439504</v>
      </c>
      <c r="K236" s="39" t="n">
        <f aca="false">IF(E236/C236*100&lt;100,E236/C236*100,100)</f>
        <v>20.6833542790382</v>
      </c>
      <c r="L236" s="2" t="n">
        <f aca="false">IF(((C236-E236)&gt;0)AND(F236&gt;(C236-E236)),(C236-E236),IF(C236&lt;E236,0,F236))</f>
        <v>1.08704257741159</v>
      </c>
      <c r="M236" s="2" t="n">
        <f aca="false">IF(C236&lt;(E236+F236),0,C236-E236-F236)</f>
        <v>18.597017820859</v>
      </c>
      <c r="N236" s="2" t="n">
        <f aca="false">IF(C236&lt;(E236+F236),0,(C236-E236-F236)/(1-V$16/100))</f>
        <v>20.8955256414146</v>
      </c>
      <c r="O236" s="2" t="n">
        <f aca="false">L236+M236</f>
        <v>19.6840603982706</v>
      </c>
      <c r="P236" s="2" t="n">
        <f aca="false">IF( N236=0,I236*(1-G236/100)+J236*(1-H236/100),-N236)</f>
        <v>-20.8955256414146</v>
      </c>
      <c r="Q236" s="47" t="n">
        <f aca="false">IF(P235&gt;0,Q235+P235*(1-V$20/100),Q235+P235)</f>
        <v>2904.09116759322</v>
      </c>
      <c r="R236" s="48" t="n">
        <f aca="false">R$4+Q236/V$28</f>
        <v>74.3510982972298</v>
      </c>
    </row>
    <row r="237" customFormat="false" ht="12.8" hidden="false" customHeight="false" outlineLevel="0" collapsed="false">
      <c r="A237" s="1" t="n">
        <v>233</v>
      </c>
      <c r="B237" s="37" t="n">
        <v>43778</v>
      </c>
      <c r="C237" s="38" t="n">
        <f aca="false">V$26-V$26*SIN(2*PI()/365*A237)</f>
        <v>24.975957048254</v>
      </c>
      <c r="D237" s="2" t="n">
        <f aca="false">IF((E237+F237)&gt;C237,C237,E237+F237)</f>
        <v>6.058336593627</v>
      </c>
      <c r="E237" s="38" t="n">
        <f aca="false">(V$23+V$24*SIN(2*PI()/365*A237))*V$25/100*V$7*V$8/100</f>
        <v>4.99955459264096</v>
      </c>
      <c r="F237" s="38" t="n">
        <f aca="false">(V$23+V$24*SIN(2*PI()/365*A237))*V$25/100*V$9*(1-V$14/100)*(1-V$16/100)</f>
        <v>1.05878200098603</v>
      </c>
      <c r="G237" s="38" t="n">
        <f aca="false">IF(C237&gt;E237,100,C237/E237*100)</f>
        <v>100</v>
      </c>
      <c r="H237" s="38" t="n">
        <f aca="false">L237/F237*100</f>
        <v>100</v>
      </c>
      <c r="I237" s="38" t="n">
        <f aca="false">(V$23+V$24*SIN(2*PI()/365*A237))*V$25/100*V$7*V$8/100*(1-V$15/100)</f>
        <v>4.44960358745046</v>
      </c>
      <c r="J237" s="38" t="n">
        <f aca="false">(V$23+V$24*SIN(2*PI()/365*A237))*V$25/100*V$9*(1-V$14/100)</f>
        <v>1.18964269773712</v>
      </c>
      <c r="K237" s="39" t="n">
        <f aca="false">IF(E237/C237*100&lt;100,E237/C237*100,100)</f>
        <v>20.017469532726</v>
      </c>
      <c r="L237" s="2" t="n">
        <f aca="false">IF(((C237-E237)&gt;0)AND(F237&gt;(C237-E237)),(C237-E237),IF(C237&lt;E237,0,F237))</f>
        <v>1.05878200098603</v>
      </c>
      <c r="M237" s="2" t="n">
        <f aca="false">IF(C237&lt;(E237+F237),0,C237-E237-F237)</f>
        <v>18.917620454627</v>
      </c>
      <c r="N237" s="2" t="n">
        <f aca="false">IF(C237&lt;(E237+F237),0,(C237-E237-F237)/(1-V$16/100))</f>
        <v>21.2557533198056</v>
      </c>
      <c r="O237" s="2" t="n">
        <f aca="false">L237+M237</f>
        <v>19.976402455613</v>
      </c>
      <c r="P237" s="2" t="n">
        <f aca="false">IF( N237=0,I237*(1-G237/100)+J237*(1-H237/100),-N237)</f>
        <v>-21.2557533198056</v>
      </c>
      <c r="Q237" s="47" t="n">
        <f aca="false">IF(P236&gt;0,Q236+P236*(1-V$20/100),Q236+P236)</f>
        <v>2883.19564195181</v>
      </c>
      <c r="R237" s="48" t="n">
        <f aca="false">R$4+Q237/V$28</f>
        <v>74.1039351698149</v>
      </c>
    </row>
    <row r="238" customFormat="false" ht="12.8" hidden="false" customHeight="false" outlineLevel="0" collapsed="false">
      <c r="A238" s="1" t="n">
        <v>234</v>
      </c>
      <c r="B238" s="37" t="n">
        <v>43779</v>
      </c>
      <c r="C238" s="38" t="n">
        <f aca="false">V$26-V$26*SIN(2*PI()/365*A238)</f>
        <v>25.1316479177694</v>
      </c>
      <c r="D238" s="2" t="n">
        <f aca="false">IF((E238+F238)&gt;C238,C238,E238+F238)</f>
        <v>5.89989176371332</v>
      </c>
      <c r="E238" s="38" t="n">
        <f aca="false">(V$23+V$24*SIN(2*PI()/365*A238))*V$25/100*V$7*V$8/100</f>
        <v>4.86880028989911</v>
      </c>
      <c r="F238" s="38" t="n">
        <f aca="false">(V$23+V$24*SIN(2*PI()/365*A238))*V$25/100*V$9*(1-V$14/100)*(1-V$16/100)</f>
        <v>1.03109147381421</v>
      </c>
      <c r="G238" s="38" t="n">
        <f aca="false">IF(C238&gt;E238,100,C238/E238*100)</f>
        <v>100</v>
      </c>
      <c r="H238" s="38" t="n">
        <f aca="false">L238/F238*100</f>
        <v>100</v>
      </c>
      <c r="I238" s="38" t="n">
        <f aca="false">(V$23+V$24*SIN(2*PI()/365*A238))*V$25/100*V$7*V$8/100*(1-V$15/100)</f>
        <v>4.33323225801021</v>
      </c>
      <c r="J238" s="38" t="n">
        <f aca="false">(V$23+V$24*SIN(2*PI()/365*A238))*V$25/100*V$9*(1-V$14/100)</f>
        <v>1.15852974585866</v>
      </c>
      <c r="K238" s="39" t="n">
        <f aca="false">IF(E238/C238*100&lt;100,E238/C238*100,100)</f>
        <v>19.3731835883973</v>
      </c>
      <c r="L238" s="2" t="n">
        <f aca="false">IF(((C238-E238)&gt;0)AND(F238&gt;(C238-E238)),(C238-E238),IF(C238&lt;E238,0,F238))</f>
        <v>1.03109147381421</v>
      </c>
      <c r="M238" s="2" t="n">
        <f aca="false">IF(C238&lt;(E238+F238),0,C238-E238-F238)</f>
        <v>19.2317561540561</v>
      </c>
      <c r="N238" s="2" t="n">
        <f aca="false">IF(C238&lt;(E238+F238),0,(C238-E238-F238)/(1-V$16/100))</f>
        <v>21.6087147798383</v>
      </c>
      <c r="O238" s="2" t="n">
        <f aca="false">L238+M238</f>
        <v>20.2628476278703</v>
      </c>
      <c r="P238" s="2" t="n">
        <f aca="false">IF( N238=0,I238*(1-G238/100)+J238*(1-H238/100),-N238)</f>
        <v>-21.6087147798383</v>
      </c>
      <c r="Q238" s="47" t="n">
        <f aca="false">IF(P237&gt;0,Q237+P237*(1-V$20/100),Q237+P237)</f>
        <v>2861.939888632</v>
      </c>
      <c r="R238" s="48" t="n">
        <f aca="false">R$4+Q238/V$28</f>
        <v>73.8525110823695</v>
      </c>
    </row>
    <row r="239" customFormat="false" ht="12.8" hidden="false" customHeight="false" outlineLevel="0" collapsed="false">
      <c r="A239" s="1" t="n">
        <v>235</v>
      </c>
      <c r="B239" s="37" t="n">
        <v>43780</v>
      </c>
      <c r="C239" s="38" t="n">
        <f aca="false">V$26-V$26*SIN(2*PI()/365*A239)</f>
        <v>25.2840875326649</v>
      </c>
      <c r="D239" s="2" t="n">
        <f aca="false">IF((E239+F239)&gt;C239,C239,E239+F239)</f>
        <v>5.74475569870586</v>
      </c>
      <c r="E239" s="38" t="n">
        <f aca="false">(V$23+V$24*SIN(2*PI()/365*A239))*V$25/100*V$7*V$8/100</f>
        <v>4.74077649750894</v>
      </c>
      <c r="F239" s="38" t="n">
        <f aca="false">(V$23+V$24*SIN(2*PI()/365*A239))*V$25/100*V$9*(1-V$14/100)*(1-V$16/100)</f>
        <v>1.00397920119692</v>
      </c>
      <c r="G239" s="38" t="n">
        <f aca="false">IF(C239&gt;E239,100,C239/E239*100)</f>
        <v>100</v>
      </c>
      <c r="H239" s="38" t="n">
        <f aca="false">L239/F239*100</f>
        <v>100</v>
      </c>
      <c r="I239" s="38" t="n">
        <f aca="false">(V$23+V$24*SIN(2*PI()/365*A239))*V$25/100*V$7*V$8/100*(1-V$15/100)</f>
        <v>4.21929108278296</v>
      </c>
      <c r="J239" s="38" t="n">
        <f aca="false">(V$23+V$24*SIN(2*PI()/365*A239))*V$25/100*V$9*(1-V$14/100)</f>
        <v>1.12806651819879</v>
      </c>
      <c r="K239" s="39" t="n">
        <f aca="false">IF(E239/C239*100&lt;100,E239/C239*100,100)</f>
        <v>18.7500398872779</v>
      </c>
      <c r="L239" s="2" t="n">
        <f aca="false">IF(((C239-E239)&gt;0)AND(F239&gt;(C239-E239)),(C239-E239),IF(C239&lt;E239,0,F239))</f>
        <v>1.00397920119692</v>
      </c>
      <c r="M239" s="2" t="n">
        <f aca="false">IF(C239&lt;(E239+F239),0,C239-E239-F239)</f>
        <v>19.539331833959</v>
      </c>
      <c r="N239" s="2" t="n">
        <f aca="false">IF(C239&lt;(E239+F239),0,(C239-E239-F239)/(1-V$16/100))</f>
        <v>21.9543054314146</v>
      </c>
      <c r="O239" s="2" t="n">
        <f aca="false">L239+M239</f>
        <v>20.5433110351559</v>
      </c>
      <c r="P239" s="2" t="n">
        <f aca="false">IF( N239=0,I239*(1-G239/100)+J239*(1-H239/100),-N239)</f>
        <v>-21.9543054314146</v>
      </c>
      <c r="Q239" s="47" t="n">
        <f aca="false">IF(P238&gt;0,Q238+P238*(1-V$20/100),Q238+P238)</f>
        <v>2840.33117385216</v>
      </c>
      <c r="R239" s="48" t="n">
        <f aca="false">R$4+Q239/V$28</f>
        <v>73.5969119834975</v>
      </c>
    </row>
    <row r="240" customFormat="false" ht="12.8" hidden="false" customHeight="false" outlineLevel="0" collapsed="false">
      <c r="A240" s="1" t="n">
        <v>236</v>
      </c>
      <c r="B240" s="37" t="n">
        <v>43781</v>
      </c>
      <c r="C240" s="38" t="n">
        <f aca="false">V$26-V$26*SIN(2*PI()/365*A240)</f>
        <v>25.4332307217925</v>
      </c>
      <c r="D240" s="2" t="n">
        <f aca="false">IF((E240+F240)&gt;C240,C240,E240+F240)</f>
        <v>5.59297436876878</v>
      </c>
      <c r="E240" s="38" t="n">
        <f aca="false">(V$23+V$24*SIN(2*PI()/365*A240))*V$25/100*V$7*V$8/100</f>
        <v>4.6155211516831</v>
      </c>
      <c r="F240" s="38" t="n">
        <f aca="false">(V$23+V$24*SIN(2*PI()/365*A240))*V$25/100*V$9*(1-V$14/100)*(1-V$16/100)</f>
        <v>0.977453217085681</v>
      </c>
      <c r="G240" s="38" t="n">
        <f aca="false">IF(C240&gt;E240,100,C240/E240*100)</f>
        <v>100</v>
      </c>
      <c r="H240" s="38" t="n">
        <f aca="false">L240/F240*100</f>
        <v>100</v>
      </c>
      <c r="I240" s="38" t="n">
        <f aca="false">(V$23+V$24*SIN(2*PI()/365*A240))*V$25/100*V$7*V$8/100*(1-V$15/100)</f>
        <v>4.10781382499796</v>
      </c>
      <c r="J240" s="38" t="n">
        <f aca="false">(V$23+V$24*SIN(2*PI()/365*A240))*V$25/100*V$9*(1-V$14/100)</f>
        <v>1.0982620416693</v>
      </c>
      <c r="K240" s="39" t="n">
        <f aca="false">IF(E240/C240*100&lt;100,E240/C240*100,100)</f>
        <v>18.1476006810581</v>
      </c>
      <c r="L240" s="2" t="n">
        <f aca="false">IF(((C240-E240)&gt;0)AND(F240&gt;(C240-E240)),(C240-E240),IF(C240&lt;E240,0,F240))</f>
        <v>0.977453217085681</v>
      </c>
      <c r="M240" s="2" t="n">
        <f aca="false">IF(C240&lt;(E240+F240),0,C240-E240-F240)</f>
        <v>19.8402563530238</v>
      </c>
      <c r="N240" s="2" t="n">
        <f aca="false">IF(C240&lt;(E240+F240),0,(C240-E240-F240)/(1-V$16/100))</f>
        <v>22.292422868566</v>
      </c>
      <c r="O240" s="2" t="n">
        <f aca="false">L240+M240</f>
        <v>20.8177095701094</v>
      </c>
      <c r="P240" s="2" t="n">
        <f aca="false">IF( N240=0,I240*(1-G240/100)+J240*(1-H240/100),-N240)</f>
        <v>-22.292422868566</v>
      </c>
      <c r="Q240" s="47" t="n">
        <f aca="false">IF(P239&gt;0,Q239+P239*(1-V$20/100),Q239+P239)</f>
        <v>2818.37686842075</v>
      </c>
      <c r="R240" s="48" t="n">
        <f aca="false">R$4+Q240/V$28</f>
        <v>73.3372250589486</v>
      </c>
    </row>
    <row r="241" customFormat="false" ht="12.8" hidden="false" customHeight="false" outlineLevel="0" collapsed="false">
      <c r="A241" s="1" t="n">
        <v>237</v>
      </c>
      <c r="B241" s="37" t="n">
        <v>43782</v>
      </c>
      <c r="C241" s="38" t="n">
        <f aca="false">V$26-V$26*SIN(2*PI()/365*A241)</f>
        <v>25.5790332908067</v>
      </c>
      <c r="D241" s="2" t="n">
        <f aca="false">IF((E241+F241)&gt;C241,C241,E241+F241)</f>
        <v>5.44459274998587</v>
      </c>
      <c r="E241" s="38" t="n">
        <f aca="false">(V$23+V$24*SIN(2*PI()/365*A241))*V$25/100*V$7*V$8/100</f>
        <v>4.49307136828381</v>
      </c>
      <c r="F241" s="38" t="n">
        <f aca="false">(V$23+V$24*SIN(2*PI()/365*A241))*V$25/100*V$9*(1-V$14/100)*(1-V$16/100)</f>
        <v>0.951521381702057</v>
      </c>
      <c r="G241" s="38" t="n">
        <f aca="false">IF(C241&gt;E241,100,C241/E241*100)</f>
        <v>100</v>
      </c>
      <c r="H241" s="38" t="n">
        <f aca="false">L241/F241*100</f>
        <v>100</v>
      </c>
      <c r="I241" s="38" t="n">
        <f aca="false">(V$23+V$24*SIN(2*PI()/365*A241))*V$25/100*V$7*V$8/100*(1-V$15/100)</f>
        <v>3.99883351777259</v>
      </c>
      <c r="J241" s="38" t="n">
        <f aca="false">(V$23+V$24*SIN(2*PI()/365*A241))*V$25/100*V$9*(1-V$14/100)</f>
        <v>1.06912514797984</v>
      </c>
      <c r="K241" s="39" t="n">
        <f aca="false">IF(E241/C241*100&lt;100,E241/C241*100,100)</f>
        <v>17.5654463450683</v>
      </c>
      <c r="L241" s="2" t="n">
        <f aca="false">IF(((C241-E241)&gt;0)AND(F241&gt;(C241-E241)),(C241-E241),IF(C241&lt;E241,0,F241))</f>
        <v>0.951521381702057</v>
      </c>
      <c r="M241" s="2" t="n">
        <f aca="false">IF(C241&lt;(E241+F241),0,C241-E241-F241)</f>
        <v>20.1344405408208</v>
      </c>
      <c r="N241" s="2" t="n">
        <f aca="false">IF(C241&lt;(E241+F241),0,(C241-E241-F241)/(1-V$16/100))</f>
        <v>22.6229668997987</v>
      </c>
      <c r="O241" s="2" t="n">
        <f aca="false">L241+M241</f>
        <v>21.0859619225229</v>
      </c>
      <c r="P241" s="2" t="n">
        <f aca="false">IF( N241=0,I241*(1-G241/100)+J241*(1-H241/100),-N241)</f>
        <v>-22.6229668997987</v>
      </c>
      <c r="Q241" s="47" t="n">
        <f aca="false">IF(P240&gt;0,Q240+P240*(1-V$20/100),Q240+P240)</f>
        <v>2796.08444555218</v>
      </c>
      <c r="R241" s="48" t="n">
        <f aca="false">R$4+Q241/V$28</f>
        <v>73.0735387057835</v>
      </c>
    </row>
    <row r="242" customFormat="false" ht="12.8" hidden="false" customHeight="false" outlineLevel="0" collapsed="false">
      <c r="A242" s="1" t="n">
        <v>238</v>
      </c>
      <c r="B242" s="37" t="n">
        <v>43783</v>
      </c>
      <c r="C242" s="38" t="n">
        <f aca="false">V$26-V$26*SIN(2*PI()/365*A242)</f>
        <v>25.7214520352594</v>
      </c>
      <c r="D242" s="2" t="n">
        <f aca="false">IF((E242+F242)&gt;C242,C242,E242+F242)</f>
        <v>5.2996548110331</v>
      </c>
      <c r="E242" s="38" t="n">
        <f aca="false">(V$23+V$24*SIN(2*PI()/365*A242))*V$25/100*V$7*V$8/100</f>
        <v>4.37346343182457</v>
      </c>
      <c r="F242" s="38" t="n">
        <f aca="false">(V$23+V$24*SIN(2*PI()/365*A242))*V$25/100*V$9*(1-V$14/100)*(1-V$16/100)</f>
        <v>0.926191379208529</v>
      </c>
      <c r="G242" s="38" t="n">
        <f aca="false">IF(C242&gt;E242,100,C242/E242*100)</f>
        <v>100</v>
      </c>
      <c r="H242" s="38" t="n">
        <f aca="false">L242/F242*100</f>
        <v>100</v>
      </c>
      <c r="I242" s="38" t="n">
        <f aca="false">(V$23+V$24*SIN(2*PI()/365*A242))*V$25/100*V$7*V$8/100*(1-V$15/100)</f>
        <v>3.89238245432387</v>
      </c>
      <c r="J242" s="38" t="n">
        <f aca="false">(V$23+V$24*SIN(2*PI()/365*A242))*V$25/100*V$9*(1-V$14/100)</f>
        <v>1.04066447102082</v>
      </c>
      <c r="K242" s="39" t="n">
        <f aca="false">IF(E242/C242*100&lt;100,E242/C242*100,100)</f>
        <v>17.0031747267975</v>
      </c>
      <c r="L242" s="2" t="n">
        <f aca="false">IF(((C242-E242)&gt;0)AND(F242&gt;(C242-E242)),(C242-E242),IF(C242&lt;E242,0,F242))</f>
        <v>0.926191379208529</v>
      </c>
      <c r="M242" s="2" t="n">
        <f aca="false">IF(C242&lt;(E242+F242),0,C242-E242-F242)</f>
        <v>20.4217972242263</v>
      </c>
      <c r="N242" s="2" t="n">
        <f aca="false">IF(C242&lt;(E242+F242),0,(C242-E242-F242)/(1-V$16/100))</f>
        <v>22.9458395777824</v>
      </c>
      <c r="O242" s="2" t="n">
        <f aca="false">L242+M242</f>
        <v>21.3479886034348</v>
      </c>
      <c r="P242" s="2" t="n">
        <f aca="false">IF( N242=0,I242*(1-G242/100)+J242*(1-H242/100),-N242)</f>
        <v>-22.9458395777824</v>
      </c>
      <c r="Q242" s="47" t="n">
        <f aca="false">IF(P241&gt;0,Q241+P241*(1-V$20/100),Q241+P241)</f>
        <v>2773.46147865239</v>
      </c>
      <c r="R242" s="48" t="n">
        <f aca="false">R$4+Q242/V$28</f>
        <v>72.80594250618</v>
      </c>
    </row>
    <row r="243" customFormat="false" ht="12.8" hidden="false" customHeight="false" outlineLevel="0" collapsed="false">
      <c r="A243" s="1" t="n">
        <v>239</v>
      </c>
      <c r="B243" s="37" t="n">
        <v>43784</v>
      </c>
      <c r="C243" s="38" t="n">
        <f aca="false">V$26-V$26*SIN(2*PI()/365*A243)</f>
        <v>25.8604447534031</v>
      </c>
      <c r="D243" s="2" t="n">
        <f aca="false">IF((E243+F243)&gt;C243,C243,E243+F243)</f>
        <v>5.1582035001498</v>
      </c>
      <c r="E243" s="38" t="n">
        <f aca="false">(V$23+V$24*SIN(2*PI()/365*A243))*V$25/100*V$7*V$8/100</f>
        <v>4.2567327847183</v>
      </c>
      <c r="F243" s="38" t="n">
        <f aca="false">(V$23+V$24*SIN(2*PI()/365*A243))*V$25/100*V$9*(1-V$14/100)*(1-V$16/100)</f>
        <v>0.901470715431501</v>
      </c>
      <c r="G243" s="38" t="n">
        <f aca="false">IF(C243&gt;E243,100,C243/E243*100)</f>
        <v>100</v>
      </c>
      <c r="H243" s="38" t="n">
        <f aca="false">L243/F243*100</f>
        <v>100</v>
      </c>
      <c r="I243" s="38" t="n">
        <f aca="false">(V$23+V$24*SIN(2*PI()/365*A243))*V$25/100*V$7*V$8/100*(1-V$15/100)</f>
        <v>3.78849217839929</v>
      </c>
      <c r="J243" s="38" t="n">
        <f aca="false">(V$23+V$24*SIN(2*PI()/365*A243))*V$25/100*V$9*(1-V$14/100)</f>
        <v>1.01288844430506</v>
      </c>
      <c r="K243" s="39" t="n">
        <f aca="false">IF(E243/C243*100&lt;100,E243/C243*100,100)</f>
        <v>16.4604005279458</v>
      </c>
      <c r="L243" s="2" t="n">
        <f aca="false">IF(((C243-E243)&gt;0)AND(F243&gt;(C243-E243)),(C243-E243),IF(C243&lt;E243,0,F243))</f>
        <v>0.901470715431501</v>
      </c>
      <c r="M243" s="2" t="n">
        <f aca="false">IF(C243&lt;(E243+F243),0,C243-E243-F243)</f>
        <v>20.7022412532533</v>
      </c>
      <c r="N243" s="2" t="n">
        <f aca="false">IF(C243&lt;(E243+F243),0,(C243-E243-F243)/(1-V$16/100))</f>
        <v>23.2609452283745</v>
      </c>
      <c r="O243" s="2" t="n">
        <f aca="false">L243+M243</f>
        <v>21.6037119686848</v>
      </c>
      <c r="P243" s="2" t="n">
        <f aca="false">IF( N243=0,I243*(1-G243/100)+J243*(1-H243/100),-N243)</f>
        <v>-23.2609452283745</v>
      </c>
      <c r="Q243" s="47" t="n">
        <f aca="false">IF(P242&gt;0,Q242+P242*(1-V$20/100),Q242+P242)</f>
        <v>2750.5156390746</v>
      </c>
      <c r="R243" s="48" t="n">
        <f aca="false">R$4+Q243/V$28</f>
        <v>72.5345272008878</v>
      </c>
    </row>
    <row r="244" customFormat="false" ht="12.8" hidden="false" customHeight="false" outlineLevel="0" collapsed="false">
      <c r="A244" s="1" t="n">
        <v>240</v>
      </c>
      <c r="B244" s="37" t="n">
        <v>43785</v>
      </c>
      <c r="C244" s="38" t="n">
        <f aca="false">V$26-V$26*SIN(2*PI()/365*A244)</f>
        <v>25.9959702586957</v>
      </c>
      <c r="D244" s="2" t="n">
        <f aca="false">IF((E244+F244)&gt;C244,C244,E244+F244)</f>
        <v>5.02028073241216</v>
      </c>
      <c r="E244" s="38" t="n">
        <f aca="false">(V$23+V$24*SIN(2*PI()/365*A244))*V$25/100*V$7*V$8/100</f>
        <v>4.142914016775</v>
      </c>
      <c r="F244" s="38" t="n">
        <f aca="false">(V$23+V$24*SIN(2*PI()/365*A244))*V$25/100*V$9*(1-V$14/100)*(1-V$16/100)</f>
        <v>0.877366715637168</v>
      </c>
      <c r="G244" s="38" t="n">
        <f aca="false">IF(C244&gt;E244,100,C244/E244*100)</f>
        <v>100</v>
      </c>
      <c r="H244" s="38" t="n">
        <f aca="false">L244/F244*100</f>
        <v>100</v>
      </c>
      <c r="I244" s="38" t="n">
        <f aca="false">(V$23+V$24*SIN(2*PI()/365*A244))*V$25/100*V$7*V$8/100*(1-V$15/100)</f>
        <v>3.68719347492975</v>
      </c>
      <c r="J244" s="38" t="n">
        <f aca="false">(V$23+V$24*SIN(2*PI()/365*A244))*V$25/100*V$9*(1-V$14/100)</f>
        <v>0.985805298468728</v>
      </c>
      <c r="K244" s="39" t="n">
        <f aca="false">IF(E244/C244*100&lt;100,E244/C244*100,100)</f>
        <v>15.9367547183171</v>
      </c>
      <c r="L244" s="2" t="n">
        <f aca="false">IF(((C244-E244)&gt;0)AND(F244&gt;(C244-E244)),(C244-E244),IF(C244&lt;E244,0,F244))</f>
        <v>0.877366715637168</v>
      </c>
      <c r="M244" s="2" t="n">
        <f aca="false">IF(C244&lt;(E244+F244),0,C244-E244-F244)</f>
        <v>20.9756895262836</v>
      </c>
      <c r="N244" s="2" t="n">
        <f aca="false">IF(C244&lt;(E244+F244),0,(C244-E244-F244)/(1-V$16/100))</f>
        <v>23.5681904789703</v>
      </c>
      <c r="O244" s="2" t="n">
        <f aca="false">L244+M244</f>
        <v>21.8530562419207</v>
      </c>
      <c r="P244" s="2" t="n">
        <f aca="false">IF( N244=0,I244*(1-G244/100)+J244*(1-H244/100),-N244)</f>
        <v>-23.5681904789703</v>
      </c>
      <c r="Q244" s="47" t="n">
        <f aca="false">IF(P243&gt;0,Q243+P243*(1-V$20/100),Q243+P243)</f>
        <v>2727.25469384623</v>
      </c>
      <c r="R244" s="48" t="n">
        <f aca="false">R$4+Q244/V$28</f>
        <v>72.2593846623398</v>
      </c>
    </row>
    <row r="245" customFormat="false" ht="12.8" hidden="false" customHeight="false" outlineLevel="0" collapsed="false">
      <c r="A245" s="1" t="n">
        <v>241</v>
      </c>
      <c r="B245" s="37" t="n">
        <v>43786</v>
      </c>
      <c r="C245" s="38" t="n">
        <f aca="false">V$26-V$26*SIN(2*PI()/365*A245)</f>
        <v>26.1279883920051</v>
      </c>
      <c r="D245" s="2" t="n">
        <f aca="false">IF((E245+F245)&gt;C245,C245,E245+F245)</f>
        <v>4.88592737731287</v>
      </c>
      <c r="E245" s="38" t="n">
        <f aca="false">(V$23+V$24*SIN(2*PI()/365*A245))*V$25/100*V$7*V$8/100</f>
        <v>4.032040854952</v>
      </c>
      <c r="F245" s="38" t="n">
        <f aca="false">(V$23+V$24*SIN(2*PI()/365*A245))*V$25/100*V$9*(1-V$14/100)*(1-V$16/100)</f>
        <v>0.853886522360872</v>
      </c>
      <c r="G245" s="38" t="n">
        <f aca="false">IF(C245&gt;E245,100,C245/E245*100)</f>
        <v>100</v>
      </c>
      <c r="H245" s="38" t="n">
        <f aca="false">L245/F245*100</f>
        <v>100</v>
      </c>
      <c r="I245" s="38" t="n">
        <f aca="false">(V$23+V$24*SIN(2*PI()/365*A245))*V$25/100*V$7*V$8/100*(1-V$15/100)</f>
        <v>3.58851636090728</v>
      </c>
      <c r="J245" s="38" t="n">
        <f aca="false">(V$23+V$24*SIN(2*PI()/365*A245))*V$25/100*V$9*(1-V$14/100)</f>
        <v>0.959423058832441</v>
      </c>
      <c r="K245" s="39" t="n">
        <f aca="false">IF(E245/C245*100&lt;100,E245/C245*100,100)</f>
        <v>15.4318839799614</v>
      </c>
      <c r="L245" s="2" t="n">
        <f aca="false">IF(((C245-E245)&gt;0)AND(F245&gt;(C245-E245)),(C245-E245),IF(C245&lt;E245,0,F245))</f>
        <v>0.853886522360872</v>
      </c>
      <c r="M245" s="2" t="n">
        <f aca="false">IF(C245&lt;(E245+F245),0,C245-E245-F245)</f>
        <v>21.2420610146922</v>
      </c>
      <c r="N245" s="2" t="n">
        <f aca="false">IF(C245&lt;(E245+F245),0,(C245-E245-F245)/(1-V$16/100))</f>
        <v>23.867484286171</v>
      </c>
      <c r="O245" s="2" t="n">
        <f aca="false">L245+M245</f>
        <v>22.0959475370531</v>
      </c>
      <c r="P245" s="2" t="n">
        <f aca="false">IF( N245=0,I245*(1-G245/100)+J245*(1-H245/100),-N245)</f>
        <v>-23.867484286171</v>
      </c>
      <c r="Q245" s="47" t="n">
        <f aca="false">IF(P244&gt;0,Q244+P244*(1-V$20/100),Q244+P244)</f>
        <v>2703.68650336726</v>
      </c>
      <c r="R245" s="48" t="n">
        <f aca="false">R$4+Q245/V$28</f>
        <v>71.9806078674288</v>
      </c>
    </row>
    <row r="246" customFormat="false" ht="12.8" hidden="false" customHeight="false" outlineLevel="0" collapsed="false">
      <c r="A246" s="1" t="n">
        <v>242</v>
      </c>
      <c r="B246" s="37" t="n">
        <v>43787</v>
      </c>
      <c r="C246" s="38" t="n">
        <f aca="false">V$26-V$26*SIN(2*PI()/365*A246)</f>
        <v>26.2564600335092</v>
      </c>
      <c r="D246" s="2" t="n">
        <f aca="false">IF((E246+F246)&gt;C246,C246,E246+F246)</f>
        <v>4.75518324665063</v>
      </c>
      <c r="E246" s="38" t="n">
        <f aca="false">(V$23+V$24*SIN(2*PI()/365*A246))*V$25/100*V$7*V$8/100</f>
        <v>3.92414615336</v>
      </c>
      <c r="F246" s="38" t="n">
        <f aca="false">(V$23+V$24*SIN(2*PI()/365*A246))*V$25/100*V$9*(1-V$14/100)*(1-V$16/100)</f>
        <v>0.831037093290628</v>
      </c>
      <c r="G246" s="38" t="n">
        <f aca="false">IF(C246&gt;E246,100,C246/E246*100)</f>
        <v>100</v>
      </c>
      <c r="H246" s="38" t="n">
        <f aca="false">L246/F246*100</f>
        <v>100</v>
      </c>
      <c r="I246" s="38" t="n">
        <f aca="false">(V$23+V$24*SIN(2*PI()/365*A246))*V$25/100*V$7*V$8/100*(1-V$15/100)</f>
        <v>3.4924900764904</v>
      </c>
      <c r="J246" s="38" t="n">
        <f aca="false">(V$23+V$24*SIN(2*PI()/365*A246))*V$25/100*V$9*(1-V$14/100)</f>
        <v>0.933749543023178</v>
      </c>
      <c r="K246" s="39" t="n">
        <f aca="false">IF(E246/C246*100&lt;100,E246/C246*100,100)</f>
        <v>14.9454501800772</v>
      </c>
      <c r="L246" s="2" t="n">
        <f aca="false">IF(((C246-E246)&gt;0)AND(F246&gt;(C246-E246)),(C246-E246),IF(C246&lt;E246,0,F246))</f>
        <v>0.831037093290628</v>
      </c>
      <c r="M246" s="2" t="n">
        <f aca="false">IF(C246&lt;(E246+F246),0,C246-E246-F246)</f>
        <v>21.5012767868585</v>
      </c>
      <c r="N246" s="2" t="n">
        <f aca="false">IF(C246&lt;(E246+F246),0,(C246-E246-F246)/(1-V$16/100))</f>
        <v>24.1587379627624</v>
      </c>
      <c r="O246" s="2" t="n">
        <f aca="false">L246+M246</f>
        <v>22.3323138801492</v>
      </c>
      <c r="P246" s="2" t="n">
        <f aca="false">IF( N246=0,I246*(1-G246/100)+J246*(1-H246/100),-N246)</f>
        <v>-24.1587379627624</v>
      </c>
      <c r="Q246" s="47" t="n">
        <f aca="false">IF(P245&gt;0,Q245+P245*(1-V$20/100),Q245+P245)</f>
        <v>2679.81901908109</v>
      </c>
      <c r="R246" s="48" t="n">
        <f aca="false">R$4+Q246/V$28</f>
        <v>71.6982908699561</v>
      </c>
    </row>
    <row r="247" customFormat="false" ht="12.8" hidden="false" customHeight="false" outlineLevel="0" collapsed="false">
      <c r="A247" s="1" t="n">
        <v>243</v>
      </c>
      <c r="B247" s="37" t="n">
        <v>43788</v>
      </c>
      <c r="C247" s="38" t="n">
        <f aca="false">V$26-V$26*SIN(2*PI()/365*A247)</f>
        <v>26.3813471142879</v>
      </c>
      <c r="D247" s="2" t="n">
        <f aca="false">IF((E247+F247)&gt;C247,C247,E247+F247)</f>
        <v>4.62808708273306</v>
      </c>
      <c r="E247" s="38" t="n">
        <f aca="false">(V$23+V$24*SIN(2*PI()/365*A247))*V$25/100*V$7*V$8/100</f>
        <v>3.81926188352765</v>
      </c>
      <c r="F247" s="38" t="n">
        <f aca="false">(V$23+V$24*SIN(2*PI()/365*A247))*V$25/100*V$9*(1-V$14/100)*(1-V$16/100)</f>
        <v>0.8088251992054</v>
      </c>
      <c r="G247" s="38" t="n">
        <f aca="false">IF(C247&gt;E247,100,C247/E247*100)</f>
        <v>100</v>
      </c>
      <c r="H247" s="38" t="n">
        <f aca="false">L247/F247*100</f>
        <v>100</v>
      </c>
      <c r="I247" s="38" t="n">
        <f aca="false">(V$23+V$24*SIN(2*PI()/365*A247))*V$25/100*V$7*V$8/100*(1-V$15/100)</f>
        <v>3.39914307633961</v>
      </c>
      <c r="J247" s="38" t="n">
        <f aca="false">(V$23+V$24*SIN(2*PI()/365*A247))*V$25/100*V$9*(1-V$14/100)</f>
        <v>0.908792358657753</v>
      </c>
      <c r="K247" s="39" t="n">
        <f aca="false">IF(E247/C247*100&lt;100,E247/C247*100,100)</f>
        <v>14.4771298712763</v>
      </c>
      <c r="L247" s="2" t="n">
        <f aca="false">IF(((C247-E247)&gt;0)AND(F247&gt;(C247-E247)),(C247-E247),IF(C247&lt;E247,0,F247))</f>
        <v>0.8088251992054</v>
      </c>
      <c r="M247" s="2" t="n">
        <f aca="false">IF(C247&lt;(E247+F247),0,C247-E247-F247)</f>
        <v>21.7532600315549</v>
      </c>
      <c r="N247" s="2" t="n">
        <f aca="false">IF(C247&lt;(E247+F247),0,(C247-E247-F247)/(1-V$16/100))</f>
        <v>24.4418652039942</v>
      </c>
      <c r="O247" s="2" t="n">
        <f aca="false">L247+M247</f>
        <v>22.5620852307603</v>
      </c>
      <c r="P247" s="2" t="n">
        <f aca="false">IF( N247=0,I247*(1-G247/100)+J247*(1-H247/100),-N247)</f>
        <v>-24.4418652039942</v>
      </c>
      <c r="Q247" s="47" t="n">
        <f aca="false">IF(P246&gt;0,Q246+P246*(1-V$20/100),Q246+P246)</f>
        <v>2655.66028111832</v>
      </c>
      <c r="R247" s="48" t="n">
        <f aca="false">R$4+Q247/V$28</f>
        <v>71.4125287727615</v>
      </c>
    </row>
    <row r="248" customFormat="false" ht="12.8" hidden="false" customHeight="false" outlineLevel="0" collapsed="false">
      <c r="A248" s="1" t="n">
        <v>244</v>
      </c>
      <c r="B248" s="37" t="n">
        <v>43789</v>
      </c>
      <c r="C248" s="38" t="n">
        <f aca="false">V$26-V$26*SIN(2*PI()/365*A248)</f>
        <v>26.502612627604</v>
      </c>
      <c r="D248" s="2" t="n">
        <f aca="false">IF((E248+F248)&gt;C248,C248,E248+F248)</f>
        <v>4.50467654689646</v>
      </c>
      <c r="E248" s="38" t="n">
        <f aca="false">(V$23+V$24*SIN(2*PI()/365*A248))*V$25/100*V$7*V$8/100</f>
        <v>3.71741912492768</v>
      </c>
      <c r="F248" s="38" t="n">
        <f aca="false">(V$23+V$24*SIN(2*PI()/365*A248))*V$25/100*V$9*(1-V$14/100)*(1-V$16/100)</f>
        <v>0.787257421968777</v>
      </c>
      <c r="G248" s="38" t="n">
        <f aca="false">IF(C248&gt;E248,100,C248/E248*100)</f>
        <v>100</v>
      </c>
      <c r="H248" s="38" t="n">
        <f aca="false">L248/F248*100</f>
        <v>100</v>
      </c>
      <c r="I248" s="38" t="n">
        <f aca="false">(V$23+V$24*SIN(2*PI()/365*A248))*V$25/100*V$7*V$8/100*(1-V$15/100)</f>
        <v>3.30850302118564</v>
      </c>
      <c r="J248" s="38" t="n">
        <f aca="false">(V$23+V$24*SIN(2*PI()/365*A248))*V$25/100*V$9*(1-V$14/100)</f>
        <v>0.884558901088514</v>
      </c>
      <c r="K248" s="39" t="n">
        <f aca="false">IF(E248/C248*100&lt;100,E248/C248*100,100)</f>
        <v>14.0266138178987</v>
      </c>
      <c r="L248" s="2" t="n">
        <f aca="false">IF(((C248-E248)&gt;0)AND(F248&gt;(C248-E248)),(C248-E248),IF(C248&lt;E248,0,F248))</f>
        <v>0.787257421968777</v>
      </c>
      <c r="M248" s="2" t="n">
        <f aca="false">IF(C248&lt;(E248+F248),0,C248-E248-F248)</f>
        <v>21.9979360807076</v>
      </c>
      <c r="N248" s="2" t="n">
        <f aca="false">IF(C248&lt;(E248+F248),0,(C248-E248-F248)/(1-V$16/100))</f>
        <v>24.7167821131546</v>
      </c>
      <c r="O248" s="2" t="n">
        <f aca="false">L248+M248</f>
        <v>22.7851935026764</v>
      </c>
      <c r="P248" s="2" t="n">
        <f aca="false">IF( N248=0,I248*(1-G248/100)+J248*(1-H248/100),-N248)</f>
        <v>-24.7167821131546</v>
      </c>
      <c r="Q248" s="47" t="n">
        <f aca="false">IF(P247&gt;0,Q247+P247*(1-V$20/100),Q247+P247)</f>
        <v>2631.21841591433</v>
      </c>
      <c r="R248" s="48" t="n">
        <f aca="false">R$4+Q248/V$28</f>
        <v>71.123417699542</v>
      </c>
    </row>
    <row r="249" customFormat="false" ht="12.8" hidden="false" customHeight="false" outlineLevel="0" collapsed="false">
      <c r="A249" s="1" t="n">
        <v>245</v>
      </c>
      <c r="B249" s="37" t="n">
        <v>43790</v>
      </c>
      <c r="C249" s="38" t="n">
        <f aca="false">V$26-V$26*SIN(2*PI()/365*A249)</f>
        <v>26.6202206398688</v>
      </c>
      <c r="D249" s="2" t="n">
        <f aca="false">IF((E249+F249)&gt;C249,C249,E249+F249)</f>
        <v>4.38498820834604</v>
      </c>
      <c r="E249" s="38" t="n">
        <f aca="false">(V$23+V$24*SIN(2*PI()/365*A249))*V$25/100*V$7*V$8/100</f>
        <v>3.61864805576741</v>
      </c>
      <c r="F249" s="38" t="n">
        <f aca="false">(V$23+V$24*SIN(2*PI()/365*A249))*V$25/100*V$9*(1-V$14/100)*(1-V$16/100)</f>
        <v>0.766340152578626</v>
      </c>
      <c r="G249" s="38" t="n">
        <f aca="false">IF(C249&gt;E249,100,C249/E249*100)</f>
        <v>100</v>
      </c>
      <c r="H249" s="38" t="n">
        <f aca="false">L249/F249*100</f>
        <v>100</v>
      </c>
      <c r="I249" s="38" t="n">
        <f aca="false">(V$23+V$24*SIN(2*PI()/365*A249))*V$25/100*V$7*V$8/100*(1-V$15/100)</f>
        <v>3.220596769633</v>
      </c>
      <c r="J249" s="38" t="n">
        <f aca="false">(V$23+V$24*SIN(2*PI()/365*A249))*V$25/100*V$9*(1-V$14/100)</f>
        <v>0.861056351211939</v>
      </c>
      <c r="K249" s="39" t="n">
        <f aca="false">IF(E249/C249*100&lt;100,E249/C249*100,100)</f>
        <v>13.5936065471516</v>
      </c>
      <c r="L249" s="2" t="n">
        <f aca="false">IF(((C249-E249)&gt;0)AND(F249&gt;(C249-E249)),(C249-E249),IF(C249&lt;E249,0,F249))</f>
        <v>0.766340152578626</v>
      </c>
      <c r="M249" s="2" t="n">
        <f aca="false">IF(C249&lt;(E249+F249),0,C249-E249-F249)</f>
        <v>22.2352324315228</v>
      </c>
      <c r="N249" s="2" t="n">
        <f aca="false">IF(C249&lt;(E249+F249),0,(C249-E249-F249)/(1-V$16/100))</f>
        <v>24.9834072264301</v>
      </c>
      <c r="O249" s="2" t="n">
        <f aca="false">L249+M249</f>
        <v>23.0015725841014</v>
      </c>
      <c r="P249" s="2" t="n">
        <f aca="false">IF( N249=0,I249*(1-G249/100)+J249*(1-H249/100),-N249)</f>
        <v>-24.9834072264301</v>
      </c>
      <c r="Q249" s="47" t="n">
        <f aca="false">IF(P248&gt;0,Q248+P248*(1-V$20/100),Q248+P248)</f>
        <v>2606.50163380118</v>
      </c>
      <c r="R249" s="48" t="n">
        <f aca="false">R$4+Q249/V$28</f>
        <v>70.8310547663687</v>
      </c>
    </row>
    <row r="250" customFormat="false" ht="12.8" hidden="false" customHeight="false" outlineLevel="0" collapsed="false">
      <c r="A250" s="1" t="n">
        <v>246</v>
      </c>
      <c r="B250" s="37" t="n">
        <v>43791</v>
      </c>
      <c r="C250" s="38" t="n">
        <f aca="false">V$26-V$26*SIN(2*PI()/365*A250)</f>
        <v>26.73413630129</v>
      </c>
      <c r="D250" s="2" t="n">
        <f aca="false">IF((E250+F250)&gt;C250,C250,E250+F250)</f>
        <v>4.26905753331958</v>
      </c>
      <c r="E250" s="38" t="n">
        <f aca="false">(V$23+V$24*SIN(2*PI()/365*A250))*V$25/100*V$7*V$8/100</f>
        <v>3.52297794404629</v>
      </c>
      <c r="F250" s="38" t="n">
        <f aca="false">(V$23+V$24*SIN(2*PI()/365*A250))*V$25/100*V$9*(1-V$14/100)*(1-V$16/100)</f>
        <v>0.746079589273297</v>
      </c>
      <c r="G250" s="38" t="n">
        <f aca="false">IF(C250&gt;E250,100,C250/E250*100)</f>
        <v>100</v>
      </c>
      <c r="H250" s="38" t="n">
        <f aca="false">L250/F250*100</f>
        <v>100</v>
      </c>
      <c r="I250" s="38" t="n">
        <f aca="false">(V$23+V$24*SIN(2*PI()/365*A250))*V$25/100*V$7*V$8/100*(1-V$15/100)</f>
        <v>3.1354503702012</v>
      </c>
      <c r="J250" s="38" t="n">
        <f aca="false">(V$23+V$24*SIN(2*PI()/365*A250))*V$25/100*V$9*(1-V$14/100)</f>
        <v>0.838291673340783</v>
      </c>
      <c r="K250" s="39" t="n">
        <f aca="false">IF(E250/C250*100&lt;100,E250/C250*100,100)</f>
        <v>13.1778259239155</v>
      </c>
      <c r="L250" s="2" t="n">
        <f aca="false">IF(((C250-E250)&gt;0)AND(F250&gt;(C250-E250)),(C250-E250),IF(C250&lt;E250,0,F250))</f>
        <v>0.746079589273297</v>
      </c>
      <c r="M250" s="2" t="n">
        <f aca="false">IF(C250&lt;(E250+F250),0,C250-E250-F250)</f>
        <v>22.4650787679704</v>
      </c>
      <c r="N250" s="2" t="n">
        <f aca="false">IF(C250&lt;(E250+F250),0,(C250-E250-F250)/(1-V$16/100))</f>
        <v>25.2416615370454</v>
      </c>
      <c r="O250" s="2" t="n">
        <f aca="false">L250+M250</f>
        <v>23.2111583572437</v>
      </c>
      <c r="P250" s="2" t="n">
        <f aca="false">IF( N250=0,I250*(1-G250/100)+J250*(1-H250/100),-N250)</f>
        <v>-25.2416615370454</v>
      </c>
      <c r="Q250" s="47" t="n">
        <f aca="false">IF(P249&gt;0,Q249+P249*(1-V$20/100),Q249+P249)</f>
        <v>2581.51822657475</v>
      </c>
      <c r="R250" s="48" t="n">
        <f aca="false">R$4+Q250/V$28</f>
        <v>70.5355380529089</v>
      </c>
    </row>
    <row r="251" customFormat="false" ht="12.8" hidden="false" customHeight="false" outlineLevel="0" collapsed="false">
      <c r="A251" s="1" t="n">
        <v>247</v>
      </c>
      <c r="B251" s="37" t="n">
        <v>43792</v>
      </c>
      <c r="C251" s="38" t="n">
        <f aca="false">V$26-V$26*SIN(2*PI()/365*A251)</f>
        <v>26.8443258561986</v>
      </c>
      <c r="D251" s="2" t="n">
        <f aca="false">IF((E251+F251)&gt;C251,C251,E251+F251)</f>
        <v>4.1569188745781</v>
      </c>
      <c r="E251" s="38" t="n">
        <f aca="false">(V$23+V$24*SIN(2*PI()/365*A251))*V$25/100*V$7*V$8/100</f>
        <v>3.43043713888314</v>
      </c>
      <c r="F251" s="38" t="n">
        <f aca="false">(V$23+V$24*SIN(2*PI()/365*A251))*V$25/100*V$9*(1-V$14/100)*(1-V$16/100)</f>
        <v>0.726481735694956</v>
      </c>
      <c r="G251" s="38" t="n">
        <f aca="false">IF(C251&gt;E251,100,C251/E251*100)</f>
        <v>100</v>
      </c>
      <c r="H251" s="38" t="n">
        <f aca="false">L251/F251*100</f>
        <v>100</v>
      </c>
      <c r="I251" s="38" t="n">
        <f aca="false">(V$23+V$24*SIN(2*PI()/365*A251))*V$25/100*V$7*V$8/100*(1-V$15/100)</f>
        <v>3.05308905360599</v>
      </c>
      <c r="J251" s="38" t="n">
        <f aca="false">(V$23+V$24*SIN(2*PI()/365*A251))*V$25/100*V$9*(1-V$14/100)</f>
        <v>0.8162716131404</v>
      </c>
      <c r="K251" s="39" t="n">
        <f aca="false">IF(E251/C251*100&lt;100,E251/C251*100,100)</f>
        <v>12.7790027481395</v>
      </c>
      <c r="L251" s="2" t="n">
        <f aca="false">IF(((C251-E251)&gt;0)AND(F251&gt;(C251-E251)),(C251-E251),IF(C251&lt;E251,0,F251))</f>
        <v>0.726481735694956</v>
      </c>
      <c r="M251" s="2" t="n">
        <f aca="false">IF(C251&lt;(E251+F251),0,C251-E251-F251)</f>
        <v>22.6874069816205</v>
      </c>
      <c r="N251" s="2" t="n">
        <f aca="false">IF(C251&lt;(E251+F251),0,(C251-E251-F251)/(1-V$16/100))</f>
        <v>25.4914685186747</v>
      </c>
      <c r="O251" s="2" t="n">
        <f aca="false">L251+M251</f>
        <v>23.4138887173154</v>
      </c>
      <c r="P251" s="2" t="n">
        <f aca="false">IF( N251=0,I251*(1-G251/100)+J251*(1-H251/100),-N251)</f>
        <v>-25.4914685186747</v>
      </c>
      <c r="Q251" s="47" t="n">
        <f aca="false">IF(P250&gt;0,Q250+P250*(1-V$20/100),Q250+P250)</f>
        <v>2556.2765650377</v>
      </c>
      <c r="R251" s="48" t="n">
        <f aca="false">R$4+Q251/V$28</f>
        <v>70.236966573363</v>
      </c>
    </row>
    <row r="252" customFormat="false" ht="12.8" hidden="false" customHeight="false" outlineLevel="0" collapsed="false">
      <c r="A252" s="1" t="n">
        <v>248</v>
      </c>
      <c r="B252" s="37" t="n">
        <v>43793</v>
      </c>
      <c r="C252" s="38" t="n">
        <f aca="false">V$26-V$26*SIN(2*PI()/365*A252)</f>
        <v>26.9507566530514</v>
      </c>
      <c r="D252" s="2" t="n">
        <f aca="false">IF((E252+F252)&gt;C252,C252,E252+F252)</f>
        <v>4.04860546122632</v>
      </c>
      <c r="E252" s="38" t="n">
        <f aca="false">(V$23+V$24*SIN(2*PI()/365*A252))*V$25/100*V$7*V$8/100</f>
        <v>3.34105306211574</v>
      </c>
      <c r="F252" s="38" t="n">
        <f aca="false">(V$23+V$24*SIN(2*PI()/365*A252))*V$25/100*V$9*(1-V$14/100)*(1-V$16/100)</f>
        <v>0.707552399110578</v>
      </c>
      <c r="G252" s="38" t="n">
        <f aca="false">IF(C252&gt;E252,100,C252/E252*100)</f>
        <v>100</v>
      </c>
      <c r="H252" s="38" t="n">
        <f aca="false">L252/F252*100</f>
        <v>100</v>
      </c>
      <c r="I252" s="38" t="n">
        <f aca="false">(V$23+V$24*SIN(2*PI()/365*A252))*V$25/100*V$7*V$8/100*(1-V$15/100)</f>
        <v>2.97353722528301</v>
      </c>
      <c r="J252" s="38" t="n">
        <f aca="false">(V$23+V$24*SIN(2*PI()/365*A252))*V$25/100*V$9*(1-V$14/100)</f>
        <v>0.795002695629863</v>
      </c>
      <c r="K252" s="39" t="n">
        <f aca="false">IF(E252/C252*100&lt;100,E252/C252*100,100)</f>
        <v>12.3968803738112</v>
      </c>
      <c r="L252" s="2" t="n">
        <f aca="false">IF(((C252-E252)&gt;0)AND(F252&gt;(C252-E252)),(C252-E252),IF(C252&lt;E252,0,F252))</f>
        <v>0.707552399110578</v>
      </c>
      <c r="M252" s="2" t="n">
        <f aca="false">IF(C252&lt;(E252+F252),0,C252-E252-F252)</f>
        <v>22.9021511918251</v>
      </c>
      <c r="N252" s="2" t="n">
        <f aca="false">IF(C252&lt;(E252+F252),0,(C252-E252-F252)/(1-V$16/100))</f>
        <v>25.7327541481181</v>
      </c>
      <c r="O252" s="2" t="n">
        <f aca="false">L252+M252</f>
        <v>23.6097035909357</v>
      </c>
      <c r="P252" s="2" t="n">
        <f aca="false">IF( N252=0,I252*(1-G252/100)+J252*(1-H252/100),-N252)</f>
        <v>-25.7327541481181</v>
      </c>
      <c r="Q252" s="47" t="n">
        <f aca="false">IF(P251&gt;0,Q251+P251*(1-V$20/100),Q251+P251)</f>
        <v>2530.78509651903</v>
      </c>
      <c r="R252" s="48" t="n">
        <f aca="false">R$4+Q252/V$28</f>
        <v>69.9354402471247</v>
      </c>
    </row>
    <row r="253" customFormat="false" ht="12.8" hidden="false" customHeight="false" outlineLevel="0" collapsed="false">
      <c r="A253" s="1" t="n">
        <v>249</v>
      </c>
      <c r="B253" s="37" t="n">
        <v>43794</v>
      </c>
      <c r="C253" s="38" t="n">
        <f aca="false">V$26-V$26*SIN(2*PI()/365*A253)</f>
        <v>27.0533971541064</v>
      </c>
      <c r="D253" s="2" t="n">
        <f aca="false">IF((E253+F253)&gt;C253,C253,E253+F253)</f>
        <v>3.94414938886621</v>
      </c>
      <c r="E253" s="38" t="n">
        <f aca="false">(V$23+V$24*SIN(2*PI()/365*A253))*V$25/100*V$7*V$8/100</f>
        <v>3.2548522001751</v>
      </c>
      <c r="F253" s="38" t="n">
        <f aca="false">(V$23+V$24*SIN(2*PI()/365*A253))*V$25/100*V$9*(1-V$14/100)*(1-V$16/100)</f>
        <v>0.689297188691118</v>
      </c>
      <c r="G253" s="38" t="n">
        <f aca="false">IF(C253&gt;E253,100,C253/E253*100)</f>
        <v>100</v>
      </c>
      <c r="H253" s="38" t="n">
        <f aca="false">L253/F253*100</f>
        <v>100</v>
      </c>
      <c r="I253" s="38" t="n">
        <f aca="false">(V$23+V$24*SIN(2*PI()/365*A253))*V$25/100*V$7*V$8/100*(1-V$15/100)</f>
        <v>2.89681845815583</v>
      </c>
      <c r="J253" s="38" t="n">
        <f aca="false">(V$23+V$24*SIN(2*PI()/365*A253))*V$25/100*V$9*(1-V$14/100)</f>
        <v>0.774491223248447</v>
      </c>
      <c r="K253" s="39" t="n">
        <f aca="false">IF(E253/C253*100&lt;100,E253/C253*100,100)</f>
        <v>12.0312143485501</v>
      </c>
      <c r="L253" s="2" t="n">
        <f aca="false">IF(((C253-E253)&gt;0)AND(F253&gt;(C253-E253)),(C253-E253),IF(C253&lt;E253,0,F253))</f>
        <v>0.689297188691118</v>
      </c>
      <c r="M253" s="2" t="n">
        <f aca="false">IF(C253&lt;(E253+F253),0,C253-E253-F253)</f>
        <v>23.1092477652402</v>
      </c>
      <c r="N253" s="2" t="n">
        <f aca="false">IF(C253&lt;(E253+F253),0,(C253-E253-F253)/(1-V$16/100))</f>
        <v>25.9654469272362</v>
      </c>
      <c r="O253" s="2" t="n">
        <f aca="false">L253+M253</f>
        <v>23.7985449539313</v>
      </c>
      <c r="P253" s="2" t="n">
        <f aca="false">IF( N253=0,I253*(1-G253/100)+J253*(1-H253/100),-N253)</f>
        <v>-25.9654469272362</v>
      </c>
      <c r="Q253" s="47" t="n">
        <f aca="false">IF(P252&gt;0,Q252+P252*(1-V$20/100),Q252+P252)</f>
        <v>2505.05234237091</v>
      </c>
      <c r="R253" s="48" t="n">
        <f aca="false">R$4+Q253/V$28</f>
        <v>69.6310598691722</v>
      </c>
    </row>
    <row r="254" customFormat="false" ht="12.8" hidden="false" customHeight="false" outlineLevel="0" collapsed="false">
      <c r="A254" s="1" t="n">
        <v>250</v>
      </c>
      <c r="B254" s="37" t="n">
        <v>43795</v>
      </c>
      <c r="C254" s="38" t="n">
        <f aca="false">V$26-V$26*SIN(2*PI()/365*A254)</f>
        <v>27.1522169447679</v>
      </c>
      <c r="D254" s="2" t="n">
        <f aca="false">IF((E254+F254)&gt;C254,C254,E254+F254)</f>
        <v>3.84358161008638</v>
      </c>
      <c r="E254" s="38" t="n">
        <f aca="false">(V$23+V$24*SIN(2*PI()/365*A254))*V$25/100*V$7*V$8/100</f>
        <v>3.17186009623697</v>
      </c>
      <c r="F254" s="38" t="n">
        <f aca="false">(V$23+V$24*SIN(2*PI()/365*A254))*V$25/100*V$9*(1-V$14/100)*(1-V$16/100)</f>
        <v>0.671721513849405</v>
      </c>
      <c r="G254" s="38" t="n">
        <f aca="false">IF(C254&gt;E254,100,C254/E254*100)</f>
        <v>100</v>
      </c>
      <c r="H254" s="38" t="n">
        <f aca="false">L254/F254*100</f>
        <v>100</v>
      </c>
      <c r="I254" s="38" t="n">
        <f aca="false">(V$23+V$24*SIN(2*PI()/365*A254))*V$25/100*V$7*V$8/100*(1-V$15/100)</f>
        <v>2.8229554856509</v>
      </c>
      <c r="J254" s="38" t="n">
        <f aca="false">(V$23+V$24*SIN(2*PI()/365*A254))*V$25/100*V$9*(1-V$14/100)</f>
        <v>0.754743273988096</v>
      </c>
      <c r="K254" s="39" t="n">
        <f aca="false">IF(E254/C254*100&lt;100,E254/C254*100,100)</f>
        <v>11.6817720729363</v>
      </c>
      <c r="L254" s="2" t="n">
        <f aca="false">IF(((C254-E254)&gt;0)AND(F254&gt;(C254-E254)),(C254-E254),IF(C254&lt;E254,0,F254))</f>
        <v>0.671721513849405</v>
      </c>
      <c r="M254" s="2" t="n">
        <f aca="false">IF(C254&lt;(E254+F254),0,C254-E254-F254)</f>
        <v>23.3086353346815</v>
      </c>
      <c r="N254" s="2" t="n">
        <f aca="false">IF(C254&lt;(E254+F254),0,(C254-E254-F254)/(1-V$16/100))</f>
        <v>26.1894779041366</v>
      </c>
      <c r="O254" s="2" t="n">
        <f aca="false">L254+M254</f>
        <v>23.980356848531</v>
      </c>
      <c r="P254" s="2" t="n">
        <f aca="false">IF( N254=0,I254*(1-G254/100)+J254*(1-H254/100),-N254)</f>
        <v>-26.1894779041366</v>
      </c>
      <c r="Q254" s="47" t="n">
        <f aca="false">IF(P253&gt;0,Q253+P253*(1-V$20/100),Q253+P253)</f>
        <v>2479.08689544367</v>
      </c>
      <c r="R254" s="48" t="n">
        <f aca="false">R$4+Q254/V$28</f>
        <v>69.3239270802012</v>
      </c>
    </row>
    <row r="255" customFormat="false" ht="12.8" hidden="false" customHeight="false" outlineLevel="0" collapsed="false">
      <c r="A255" s="1" t="n">
        <v>251</v>
      </c>
      <c r="B255" s="37" t="n">
        <v>43796</v>
      </c>
      <c r="C255" s="38" t="n">
        <f aca="false">V$26-V$26*SIN(2*PI()/365*A255)</f>
        <v>27.2471867425993</v>
      </c>
      <c r="D255" s="2" t="n">
        <f aca="false">IF((E255+F255)&gt;C255,C255,E255+F255)</f>
        <v>3.74693192529007</v>
      </c>
      <c r="E255" s="38" t="n">
        <f aca="false">(V$23+V$24*SIN(2*PI()/365*A255))*V$25/100*V$7*V$8/100</f>
        <v>3.09210134265287</v>
      </c>
      <c r="F255" s="38" t="n">
        <f aca="false">(V$23+V$24*SIN(2*PI()/365*A255))*V$25/100*V$9*(1-V$14/100)*(1-V$16/100)</f>
        <v>0.654830582637207</v>
      </c>
      <c r="G255" s="38" t="n">
        <f aca="false">IF(C255&gt;E255,100,C255/E255*100)</f>
        <v>100</v>
      </c>
      <c r="H255" s="38" t="n">
        <f aca="false">L255/F255*100</f>
        <v>100</v>
      </c>
      <c r="I255" s="38" t="n">
        <f aca="false">(V$23+V$24*SIN(2*PI()/365*A255))*V$25/100*V$7*V$8/100*(1-V$15/100)</f>
        <v>2.75197019496105</v>
      </c>
      <c r="J255" s="38" t="n">
        <f aca="false">(V$23+V$24*SIN(2*PI()/365*A255))*V$25/100*V$9*(1-V$14/100)</f>
        <v>0.735764699592368</v>
      </c>
      <c r="K255" s="39" t="n">
        <f aca="false">IF(E255/C255*100&lt;100,E255/C255*100,100)</f>
        <v>11.3483324787383</v>
      </c>
      <c r="L255" s="2" t="n">
        <f aca="false">IF(((C255-E255)&gt;0)AND(F255&gt;(C255-E255)),(C255-E255),IF(C255&lt;E255,0,F255))</f>
        <v>0.654830582637207</v>
      </c>
      <c r="M255" s="2" t="n">
        <f aca="false">IF(C255&lt;(E255+F255),0,C255-E255-F255)</f>
        <v>23.5002548173092</v>
      </c>
      <c r="N255" s="2" t="n">
        <f aca="false">IF(C255&lt;(E255+F255),0,(C255-E255-F255)/(1-V$16/100))</f>
        <v>26.4047806936059</v>
      </c>
      <c r="O255" s="2" t="n">
        <f aca="false">L255+M255</f>
        <v>24.1550853999464</v>
      </c>
      <c r="P255" s="2" t="n">
        <f aca="false">IF( N255=0,I255*(1-G255/100)+J255*(1-H255/100),-N255)</f>
        <v>-26.4047806936059</v>
      </c>
      <c r="Q255" s="47" t="n">
        <f aca="false">IF(P254&gt;0,Q254+P254*(1-V$20/100),Q254+P254)</f>
        <v>2452.89741753953</v>
      </c>
      <c r="R255" s="48" t="n">
        <f aca="false">R$4+Q255/V$28</f>
        <v>69.0141443365059</v>
      </c>
    </row>
    <row r="256" customFormat="false" ht="12.8" hidden="false" customHeight="false" outlineLevel="0" collapsed="false">
      <c r="A256" s="1" t="n">
        <v>252</v>
      </c>
      <c r="B256" s="37" t="n">
        <v>43797</v>
      </c>
      <c r="C256" s="38" t="n">
        <f aca="false">V$26-V$26*SIN(2*PI()/365*A256)</f>
        <v>27.3382784059998</v>
      </c>
      <c r="D256" s="2" t="n">
        <f aca="false">IF((E256+F256)&gt;C256,C256,E256+F256)</f>
        <v>3.6542289738648</v>
      </c>
      <c r="E256" s="38" t="n">
        <f aca="false">(V$23+V$24*SIN(2*PI()/365*A256))*V$25/100*V$7*V$8/100</f>
        <v>3.01559957366282</v>
      </c>
      <c r="F256" s="38" t="n">
        <f aca="false">(V$23+V$24*SIN(2*PI()/365*A256))*V$25/100*V$9*(1-V$14/100)*(1-V$16/100)</f>
        <v>0.63862940020198</v>
      </c>
      <c r="G256" s="38" t="n">
        <f aca="false">IF(C256&gt;E256,100,C256/E256*100)</f>
        <v>100</v>
      </c>
      <c r="H256" s="38" t="n">
        <f aca="false">L256/F256*100</f>
        <v>100</v>
      </c>
      <c r="I256" s="38" t="n">
        <f aca="false">(V$23+V$24*SIN(2*PI()/365*A256))*V$25/100*V$7*V$8/100*(1-V$15/100)</f>
        <v>2.68388362055991</v>
      </c>
      <c r="J256" s="38" t="n">
        <f aca="false">(V$23+V$24*SIN(2*PI()/365*A256))*V$25/100*V$9*(1-V$14/100)</f>
        <v>0.717561123822449</v>
      </c>
      <c r="K256" s="39" t="n">
        <f aca="false">IF(E256/C256*100&lt;100,E256/C256*100,100)</f>
        <v>11.0306857252613</v>
      </c>
      <c r="L256" s="2" t="n">
        <f aca="false">IF(((C256-E256)&gt;0)AND(F256&gt;(C256-E256)),(C256-E256),IF(C256&lt;E256,0,F256))</f>
        <v>0.63862940020198</v>
      </c>
      <c r="M256" s="2" t="n">
        <f aca="false">IF(C256&lt;(E256+F256),0,C256-E256-F256)</f>
        <v>23.684049432135</v>
      </c>
      <c r="N256" s="2" t="n">
        <f aca="false">IF(C256&lt;(E256+F256),0,(C256-E256-F256)/(1-V$16/100))</f>
        <v>26.6112914967809</v>
      </c>
      <c r="O256" s="2" t="n">
        <f aca="false">L256+M256</f>
        <v>24.322678832337</v>
      </c>
      <c r="P256" s="2" t="n">
        <f aca="false">IF( N256=0,I256*(1-G256/100)+J256*(1-H256/100),-N256)</f>
        <v>-26.6112914967809</v>
      </c>
      <c r="Q256" s="47" t="n">
        <f aca="false">IF(P255&gt;0,Q255+P255*(1-V$20/100),Q255+P255)</f>
        <v>2426.49263684593</v>
      </c>
      <c r="R256" s="48" t="n">
        <f aca="false">R$4+Q256/V$28</f>
        <v>68.7018148796196</v>
      </c>
    </row>
    <row r="257" customFormat="false" ht="12.8" hidden="false" customHeight="false" outlineLevel="0" collapsed="false">
      <c r="A257" s="1" t="n">
        <v>253</v>
      </c>
      <c r="B257" s="37" t="n">
        <v>43798</v>
      </c>
      <c r="C257" s="38" t="n">
        <f aca="false">V$26-V$26*SIN(2*PI()/365*A257)</f>
        <v>27.4254649425437</v>
      </c>
      <c r="D257" s="2" t="n">
        <f aca="false">IF((E257+F257)&gt;C257,C257,E257+F257)</f>
        <v>3.56550022569575</v>
      </c>
      <c r="E257" s="38" t="n">
        <f aca="false">(V$23+V$24*SIN(2*PI()/365*A257))*V$25/100*V$7*V$8/100</f>
        <v>2.94237745839202</v>
      </c>
      <c r="F257" s="38" t="n">
        <f aca="false">(V$23+V$24*SIN(2*PI()/365*A257))*V$25/100*V$9*(1-V$14/100)*(1-V$16/100)</f>
        <v>0.623122767303729</v>
      </c>
      <c r="G257" s="38" t="n">
        <f aca="false">IF(C257&gt;E257,100,C257/E257*100)</f>
        <v>100</v>
      </c>
      <c r="H257" s="38" t="n">
        <f aca="false">L257/F257*100</f>
        <v>100</v>
      </c>
      <c r="I257" s="38" t="n">
        <f aca="false">(V$23+V$24*SIN(2*PI()/365*A257))*V$25/100*V$7*V$8/100*(1-V$15/100)</f>
        <v>2.6187159379689</v>
      </c>
      <c r="J257" s="38" t="n">
        <f aca="false">(V$23+V$24*SIN(2*PI()/365*A257))*V$25/100*V$9*(1-V$14/100)</f>
        <v>0.700137940790707</v>
      </c>
      <c r="K257" s="39" t="n">
        <f aca="false">IF(E257/C257*100&lt;100,E257/C257*100,100)</f>
        <v>10.7286329130839</v>
      </c>
      <c r="L257" s="2" t="n">
        <f aca="false">IF(((C257-E257)&gt;0)AND(F257&gt;(C257-E257)),(C257-E257),IF(C257&lt;E257,0,F257))</f>
        <v>0.623122767303729</v>
      </c>
      <c r="M257" s="2" t="n">
        <f aca="false">IF(C257&lt;(E257+F257),0,C257-E257-F257)</f>
        <v>23.8599647168479</v>
      </c>
      <c r="N257" s="2" t="n">
        <f aca="false">IF(C257&lt;(E257+F257),0,(C257-E257-F257)/(1-V$16/100))</f>
        <v>26.8089491200539</v>
      </c>
      <c r="O257" s="2" t="n">
        <f aca="false">L257+M257</f>
        <v>24.4830874841517</v>
      </c>
      <c r="P257" s="2" t="n">
        <f aca="false">IF( N257=0,I257*(1-G257/100)+J257*(1-H257/100),-N257)</f>
        <v>-26.8089491200539</v>
      </c>
      <c r="Q257" s="47" t="n">
        <f aca="false">IF(P256&gt;0,Q256+P256*(1-V$20/100),Q256+P256)</f>
        <v>2399.88134534915</v>
      </c>
      <c r="R257" s="48" t="n">
        <f aca="false">R$4+Q257/V$28</f>
        <v>68.3870427057213</v>
      </c>
    </row>
    <row r="258" customFormat="false" ht="12.8" hidden="false" customHeight="false" outlineLevel="0" collapsed="false">
      <c r="A258" s="1" t="n">
        <v>254</v>
      </c>
      <c r="B258" s="37" t="n">
        <v>43799</v>
      </c>
      <c r="C258" s="38" t="n">
        <f aca="false">V$26-V$26*SIN(2*PI()/365*A258)</f>
        <v>27.5087205169785</v>
      </c>
      <c r="D258" s="2" t="n">
        <f aca="false">IF((E258+F258)&gt;C258,C258,E258+F258)</f>
        <v>3.48077197302592</v>
      </c>
      <c r="E258" s="38" t="n">
        <f aca="false">(V$23+V$24*SIN(2*PI()/365*A258))*V$25/100*V$7*V$8/100</f>
        <v>2.87245669413348</v>
      </c>
      <c r="F258" s="38" t="n">
        <f aca="false">(V$23+V$24*SIN(2*PI()/365*A258))*V$25/100*V$9*(1-V$14/100)*(1-V$16/100)</f>
        <v>0.608315278892442</v>
      </c>
      <c r="G258" s="38" t="n">
        <f aca="false">IF(C258&gt;E258,100,C258/E258*100)</f>
        <v>100</v>
      </c>
      <c r="H258" s="38" t="n">
        <f aca="false">L258/F258*100</f>
        <v>100</v>
      </c>
      <c r="I258" s="38" t="n">
        <f aca="false">(V$23+V$24*SIN(2*PI()/365*A258))*V$25/100*V$7*V$8/100*(1-V$15/100)</f>
        <v>2.5564864577788</v>
      </c>
      <c r="J258" s="38" t="n">
        <f aca="false">(V$23+V$24*SIN(2*PI()/365*A258))*V$25/100*V$9*(1-V$14/100)</f>
        <v>0.683500313362294</v>
      </c>
      <c r="K258" s="39" t="n">
        <f aca="false">IF(E258/C258*100&lt;100,E258/C258*100,100)</f>
        <v>10.4419858145005</v>
      </c>
      <c r="L258" s="2" t="n">
        <f aca="false">IF(((C258-E258)&gt;0)AND(F258&gt;(C258-E258)),(C258-E258),IF(C258&lt;E258,0,F258))</f>
        <v>0.608315278892442</v>
      </c>
      <c r="M258" s="2" t="n">
        <f aca="false">IF(C258&lt;(E258+F258),0,C258-E258-F258)</f>
        <v>24.0279485439526</v>
      </c>
      <c r="N258" s="2" t="n">
        <f aca="false">IF(C258&lt;(E258+F258),0,(C258-E258-F258)/(1-V$16/100))</f>
        <v>26.9976949932052</v>
      </c>
      <c r="O258" s="2" t="n">
        <f aca="false">L258+M258</f>
        <v>24.636263822845</v>
      </c>
      <c r="P258" s="2" t="n">
        <f aca="false">IF( N258=0,I258*(1-G258/100)+J258*(1-H258/100),-N258)</f>
        <v>-26.9976949932052</v>
      </c>
      <c r="Q258" s="47" t="n">
        <f aca="false">IF(P257&gt;0,Q257+P257*(1-V$20/100),Q257+P257)</f>
        <v>2373.07239622909</v>
      </c>
      <c r="R258" s="48" t="n">
        <f aca="false">R$4+Q258/V$28</f>
        <v>68.06993253482</v>
      </c>
    </row>
    <row r="259" customFormat="false" ht="12.8" hidden="false" customHeight="false" outlineLevel="0" collapsed="false">
      <c r="A259" s="1" t="n">
        <v>255</v>
      </c>
      <c r="B259" s="37" t="n">
        <v>43800</v>
      </c>
      <c r="C259" s="38" t="n">
        <f aca="false">V$26-V$26*SIN(2*PI()/365*A259)</f>
        <v>27.5880204588808</v>
      </c>
      <c r="D259" s="2" t="n">
        <f aca="false">IF((E259+F259)&gt;C259,C259,E259+F259)</f>
        <v>3.40006932266518</v>
      </c>
      <c r="E259" s="38" t="n">
        <f aca="false">(V$23+V$24*SIN(2*PI()/365*A259))*V$25/100*V$7*V$8/100</f>
        <v>2.80585799991867</v>
      </c>
      <c r="F259" s="38" t="n">
        <f aca="false">(V$23+V$24*SIN(2*PI()/365*A259))*V$25/100*V$9*(1-V$14/100)*(1-V$16/100)</f>
        <v>0.594211322746508</v>
      </c>
      <c r="G259" s="38" t="n">
        <f aca="false">IF(C259&gt;E259,100,C259/E259*100)</f>
        <v>100</v>
      </c>
      <c r="H259" s="38" t="n">
        <f aca="false">L259/F259*100</f>
        <v>100</v>
      </c>
      <c r="I259" s="38" t="n">
        <f aca="false">(V$23+V$24*SIN(2*PI()/365*A259))*V$25/100*V$7*V$8/100*(1-V$15/100)</f>
        <v>2.49721361992762</v>
      </c>
      <c r="J259" s="38" t="n">
        <f aca="false">(V$23+V$24*SIN(2*PI()/365*A259))*V$25/100*V$9*(1-V$14/100)</f>
        <v>0.66765317162529</v>
      </c>
      <c r="K259" s="39" t="n">
        <f aca="false">IF(E259/C259*100&lt;100,E259/C259*100,100)</f>
        <v>10.1705666200325</v>
      </c>
      <c r="L259" s="2" t="n">
        <f aca="false">IF(((C259-E259)&gt;0)AND(F259&gt;(C259-E259)),(C259-E259),IF(C259&lt;E259,0,F259))</f>
        <v>0.594211322746508</v>
      </c>
      <c r="M259" s="2" t="n">
        <f aca="false">IF(C259&lt;(E259+F259),0,C259-E259-F259)</f>
        <v>24.1879511362156</v>
      </c>
      <c r="N259" s="2" t="n">
        <f aca="false">IF(C259&lt;(E259+F259),0,(C259-E259-F259)/(1-V$16/100))</f>
        <v>27.1774731867591</v>
      </c>
      <c r="O259" s="2" t="n">
        <f aca="false">L259+M259</f>
        <v>24.7821624589621</v>
      </c>
      <c r="P259" s="2" t="n">
        <f aca="false">IF( N259=0,I259*(1-G259/100)+J259*(1-H259/100),-N259)</f>
        <v>-27.1774731867591</v>
      </c>
      <c r="Q259" s="47" t="n">
        <f aca="false">IF(P258&gt;0,Q258+P258*(1-V$20/100),Q258+P258)</f>
        <v>2346.07470123589</v>
      </c>
      <c r="R259" s="48" t="n">
        <f aca="false">R$4+Q259/V$28</f>
        <v>67.7505897797236</v>
      </c>
    </row>
    <row r="260" customFormat="false" ht="12.8" hidden="false" customHeight="false" outlineLevel="0" collapsed="false">
      <c r="A260" s="1" t="n">
        <v>256</v>
      </c>
      <c r="B260" s="37" t="n">
        <v>43801</v>
      </c>
      <c r="C260" s="38" t="n">
        <f aca="false">V$26-V$26*SIN(2*PI()/365*A260)</f>
        <v>27.6633412699662</v>
      </c>
      <c r="D260" s="2" t="n">
        <f aca="false">IF((E260+F260)&gt;C260,C260,E260+F260)</f>
        <v>3.32341618855052</v>
      </c>
      <c r="E260" s="38" t="n">
        <f aca="false">(V$23+V$24*SIN(2*PI()/365*A260))*V$25/100*V$7*V$8/100</f>
        <v>2.742601110378</v>
      </c>
      <c r="F260" s="38" t="n">
        <f aca="false">(V$23+V$24*SIN(2*PI()/365*A260))*V$25/100*V$9*(1-V$14/100)*(1-V$16/100)</f>
        <v>0.58081507817252</v>
      </c>
      <c r="G260" s="38" t="n">
        <f aca="false">IF(C260&gt;E260,100,C260/E260*100)</f>
        <v>100</v>
      </c>
      <c r="H260" s="38" t="n">
        <f aca="false">L260/F260*100</f>
        <v>100</v>
      </c>
      <c r="I260" s="38" t="n">
        <f aca="false">(V$23+V$24*SIN(2*PI()/365*A260))*V$25/100*V$7*V$8/100*(1-V$15/100)</f>
        <v>2.44091498823642</v>
      </c>
      <c r="J260" s="38" t="n">
        <f aca="false">(V$23+V$24*SIN(2*PI()/365*A260))*V$25/100*V$9*(1-V$14/100)</f>
        <v>0.652601211429798</v>
      </c>
      <c r="K260" s="39" t="n">
        <f aca="false">IF(E260/C260*100&lt;100,E260/C260*100,100)</f>
        <v>9.91420770041114</v>
      </c>
      <c r="L260" s="2" t="n">
        <f aca="false">IF(((C260-E260)&gt;0)AND(F260&gt;(C260-E260)),(C260-E260),IF(C260&lt;E260,0,F260))</f>
        <v>0.58081507817252</v>
      </c>
      <c r="M260" s="2" t="n">
        <f aca="false">IF(C260&lt;(E260+F260),0,C260-E260-F260)</f>
        <v>24.3399250814157</v>
      </c>
      <c r="N260" s="2" t="n">
        <f aca="false">IF(C260&lt;(E260+F260),0,(C260-E260-F260)/(1-V$16/100))</f>
        <v>27.3482304285569</v>
      </c>
      <c r="O260" s="2" t="n">
        <f aca="false">L260+M260</f>
        <v>24.9207401595882</v>
      </c>
      <c r="P260" s="2" t="n">
        <f aca="false">IF( N260=0,I260*(1-G260/100)+J260*(1-H260/100),-N260)</f>
        <v>-27.3482304285569</v>
      </c>
      <c r="Q260" s="47" t="n">
        <f aca="false">IF(P259&gt;0,Q259+P259*(1-V$20/100),Q259+P259)</f>
        <v>2318.89722804913</v>
      </c>
      <c r="R260" s="48" t="n">
        <f aca="false">R$4+Q260/V$28</f>
        <v>67.429120514803</v>
      </c>
    </row>
    <row r="261" customFormat="false" ht="12.8" hidden="false" customHeight="false" outlineLevel="0" collapsed="false">
      <c r="A261" s="1" t="n">
        <v>257</v>
      </c>
      <c r="B261" s="37" t="n">
        <v>43802</v>
      </c>
      <c r="C261" s="38" t="n">
        <f aca="false">V$26-V$26*SIN(2*PI()/365*A261)</f>
        <v>27.734660631053</v>
      </c>
      <c r="D261" s="2" t="n">
        <f aca="false">IF((E261+F261)&gt;C261,C261,E261+F261)</f>
        <v>3.2508352846599</v>
      </c>
      <c r="E261" s="38" t="n">
        <f aca="false">(V$23+V$24*SIN(2*PI()/365*A261))*V$25/100*V$7*V$8/100</f>
        <v>2.68270476989304</v>
      </c>
      <c r="F261" s="38" t="n">
        <f aca="false">(V$23+V$24*SIN(2*PI()/365*A261))*V$25/100*V$9*(1-V$14/100)*(1-V$16/100)</f>
        <v>0.56813051476686</v>
      </c>
      <c r="G261" s="38" t="n">
        <f aca="false">IF(C261&gt;E261,100,C261/E261*100)</f>
        <v>100</v>
      </c>
      <c r="H261" s="38" t="n">
        <f aca="false">L261/F261*100</f>
        <v>100</v>
      </c>
      <c r="I261" s="38" t="n">
        <f aca="false">(V$23+V$24*SIN(2*PI()/365*A261))*V$25/100*V$7*V$8/100*(1-V$15/100)</f>
        <v>2.38760724520481</v>
      </c>
      <c r="J261" s="38" t="n">
        <f aca="false">(V$23+V$24*SIN(2*PI()/365*A261))*V$25/100*V$9*(1-V$14/100)</f>
        <v>0.638348892996472</v>
      </c>
      <c r="K261" s="39" t="n">
        <f aca="false">IF(E261/C261*100&lt;100,E261/C261*100,100)</f>
        <v>9.67275138347776</v>
      </c>
      <c r="L261" s="2" t="n">
        <f aca="false">IF(((C261-E261)&gt;0)AND(F261&gt;(C261-E261)),(C261-E261),IF(C261&lt;E261,0,F261))</f>
        <v>0.56813051476686</v>
      </c>
      <c r="M261" s="2" t="n">
        <f aca="false">IF(C261&lt;(E261+F261),0,C261-E261-F261)</f>
        <v>24.4838253463931</v>
      </c>
      <c r="N261" s="2" t="n">
        <f aca="false">IF(C261&lt;(E261+F261),0,(C261-E261-F261)/(1-V$16/100))</f>
        <v>27.5099161195428</v>
      </c>
      <c r="O261" s="2" t="n">
        <f aca="false">L261+M261</f>
        <v>25.05195586116</v>
      </c>
      <c r="P261" s="2" t="n">
        <f aca="false">IF( N261=0,I261*(1-G261/100)+J261*(1-H261/100),-N261)</f>
        <v>-27.5099161195428</v>
      </c>
      <c r="Q261" s="47" t="n">
        <f aca="false">IF(P260&gt;0,Q260+P260*(1-V$20/100),Q260+P260)</f>
        <v>2291.54899762057</v>
      </c>
      <c r="R261" s="48" t="n">
        <f aca="false">R$4+Q261/V$28</f>
        <v>67.1056314445597</v>
      </c>
    </row>
    <row r="262" customFormat="false" ht="12.8" hidden="false" customHeight="false" outlineLevel="0" collapsed="false">
      <c r="A262" s="1" t="n">
        <v>258</v>
      </c>
      <c r="B262" s="37" t="n">
        <v>43803</v>
      </c>
      <c r="C262" s="38" t="n">
        <f aca="false">V$26-V$26*SIN(2*PI()/365*A262)</f>
        <v>27.8019574086752</v>
      </c>
      <c r="D262" s="2" t="n">
        <f aca="false">IF((E262+F262)&gt;C262,C262,E262+F262)</f>
        <v>3.18234811828156</v>
      </c>
      <c r="E262" s="38" t="n">
        <f aca="false">(V$23+V$24*SIN(2*PI()/365*A262))*V$25/100*V$7*V$8/100</f>
        <v>2.62618672704214</v>
      </c>
      <c r="F262" s="38" t="n">
        <f aca="false">(V$23+V$24*SIN(2*PI()/365*A262))*V$25/100*V$9*(1-V$14/100)*(1-V$16/100)</f>
        <v>0.556161391239423</v>
      </c>
      <c r="G262" s="38" t="n">
        <f aca="false">IF(C262&gt;E262,100,C262/E262*100)</f>
        <v>100</v>
      </c>
      <c r="H262" s="38" t="n">
        <f aca="false">L262/F262*100</f>
        <v>100</v>
      </c>
      <c r="I262" s="38" t="n">
        <f aca="false">(V$23+V$24*SIN(2*PI()/365*A262))*V$25/100*V$7*V$8/100*(1-V$15/100)</f>
        <v>2.33730618706751</v>
      </c>
      <c r="J262" s="38" t="n">
        <f aca="false">(V$23+V$24*SIN(2*PI()/365*A262))*V$25/100*V$9*(1-V$14/100)</f>
        <v>0.624900439594857</v>
      </c>
      <c r="K262" s="39" t="n">
        <f aca="false">IF(E262/C262*100&lt;100,E262/C262*100,100)</f>
        <v>9.44604974548546</v>
      </c>
      <c r="L262" s="2" t="n">
        <f aca="false">IF(((C262-E262)&gt;0)AND(F262&gt;(C262-E262)),(C262-E262),IF(C262&lt;E262,0,F262))</f>
        <v>0.556161391239423</v>
      </c>
      <c r="M262" s="2" t="n">
        <f aca="false">IF(C262&lt;(E262+F262),0,C262-E262-F262)</f>
        <v>24.6196092903937</v>
      </c>
      <c r="N262" s="2" t="n">
        <f aca="false">IF(C262&lt;(E262+F262),0,(C262-E262-F262)/(1-V$16/100))</f>
        <v>27.6624823487569</v>
      </c>
      <c r="O262" s="2" t="n">
        <f aca="false">L262+M262</f>
        <v>25.1757706816331</v>
      </c>
      <c r="P262" s="2" t="n">
        <f aca="false">IF( N262=0,I262*(1-G262/100)+J262*(1-H262/100),-N262)</f>
        <v>-27.6624823487569</v>
      </c>
      <c r="Q262" s="47" t="n">
        <f aca="false">IF(P261&gt;0,Q261+P261*(1-V$20/100),Q261+P261)</f>
        <v>2264.03908150103</v>
      </c>
      <c r="R262" s="48" t="n">
        <f aca="false">R$4+Q262/V$28</f>
        <v>66.780229872007</v>
      </c>
    </row>
    <row r="263" customFormat="false" ht="12.8" hidden="false" customHeight="false" outlineLevel="0" collapsed="false">
      <c r="A263" s="1" t="n">
        <v>259</v>
      </c>
      <c r="B263" s="37" t="n">
        <v>43804</v>
      </c>
      <c r="C263" s="38" t="n">
        <f aca="false">V$26-V$26*SIN(2*PI()/365*A263)</f>
        <v>27.8652116613453</v>
      </c>
      <c r="D263" s="2" t="n">
        <f aca="false">IF((E263+F263)&gt;C263,C263,E263+F263)</f>
        <v>3.11797498364098</v>
      </c>
      <c r="E263" s="38" t="n">
        <f aca="false">(V$23+V$24*SIN(2*PI()/365*A263))*V$25/100*V$7*V$8/100</f>
        <v>2.57306372934116</v>
      </c>
      <c r="F263" s="38" t="n">
        <f aca="false">(V$23+V$24*SIN(2*PI()/365*A263))*V$25/100*V$9*(1-V$14/100)*(1-V$16/100)</f>
        <v>0.544911254299821</v>
      </c>
      <c r="G263" s="38" t="n">
        <f aca="false">IF(C263&gt;E263,100,C263/E263*100)</f>
        <v>100</v>
      </c>
      <c r="H263" s="38" t="n">
        <f aca="false">L263/F263*100</f>
        <v>100</v>
      </c>
      <c r="I263" s="38" t="n">
        <f aca="false">(V$23+V$24*SIN(2*PI()/365*A263))*V$25/100*V$7*V$8/100*(1-V$15/100)</f>
        <v>2.29002671911363</v>
      </c>
      <c r="J263" s="38" t="n">
        <f aca="false">(V$23+V$24*SIN(2*PI()/365*A263))*V$25/100*V$9*(1-V$14/100)</f>
        <v>0.612259836291934</v>
      </c>
      <c r="K263" s="39" t="n">
        <f aca="false">IF(E263/C263*100&lt;100,E263/C263*100,100)</f>
        <v>9.23396441632101</v>
      </c>
      <c r="L263" s="2" t="n">
        <f aca="false">IF(((C263-E263)&gt;0)AND(F263&gt;(C263-E263)),(C263-E263),IF(C263&lt;E263,0,F263))</f>
        <v>0.544911254299821</v>
      </c>
      <c r="M263" s="2" t="n">
        <f aca="false">IF(C263&lt;(E263+F263),0,C263-E263-F263)</f>
        <v>24.7472366777043</v>
      </c>
      <c r="N263" s="2" t="n">
        <f aca="false">IF(C263&lt;(E263+F263),0,(C263-E263-F263)/(1-V$16/100))</f>
        <v>27.8058839075329</v>
      </c>
      <c r="O263" s="2" t="n">
        <f aca="false">L263+M263</f>
        <v>25.2921479320041</v>
      </c>
      <c r="P263" s="2" t="n">
        <f aca="false">IF( N263=0,I263*(1-G263/100)+J263*(1-H263/100),-N263)</f>
        <v>-27.8058839075329</v>
      </c>
      <c r="Q263" s="47" t="n">
        <f aca="false">IF(P262&gt;0,Q262+P262*(1-V$20/100),Q262+P262)</f>
        <v>2236.37659915227</v>
      </c>
      <c r="R263" s="48" t="n">
        <f aca="false">R$4+Q263/V$28</f>
        <v>66.4530236668744</v>
      </c>
    </row>
    <row r="264" customFormat="false" ht="12.8" hidden="false" customHeight="false" outlineLevel="0" collapsed="false">
      <c r="A264" s="1" t="n">
        <v>260</v>
      </c>
      <c r="B264" s="37" t="n">
        <v>43805</v>
      </c>
      <c r="C264" s="38" t="n">
        <f aca="false">V$26-V$26*SIN(2*PI()/365*A264)</f>
        <v>27.924404645463</v>
      </c>
      <c r="D264" s="2" t="n">
        <f aca="false">IF((E264+F264)&gt;C264,C264,E264+F264)</f>
        <v>3.05773495588723</v>
      </c>
      <c r="E264" s="38" t="n">
        <f aca="false">(V$23+V$24*SIN(2*PI()/365*A264))*V$25/100*V$7*V$8/100</f>
        <v>2.5233515182808</v>
      </c>
      <c r="F264" s="38" t="n">
        <f aca="false">(V$23+V$24*SIN(2*PI()/365*A264))*V$25/100*V$9*(1-V$14/100)*(1-V$16/100)</f>
        <v>0.53438343760643</v>
      </c>
      <c r="G264" s="38" t="n">
        <f aca="false">IF(C264&gt;E264,100,C264/E264*100)</f>
        <v>100</v>
      </c>
      <c r="H264" s="38" t="n">
        <f aca="false">L264/F264*100</f>
        <v>100</v>
      </c>
      <c r="I264" s="38" t="n">
        <f aca="false">(V$23+V$24*SIN(2*PI()/365*A264))*V$25/100*V$7*V$8/100*(1-V$15/100)</f>
        <v>2.24578285126991</v>
      </c>
      <c r="J264" s="38" t="n">
        <f aca="false">(V$23+V$24*SIN(2*PI()/365*A264))*V$25/100*V$9*(1-V$14/100)</f>
        <v>0.60043082877127</v>
      </c>
      <c r="K264" s="39" t="n">
        <f aca="false">IF(E264/C264*100&lt;100,E264/C264*100,100)</f>
        <v>9.03636639820279</v>
      </c>
      <c r="L264" s="2" t="n">
        <f aca="false">IF(((C264-E264)&gt;0)AND(F264&gt;(C264-E264)),(C264-E264),IF(C264&lt;E264,0,F264))</f>
        <v>0.53438343760643</v>
      </c>
      <c r="M264" s="2" t="n">
        <f aca="false">IF(C264&lt;(E264+F264),0,C264-E264-F264)</f>
        <v>24.8666696895758</v>
      </c>
      <c r="N264" s="2" t="n">
        <f aca="false">IF(C264&lt;(E264+F264),0,(C264-E264-F264)/(1-V$16/100))</f>
        <v>27.9400783028942</v>
      </c>
      <c r="O264" s="2" t="n">
        <f aca="false">L264+M264</f>
        <v>25.4010531271822</v>
      </c>
      <c r="P264" s="2" t="n">
        <f aca="false">IF( N264=0,I264*(1-G264/100)+J264*(1-H264/100),-N264)</f>
        <v>-27.9400783028942</v>
      </c>
      <c r="Q264" s="47" t="n">
        <f aca="false">IF(P263&gt;0,Q263+P263*(1-V$20/100),Q263+P263)</f>
        <v>2208.57071524474</v>
      </c>
      <c r="R264" s="48" t="n">
        <f aca="false">R$4+Q264/V$28</f>
        <v>66.1241212336423</v>
      </c>
    </row>
    <row r="265" customFormat="false" ht="12.8" hidden="false" customHeight="false" outlineLevel="0" collapsed="false">
      <c r="A265" s="1" t="n">
        <v>261</v>
      </c>
      <c r="B265" s="37" t="n">
        <v>43806</v>
      </c>
      <c r="C265" s="38" t="n">
        <f aca="false">V$26-V$26*SIN(2*PI()/365*A265)</f>
        <v>27.9795188208697</v>
      </c>
      <c r="D265" s="2" t="n">
        <f aca="false">IF((E265+F265)&gt;C265,C265,E265+F265)</f>
        <v>3.00164588544062</v>
      </c>
      <c r="E265" s="38" t="n">
        <f aca="false">(V$23+V$24*SIN(2*PI()/365*A265))*V$25/100*V$7*V$8/100</f>
        <v>2.47706482466208</v>
      </c>
      <c r="F265" s="38" t="n">
        <f aca="false">(V$23+V$24*SIN(2*PI()/365*A265))*V$25/100*V$9*(1-V$14/100)*(1-V$16/100)</f>
        <v>0.524581060778544</v>
      </c>
      <c r="G265" s="38" t="n">
        <f aca="false">IF(C265&gt;E265,100,C265/E265*100)</f>
        <v>100</v>
      </c>
      <c r="H265" s="38" t="n">
        <f aca="false">L265/F265*100</f>
        <v>100</v>
      </c>
      <c r="I265" s="38" t="n">
        <f aca="false">(V$23+V$24*SIN(2*PI()/365*A265))*V$25/100*V$7*V$8/100*(1-V$15/100)</f>
        <v>2.20458769394925</v>
      </c>
      <c r="J265" s="38" t="n">
        <f aca="false">(V$23+V$24*SIN(2*PI()/365*A265))*V$25/100*V$9*(1-V$14/100)</f>
        <v>0.589416922223083</v>
      </c>
      <c r="K265" s="39" t="n">
        <f aca="false">IF(E265/C265*100&lt;100,E265/C265*100,100)</f>
        <v>8.85313589744244</v>
      </c>
      <c r="L265" s="2" t="n">
        <f aca="false">IF(((C265-E265)&gt;0)AND(F265&gt;(C265-E265)),(C265-E265),IF(C265&lt;E265,0,F265))</f>
        <v>0.524581060778544</v>
      </c>
      <c r="M265" s="2" t="n">
        <f aca="false">IF(C265&lt;(E265+F265),0,C265-E265-F265)</f>
        <v>24.9778729354291</v>
      </c>
      <c r="N265" s="2" t="n">
        <f aca="false">IF(C265&lt;(E265+F265),0,(C265-E265-F265)/(1-V$16/100))</f>
        <v>28.065025770145</v>
      </c>
      <c r="O265" s="2" t="n">
        <f aca="false">L265+M265</f>
        <v>25.5024539962076</v>
      </c>
      <c r="P265" s="2" t="n">
        <f aca="false">IF( N265=0,I265*(1-G265/100)+J265*(1-H265/100),-N265)</f>
        <v>-28.065025770145</v>
      </c>
      <c r="Q265" s="47" t="n">
        <f aca="false">IF(P264&gt;0,Q264+P264*(1-V$20/100),Q264+P264)</f>
        <v>2180.63063694185</v>
      </c>
      <c r="R265" s="48" t="n">
        <f aca="false">R$4+Q265/V$28</f>
        <v>65.7936314794207</v>
      </c>
    </row>
    <row r="266" customFormat="false" ht="12.8" hidden="false" customHeight="false" outlineLevel="0" collapsed="false">
      <c r="A266" s="1" t="n">
        <v>262</v>
      </c>
      <c r="B266" s="37" t="n">
        <v>43807</v>
      </c>
      <c r="C266" s="38" t="n">
        <f aca="false">V$26-V$26*SIN(2*PI()/365*A266)</f>
        <v>28.0305378560457</v>
      </c>
      <c r="D266" s="2" t="n">
        <f aca="false">IF((E266+F266)&gt;C266,C266,E266+F266)</f>
        <v>2.94972439270324</v>
      </c>
      <c r="E266" s="38" t="n">
        <f aca="false">(V$23+V$24*SIN(2*PI()/365*A266))*V$25/100*V$7*V$8/100</f>
        <v>2.43421736423127</v>
      </c>
      <c r="F266" s="38" t="n">
        <f aca="false">(V$23+V$24*SIN(2*PI()/365*A266))*V$25/100*V$9*(1-V$14/100)*(1-V$16/100)</f>
        <v>0.51550702847197</v>
      </c>
      <c r="G266" s="38" t="n">
        <f aca="false">IF(C266&gt;E266,100,C266/E266*100)</f>
        <v>100</v>
      </c>
      <c r="H266" s="38" t="n">
        <f aca="false">L266/F266*100</f>
        <v>100</v>
      </c>
      <c r="I266" s="38" t="n">
        <f aca="false">(V$23+V$24*SIN(2*PI()/365*A266))*V$25/100*V$7*V$8/100*(1-V$15/100)</f>
        <v>2.16645345416583</v>
      </c>
      <c r="J266" s="38" t="n">
        <f aca="false">(V$23+V$24*SIN(2*PI()/365*A266))*V$25/100*V$9*(1-V$14/100)</f>
        <v>0.579221380305584</v>
      </c>
      <c r="K266" s="39" t="n">
        <f aca="false">IF(E266/C266*100&lt;100,E266/C266*100,100)</f>
        <v>8.68416216889056</v>
      </c>
      <c r="L266" s="2" t="n">
        <f aca="false">IF(((C266-E266)&gt;0)AND(F266&gt;(C266-E266)),(C266-E266),IF(C266&lt;E266,0,F266))</f>
        <v>0.51550702847197</v>
      </c>
      <c r="M266" s="2" t="n">
        <f aca="false">IF(C266&lt;(E266+F266),0,C266-E266-F266)</f>
        <v>25.0808134633425</v>
      </c>
      <c r="N266" s="2" t="n">
        <f aca="false">IF(C266&lt;(E266+F266),0,(C266-E266-F266)/(1-V$16/100))</f>
        <v>28.1806892846545</v>
      </c>
      <c r="O266" s="2" t="n">
        <f aca="false">L266+M266</f>
        <v>25.5963204918145</v>
      </c>
      <c r="P266" s="2" t="n">
        <f aca="false">IF( N266=0,I266*(1-G266/100)+J266*(1-H266/100),-N266)</f>
        <v>-28.1806892846545</v>
      </c>
      <c r="Q266" s="47" t="n">
        <f aca="false">IF(P265&gt;0,Q265+P265*(1-V$20/100),Q265+P265)</f>
        <v>2152.5656111717</v>
      </c>
      <c r="R266" s="48" t="n">
        <f aca="false">R$4+Q266/V$28</f>
        <v>65.4616637816768</v>
      </c>
    </row>
    <row r="267" customFormat="false" ht="12.8" hidden="false" customHeight="false" outlineLevel="0" collapsed="false">
      <c r="A267" s="1" t="n">
        <v>263</v>
      </c>
      <c r="B267" s="37" t="n">
        <v>43808</v>
      </c>
      <c r="C267" s="38" t="n">
        <f aca="false">V$26-V$26*SIN(2*PI()/365*A267)</f>
        <v>28.0774466329499</v>
      </c>
      <c r="D267" s="2" t="n">
        <f aca="false">IF((E267+F267)&gt;C267,C267,E267+F267)</f>
        <v>2.90198586313393</v>
      </c>
      <c r="E267" s="38" t="n">
        <f aca="false">(V$23+V$24*SIN(2*PI()/365*A267))*V$25/100*V$7*V$8/100</f>
        <v>2.39482183361562</v>
      </c>
      <c r="F267" s="38" t="n">
        <f aca="false">(V$23+V$24*SIN(2*PI()/365*A267))*V$25/100*V$9*(1-V$14/100)*(1-V$16/100)</f>
        <v>0.507164029518314</v>
      </c>
      <c r="G267" s="38" t="n">
        <f aca="false">IF(C267&gt;E267,100,C267/E267*100)</f>
        <v>100</v>
      </c>
      <c r="H267" s="38" t="n">
        <f aca="false">L267/F267*100</f>
        <v>100</v>
      </c>
      <c r="I267" s="38" t="n">
        <f aca="false">(V$23+V$24*SIN(2*PI()/365*A267))*V$25/100*V$7*V$8/100*(1-V$15/100)</f>
        <v>2.1313914319179</v>
      </c>
      <c r="J267" s="38" t="n">
        <f aca="false">(V$23+V$24*SIN(2*PI()/365*A267))*V$25/100*V$9*(1-V$14/100)</f>
        <v>0.569847224177881</v>
      </c>
      <c r="K267" s="39" t="n">
        <f aca="false">IF(E267/C267*100&lt;100,E267/C267*100,100)</f>
        <v>8.52934337271684</v>
      </c>
      <c r="L267" s="2" t="n">
        <f aca="false">IF(((C267-E267)&gt;0)AND(F267&gt;(C267-E267)),(C267-E267),IF(C267&lt;E267,0,F267))</f>
        <v>0.507164029518314</v>
      </c>
      <c r="M267" s="2" t="n">
        <f aca="false">IF(C267&lt;(E267+F267),0,C267-E267-F267)</f>
        <v>25.1754607698159</v>
      </c>
      <c r="N267" s="2" t="n">
        <f aca="false">IF(C267&lt;(E267+F267),0,(C267-E267-F267)/(1-V$16/100))</f>
        <v>28.2870345728269</v>
      </c>
      <c r="O267" s="2" t="n">
        <f aca="false">L267+M267</f>
        <v>25.6826247993342</v>
      </c>
      <c r="P267" s="2" t="n">
        <f aca="false">IF( N267=0,I267*(1-G267/100)+J267*(1-H267/100),-N267)</f>
        <v>-28.2870345728269</v>
      </c>
      <c r="Q267" s="47" t="n">
        <f aca="false">IF(P266&gt;0,Q266+P266*(1-V$20/100),Q266+P266)</f>
        <v>2124.38492188705</v>
      </c>
      <c r="R267" s="48" t="n">
        <f aca="false">R$4+Q267/V$28</f>
        <v>65.1283279558242</v>
      </c>
    </row>
    <row r="268" customFormat="false" ht="12.8" hidden="false" customHeight="false" outlineLevel="0" collapsed="false">
      <c r="A268" s="1" t="n">
        <v>264</v>
      </c>
      <c r="B268" s="37" t="n">
        <v>43809</v>
      </c>
      <c r="C268" s="38" t="n">
        <f aca="false">V$26-V$26*SIN(2*PI()/365*A268)</f>
        <v>28.1202312514992</v>
      </c>
      <c r="D268" s="2" t="n">
        <f aca="false">IF((E268+F268)&gt;C268,C268,E268+F268)</f>
        <v>2.85844444268929</v>
      </c>
      <c r="E268" s="38" t="n">
        <f aca="false">(V$23+V$24*SIN(2*PI()/365*A268))*V$25/100*V$7*V$8/100</f>
        <v>2.35888990656106</v>
      </c>
      <c r="F268" s="38" t="n">
        <f aca="false">(V$23+V$24*SIN(2*PI()/365*A268))*V$25/100*V$9*(1-V$14/100)*(1-V$16/100)</f>
        <v>0.499554536128223</v>
      </c>
      <c r="G268" s="38" t="n">
        <f aca="false">IF(C268&gt;E268,100,C268/E268*100)</f>
        <v>100</v>
      </c>
      <c r="H268" s="38" t="n">
        <f aca="false">L268/F268*100</f>
        <v>100</v>
      </c>
      <c r="I268" s="38" t="n">
        <f aca="false">(V$23+V$24*SIN(2*PI()/365*A268))*V$25/100*V$7*V$8/100*(1-V$15/100)</f>
        <v>2.09941201683935</v>
      </c>
      <c r="J268" s="38" t="n">
        <f aca="false">(V$23+V$24*SIN(2*PI()/365*A268))*V$25/100*V$9*(1-V$14/100)</f>
        <v>0.561297231604745</v>
      </c>
      <c r="K268" s="39" t="n">
        <f aca="false">IF(E268/C268*100&lt;100,E268/C268*100,100)</f>
        <v>8.38858644320468</v>
      </c>
      <c r="L268" s="2" t="n">
        <f aca="false">IF(((C268-E268)&gt;0)AND(F268&gt;(C268-E268)),(C268-E268),IF(C268&lt;E268,0,F268))</f>
        <v>0.499554536128223</v>
      </c>
      <c r="M268" s="2" t="n">
        <f aca="false">IF(C268&lt;(E268+F268),0,C268-E268-F268)</f>
        <v>25.2617868088099</v>
      </c>
      <c r="N268" s="2" t="n">
        <f aca="false">IF(C268&lt;(E268+F268),0,(C268-E268-F268)/(1-V$16/100))</f>
        <v>28.3840301222583</v>
      </c>
      <c r="O268" s="2" t="n">
        <f aca="false">L268+M268</f>
        <v>25.7613413449381</v>
      </c>
      <c r="P268" s="2" t="n">
        <f aca="false">IF( N268=0,I268*(1-G268/100)+J268*(1-H268/100),-N268)</f>
        <v>-28.3840301222583</v>
      </c>
      <c r="Q268" s="47" t="n">
        <f aca="false">IF(P267&gt;0,Q267+P267*(1-V$20/100),Q267+P267)</f>
        <v>2096.09788731422</v>
      </c>
      <c r="R268" s="48" t="n">
        <f aca="false">R$4+Q268/V$28</f>
        <v>64.7937342226827</v>
      </c>
    </row>
    <row r="269" customFormat="false" ht="12.8" hidden="false" customHeight="false" outlineLevel="0" collapsed="false">
      <c r="A269" s="1" t="n">
        <v>265</v>
      </c>
      <c r="B269" s="37" t="n">
        <v>43810</v>
      </c>
      <c r="C269" s="38" t="n">
        <f aca="false">V$26-V$26*SIN(2*PI()/365*A269)</f>
        <v>28.1588790336878</v>
      </c>
      <c r="D269" s="2" t="n">
        <f aca="false">IF((E269+F269)&gt;C269,C269,E269+F269)</f>
        <v>2.81911303363189</v>
      </c>
      <c r="E269" s="38" t="n">
        <f aca="false">(V$23+V$24*SIN(2*PI()/365*A269))*V$25/100*V$7*V$8/100</f>
        <v>2.32643223047308</v>
      </c>
      <c r="F269" s="38" t="n">
        <f aca="false">(V$23+V$24*SIN(2*PI()/365*A269))*V$25/100*V$9*(1-V$14/100)*(1-V$16/100)</f>
        <v>0.492680803158814</v>
      </c>
      <c r="G269" s="38" t="n">
        <f aca="false">IF(C269&gt;E269,100,C269/E269*100)</f>
        <v>100</v>
      </c>
      <c r="H269" s="38" t="n">
        <f aca="false">L269/F269*100</f>
        <v>100</v>
      </c>
      <c r="I269" s="38" t="n">
        <f aca="false">(V$23+V$24*SIN(2*PI()/365*A269))*V$25/100*V$7*V$8/100*(1-V$15/100)</f>
        <v>2.07052468512104</v>
      </c>
      <c r="J269" s="38" t="n">
        <f aca="false">(V$23+V$24*SIN(2*PI()/365*A269))*V$25/100*V$9*(1-V$14/100)</f>
        <v>0.553573936133499</v>
      </c>
      <c r="K269" s="39" t="n">
        <f aca="false">IF(E269/C269*100&lt;100,E269/C269*100,100)</f>
        <v>8.26180696926841</v>
      </c>
      <c r="L269" s="2" t="n">
        <f aca="false">IF(((C269-E269)&gt;0)AND(F269&gt;(C269-E269)),(C269-E269),IF(C269&lt;E269,0,F269))</f>
        <v>0.492680803158814</v>
      </c>
      <c r="M269" s="2" t="n">
        <f aca="false">IF(C269&lt;(E269+F269),0,C269-E269-F269)</f>
        <v>25.3397660000559</v>
      </c>
      <c r="N269" s="2" t="n">
        <f aca="false">IF(C269&lt;(E269+F269),0,(C269-E269-F269)/(1-V$16/100))</f>
        <v>28.471647191074</v>
      </c>
      <c r="O269" s="2" t="n">
        <f aca="false">L269+M269</f>
        <v>25.8324468032147</v>
      </c>
      <c r="P269" s="2" t="n">
        <f aca="false">IF( N269=0,I269*(1-G269/100)+J269*(1-H269/100),-N269)</f>
        <v>-28.471647191074</v>
      </c>
      <c r="Q269" s="47" t="n">
        <f aca="false">IF(P268&gt;0,Q268+P268*(1-V$20/100),Q268+P268)</f>
        <v>2067.71385719196</v>
      </c>
      <c r="R269" s="48" t="n">
        <f aca="false">R$4+Q269/V$28</f>
        <v>64.457993175817</v>
      </c>
    </row>
    <row r="270" customFormat="false" ht="12.8" hidden="false" customHeight="false" outlineLevel="0" collapsed="false">
      <c r="A270" s="1" t="n">
        <v>266</v>
      </c>
      <c r="B270" s="37" t="n">
        <v>43811</v>
      </c>
      <c r="C270" s="38" t="n">
        <f aca="false">V$26-V$26*SIN(2*PI()/365*A270)</f>
        <v>28.1933785273437</v>
      </c>
      <c r="D270" s="2" t="n">
        <f aca="false">IF((E270+F270)&gt;C270,C270,E270+F270)</f>
        <v>2.78400329070709</v>
      </c>
      <c r="E270" s="38" t="n">
        <f aca="false">(V$23+V$24*SIN(2*PI()/365*A270))*V$25/100*V$7*V$8/100</f>
        <v>2.29745842326157</v>
      </c>
      <c r="F270" s="38" t="n">
        <f aca="false">(V$23+V$24*SIN(2*PI()/365*A270))*V$25/100*V$9*(1-V$14/100)*(1-V$16/100)</f>
        <v>0.486544867445514</v>
      </c>
      <c r="G270" s="38" t="n">
        <f aca="false">IF(C270&gt;E270,100,C270/E270*100)</f>
        <v>100</v>
      </c>
      <c r="H270" s="38" t="n">
        <f aca="false">L270/F270*100</f>
        <v>100</v>
      </c>
      <c r="I270" s="38" t="n">
        <f aca="false">(V$23+V$24*SIN(2*PI()/365*A270))*V$25/100*V$7*V$8/100*(1-V$15/100)</f>
        <v>2.0447379967028</v>
      </c>
      <c r="J270" s="38" t="n">
        <f aca="false">(V$23+V$24*SIN(2*PI()/365*A270))*V$25/100*V$9*(1-V$14/100)</f>
        <v>0.546679626343274</v>
      </c>
      <c r="K270" s="39" t="n">
        <f aca="false">IF(E270/C270*100&lt;100,E270/C270*100,100)</f>
        <v>8.14892908642841</v>
      </c>
      <c r="L270" s="2" t="n">
        <f aca="false">IF(((C270-E270)&gt;0)AND(F270&gt;(C270-E270)),(C270-E270),IF(C270&lt;E270,0,F270))</f>
        <v>0.486544867445514</v>
      </c>
      <c r="M270" s="2" t="n">
        <f aca="false">IF(C270&lt;(E270+F270),0,C270-E270-F270)</f>
        <v>25.4093752366366</v>
      </c>
      <c r="N270" s="2" t="n">
        <f aca="false">IF(C270&lt;(E270+F270),0,(C270-E270-F270)/(1-V$16/100))</f>
        <v>28.5498598164457</v>
      </c>
      <c r="O270" s="2" t="n">
        <f aca="false">L270+M270</f>
        <v>25.8959201040821</v>
      </c>
      <c r="P270" s="2" t="n">
        <f aca="false">IF( N270=0,I270*(1-G270/100)+J270*(1-H270/100),-N270)</f>
        <v>-28.5498598164457</v>
      </c>
      <c r="Q270" s="47" t="n">
        <f aca="false">IF(P269&gt;0,Q269+P269*(1-V$20/100),Q269+P269)</f>
        <v>2039.24221000089</v>
      </c>
      <c r="R270" s="48" t="n">
        <f aca="false">R$4+Q270/V$28</f>
        <v>64.1212157487656</v>
      </c>
    </row>
    <row r="271" customFormat="false" ht="12.8" hidden="false" customHeight="false" outlineLevel="0" collapsed="false">
      <c r="A271" s="1" t="n">
        <v>267</v>
      </c>
      <c r="B271" s="37" t="n">
        <v>43812</v>
      </c>
      <c r="C271" s="38" t="n">
        <f aca="false">V$26-V$26*SIN(2*PI()/365*A271)</f>
        <v>28.2237195095225</v>
      </c>
      <c r="D271" s="2" t="n">
        <f aca="false">IF((E271+F271)&gt;C271,C271,E271+F271)</f>
        <v>2.75312561768943</v>
      </c>
      <c r="E271" s="38" t="n">
        <f aca="false">(V$23+V$24*SIN(2*PI()/365*A271))*V$25/100*V$7*V$8/100</f>
        <v>2.27197707049093</v>
      </c>
      <c r="F271" s="38" t="n">
        <f aca="false">(V$23+V$24*SIN(2*PI()/365*A271))*V$25/100*V$9*(1-V$14/100)*(1-V$16/100)</f>
        <v>0.481148547198498</v>
      </c>
      <c r="G271" s="38" t="n">
        <f aca="false">IF(C271&gt;E271,100,C271/E271*100)</f>
        <v>100</v>
      </c>
      <c r="H271" s="38" t="n">
        <f aca="false">L271/F271*100</f>
        <v>100</v>
      </c>
      <c r="I271" s="38" t="n">
        <f aca="false">(V$23+V$24*SIN(2*PI()/365*A271))*V$25/100*V$7*V$8/100*(1-V$15/100)</f>
        <v>2.02205959273693</v>
      </c>
      <c r="J271" s="38" t="n">
        <f aca="false">(V$23+V$24*SIN(2*PI()/365*A271))*V$25/100*V$9*(1-V$14/100)</f>
        <v>0.540616345166852</v>
      </c>
      <c r="K271" s="39" t="n">
        <f aca="false">IF(E271/C271*100&lt;100,E271/C271*100,100)</f>
        <v>8.04988538000593</v>
      </c>
      <c r="L271" s="2" t="n">
        <f aca="false">IF(((C271-E271)&gt;0)AND(F271&gt;(C271-E271)),(C271-E271),IF(C271&lt;E271,0,F271))</f>
        <v>0.481148547198498</v>
      </c>
      <c r="M271" s="2" t="n">
        <f aca="false">IF(C271&lt;(E271+F271),0,C271-E271-F271)</f>
        <v>25.4705938918331</v>
      </c>
      <c r="N271" s="2" t="n">
        <f aca="false">IF(C271&lt;(E271+F271),0,(C271-E271-F271)/(1-V$16/100))</f>
        <v>28.6186448222844</v>
      </c>
      <c r="O271" s="2" t="n">
        <f aca="false">L271+M271</f>
        <v>25.9517424390316</v>
      </c>
      <c r="P271" s="2" t="n">
        <f aca="false">IF( N271=0,I271*(1-G271/100)+J271*(1-H271/100),-N271)</f>
        <v>-28.6186448222844</v>
      </c>
      <c r="Q271" s="47" t="n">
        <f aca="false">IF(P270&gt;0,Q270+P270*(1-V$20/100),Q270+P270)</f>
        <v>2010.69235018444</v>
      </c>
      <c r="R271" s="48" t="n">
        <f aca="false">R$4+Q271/V$28</f>
        <v>63.783513182169</v>
      </c>
    </row>
    <row r="272" customFormat="false" ht="12.8" hidden="false" customHeight="false" outlineLevel="0" collapsed="false">
      <c r="A272" s="1" t="n">
        <v>268</v>
      </c>
      <c r="B272" s="37" t="n">
        <v>43813</v>
      </c>
      <c r="C272" s="38" t="n">
        <f aca="false">V$26-V$26*SIN(2*PI()/365*A272)</f>
        <v>28.2498929895363</v>
      </c>
      <c r="D272" s="2" t="n">
        <f aca="false">IF((E272+F272)&gt;C272,C272,E272+F272)</f>
        <v>2.72648916429984</v>
      </c>
      <c r="E272" s="38" t="n">
        <f aca="false">(V$23+V$24*SIN(2*PI()/365*A272))*V$25/100*V$7*V$8/100</f>
        <v>2.24999572283592</v>
      </c>
      <c r="F272" s="38" t="n">
        <f aca="false">(V$23+V$24*SIN(2*PI()/365*A272))*V$25/100*V$9*(1-V$14/100)*(1-V$16/100)</f>
        <v>0.476493441463919</v>
      </c>
      <c r="G272" s="38" t="n">
        <f aca="false">IF(C272&gt;E272,100,C272/E272*100)</f>
        <v>100</v>
      </c>
      <c r="H272" s="38" t="n">
        <f aca="false">L272/F272*100</f>
        <v>100</v>
      </c>
      <c r="I272" s="38" t="n">
        <f aca="false">(V$23+V$24*SIN(2*PI()/365*A272))*V$25/100*V$7*V$8/100*(1-V$15/100)</f>
        <v>2.00249619332397</v>
      </c>
      <c r="J272" s="38" t="n">
        <f aca="false">(V$23+V$24*SIN(2*PI()/365*A272))*V$25/100*V$9*(1-V$14/100)</f>
        <v>0.535385889285302</v>
      </c>
      <c r="K272" s="39" t="n">
        <f aca="false">IF(E272/C272*100&lt;100,E272/C272*100,100)</f>
        <v>7.96461679932492</v>
      </c>
      <c r="L272" s="2" t="n">
        <f aca="false">IF(((C272-E272)&gt;0)AND(F272&gt;(C272-E272)),(C272-E272),IF(C272&lt;E272,0,F272))</f>
        <v>0.476493441463919</v>
      </c>
      <c r="M272" s="2" t="n">
        <f aca="false">IF(C272&lt;(E272+F272),0,C272-E272-F272)</f>
        <v>25.5234038252365</v>
      </c>
      <c r="N272" s="2" t="n">
        <f aca="false">IF(C272&lt;(E272+F272),0,(C272-E272-F272)/(1-V$16/100))</f>
        <v>28.6779818261084</v>
      </c>
      <c r="O272" s="2" t="n">
        <f aca="false">L272+M272</f>
        <v>25.9998972667004</v>
      </c>
      <c r="P272" s="2" t="n">
        <f aca="false">IF( N272=0,I272*(1-G272/100)+J272*(1-H272/100),-N272)</f>
        <v>-28.6779818261084</v>
      </c>
      <c r="Q272" s="47" t="n">
        <f aca="false">IF(P271&gt;0,Q271+P271*(1-V$20/100),Q271+P271)</f>
        <v>1982.07370536216</v>
      </c>
      <c r="R272" s="48" t="n">
        <f aca="false">R$4+Q272/V$28</f>
        <v>63.4449969908062</v>
      </c>
    </row>
    <row r="273" customFormat="false" ht="12.8" hidden="false" customHeight="false" outlineLevel="0" collapsed="false">
      <c r="A273" s="1" t="n">
        <v>269</v>
      </c>
      <c r="B273" s="37" t="n">
        <v>43814</v>
      </c>
      <c r="C273" s="38" t="n">
        <f aca="false">V$26-V$26*SIN(2*PI()/365*A273)</f>
        <v>28.2718912116181</v>
      </c>
      <c r="D273" s="2" t="n">
        <f aca="false">IF((E273+F273)&gt;C273,C273,E273+F273)</f>
        <v>2.70410182349431</v>
      </c>
      <c r="E273" s="38" t="n">
        <f aca="false">(V$23+V$24*SIN(2*PI()/365*A273))*V$25/100*V$7*V$8/100</f>
        <v>2.23152089384424</v>
      </c>
      <c r="F273" s="38" t="n">
        <f aca="false">(V$23+V$24*SIN(2*PI()/365*A273))*V$25/100*V$9*(1-V$14/100)*(1-V$16/100)</f>
        <v>0.47258092965007</v>
      </c>
      <c r="G273" s="38" t="n">
        <f aca="false">IF(C273&gt;E273,100,C273/E273*100)</f>
        <v>100</v>
      </c>
      <c r="H273" s="38" t="n">
        <f aca="false">L273/F273*100</f>
        <v>100</v>
      </c>
      <c r="I273" s="38" t="n">
        <f aca="false">(V$23+V$24*SIN(2*PI()/365*A273))*V$25/100*V$7*V$8/100*(1-V$15/100)</f>
        <v>1.98605359552137</v>
      </c>
      <c r="J273" s="38" t="n">
        <f aca="false">(V$23+V$24*SIN(2*PI()/365*A273))*V$25/100*V$9*(1-V$14/100)</f>
        <v>0.530989808595585</v>
      </c>
      <c r="K273" s="39" t="n">
        <f aca="false">IF(E273/C273*100&lt;100,E273/C273*100,100)</f>
        <v>7.89307258273268</v>
      </c>
      <c r="L273" s="2" t="n">
        <f aca="false">IF(((C273-E273)&gt;0)AND(F273&gt;(C273-E273)),(C273-E273),IF(C273&lt;E273,0,F273))</f>
        <v>0.47258092965007</v>
      </c>
      <c r="M273" s="2" t="n">
        <f aca="false">IF(C273&lt;(E273+F273),0,C273-E273-F273)</f>
        <v>25.5677893881238</v>
      </c>
      <c r="N273" s="2" t="n">
        <f aca="false">IF(C273&lt;(E273+F273),0,(C273-E273-F273)/(1-V$16/100))</f>
        <v>28.7278532450829</v>
      </c>
      <c r="O273" s="2" t="n">
        <f aca="false">L273+M273</f>
        <v>26.0403703177738</v>
      </c>
      <c r="P273" s="2" t="n">
        <f aca="false">IF( N273=0,I273*(1-G273/100)+J273*(1-H273/100),-N273)</f>
        <v>-28.7278532450829</v>
      </c>
      <c r="Q273" s="47" t="n">
        <f aca="false">IF(P272&gt;0,Q272+P272*(1-V$20/100),Q272+P272)</f>
        <v>1953.39572353605</v>
      </c>
      <c r="R273" s="48" t="n">
        <f aca="false">R$4+Q273/V$28</f>
        <v>63.1057789305512</v>
      </c>
    </row>
    <row r="274" customFormat="false" ht="12.8" hidden="false" customHeight="false" outlineLevel="0" collapsed="false">
      <c r="A274" s="1" t="n">
        <v>270</v>
      </c>
      <c r="B274" s="37" t="n">
        <v>43815</v>
      </c>
      <c r="C274" s="38" t="n">
        <f aca="false">V$26-V$26*SIN(2*PI()/365*A274)</f>
        <v>28.2897076572199</v>
      </c>
      <c r="D274" s="2" t="n">
        <f aca="false">IF((E274+F274)&gt;C274,C274,E274+F274)</f>
        <v>2.68597022912507</v>
      </c>
      <c r="E274" s="38" t="n">
        <f aca="false">(V$23+V$24*SIN(2*PI()/365*A274))*V$25/100*V$7*V$8/100</f>
        <v>2.21655805800643</v>
      </c>
      <c r="F274" s="38" t="n">
        <f aca="false">(V$23+V$24*SIN(2*PI()/365*A274))*V$25/100*V$9*(1-V$14/100)*(1-V$16/100)</f>
        <v>0.469412171118641</v>
      </c>
      <c r="G274" s="38" t="n">
        <f aca="false">IF(C274&gt;E274,100,C274/E274*100)</f>
        <v>100</v>
      </c>
      <c r="H274" s="38" t="n">
        <f aca="false">L274/F274*100</f>
        <v>100</v>
      </c>
      <c r="I274" s="38" t="n">
        <f aca="false">(V$23+V$24*SIN(2*PI()/365*A274))*V$25/100*V$7*V$8/100*(1-V$15/100)</f>
        <v>1.97273667162573</v>
      </c>
      <c r="J274" s="38" t="n">
        <f aca="false">(V$23+V$24*SIN(2*PI()/365*A274))*V$25/100*V$9*(1-V$14/100)</f>
        <v>0.527429405751283</v>
      </c>
      <c r="K274" s="39" t="n">
        <f aca="false">IF(E274/C274*100&lt;100,E274/C274*100,100)</f>
        <v>7.83521019327585</v>
      </c>
      <c r="L274" s="2" t="n">
        <f aca="false">IF(((C274-E274)&gt;0)AND(F274&gt;(C274-E274)),(C274-E274),IF(C274&lt;E274,0,F274))</f>
        <v>0.469412171118641</v>
      </c>
      <c r="M274" s="2" t="n">
        <f aca="false">IF(C274&lt;(E274+F274),0,C274-E274-F274)</f>
        <v>25.6037374280948</v>
      </c>
      <c r="N274" s="2" t="n">
        <f aca="false">IF(C274&lt;(E274+F274),0,(C274-E274-F274)/(1-V$16/100))</f>
        <v>28.7682443012301</v>
      </c>
      <c r="O274" s="2" t="n">
        <f aca="false">L274+M274</f>
        <v>26.0731495992135</v>
      </c>
      <c r="P274" s="2" t="n">
        <f aca="false">IF( N274=0,I274*(1-G274/100)+J274*(1-H274/100),-N274)</f>
        <v>-28.7682443012301</v>
      </c>
      <c r="Q274" s="47" t="n">
        <f aca="false">IF(P273&gt;0,Q273+P273*(1-V$20/100),Q273+P273)</f>
        <v>1924.66787029097</v>
      </c>
      <c r="R274" s="48" t="n">
        <f aca="false">R$4+Q274/V$28</f>
        <v>62.7659709652564</v>
      </c>
    </row>
    <row r="275" customFormat="false" ht="12.8" hidden="false" customHeight="false" outlineLevel="0" collapsed="false">
      <c r="A275" s="1" t="n">
        <v>271</v>
      </c>
      <c r="B275" s="37" t="n">
        <v>43816</v>
      </c>
      <c r="C275" s="38" t="n">
        <f aca="false">V$26-V$26*SIN(2*PI()/365*A275)</f>
        <v>28.3033370469444</v>
      </c>
      <c r="D275" s="2" t="n">
        <f aca="false">IF((E275+F275)&gt;C275,C275,E275+F275)</f>
        <v>2.67209975397487</v>
      </c>
      <c r="E275" s="38" t="n">
        <f aca="false">(V$23+V$24*SIN(2*PI()/365*A275))*V$25/100*V$7*V$8/100</f>
        <v>2.20511164913369</v>
      </c>
      <c r="F275" s="38" t="n">
        <f aca="false">(V$23+V$24*SIN(2*PI()/365*A275))*V$25/100*V$9*(1-V$14/100)*(1-V$16/100)</f>
        <v>0.466988104841173</v>
      </c>
      <c r="G275" s="38" t="n">
        <f aca="false">IF(C275&gt;E275,100,C275/E275*100)</f>
        <v>100</v>
      </c>
      <c r="H275" s="38" t="n">
        <f aca="false">L275/F275*100</f>
        <v>100</v>
      </c>
      <c r="I275" s="38" t="n">
        <f aca="false">(V$23+V$24*SIN(2*PI()/365*A275))*V$25/100*V$7*V$8/100*(1-V$15/100)</f>
        <v>1.96254936772899</v>
      </c>
      <c r="J275" s="38" t="n">
        <f aca="false">(V$23+V$24*SIN(2*PI()/365*A275))*V$25/100*V$9*(1-V$14/100)</f>
        <v>0.524705735776599</v>
      </c>
      <c r="K275" s="39" t="n">
        <f aca="false">IF(E275/C275*100&lt;100,E275/C275*100,100)</f>
        <v>7.7909952648914</v>
      </c>
      <c r="L275" s="2" t="n">
        <f aca="false">IF(((C275-E275)&gt;0)AND(F275&gt;(C275-E275)),(C275-E275),IF(C275&lt;E275,0,F275))</f>
        <v>0.466988104841173</v>
      </c>
      <c r="M275" s="2" t="n">
        <f aca="false">IF(C275&lt;(E275+F275),0,C275-E275-F275)</f>
        <v>25.6312372929695</v>
      </c>
      <c r="N275" s="2" t="n">
        <f aca="false">IF(C275&lt;(E275+F275),0,(C275-E275-F275)/(1-V$16/100))</f>
        <v>28.7991430258085</v>
      </c>
      <c r="O275" s="2" t="n">
        <f aca="false">L275+M275</f>
        <v>26.0982253978107</v>
      </c>
      <c r="P275" s="2" t="n">
        <f aca="false">IF( N275=0,I275*(1-G275/100)+J275*(1-H275/100),-N275)</f>
        <v>-28.7991430258085</v>
      </c>
      <c r="Q275" s="47" t="n">
        <f aca="false">IF(P274&gt;0,Q274+P274*(1-V$20/100),Q274+P274)</f>
        <v>1895.89962598974</v>
      </c>
      <c r="R275" s="48" t="n">
        <f aca="false">R$4+Q275/V$28</f>
        <v>62.4256852335763</v>
      </c>
    </row>
    <row r="276" customFormat="false" ht="12.8" hidden="false" customHeight="false" outlineLevel="0" collapsed="false">
      <c r="A276" s="1" t="n">
        <v>272</v>
      </c>
      <c r="B276" s="37" t="n">
        <v>43817</v>
      </c>
      <c r="C276" s="38" t="n">
        <f aca="false">V$26-V$26*SIN(2*PI()/365*A276)</f>
        <v>28.3127753421093</v>
      </c>
      <c r="D276" s="2" t="n">
        <f aca="false">IF((E276+F276)&gt;C276,C276,E276+F276)</f>
        <v>2.66249450816482</v>
      </c>
      <c r="E276" s="38" t="n">
        <f aca="false">(V$23+V$24*SIN(2*PI()/365*A276))*V$25/100*V$7*V$8/100</f>
        <v>2.197185059044</v>
      </c>
      <c r="F276" s="38" t="n">
        <f aca="false">(V$23+V$24*SIN(2*PI()/365*A276))*V$25/100*V$9*(1-V$14/100)*(1-V$16/100)</f>
        <v>0.465309449120819</v>
      </c>
      <c r="G276" s="38" t="n">
        <f aca="false">IF(C276&gt;E276,100,C276/E276*100)</f>
        <v>100</v>
      </c>
      <c r="H276" s="38" t="n">
        <f aca="false">L276/F276*100</f>
        <v>100</v>
      </c>
      <c r="I276" s="38" t="n">
        <f aca="false">(V$23+V$24*SIN(2*PI()/365*A276))*V$25/100*V$7*V$8/100*(1-V$15/100)</f>
        <v>1.95549470254916</v>
      </c>
      <c r="J276" s="38" t="n">
        <f aca="false">(V$23+V$24*SIN(2*PI()/365*A276))*V$25/100*V$9*(1-V$14/100)</f>
        <v>0.522819605753729</v>
      </c>
      <c r="K276" s="39" t="n">
        <f aca="false">IF(E276/C276*100&lt;100,E276/C276*100,100)</f>
        <v>7.7604015589957</v>
      </c>
      <c r="L276" s="2" t="n">
        <f aca="false">IF(((C276-E276)&gt;0)AND(F276&gt;(C276-E276)),(C276-E276),IF(C276&lt;E276,0,F276))</f>
        <v>0.465309449120819</v>
      </c>
      <c r="M276" s="2" t="n">
        <f aca="false">IF(C276&lt;(E276+F276),0,C276-E276-F276)</f>
        <v>25.6502808339445</v>
      </c>
      <c r="N276" s="2" t="n">
        <f aca="false">IF(C276&lt;(E276+F276),0,(C276-E276-F276)/(1-V$16/100))</f>
        <v>28.820540262859</v>
      </c>
      <c r="O276" s="2" t="n">
        <f aca="false">L276+M276</f>
        <v>26.1155902830653</v>
      </c>
      <c r="P276" s="2" t="n">
        <f aca="false">IF( N276=0,I276*(1-G276/100)+J276*(1-H276/100),-N276)</f>
        <v>-28.820540262859</v>
      </c>
      <c r="Q276" s="47" t="n">
        <f aca="false">IF(P275&gt;0,Q275+P275*(1-V$20/100),Q275+P275)</f>
        <v>1867.10048296393</v>
      </c>
      <c r="R276" s="48" t="n">
        <f aca="false">R$4+Q276/V$28</f>
        <v>62.0850340157375</v>
      </c>
    </row>
    <row r="277" customFormat="false" ht="12.8" hidden="false" customHeight="false" outlineLevel="0" collapsed="false">
      <c r="A277" s="1" t="n">
        <v>273</v>
      </c>
      <c r="B277" s="37" t="n">
        <v>43818</v>
      </c>
      <c r="C277" s="38" t="n">
        <f aca="false">V$26-V$26*SIN(2*PI()/365*A277)</f>
        <v>28.318019745944</v>
      </c>
      <c r="D277" s="2" t="n">
        <f aca="false">IF((E277+F277)&gt;C277,C277,E277+F277)</f>
        <v>2.65715733793656</v>
      </c>
      <c r="E277" s="38" t="n">
        <f aca="false">(V$23+V$24*SIN(2*PI()/365*A277))*V$25/100*V$7*V$8/100</f>
        <v>2.19278063655707</v>
      </c>
      <c r="F277" s="38" t="n">
        <f aca="false">(V$23+V$24*SIN(2*PI()/365*A277))*V$25/100*V$9*(1-V$14/100)*(1-V$16/100)</f>
        <v>0.464376701379496</v>
      </c>
      <c r="G277" s="38" t="n">
        <f aca="false">IF(C277&gt;E277,100,C277/E277*100)</f>
        <v>100</v>
      </c>
      <c r="H277" s="38" t="n">
        <f aca="false">L277/F277*100</f>
        <v>100</v>
      </c>
      <c r="I277" s="38" t="n">
        <f aca="false">(V$23+V$24*SIN(2*PI()/365*A277))*V$25/100*V$7*V$8/100*(1-V$15/100)</f>
        <v>1.95157476653579</v>
      </c>
      <c r="J277" s="38" t="n">
        <f aca="false">(V$23+V$24*SIN(2*PI()/365*A277))*V$25/100*V$9*(1-V$14/100)</f>
        <v>0.521771574583704</v>
      </c>
      <c r="K277" s="39" t="n">
        <f aca="false">IF(E277/C277*100&lt;100,E277/C277*100,100)</f>
        <v>7.7434109313775</v>
      </c>
      <c r="L277" s="2" t="n">
        <f aca="false">IF(((C277-E277)&gt;0)AND(F277&gt;(C277-E277)),(C277-E277),IF(C277&lt;E277,0,F277))</f>
        <v>0.464376701379496</v>
      </c>
      <c r="M277" s="2" t="n">
        <f aca="false">IF(C277&lt;(E277+F277),0,C277-E277-F277)</f>
        <v>25.6608624080074</v>
      </c>
      <c r="N277" s="2" t="n">
        <f aca="false">IF(C277&lt;(E277+F277),0,(C277-E277-F277)/(1-V$16/100))</f>
        <v>28.8324296719185</v>
      </c>
      <c r="O277" s="2" t="n">
        <f aca="false">L277+M277</f>
        <v>26.1252391093869</v>
      </c>
      <c r="P277" s="2" t="n">
        <f aca="false">IF( N277=0,I277*(1-G277/100)+J277*(1-H277/100),-N277)</f>
        <v>-28.8324296719185</v>
      </c>
      <c r="Q277" s="47" t="n">
        <f aca="false">IF(P276&gt;0,Q276+P276*(1-V$20/100),Q276+P276)</f>
        <v>1838.27994270107</v>
      </c>
      <c r="R277" s="48" t="n">
        <f aca="false">R$4+Q277/V$28</f>
        <v>61.7441297002682</v>
      </c>
    </row>
    <row r="278" customFormat="false" ht="12.8" hidden="false" customHeight="false" outlineLevel="0" collapsed="false">
      <c r="A278" s="1" t="n">
        <v>274</v>
      </c>
      <c r="B278" s="37" t="n">
        <v>43819</v>
      </c>
      <c r="C278" s="38" t="n">
        <f aca="false">V$26-V$26*SIN(2*PI()/365*A278)</f>
        <v>28.3190687044185</v>
      </c>
      <c r="D278" s="2" t="n">
        <f aca="false">IF((E278+F278)&gt;C278,C278,E278+F278)</f>
        <v>2.65608982480883</v>
      </c>
      <c r="E278" s="38" t="n">
        <f aca="false">(V$23+V$24*SIN(2*PI()/365*A278))*V$25/100*V$7*V$8/100</f>
        <v>2.19189968679833</v>
      </c>
      <c r="F278" s="38" t="n">
        <f aca="false">(V$23+V$24*SIN(2*PI()/365*A278))*V$25/100*V$9*(1-V$14/100)*(1-V$16/100)</f>
        <v>0.464190138010493</v>
      </c>
      <c r="G278" s="38" t="n">
        <f aca="false">IF(C278&gt;E278,100,C278/E278*100)</f>
        <v>100</v>
      </c>
      <c r="H278" s="38" t="n">
        <f aca="false">L278/F278*100</f>
        <v>100</v>
      </c>
      <c r="I278" s="38" t="n">
        <f aca="false">(V$23+V$24*SIN(2*PI()/365*A278))*V$25/100*V$7*V$8/100*(1-V$15/100)</f>
        <v>1.95079072125052</v>
      </c>
      <c r="J278" s="38" t="n">
        <f aca="false">(V$23+V$24*SIN(2*PI()/365*A278))*V$25/100*V$9*(1-V$14/100)</f>
        <v>0.521561952820779</v>
      </c>
      <c r="K278" s="39" t="n">
        <f aca="false">IF(E278/C278*100&lt;100,E278/C278*100,100)</f>
        <v>7.74001330932307</v>
      </c>
      <c r="L278" s="2" t="n">
        <f aca="false">IF(((C278-E278)&gt;0)AND(F278&gt;(C278-E278)),(C278-E278),IF(C278&lt;E278,0,F278))</f>
        <v>0.464190138010493</v>
      </c>
      <c r="M278" s="2" t="n">
        <f aca="false">IF(C278&lt;(E278+F278),0,C278-E278-F278)</f>
        <v>25.6629788796097</v>
      </c>
      <c r="N278" s="2" t="n">
        <f aca="false">IF(C278&lt;(E278+F278),0,(C278-E278-F278)/(1-V$16/100))</f>
        <v>28.8348077298985</v>
      </c>
      <c r="O278" s="2" t="n">
        <f aca="false">L278+M278</f>
        <v>26.1271690176202</v>
      </c>
      <c r="P278" s="2" t="n">
        <f aca="false">IF( N278=0,I278*(1-G278/100)+J278*(1-H278/100),-N278)</f>
        <v>-28.8348077298985</v>
      </c>
      <c r="Q278" s="47" t="n">
        <f aca="false">IF(P277&gt;0,Q277+P277*(1-V$20/100),Q277+P277)</f>
        <v>1809.44751302915</v>
      </c>
      <c r="R278" s="48" t="n">
        <f aca="false">R$4+Q278/V$28</f>
        <v>61.403084750695</v>
      </c>
    </row>
    <row r="279" customFormat="false" ht="12.8" hidden="false" customHeight="false" outlineLevel="0" collapsed="false">
      <c r="A279" s="1" t="n">
        <v>275</v>
      </c>
      <c r="B279" s="37" t="n">
        <v>43820</v>
      </c>
      <c r="C279" s="38" t="n">
        <f aca="false">V$26-V$26*SIN(2*PI()/365*A279)</f>
        <v>28.3159219067037</v>
      </c>
      <c r="D279" s="2" t="n">
        <f aca="false">IF((E279+F279)&gt;C279,C279,E279+F279)</f>
        <v>2.65929228510878</v>
      </c>
      <c r="E279" s="38" t="n">
        <f aca="false">(V$23+V$24*SIN(2*PI()/365*A279))*V$25/100*V$7*V$8/100</f>
        <v>2.19454247081222</v>
      </c>
      <c r="F279" s="38" t="n">
        <f aca="false">(V$23+V$24*SIN(2*PI()/365*A279))*V$25/100*V$9*(1-V$14/100)*(1-V$16/100)</f>
        <v>0.46474981429656</v>
      </c>
      <c r="G279" s="38" t="n">
        <f aca="false">IF(C279&gt;E279,100,C279/E279*100)</f>
        <v>100</v>
      </c>
      <c r="H279" s="38" t="n">
        <f aca="false">L279/F279*100</f>
        <v>100</v>
      </c>
      <c r="I279" s="38" t="n">
        <f aca="false">(V$23+V$24*SIN(2*PI()/365*A279))*V$25/100*V$7*V$8/100*(1-V$15/100)</f>
        <v>1.95314279902288</v>
      </c>
      <c r="J279" s="38" t="n">
        <f aca="false">(V$23+V$24*SIN(2*PI()/365*A279))*V$25/100*V$9*(1-V$14/100)</f>
        <v>0.522190802580404</v>
      </c>
      <c r="K279" s="39" t="n">
        <f aca="false">IF(E279/C279*100&lt;100,E279/C279*100,100)</f>
        <v>7.75020667892388</v>
      </c>
      <c r="L279" s="2" t="n">
        <f aca="false">IF(((C279-E279)&gt;0)AND(F279&gt;(C279-E279)),(C279-E279),IF(C279&lt;E279,0,F279))</f>
        <v>0.46474981429656</v>
      </c>
      <c r="M279" s="2" t="n">
        <f aca="false">IF(C279&lt;(E279+F279),0,C279-E279-F279)</f>
        <v>25.656629621595</v>
      </c>
      <c r="N279" s="2" t="n">
        <f aca="false">IF(C279&lt;(E279+F279),0,(C279-E279-F279)/(1-V$16/100))</f>
        <v>28.8276737321292</v>
      </c>
      <c r="O279" s="2" t="n">
        <f aca="false">L279+M279</f>
        <v>26.1213794358915</v>
      </c>
      <c r="P279" s="2" t="n">
        <f aca="false">IF( N279=0,I279*(1-G279/100)+J279*(1-H279/100),-N279)</f>
        <v>-28.8276737321292</v>
      </c>
      <c r="Q279" s="47" t="n">
        <f aca="false">IF(P278&gt;0,Q278+P278*(1-V$20/100),Q278+P278)</f>
        <v>1780.61270529925</v>
      </c>
      <c r="R279" s="48" t="n">
        <f aca="false">R$4+Q279/V$28</f>
        <v>61.0620116722171</v>
      </c>
    </row>
    <row r="280" customFormat="false" ht="12.8" hidden="false" customHeight="false" outlineLevel="0" collapsed="false">
      <c r="A280" s="1" t="n">
        <v>276</v>
      </c>
      <c r="B280" s="37" t="n">
        <v>43821</v>
      </c>
      <c r="C280" s="38" t="n">
        <f aca="false">V$26-V$26*SIN(2*PI()/365*A280)</f>
        <v>28.3085802852638</v>
      </c>
      <c r="D280" s="2" t="n">
        <f aca="false">IF((E280+F280)&gt;C280,C280,E280+F280)</f>
        <v>2.66676376987833</v>
      </c>
      <c r="E280" s="38" t="n">
        <f aca="false">(V$23+V$24*SIN(2*PI()/365*A280))*V$25/100*V$7*V$8/100</f>
        <v>2.2007082054848</v>
      </c>
      <c r="F280" s="38" t="n">
        <f aca="false">(V$23+V$24*SIN(2*PI()/365*A280))*V$25/100*V$9*(1-V$14/100)*(1-V$16/100)</f>
        <v>0.466055564393536</v>
      </c>
      <c r="G280" s="38" t="n">
        <f aca="false">IF(C280&gt;E280,100,C280/E280*100)</f>
        <v>100</v>
      </c>
      <c r="H280" s="38" t="n">
        <f aca="false">L280/F280*100</f>
        <v>100</v>
      </c>
      <c r="I280" s="38" t="n">
        <f aca="false">(V$23+V$24*SIN(2*PI()/365*A280))*V$25/100*V$7*V$8/100*(1-V$15/100)</f>
        <v>1.95863030288147</v>
      </c>
      <c r="J280" s="38" t="n">
        <f aca="false">(V$23+V$24*SIN(2*PI()/365*A280))*V$25/100*V$9*(1-V$14/100)</f>
        <v>0.523657937520827</v>
      </c>
      <c r="K280" s="39" t="n">
        <f aca="false">IF(E280/C280*100&lt;100,E280/C280*100,100)</f>
        <v>7.77399708253963</v>
      </c>
      <c r="L280" s="2" t="n">
        <f aca="false">IF(((C280-E280)&gt;0)AND(F280&gt;(C280-E280)),(C280-E280),IF(C280&lt;E280,0,F280))</f>
        <v>0.466055564393536</v>
      </c>
      <c r="M280" s="2" t="n">
        <f aca="false">IF(C280&lt;(E280+F280),0,C280-E280-F280)</f>
        <v>25.6418165153855</v>
      </c>
      <c r="N280" s="2" t="n">
        <f aca="false">IF(C280&lt;(E280+F280),0,(C280-E280-F280)/(1-V$16/100))</f>
        <v>28.8110297925679</v>
      </c>
      <c r="O280" s="2" t="n">
        <f aca="false">L280+M280</f>
        <v>26.107872079779</v>
      </c>
      <c r="P280" s="2" t="n">
        <f aca="false">IF( N280=0,I280*(1-G280/100)+J280*(1-H280/100),-N280)</f>
        <v>-28.8110297925679</v>
      </c>
      <c r="Q280" s="47" t="n">
        <f aca="false">IF(P279&gt;0,Q279+P279*(1-V$20/100),Q279+P279)</f>
        <v>1751.78503156712</v>
      </c>
      <c r="R280" s="48" t="n">
        <f aca="false">R$4+Q280/V$28</f>
        <v>60.7210229783692</v>
      </c>
    </row>
    <row r="281" customFormat="false" ht="12.8" hidden="false" customHeight="false" outlineLevel="0" collapsed="false">
      <c r="A281" s="1" t="n">
        <v>277</v>
      </c>
      <c r="B281" s="37" t="n">
        <v>43822</v>
      </c>
      <c r="C281" s="38" t="n">
        <f aca="false">V$26-V$26*SIN(2*PI()/365*A281)</f>
        <v>28.2970460155795</v>
      </c>
      <c r="D281" s="2" t="n">
        <f aca="false">IF((E281+F281)&gt;C281,C281,E281+F281)</f>
        <v>2.67850206515529</v>
      </c>
      <c r="E281" s="38" t="n">
        <f aca="false">(V$23+V$24*SIN(2*PI()/365*A281))*V$25/100*V$7*V$8/100</f>
        <v>2.2103950637758</v>
      </c>
      <c r="F281" s="38" t="n">
        <f aca="false">(V$23+V$24*SIN(2*PI()/365*A281))*V$25/100*V$9*(1-V$14/100)*(1-V$16/100)</f>
        <v>0.468107001379486</v>
      </c>
      <c r="G281" s="38" t="n">
        <f aca="false">IF(C281&gt;E281,100,C281/E281*100)</f>
        <v>100</v>
      </c>
      <c r="H281" s="38" t="n">
        <f aca="false">L281/F281*100</f>
        <v>100</v>
      </c>
      <c r="I281" s="38" t="n">
        <f aca="false">(V$23+V$24*SIN(2*PI()/365*A281))*V$25/100*V$7*V$8/100*(1-V$15/100)</f>
        <v>1.96725160676047</v>
      </c>
      <c r="J281" s="38" t="n">
        <f aca="false">(V$23+V$24*SIN(2*PI()/365*A281))*V$25/100*V$9*(1-V$14/100)</f>
        <v>0.525962922898299</v>
      </c>
      <c r="K281" s="39" t="n">
        <f aca="false">IF(E281/C281*100&lt;100,E281/C281*100,100)</f>
        <v>7.81139862641077</v>
      </c>
      <c r="L281" s="2" t="n">
        <f aca="false">IF(((C281-E281)&gt;0)AND(F281&gt;(C281-E281)),(C281-E281),IF(C281&lt;E281,0,F281))</f>
        <v>0.468107001379486</v>
      </c>
      <c r="M281" s="2" t="n">
        <f aca="false">IF(C281&lt;(E281+F281),0,C281-E281-F281)</f>
        <v>25.6185439504243</v>
      </c>
      <c r="N281" s="2" t="n">
        <f aca="false">IF(C281&lt;(E281+F281),0,(C281-E281-F281)/(1-V$16/100))</f>
        <v>28.7848808431733</v>
      </c>
      <c r="O281" s="2" t="n">
        <f aca="false">L281+M281</f>
        <v>26.0866509518037</v>
      </c>
      <c r="P281" s="2" t="n">
        <f aca="false">IF( N281=0,I281*(1-G281/100)+J281*(1-H281/100),-N281)</f>
        <v>-28.7848808431733</v>
      </c>
      <c r="Q281" s="47" t="n">
        <f aca="false">IF(P280&gt;0,Q280+P280*(1-V$20/100),Q280+P280)</f>
        <v>1722.97400177455</v>
      </c>
      <c r="R281" s="48" t="n">
        <f aca="false">R$4+Q281/V$28</f>
        <v>60.3802311576809</v>
      </c>
    </row>
    <row r="282" customFormat="false" ht="12.8" hidden="false" customHeight="false" outlineLevel="0" collapsed="false">
      <c r="A282" s="1" t="n">
        <v>278</v>
      </c>
      <c r="B282" s="37" t="n">
        <v>43823</v>
      </c>
      <c r="C282" s="38" t="n">
        <f aca="false">V$26-V$26*SIN(2*PI()/365*A282)</f>
        <v>28.281322515504</v>
      </c>
      <c r="D282" s="2" t="n">
        <f aca="false">IF((E282+F282)&gt;C282,C282,E282+F282)</f>
        <v>2.69450369262943</v>
      </c>
      <c r="E282" s="38" t="n">
        <f aca="false">(V$23+V$24*SIN(2*PI()/365*A282))*V$25/100*V$7*V$8/100</f>
        <v>2.22360017526007</v>
      </c>
      <c r="F282" s="38" t="n">
        <f aca="false">(V$23+V$24*SIN(2*PI()/365*A282))*V$25/100*V$9*(1-V$14/100)*(1-V$16/100)</f>
        <v>0.470903517369358</v>
      </c>
      <c r="G282" s="38" t="n">
        <f aca="false">IF(C282&gt;E282,100,C282/E282*100)</f>
        <v>100</v>
      </c>
      <c r="H282" s="38" t="n">
        <f aca="false">L282/F282*100</f>
        <v>100</v>
      </c>
      <c r="I282" s="38" t="n">
        <f aca="false">(V$23+V$24*SIN(2*PI()/365*A282))*V$25/100*V$7*V$8/100*(1-V$15/100)</f>
        <v>1.97900415598147</v>
      </c>
      <c r="J282" s="38" t="n">
        <f aca="false">(V$23+V$24*SIN(2*PI()/365*A282))*V$25/100*V$9*(1-V$14/100)</f>
        <v>0.529105075695908</v>
      </c>
      <c r="K282" s="39" t="n">
        <f aca="false">IF(E282/C282*100&lt;100,E282/C282*100,100)</f>
        <v>7.86243349843728</v>
      </c>
      <c r="L282" s="2" t="n">
        <f aca="false">IF(((C282-E282)&gt;0)AND(F282&gt;(C282-E282)),(C282-E282),IF(C282&lt;E282,0,F282))</f>
        <v>0.470903517369358</v>
      </c>
      <c r="M282" s="2" t="n">
        <f aca="false">IF(C282&lt;(E282+F282),0,C282-E282-F282)</f>
        <v>25.5868188228746</v>
      </c>
      <c r="N282" s="2" t="n">
        <f aca="false">IF(C282&lt;(E282+F282),0,(C282-E282-F282)/(1-V$16/100))</f>
        <v>28.7492346324434</v>
      </c>
      <c r="O282" s="2" t="n">
        <f aca="false">L282+M282</f>
        <v>26.057722340244</v>
      </c>
      <c r="P282" s="2" t="n">
        <f aca="false">IF( N282=0,I282*(1-G282/100)+J282*(1-H282/100),-N282)</f>
        <v>-28.7492346324434</v>
      </c>
      <c r="Q282" s="47" t="n">
        <f aca="false">IF(P281&gt;0,Q281+P281*(1-V$20/100),Q281+P281)</f>
        <v>1694.18912093138</v>
      </c>
      <c r="R282" s="48" t="n">
        <f aca="false">R$4+Q282/V$28</f>
        <v>60.039748640344</v>
      </c>
    </row>
    <row r="283" customFormat="false" ht="12.8" hidden="false" customHeight="false" outlineLevel="0" collapsed="false">
      <c r="A283" s="1" t="n">
        <v>279</v>
      </c>
      <c r="B283" s="37" t="n">
        <v>43824</v>
      </c>
      <c r="C283" s="38" t="n">
        <f aca="false">V$26-V$26*SIN(2*PI()/365*A283)</f>
        <v>28.2614144442497</v>
      </c>
      <c r="D283" s="2" t="n">
        <f aca="false">IF((E283+F283)&gt;C283,C283,E283+F283)</f>
        <v>2.71476391067319</v>
      </c>
      <c r="E283" s="38" t="n">
        <f aca="false">(V$23+V$24*SIN(2*PI()/365*A283))*V$25/100*V$7*V$8/100</f>
        <v>2.24031962697808</v>
      </c>
      <c r="F283" s="38" t="n">
        <f aca="false">(V$23+V$24*SIN(2*PI()/365*A283))*V$25/100*V$9*(1-V$14/100)*(1-V$16/100)</f>
        <v>0.47444428369511</v>
      </c>
      <c r="G283" s="38" t="n">
        <f aca="false">IF(C283&gt;E283,100,C283/E283*100)</f>
        <v>100</v>
      </c>
      <c r="H283" s="38" t="n">
        <f aca="false">L283/F283*100</f>
        <v>100</v>
      </c>
      <c r="I283" s="38" t="n">
        <f aca="false">(V$23+V$24*SIN(2*PI()/365*A283))*V$25/100*V$7*V$8/100*(1-V$15/100)</f>
        <v>1.99388446801049</v>
      </c>
      <c r="J283" s="38" t="n">
        <f aca="false">(V$23+V$24*SIN(2*PI()/365*A283))*V$25/100*V$9*(1-V$14/100)</f>
        <v>0.533083464825967</v>
      </c>
      <c r="K283" s="39" t="n">
        <f aca="false">IF(E283/C283*100&lt;100,E283/C283*100,100)</f>
        <v>7.92713199616206</v>
      </c>
      <c r="L283" s="2" t="n">
        <f aca="false">IF(((C283-E283)&gt;0)AND(F283&gt;(C283-E283)),(C283-E283),IF(C283&lt;E283,0,F283))</f>
        <v>0.47444428369511</v>
      </c>
      <c r="M283" s="2" t="n">
        <f aca="false">IF(C283&lt;(E283+F283),0,C283-E283-F283)</f>
        <v>25.5466505335765</v>
      </c>
      <c r="N283" s="2" t="n">
        <f aca="false">IF(C283&lt;(E283+F283),0,(C283-E283-F283)/(1-V$16/100))</f>
        <v>28.7041017231197</v>
      </c>
      <c r="O283" s="2" t="n">
        <f aca="false">L283+M283</f>
        <v>26.0210948172716</v>
      </c>
      <c r="P283" s="2" t="n">
        <f aca="false">IF( N283=0,I283*(1-G283/100)+J283*(1-H283/100),-N283)</f>
        <v>-28.7041017231197</v>
      </c>
      <c r="Q283" s="47" t="n">
        <f aca="false">IF(P282&gt;0,Q282+P282*(1-V$20/100),Q282+P282)</f>
        <v>1665.43988629894</v>
      </c>
      <c r="R283" s="48" t="n">
        <f aca="false">R$4+Q283/V$28</f>
        <v>59.6996877648972</v>
      </c>
    </row>
    <row r="284" customFormat="false" ht="12.8" hidden="false" customHeight="false" outlineLevel="0" collapsed="false">
      <c r="A284" s="1" t="n">
        <v>280</v>
      </c>
      <c r="B284" s="37" t="n">
        <v>43825</v>
      </c>
      <c r="C284" s="38" t="n">
        <f aca="false">V$26-V$26*SIN(2*PI()/365*A284)</f>
        <v>28.2373277010076</v>
      </c>
      <c r="D284" s="2" t="n">
        <f aca="false">IF((E284+F284)&gt;C284,C284,E284+F284)</f>
        <v>2.73927671574672</v>
      </c>
      <c r="E284" s="38" t="n">
        <f aca="false">(V$23+V$24*SIN(2*PI()/365*A284))*V$25/100*V$7*V$8/100</f>
        <v>2.26054846459545</v>
      </c>
      <c r="F284" s="38" t="n">
        <f aca="false">(V$23+V$24*SIN(2*PI()/365*A284))*V$25/100*V$9*(1-V$14/100)*(1-V$16/100)</f>
        <v>0.478728251151265</v>
      </c>
      <c r="G284" s="38" t="n">
        <f aca="false">IF(C284&gt;E284,100,C284/E284*100)</f>
        <v>100</v>
      </c>
      <c r="H284" s="38" t="n">
        <f aca="false">L284/F284*100</f>
        <v>100</v>
      </c>
      <c r="I284" s="38" t="n">
        <f aca="false">(V$23+V$24*SIN(2*PI()/365*A284))*V$25/100*V$7*V$8/100*(1-V$15/100)</f>
        <v>2.01188813348995</v>
      </c>
      <c r="J284" s="38" t="n">
        <f aca="false">(V$23+V$24*SIN(2*PI()/365*A284))*V$25/100*V$9*(1-V$14/100)</f>
        <v>0.537896911405915</v>
      </c>
      <c r="K284" s="39" t="n">
        <f aca="false">IF(E284/C284*100&lt;100,E284/C284*100,100)</f>
        <v>8.00553256501955</v>
      </c>
      <c r="L284" s="2" t="n">
        <f aca="false">IF(((C284-E284)&gt;0)AND(F284&gt;(C284-E284)),(C284-E284),IF(C284&lt;E284,0,F284))</f>
        <v>0.478728251151265</v>
      </c>
      <c r="M284" s="2" t="n">
        <f aca="false">IF(C284&lt;(E284+F284),0,C284-E284-F284)</f>
        <v>25.4980509852609</v>
      </c>
      <c r="N284" s="2" t="n">
        <f aca="false">IF(C284&lt;(E284+F284),0,(C284-E284-F284)/(1-V$16/100))</f>
        <v>28.6494954890572</v>
      </c>
      <c r="O284" s="2" t="n">
        <f aca="false">L284+M284</f>
        <v>25.9767792364122</v>
      </c>
      <c r="P284" s="2" t="n">
        <f aca="false">IF( N284=0,I284*(1-G284/100)+J284*(1-H284/100),-N284)</f>
        <v>-28.6494954890572</v>
      </c>
      <c r="Q284" s="47" t="n">
        <f aca="false">IF(P283&gt;0,Q283+P283*(1-V$20/100),Q283+P283)</f>
        <v>1636.73578457582</v>
      </c>
      <c r="R284" s="48" t="n">
        <f aca="false">R$4+Q284/V$28</f>
        <v>59.3601607449373</v>
      </c>
    </row>
    <row r="285" customFormat="false" ht="12.8" hidden="false" customHeight="false" outlineLevel="0" collapsed="false">
      <c r="A285" s="1" t="n">
        <v>281</v>
      </c>
      <c r="B285" s="37" t="n">
        <v>43826</v>
      </c>
      <c r="C285" s="38" t="n">
        <f aca="false">V$26-V$26*SIN(2*PI()/365*A285)</f>
        <v>28.2090694231998</v>
      </c>
      <c r="D285" s="2" t="n">
        <f aca="false">IF((E285+F285)&gt;C285,C285,E285+F285)</f>
        <v>2.76803484417684</v>
      </c>
      <c r="E285" s="38" t="n">
        <f aca="false">(V$23+V$24*SIN(2*PI()/365*A285))*V$25/100*V$7*V$8/100</f>
        <v>2.28428069387103</v>
      </c>
      <c r="F285" s="38" t="n">
        <f aca="false">(V$23+V$24*SIN(2*PI()/365*A285))*V$25/100*V$9*(1-V$14/100)*(1-V$16/100)</f>
        <v>0.483754150305809</v>
      </c>
      <c r="G285" s="38" t="n">
        <f aca="false">IF(C285&gt;E285,100,C285/E285*100)</f>
        <v>100</v>
      </c>
      <c r="H285" s="38" t="n">
        <f aca="false">L285/F285*100</f>
        <v>100</v>
      </c>
      <c r="I285" s="38" t="n">
        <f aca="false">(V$23+V$24*SIN(2*PI()/365*A285))*V$25/100*V$7*V$8/100*(1-V$15/100)</f>
        <v>2.03300981754521</v>
      </c>
      <c r="J285" s="38" t="n">
        <f aca="false">(V$23+V$24*SIN(2*PI()/365*A285))*V$25/100*V$9*(1-V$14/100)</f>
        <v>0.54354398910765</v>
      </c>
      <c r="K285" s="39" t="n">
        <f aca="false">IF(E285/C285*100&lt;100,E285/C285*100,100)</f>
        <v>8.09768184693247</v>
      </c>
      <c r="L285" s="2" t="n">
        <f aca="false">IF(((C285-E285)&gt;0)AND(F285&gt;(C285-E285)),(C285-E285),IF(C285&lt;E285,0,F285))</f>
        <v>0.483754150305809</v>
      </c>
      <c r="M285" s="2" t="n">
        <f aca="false">IF(C285&lt;(E285+F285),0,C285-E285-F285)</f>
        <v>25.4410345790229</v>
      </c>
      <c r="N285" s="2" t="n">
        <f aca="false">IF(C285&lt;(E285+F285),0,(C285-E285-F285)/(1-V$16/100))</f>
        <v>28.5854321112617</v>
      </c>
      <c r="O285" s="2" t="n">
        <f aca="false">L285+M285</f>
        <v>25.9247887293287</v>
      </c>
      <c r="P285" s="2" t="n">
        <f aca="false">IF( N285=0,I285*(1-G285/100)+J285*(1-H285/100),-N285)</f>
        <v>-28.5854321112617</v>
      </c>
      <c r="Q285" s="47" t="n">
        <f aca="false">IF(P284&gt;0,Q284+P284*(1-V$20/100),Q284+P284)</f>
        <v>1608.08628908676</v>
      </c>
      <c r="R285" s="48" t="n">
        <f aca="false">R$4+Q285/V$28</f>
        <v>59.0212796358686</v>
      </c>
    </row>
    <row r="286" customFormat="false" ht="12.8" hidden="false" customHeight="false" outlineLevel="0" collapsed="false">
      <c r="A286" s="1" t="n">
        <v>282</v>
      </c>
      <c r="B286" s="37" t="n">
        <v>43827</v>
      </c>
      <c r="C286" s="38" t="n">
        <f aca="false">V$26-V$26*SIN(2*PI()/365*A286)</f>
        <v>28.1766479843636</v>
      </c>
      <c r="D286" s="2" t="n">
        <f aca="false">IF((E286+F286)&gt;C286,C286,E286+F286)</f>
        <v>2.80102977430944</v>
      </c>
      <c r="E286" s="38" t="n">
        <f aca="false">(V$23+V$24*SIN(2*PI()/365*A286))*V$25/100*V$7*V$8/100</f>
        <v>2.31150928243308</v>
      </c>
      <c r="F286" s="38" t="n">
        <f aca="false">(V$23+V$24*SIN(2*PI()/365*A286))*V$25/100*V$9*(1-V$14/100)*(1-V$16/100)</f>
        <v>0.489520491876355</v>
      </c>
      <c r="G286" s="38" t="n">
        <f aca="false">IF(C286&gt;E286,100,C286/E286*100)</f>
        <v>100</v>
      </c>
      <c r="H286" s="38" t="n">
        <f aca="false">L286/F286*100</f>
        <v>100</v>
      </c>
      <c r="I286" s="38" t="n">
        <f aca="false">(V$23+V$24*SIN(2*PI()/365*A286))*V$25/100*V$7*V$8/100*(1-V$15/100)</f>
        <v>2.05724326136544</v>
      </c>
      <c r="J286" s="38" t="n">
        <f aca="false">(V$23+V$24*SIN(2*PI()/365*A286))*V$25/100*V$9*(1-V$14/100)</f>
        <v>0.550023024580174</v>
      </c>
      <c r="K286" s="39" t="n">
        <f aca="false">IF(E286/C286*100&lt;100,E286/C286*100,100)</f>
        <v>8.2036347393623</v>
      </c>
      <c r="L286" s="2" t="n">
        <f aca="false">IF(((C286-E286)&gt;0)AND(F286&gt;(C286-E286)),(C286-E286),IF(C286&lt;E286,0,F286))</f>
        <v>0.489520491876355</v>
      </c>
      <c r="M286" s="2" t="n">
        <f aca="false">IF(C286&lt;(E286+F286),0,C286-E286-F286)</f>
        <v>25.3756182100542</v>
      </c>
      <c r="N286" s="2" t="n">
        <f aca="false">IF(C286&lt;(E286+F286),0,(C286-E286-F286)/(1-V$16/100))</f>
        <v>28.5119305730946</v>
      </c>
      <c r="O286" s="2" t="n">
        <f aca="false">L286+M286</f>
        <v>25.8651387019306</v>
      </c>
      <c r="P286" s="2" t="n">
        <f aca="false">IF( N286=0,I286*(1-G286/100)+J286*(1-H286/100),-N286)</f>
        <v>-28.5119305730946</v>
      </c>
      <c r="Q286" s="47" t="n">
        <f aca="false">IF(P285&gt;0,Q285+P285*(1-V$20/100),Q285+P285)</f>
        <v>1579.5008569755</v>
      </c>
      <c r="R286" s="48" t="n">
        <f aca="false">R$4+Q286/V$28</f>
        <v>58.6831563016978</v>
      </c>
    </row>
    <row r="287" customFormat="false" ht="12.8" hidden="false" customHeight="false" outlineLevel="0" collapsed="false">
      <c r="A287" s="1" t="n">
        <v>283</v>
      </c>
      <c r="B287" s="37" t="n">
        <v>43828</v>
      </c>
      <c r="C287" s="38" t="n">
        <f aca="false">V$26-V$26*SIN(2*PI()/365*A287)</f>
        <v>28.1400729916713</v>
      </c>
      <c r="D287" s="2" t="n">
        <f aca="false">IF((E287+F287)&gt;C287,C287,E287+F287)</f>
        <v>2.83825172903463</v>
      </c>
      <c r="E287" s="38" t="n">
        <f aca="false">(V$23+V$24*SIN(2*PI()/365*A287))*V$25/100*V$7*V$8/100</f>
        <v>2.34222616186319</v>
      </c>
      <c r="F287" s="38" t="n">
        <f aca="false">(V$23+V$24*SIN(2*PI()/365*A287))*V$25/100*V$9*(1-V$14/100)*(1-V$16/100)</f>
        <v>0.496025567171446</v>
      </c>
      <c r="G287" s="38" t="n">
        <f aca="false">IF(C287&gt;E287,100,C287/E287*100)</f>
        <v>100</v>
      </c>
      <c r="H287" s="38" t="n">
        <f aca="false">L287/F287*100</f>
        <v>100</v>
      </c>
      <c r="I287" s="38" t="n">
        <f aca="false">(V$23+V$24*SIN(2*PI()/365*A287))*V$25/100*V$7*V$8/100*(1-V$15/100)</f>
        <v>2.08458128405824</v>
      </c>
      <c r="J287" s="38" t="n">
        <f aca="false">(V$23+V$24*SIN(2*PI()/365*A287))*V$25/100*V$9*(1-V$14/100)</f>
        <v>0.557332097945445</v>
      </c>
      <c r="K287" s="39" t="n">
        <f aca="false">IF(E287/C287*100&lt;100,E287/C287*100,100)</f>
        <v>8.32345446494194</v>
      </c>
      <c r="L287" s="2" t="n">
        <f aca="false">IF(((C287-E287)&gt;0)AND(F287&gt;(C287-E287)),(C287-E287),IF(C287&lt;E287,0,F287))</f>
        <v>0.496025567171446</v>
      </c>
      <c r="M287" s="2" t="n">
        <f aca="false">IF(C287&lt;(E287+F287),0,C287-E287-F287)</f>
        <v>25.3018212626367</v>
      </c>
      <c r="N287" s="2" t="n">
        <f aca="false">IF(C287&lt;(E287+F287),0,(C287-E287-F287)/(1-V$16/100))</f>
        <v>28.429012654648</v>
      </c>
      <c r="O287" s="2" t="n">
        <f aca="false">L287+M287</f>
        <v>25.7978468298081</v>
      </c>
      <c r="P287" s="2" t="n">
        <f aca="false">IF( N287=0,I287*(1-G287/100)+J287*(1-H287/100),-N287)</f>
        <v>-28.429012654648</v>
      </c>
      <c r="Q287" s="47" t="n">
        <f aca="false">IF(P286&gt;0,Q286+P286*(1-V$20/100),Q286+P286)</f>
        <v>1550.9889264024</v>
      </c>
      <c r="R287" s="48" t="n">
        <f aca="false">R$4+Q287/V$28</f>
        <v>58.3459023818865</v>
      </c>
    </row>
    <row r="288" customFormat="false" ht="12.8" hidden="false" customHeight="false" outlineLevel="0" collapsed="false">
      <c r="A288" s="1" t="n">
        <v>284</v>
      </c>
      <c r="B288" s="37" t="n">
        <v>43829</v>
      </c>
      <c r="C288" s="38" t="n">
        <f aca="false">V$26-V$26*SIN(2*PI()/365*A288)</f>
        <v>28.0993552830825</v>
      </c>
      <c r="D288" s="2" t="n">
        <f aca="false">IF((E288+F288)&gt;C288,C288,E288+F288)</f>
        <v>2.87968967868393</v>
      </c>
      <c r="E288" s="38" t="n">
        <f aca="false">(V$23+V$24*SIN(2*PI()/365*A288))*V$25/100*V$7*V$8/100</f>
        <v>2.37642223008704</v>
      </c>
      <c r="F288" s="38" t="n">
        <f aca="false">(V$23+V$24*SIN(2*PI()/365*A288))*V$25/100*V$9*(1-V$14/100)*(1-V$16/100)</f>
        <v>0.503267448596884</v>
      </c>
      <c r="G288" s="38" t="n">
        <f aca="false">IF(C288&gt;E288,100,C288/E288*100)</f>
        <v>100</v>
      </c>
      <c r="H288" s="38" t="n">
        <f aca="false">L288/F288*100</f>
        <v>100</v>
      </c>
      <c r="I288" s="38" t="n">
        <f aca="false">(V$23+V$24*SIN(2*PI()/365*A288))*V$25/100*V$7*V$8/100*(1-V$15/100)</f>
        <v>2.11501578477747</v>
      </c>
      <c r="J288" s="38" t="n">
        <f aca="false">(V$23+V$24*SIN(2*PI()/365*A288))*V$25/100*V$9*(1-V$14/100)</f>
        <v>0.565469043367286</v>
      </c>
      <c r="K288" s="39" t="n">
        <f aca="false">IF(E288/C288*100&lt;100,E288/C288*100,100)</f>
        <v>8.45721265184256</v>
      </c>
      <c r="L288" s="2" t="n">
        <f aca="false">IF(((C288-E288)&gt;0)AND(F288&gt;(C288-E288)),(C288-E288),IF(C288&lt;E288,0,F288))</f>
        <v>0.503267448596884</v>
      </c>
      <c r="M288" s="2" t="n">
        <f aca="false">IF(C288&lt;(E288+F288),0,C288-E288-F288)</f>
        <v>25.2196656043985</v>
      </c>
      <c r="N288" s="2" t="n">
        <f aca="false">IF(C288&lt;(E288+F288),0,(C288-E288-F288)/(1-V$16/100))</f>
        <v>28.3367029262905</v>
      </c>
      <c r="O288" s="2" t="n">
        <f aca="false">L288+M288</f>
        <v>25.7229330529954</v>
      </c>
      <c r="P288" s="2" t="n">
        <f aca="false">IF( N288=0,I288*(1-G288/100)+J288*(1-H288/100),-N288)</f>
        <v>-28.3367029262905</v>
      </c>
      <c r="Q288" s="47" t="n">
        <f aca="false">IF(P287&gt;0,Q287+P287*(1-V$20/100),Q287+P287)</f>
        <v>1522.55991374776</v>
      </c>
      <c r="R288" s="48" t="n">
        <f aca="false">R$4+Q288/V$28</f>
        <v>58.0096292582702</v>
      </c>
    </row>
    <row r="289" customFormat="false" ht="12.8" hidden="false" customHeight="false" outlineLevel="0" collapsed="false">
      <c r="A289" s="1" t="n">
        <v>285</v>
      </c>
      <c r="B289" s="37" t="n">
        <v>43830</v>
      </c>
      <c r="C289" s="38" t="n">
        <f aca="false">V$26-V$26*SIN(2*PI()/365*A289)</f>
        <v>28.0545069241329</v>
      </c>
      <c r="D289" s="2" t="n">
        <f aca="false">IF((E289+F289)&gt;C289,C289,E289+F289)</f>
        <v>2.92533134429853</v>
      </c>
      <c r="E289" s="38" t="n">
        <f aca="false">(V$23+V$24*SIN(2*PI()/365*A289))*V$25/100*V$7*V$8/100</f>
        <v>2.41408735407162</v>
      </c>
      <c r="F289" s="38" t="n">
        <f aca="false">(V$23+V$24*SIN(2*PI()/365*A289))*V$25/100*V$9*(1-V$14/100)*(1-V$16/100)</f>
        <v>0.511243990226909</v>
      </c>
      <c r="G289" s="38" t="n">
        <f aca="false">IF(C289&gt;E289,100,C289/E289*100)</f>
        <v>100</v>
      </c>
      <c r="H289" s="38" t="n">
        <f aca="false">L289/F289*100</f>
        <v>100</v>
      </c>
      <c r="I289" s="38" t="n">
        <f aca="false">(V$23+V$24*SIN(2*PI()/365*A289))*V$25/100*V$7*V$8/100*(1-V$15/100)</f>
        <v>2.14853774512374</v>
      </c>
      <c r="J289" s="38" t="n">
        <f aca="false">(V$23+V$24*SIN(2*PI()/365*A289))*V$25/100*V$9*(1-V$14/100)</f>
        <v>0.574431449693156</v>
      </c>
      <c r="K289" s="39" t="n">
        <f aca="false">IF(E289/C289*100&lt;100,E289/C289*100,100)</f>
        <v>8.60498942505023</v>
      </c>
      <c r="L289" s="2" t="n">
        <f aca="false">IF(((C289-E289)&gt;0)AND(F289&gt;(C289-E289)),(C289-E289),IF(C289&lt;E289,0,F289))</f>
        <v>0.511243990226909</v>
      </c>
      <c r="M289" s="2" t="n">
        <f aca="false">IF(C289&lt;(E289+F289),0,C289-E289-F289)</f>
        <v>25.1291755798344</v>
      </c>
      <c r="N289" s="2" t="n">
        <f aca="false">IF(C289&lt;(E289+F289),0,(C289-E289-F289)/(1-V$16/100))</f>
        <v>28.2350287413869</v>
      </c>
      <c r="O289" s="2" t="n">
        <f aca="false">L289+M289</f>
        <v>25.6404195700613</v>
      </c>
      <c r="P289" s="2" t="n">
        <f aca="false">IF( N289=0,I289*(1-G289/100)+J289*(1-H289/100),-N289)</f>
        <v>-28.2350287413869</v>
      </c>
      <c r="Q289" s="47" t="n">
        <f aca="false">IF(P288&gt;0,Q288+P288*(1-V$20/100),Q288+P288)</f>
        <v>1494.22321082147</v>
      </c>
      <c r="R289" s="48" t="n">
        <f aca="false">R$4+Q289/V$28</f>
        <v>57.6744480220533</v>
      </c>
    </row>
    <row r="290" customFormat="false" ht="12.8" hidden="false" customHeight="false" outlineLevel="0" collapsed="false">
      <c r="A290" s="1" t="n">
        <v>286</v>
      </c>
      <c r="B290" s="37" t="n">
        <v>43831</v>
      </c>
      <c r="C290" s="38" t="n">
        <f aca="false">V$26-V$26*SIN(2*PI()/365*A290)</f>
        <v>28.0055412043593</v>
      </c>
      <c r="D290" s="2" t="n">
        <f aca="false">IF((E290+F290)&gt;C290,C290,E290+F290)</f>
        <v>2.9751632012679</v>
      </c>
      <c r="E290" s="38" t="n">
        <f aca="false">(V$23+V$24*SIN(2*PI()/365*A290))*V$25/100*V$7*V$8/100</f>
        <v>2.45521037282781</v>
      </c>
      <c r="F290" s="38" t="n">
        <f aca="false">(V$23+V$24*SIN(2*PI()/365*A290))*V$25/100*V$9*(1-V$14/100)*(1-V$16/100)</f>
        <v>0.519952828440088</v>
      </c>
      <c r="G290" s="38" t="n">
        <f aca="false">IF(C290&gt;E290,100,C290/E290*100)</f>
        <v>100</v>
      </c>
      <c r="H290" s="38" t="n">
        <f aca="false">L290/F290*100</f>
        <v>100</v>
      </c>
      <c r="I290" s="38" t="n">
        <f aca="false">(V$23+V$24*SIN(2*PI()/365*A290))*V$25/100*V$7*V$8/100*(1-V$15/100)</f>
        <v>2.18513723181675</v>
      </c>
      <c r="J290" s="38" t="n">
        <f aca="false">(V$23+V$24*SIN(2*PI()/365*A290))*V$25/100*V$9*(1-V$14/100)</f>
        <v>0.584216661168638</v>
      </c>
      <c r="K290" s="39" t="n">
        <f aca="false">IF(E290/C290*100&lt;100,E290/C290*100,100)</f>
        <v>8.76687350875276</v>
      </c>
      <c r="L290" s="2" t="n">
        <f aca="false">IF(((C290-E290)&gt;0)AND(F290&gt;(C290-E290)),(C290-E290),IF(C290&lt;E290,0,F290))</f>
        <v>0.519952828440088</v>
      </c>
      <c r="M290" s="2" t="n">
        <f aca="false">IF(C290&lt;(E290+F290),0,C290-E290-F290)</f>
        <v>25.0303780030914</v>
      </c>
      <c r="N290" s="2" t="n">
        <f aca="false">IF(C290&lt;(E290+F290),0,(C290-E290-F290)/(1-V$16/100))</f>
        <v>28.1240202281926</v>
      </c>
      <c r="O290" s="2" t="n">
        <f aca="false">L290+M290</f>
        <v>25.5503308315315</v>
      </c>
      <c r="P290" s="2" t="n">
        <f aca="false">IF( N290=0,I290*(1-G290/100)+J290*(1-H290/100),-N290)</f>
        <v>-28.1240202281926</v>
      </c>
      <c r="Q290" s="47" t="n">
        <f aca="false">IF(P289&gt;0,Q289+P289*(1-V$20/100),Q289+P289)</f>
        <v>1465.98818208008</v>
      </c>
      <c r="R290" s="48" t="n">
        <f aca="false">R$4+Q290/V$28</f>
        <v>57.3404694408904</v>
      </c>
    </row>
    <row r="291" customFormat="false" ht="12.8" hidden="false" customHeight="false" outlineLevel="0" collapsed="false">
      <c r="A291" s="1" t="n">
        <v>287</v>
      </c>
      <c r="B291" s="37" t="n">
        <v>43832</v>
      </c>
      <c r="C291" s="38" t="n">
        <f aca="false">V$26-V$26*SIN(2*PI()/365*A291)</f>
        <v>27.9524726333612</v>
      </c>
      <c r="D291" s="2" t="n">
        <f aca="false">IF((E291+F291)&gt;C291,C291,E291+F291)</f>
        <v>3.02917048333735</v>
      </c>
      <c r="E291" s="38" t="n">
        <f aca="false">(V$23+V$24*SIN(2*PI()/365*A291))*V$25/100*V$7*V$8/100</f>
        <v>2.49977910071765</v>
      </c>
      <c r="F291" s="38" t="n">
        <f aca="false">(V$23+V$24*SIN(2*PI()/365*A291))*V$25/100*V$9*(1-V$14/100)*(1-V$16/100)</f>
        <v>0.529391382619706</v>
      </c>
      <c r="G291" s="38" t="n">
        <f aca="false">IF(C291&gt;E291,100,C291/E291*100)</f>
        <v>100</v>
      </c>
      <c r="H291" s="38" t="n">
        <f aca="false">L291/F291*100</f>
        <v>100</v>
      </c>
      <c r="I291" s="38" t="n">
        <f aca="false">(V$23+V$24*SIN(2*PI()/365*A291))*V$25/100*V$7*V$8/100*(1-V$15/100)</f>
        <v>2.2248033996387</v>
      </c>
      <c r="J291" s="38" t="n">
        <f aca="false">(V$23+V$24*SIN(2*PI()/365*A291))*V$25/100*V$9*(1-V$14/100)</f>
        <v>0.594821778224388</v>
      </c>
      <c r="K291" s="39" t="n">
        <f aca="false">IF(E291/C291*100&lt;100,E291/C291*100,100)</f>
        <v>8.94296234006207</v>
      </c>
      <c r="L291" s="2" t="n">
        <f aca="false">IF(((C291-E291)&gt;0)AND(F291&gt;(C291-E291)),(C291-E291),IF(C291&lt;E291,0,F291))</f>
        <v>0.529391382619706</v>
      </c>
      <c r="M291" s="2" t="n">
        <f aca="false">IF(C291&lt;(E291+F291),0,C291-E291-F291)</f>
        <v>24.9233021500238</v>
      </c>
      <c r="N291" s="2" t="n">
        <f aca="false">IF(C291&lt;(E291+F291),0,(C291-E291-F291)/(1-V$16/100))</f>
        <v>28.0037102809256</v>
      </c>
      <c r="O291" s="2" t="n">
        <f aca="false">L291+M291</f>
        <v>25.4526935326435</v>
      </c>
      <c r="P291" s="2" t="n">
        <f aca="false">IF( N291=0,I291*(1-G291/100)+J291*(1-H291/100),-N291)</f>
        <v>-28.0037102809256</v>
      </c>
      <c r="Q291" s="47" t="n">
        <f aca="false">IF(P290&gt;0,Q290+P290*(1-V$20/100),Q290+P290)</f>
        <v>1437.86416185189</v>
      </c>
      <c r="R291" s="48" t="n">
        <f aca="false">R$4+Q291/V$28</f>
        <v>57.0078039260634</v>
      </c>
    </row>
    <row r="292" customFormat="false" ht="12.8" hidden="false" customHeight="false" outlineLevel="0" collapsed="false">
      <c r="A292" s="1" t="n">
        <v>288</v>
      </c>
      <c r="B292" s="37" t="n">
        <v>43833</v>
      </c>
      <c r="C292" s="38" t="n">
        <f aca="false">V$26-V$26*SIN(2*PI()/365*A292)</f>
        <v>27.8953169365014</v>
      </c>
      <c r="D292" s="2" t="n">
        <f aca="false">IF((E292+F292)&gt;C292,C292,E292+F292)</f>
        <v>3.08733718698363</v>
      </c>
      <c r="E292" s="38" t="n">
        <f aca="false">(V$23+V$24*SIN(2*PI()/365*A292))*V$25/100*V$7*V$8/100</f>
        <v>2.54778033106518</v>
      </c>
      <c r="F292" s="38" t="n">
        <f aca="false">(V$23+V$24*SIN(2*PI()/365*A292))*V$25/100*V$9*(1-V$14/100)*(1-V$16/100)</f>
        <v>0.539556855918458</v>
      </c>
      <c r="G292" s="38" t="n">
        <f aca="false">IF(C292&gt;E292,100,C292/E292*100)</f>
        <v>100</v>
      </c>
      <c r="H292" s="38" t="n">
        <f aca="false">L292/F292*100</f>
        <v>100</v>
      </c>
      <c r="I292" s="38" t="n">
        <f aca="false">(V$23+V$24*SIN(2*PI()/365*A292))*V$25/100*V$7*V$8/100*(1-V$15/100)</f>
        <v>2.26752449464801</v>
      </c>
      <c r="J292" s="38" t="n">
        <f aca="false">(V$23+V$24*SIN(2*PI()/365*A292))*V$25/100*V$9*(1-V$14/100)</f>
        <v>0.606243658335346</v>
      </c>
      <c r="K292" s="39" t="n">
        <f aca="false">IF(E292/C292*100&lt;100,E292/C292*100,100)</f>
        <v>9.13336219432362</v>
      </c>
      <c r="L292" s="2" t="n">
        <f aca="false">IF(((C292-E292)&gt;0)AND(F292&gt;(C292-E292)),(C292-E292),IF(C292&lt;E292,0,F292))</f>
        <v>0.539556855918458</v>
      </c>
      <c r="M292" s="2" t="n">
        <f aca="false">IF(C292&lt;(E292+F292),0,C292-E292-F292)</f>
        <v>24.8079797495178</v>
      </c>
      <c r="N292" s="2" t="n">
        <f aca="false">IF(C292&lt;(E292+F292),0,(C292-E292-F292)/(1-V$16/100))</f>
        <v>27.87413455002</v>
      </c>
      <c r="O292" s="2" t="n">
        <f aca="false">L292+M292</f>
        <v>25.3475366054363</v>
      </c>
      <c r="P292" s="2" t="n">
        <f aca="false">IF( N292=0,I292*(1-G292/100)+J292*(1-H292/100),-N292)</f>
        <v>-27.87413455002</v>
      </c>
      <c r="Q292" s="47" t="n">
        <f aca="false">IF(P291&gt;0,Q291+P291*(1-V$20/100),Q291+P291)</f>
        <v>1409.86045157096</v>
      </c>
      <c r="R292" s="48" t="n">
        <f aca="false">R$4+Q292/V$28</f>
        <v>56.6765614997644</v>
      </c>
    </row>
    <row r="293" customFormat="false" ht="12.8" hidden="false" customHeight="false" outlineLevel="0" collapsed="false">
      <c r="A293" s="1" t="n">
        <v>289</v>
      </c>
      <c r="B293" s="37" t="n">
        <v>43834</v>
      </c>
      <c r="C293" s="38" t="n">
        <f aca="false">V$26-V$26*SIN(2*PI()/365*A293)</f>
        <v>27.8340910502466</v>
      </c>
      <c r="D293" s="2" t="n">
        <f aca="false">IF((E293+F293)&gt;C293,C293,E293+F293)</f>
        <v>3.14964607615712</v>
      </c>
      <c r="E293" s="38" t="n">
        <f aca="false">(V$23+V$24*SIN(2*PI()/365*A293))*V$25/100*V$7*V$8/100</f>
        <v>2.5991998400699</v>
      </c>
      <c r="F293" s="38" t="n">
        <f aca="false">(V$23+V$24*SIN(2*PI()/365*A293))*V$25/100*V$9*(1-V$14/100)*(1-V$16/100)</f>
        <v>0.55044623608722</v>
      </c>
      <c r="G293" s="38" t="n">
        <f aca="false">IF(C293&gt;E293,100,C293/E293*100)</f>
        <v>100</v>
      </c>
      <c r="H293" s="38" t="n">
        <f aca="false">L293/F293*100</f>
        <v>100</v>
      </c>
      <c r="I293" s="38" t="n">
        <f aca="false">(V$23+V$24*SIN(2*PI()/365*A293))*V$25/100*V$7*V$8/100*(1-V$15/100)</f>
        <v>2.31328785766221</v>
      </c>
      <c r="J293" s="38" t="n">
        <f aca="false">(V$23+V$24*SIN(2*PI()/365*A293))*V$25/100*V$9*(1-V$14/100)</f>
        <v>0.618478916951933</v>
      </c>
      <c r="K293" s="39" t="n">
        <f aca="false">IF(E293/C293*100&lt;100,E293/C293*100,100)</f>
        <v>9.33818832229075</v>
      </c>
      <c r="L293" s="2" t="n">
        <f aca="false">IF(((C293-E293)&gt;0)AND(F293&gt;(C293-E293)),(C293-E293),IF(C293&lt;E293,0,F293))</f>
        <v>0.55044623608722</v>
      </c>
      <c r="M293" s="2" t="n">
        <f aca="false">IF(C293&lt;(E293+F293),0,C293-E293-F293)</f>
        <v>24.6844449740895</v>
      </c>
      <c r="N293" s="2" t="n">
        <f aca="false">IF(C293&lt;(E293+F293),0,(C293-E293-F293)/(1-V$16/100))</f>
        <v>27.7353314315612</v>
      </c>
      <c r="O293" s="2" t="n">
        <f aca="false">L293+M293</f>
        <v>25.2348912101767</v>
      </c>
      <c r="P293" s="2" t="n">
        <f aca="false">IF( N293=0,I293*(1-G293/100)+J293*(1-H293/100),-N293)</f>
        <v>-27.7353314315612</v>
      </c>
      <c r="Q293" s="47" t="n">
        <f aca="false">IF(P292&gt;0,Q292+P292*(1-V$20/100),Q292+P292)</f>
        <v>1381.98631702094</v>
      </c>
      <c r="R293" s="48" t="n">
        <f aca="false">R$4+Q293/V$28</f>
        <v>56.3468517624935</v>
      </c>
    </row>
    <row r="294" customFormat="false" ht="12.8" hidden="false" customHeight="false" outlineLevel="0" collapsed="false">
      <c r="A294" s="1" t="n">
        <v>290</v>
      </c>
      <c r="B294" s="37" t="n">
        <v>43835</v>
      </c>
      <c r="C294" s="38" t="n">
        <f aca="false">V$26-V$26*SIN(2*PI()/365*A294)</f>
        <v>27.7688131171481</v>
      </c>
      <c r="D294" s="2" t="n">
        <f aca="false">IF((E294+F294)&gt;C294,C294,E294+F294)</f>
        <v>3.21607868738921</v>
      </c>
      <c r="E294" s="38" t="n">
        <f aca="false">(V$23+V$24*SIN(2*PI()/365*A294))*V$25/100*V$7*V$8/100</f>
        <v>2.65402239102158</v>
      </c>
      <c r="F294" s="38" t="n">
        <f aca="false">(V$23+V$24*SIN(2*PI()/365*A294))*V$25/100*V$9*(1-V$14/100)*(1-V$16/100)</f>
        <v>0.562056296367632</v>
      </c>
      <c r="G294" s="38" t="n">
        <f aca="false">IF(C294&gt;E294,100,C294/E294*100)</f>
        <v>100</v>
      </c>
      <c r="H294" s="38" t="n">
        <f aca="false">L294/F294*100</f>
        <v>100</v>
      </c>
      <c r="I294" s="38" t="n">
        <f aca="false">(V$23+V$24*SIN(2*PI()/365*A294))*V$25/100*V$7*V$8/100*(1-V$15/100)</f>
        <v>2.3620799280092</v>
      </c>
      <c r="J294" s="38" t="n">
        <f aca="false">(V$23+V$24*SIN(2*PI()/365*A294))*V$25/100*V$9*(1-V$14/100)</f>
        <v>0.631523928502957</v>
      </c>
      <c r="K294" s="39" t="n">
        <f aca="false">IF(E294/C294*100&lt;100,E294/C294*100,100)</f>
        <v>9.55756509946993</v>
      </c>
      <c r="L294" s="2" t="n">
        <f aca="false">IF(((C294-E294)&gt;0)AND(F294&gt;(C294-E294)),(C294-E294),IF(C294&lt;E294,0,F294))</f>
        <v>0.562056296367632</v>
      </c>
      <c r="M294" s="2" t="n">
        <f aca="false">IF(C294&lt;(E294+F294),0,C294-E294-F294)</f>
        <v>24.5527344297589</v>
      </c>
      <c r="N294" s="2" t="n">
        <f aca="false">IF(C294&lt;(E294+F294),0,(C294-E294-F294)/(1-V$16/100))</f>
        <v>27.5873420559089</v>
      </c>
      <c r="O294" s="2" t="n">
        <f aca="false">L294+M294</f>
        <v>25.1147907261265</v>
      </c>
      <c r="P294" s="2" t="n">
        <f aca="false">IF( N294=0,I294*(1-G294/100)+J294*(1-H294/100),-N294)</f>
        <v>-27.5873420559089</v>
      </c>
      <c r="Q294" s="47" t="n">
        <f aca="false">IF(P293&gt;0,Q293+P293*(1-V$20/100),Q293+P293)</f>
        <v>1354.25098558938</v>
      </c>
      <c r="R294" s="48" t="n">
        <f aca="false">R$4+Q294/V$28</f>
        <v>56.018783860582</v>
      </c>
    </row>
    <row r="295" customFormat="false" ht="12.8" hidden="false" customHeight="false" outlineLevel="0" collapsed="false">
      <c r="A295" s="1" t="n">
        <v>291</v>
      </c>
      <c r="B295" s="37" t="n">
        <v>43836</v>
      </c>
      <c r="C295" s="38" t="n">
        <f aca="false">V$26-V$26*SIN(2*PI()/365*A295)</f>
        <v>27.6995024804664</v>
      </c>
      <c r="D295" s="2" t="n">
        <f aca="false">IF((E295+F295)&gt;C295,C295,E295+F295)</f>
        <v>3.28661533526346</v>
      </c>
      <c r="E295" s="38" t="n">
        <f aca="false">(V$23+V$24*SIN(2*PI()/365*A295))*V$25/100*V$7*V$8/100</f>
        <v>2.71223173881519</v>
      </c>
      <c r="F295" s="38" t="n">
        <f aca="false">(V$23+V$24*SIN(2*PI()/365*A295))*V$25/100*V$9*(1-V$14/100)*(1-V$16/100)</f>
        <v>0.57438359644827</v>
      </c>
      <c r="G295" s="38" t="n">
        <f aca="false">IF(C295&gt;E295,100,C295/E295*100)</f>
        <v>100</v>
      </c>
      <c r="H295" s="38" t="n">
        <f aca="false">L295/F295*100</f>
        <v>100</v>
      </c>
      <c r="I295" s="38" t="n">
        <f aca="false">(V$23+V$24*SIN(2*PI()/365*A295))*V$25/100*V$7*V$8/100*(1-V$15/100)</f>
        <v>2.41388624754552</v>
      </c>
      <c r="J295" s="38" t="n">
        <f aca="false">(V$23+V$24*SIN(2*PI()/365*A295))*V$25/100*V$9*(1-V$14/100)</f>
        <v>0.645374827469966</v>
      </c>
      <c r="K295" s="39" t="n">
        <f aca="false">IF(E295/C295*100&lt;100,E295/C295*100,100)</f>
        <v>9.79162618797161</v>
      </c>
      <c r="L295" s="2" t="n">
        <f aca="false">IF(((C295-E295)&gt;0)AND(F295&gt;(C295-E295)),(C295-E295),IF(C295&lt;E295,0,F295))</f>
        <v>0.57438359644827</v>
      </c>
      <c r="M295" s="2" t="n">
        <f aca="false">IF(C295&lt;(E295+F295),0,C295-E295-F295)</f>
        <v>24.4128871452029</v>
      </c>
      <c r="N295" s="2" t="n">
        <f aca="false">IF(C295&lt;(E295+F295),0,(C295-E295-F295)/(1-V$16/100))</f>
        <v>27.4302102755089</v>
      </c>
      <c r="O295" s="2" t="n">
        <f aca="false">L295+M295</f>
        <v>24.9872707416512</v>
      </c>
      <c r="P295" s="2" t="n">
        <f aca="false">IF( N295=0,I295*(1-G295/100)+J295*(1-H295/100),-N295)</f>
        <v>-27.4302102755089</v>
      </c>
      <c r="Q295" s="47" t="n">
        <f aca="false">IF(P294&gt;0,Q294+P294*(1-V$20/100),Q294+P294)</f>
        <v>1326.66364353347</v>
      </c>
      <c r="R295" s="48" t="n">
        <f aca="false">R$4+Q295/V$28</f>
        <v>55.6924664538502</v>
      </c>
    </row>
    <row r="296" customFormat="false" ht="12.8" hidden="false" customHeight="false" outlineLevel="0" collapsed="false">
      <c r="A296" s="1" t="n">
        <v>292</v>
      </c>
      <c r="B296" s="37" t="n">
        <v>43837</v>
      </c>
      <c r="C296" s="38" t="n">
        <f aca="false">V$26-V$26*SIN(2*PI()/365*A296)</f>
        <v>27.6261796784389</v>
      </c>
      <c r="D296" s="2" t="n">
        <f aca="false">IF((E296+F296)&gt;C296,C296,E296+F296)</f>
        <v>3.36123511824881</v>
      </c>
      <c r="E296" s="38" t="n">
        <f aca="false">(V$23+V$24*SIN(2*PI()/365*A296))*V$25/100*V$7*V$8/100</f>
        <v>2.77381063476474</v>
      </c>
      <c r="F296" s="38" t="n">
        <f aca="false">(V$23+V$24*SIN(2*PI()/365*A296))*V$25/100*V$9*(1-V$14/100)*(1-V$16/100)</f>
        <v>0.587424483484074</v>
      </c>
      <c r="G296" s="38" t="n">
        <f aca="false">IF(C296&gt;E296,100,C296/E296*100)</f>
        <v>100</v>
      </c>
      <c r="H296" s="38" t="n">
        <f aca="false">L296/F296*100</f>
        <v>100</v>
      </c>
      <c r="I296" s="38" t="n">
        <f aca="false">(V$23+V$24*SIN(2*PI()/365*A296))*V$25/100*V$7*V$8/100*(1-V$15/100)</f>
        <v>2.46869146494062</v>
      </c>
      <c r="J296" s="38" t="n">
        <f aca="false">(V$23+V$24*SIN(2*PI()/365*A296))*V$25/100*V$9*(1-V$14/100)</f>
        <v>0.660027509532668</v>
      </c>
      <c r="K296" s="39" t="n">
        <f aca="false">IF(E296/C296*100&lt;100,E296/C296*100,100)</f>
        <v>10.0405147112309</v>
      </c>
      <c r="L296" s="2" t="n">
        <f aca="false">IF(((C296-E296)&gt;0)AND(F296&gt;(C296-E296)),(C296-E296),IF(C296&lt;E296,0,F296))</f>
        <v>0.587424483484074</v>
      </c>
      <c r="M296" s="2" t="n">
        <f aca="false">IF(C296&lt;(E296+F296),0,C296-E296-F296)</f>
        <v>24.2649445601901</v>
      </c>
      <c r="N296" s="2" t="n">
        <f aca="false">IF(C296&lt;(E296+F296),0,(C296-E296-F296)/(1-V$16/100))</f>
        <v>27.2639826518989</v>
      </c>
      <c r="O296" s="2" t="n">
        <f aca="false">L296+M296</f>
        <v>24.8523690436741</v>
      </c>
      <c r="P296" s="2" t="n">
        <f aca="false">IF( N296=0,I296*(1-G296/100)+J296*(1-H296/100),-N296)</f>
        <v>-27.2639826518989</v>
      </c>
      <c r="Q296" s="47" t="n">
        <f aca="false">IF(P295&gt;0,Q295+P295*(1-V$20/100),Q295+P295)</f>
        <v>1299.23343325796</v>
      </c>
      <c r="R296" s="48" t="n">
        <f aca="false">R$4+Q296/V$28</f>
        <v>55.3680076834086</v>
      </c>
    </row>
    <row r="297" customFormat="false" ht="12.8" hidden="false" customHeight="false" outlineLevel="0" collapsed="false">
      <c r="A297" s="1" t="n">
        <v>293</v>
      </c>
      <c r="B297" s="37" t="n">
        <v>43838</v>
      </c>
      <c r="C297" s="38" t="n">
        <f aca="false">V$26-V$26*SIN(2*PI()/365*A297)</f>
        <v>27.5488664381943</v>
      </c>
      <c r="D297" s="2" t="n">
        <f aca="false">IF((E297+F297)&gt;C297,C297,E297+F297)</f>
        <v>3.43991592489312</v>
      </c>
      <c r="E297" s="38" t="n">
        <f aca="false">(V$23+V$24*SIN(2*PI()/365*A297))*V$25/100*V$7*V$8/100</f>
        <v>2.83874083171435</v>
      </c>
      <c r="F297" s="38" t="n">
        <f aca="false">(V$23+V$24*SIN(2*PI()/365*A297))*V$25/100*V$9*(1-V$14/100)*(1-V$16/100)</f>
        <v>0.60117509317877</v>
      </c>
      <c r="G297" s="38" t="n">
        <f aca="false">IF(C297&gt;E297,100,C297/E297*100)</f>
        <v>100</v>
      </c>
      <c r="H297" s="38" t="n">
        <f aca="false">L297/F297*100</f>
        <v>100</v>
      </c>
      <c r="I297" s="38" t="n">
        <f aca="false">(V$23+V$24*SIN(2*PI()/365*A297))*V$25/100*V$7*V$8/100*(1-V$15/100)</f>
        <v>2.52647934022577</v>
      </c>
      <c r="J297" s="38" t="n">
        <f aca="false">(V$23+V$24*SIN(2*PI()/365*A297))*V$25/100*V$9*(1-V$14/100)</f>
        <v>0.675477632785135</v>
      </c>
      <c r="K297" s="39" t="n">
        <f aca="false">IF(E297/C297*100&lt;100,E297/C297*100,100)</f>
        <v>10.3043834419941</v>
      </c>
      <c r="L297" s="2" t="n">
        <f aca="false">IF(((C297-E297)&gt;0)AND(F297&gt;(C297-E297)),(C297-E297),IF(C297&lt;E297,0,F297))</f>
        <v>0.60117509317877</v>
      </c>
      <c r="M297" s="2" t="n">
        <f aca="false">IF(C297&lt;(E297+F297),0,C297-E297-F297)</f>
        <v>24.1089505133012</v>
      </c>
      <c r="N297" s="2" t="n">
        <f aca="false">IF(C297&lt;(E297+F297),0,(C297-E297-F297)/(1-V$16/100))</f>
        <v>27.0887084419114</v>
      </c>
      <c r="O297" s="2" t="n">
        <f aca="false">L297+M297</f>
        <v>24.7101256064799</v>
      </c>
      <c r="P297" s="2" t="n">
        <f aca="false">IF( N297=0,I297*(1-G297/100)+J297*(1-H297/100),-N297)</f>
        <v>-27.0887084419114</v>
      </c>
      <c r="Q297" s="47" t="n">
        <f aca="false">IF(P296&gt;0,Q296+P296*(1-V$20/100),Q296+P296)</f>
        <v>1271.96945060606</v>
      </c>
      <c r="R297" s="48" t="n">
        <f aca="false">R$4+Q297/V$28</f>
        <v>55.0455151396137</v>
      </c>
    </row>
    <row r="298" customFormat="false" ht="12.8" hidden="false" customHeight="false" outlineLevel="0" collapsed="false">
      <c r="A298" s="1" t="n">
        <v>294</v>
      </c>
      <c r="B298" s="37" t="n">
        <v>43839</v>
      </c>
      <c r="C298" s="38" t="n">
        <f aca="false">V$26-V$26*SIN(2*PI()/365*A298)</f>
        <v>27.4675856693143</v>
      </c>
      <c r="D298" s="2" t="n">
        <f aca="false">IF((E298+F298)&gt;C298,C298,E298+F298)</f>
        <v>3.52263444037532</v>
      </c>
      <c r="E298" s="38" t="n">
        <f aca="false">(V$23+V$24*SIN(2*PI()/365*A298))*V$25/100*V$7*V$8/100</f>
        <v>2.90700308944538</v>
      </c>
      <c r="F298" s="38" t="n">
        <f aca="false">(V$23+V$24*SIN(2*PI()/365*A298))*V$25/100*V$9*(1-V$14/100)*(1-V$16/100)</f>
        <v>0.615631350929943</v>
      </c>
      <c r="G298" s="38" t="n">
        <f aca="false">IF(C298&gt;E298,100,C298/E298*100)</f>
        <v>100</v>
      </c>
      <c r="H298" s="38" t="n">
        <f aca="false">L298/F298*100</f>
        <v>100</v>
      </c>
      <c r="I298" s="38" t="n">
        <f aca="false">(V$23+V$24*SIN(2*PI()/365*A298))*V$25/100*V$7*V$8/100*(1-V$15/100)</f>
        <v>2.58723274960638</v>
      </c>
      <c r="J298" s="38" t="n">
        <f aca="false">(V$23+V$24*SIN(2*PI()/365*A298))*V$25/100*V$9*(1-V$14/100)</f>
        <v>0.691720619022408</v>
      </c>
      <c r="K298" s="39" t="n">
        <f aca="false">IF(E298/C298*100&lt;100,E298/C298*100,100)</f>
        <v>10.5833950039991</v>
      </c>
      <c r="L298" s="2" t="n">
        <f aca="false">IF(((C298-E298)&gt;0)AND(F298&gt;(C298-E298)),(C298-E298),IF(C298&lt;E298,0,F298))</f>
        <v>0.615631350929943</v>
      </c>
      <c r="M298" s="2" t="n">
        <f aca="false">IF(C298&lt;(E298+F298),0,C298-E298-F298)</f>
        <v>23.9449512289389</v>
      </c>
      <c r="N298" s="2" t="n">
        <f aca="false">IF(C298&lt;(E298+F298),0,(C298-E298-F298)/(1-V$16/100))</f>
        <v>26.9044395830775</v>
      </c>
      <c r="O298" s="2" t="n">
        <f aca="false">L298+M298</f>
        <v>24.5605825798689</v>
      </c>
      <c r="P298" s="2" t="n">
        <f aca="false">IF( N298=0,I298*(1-G298/100)+J298*(1-H298/100),-N298)</f>
        <v>-26.9044395830775</v>
      </c>
      <c r="Q298" s="47" t="n">
        <f aca="false">IF(P297&gt;0,Q297+P297*(1-V$20/100),Q297+P297)</f>
        <v>1244.88074216415</v>
      </c>
      <c r="R298" s="48" t="n">
        <f aca="false">R$4+Q298/V$28</f>
        <v>54.7250958301868</v>
      </c>
    </row>
    <row r="299" customFormat="false" ht="12.8" hidden="false" customHeight="false" outlineLevel="0" collapsed="false">
      <c r="A299" s="1" t="n">
        <v>295</v>
      </c>
      <c r="B299" s="37" t="n">
        <v>43840</v>
      </c>
      <c r="C299" s="38" t="n">
        <f aca="false">V$26-V$26*SIN(2*PI()/365*A299)</f>
        <v>27.3823614570448</v>
      </c>
      <c r="D299" s="2" t="n">
        <f aca="false">IF((E299+F299)&gt;C299,C299,E299+F299)</f>
        <v>3.60936615341405</v>
      </c>
      <c r="E299" s="38" t="n">
        <f aca="false">(V$23+V$24*SIN(2*PI()/365*A299))*V$25/100*V$7*V$8/100</f>
        <v>2.97857718037762</v>
      </c>
      <c r="F299" s="38" t="n">
        <f aca="false">(V$23+V$24*SIN(2*PI()/365*A299))*V$25/100*V$9*(1-V$14/100)*(1-V$16/100)</f>
        <v>0.63078897303643</v>
      </c>
      <c r="G299" s="38" t="n">
        <f aca="false">IF(C299&gt;E299,100,C299/E299*100)</f>
        <v>100</v>
      </c>
      <c r="H299" s="38" t="n">
        <f aca="false">L299/F299*100</f>
        <v>100</v>
      </c>
      <c r="I299" s="38" t="n">
        <f aca="false">(V$23+V$24*SIN(2*PI()/365*A299))*V$25/100*V$7*V$8/100*(1-V$15/100)</f>
        <v>2.65093369053608</v>
      </c>
      <c r="J299" s="38" t="n">
        <f aca="false">(V$23+V$24*SIN(2*PI()/365*A299))*V$25/100*V$9*(1-V$14/100)</f>
        <v>0.708751655097112</v>
      </c>
      <c r="K299" s="39" t="n">
        <f aca="false">IF(E299/C299*100&lt;100,E299/C299*100,100)</f>
        <v>10.8777220878125</v>
      </c>
      <c r="L299" s="2" t="n">
        <f aca="false">IF(((C299-E299)&gt;0)AND(F299&gt;(C299-E299)),(C299-E299),IF(C299&lt;E299,0,F299))</f>
        <v>0.63078897303643</v>
      </c>
      <c r="M299" s="2" t="n">
        <f aca="false">IF(C299&lt;(E299+F299),0,C299-E299-F299)</f>
        <v>23.7729953036307</v>
      </c>
      <c r="N299" s="2" t="n">
        <f aca="false">IF(C299&lt;(E299+F299),0,(C299-E299-F299)/(1-V$16/100))</f>
        <v>26.7112306782368</v>
      </c>
      <c r="O299" s="2" t="n">
        <f aca="false">L299+M299</f>
        <v>24.4037842766671</v>
      </c>
      <c r="P299" s="2" t="n">
        <f aca="false">IF( N299=0,I299*(1-G299/100)+J299*(1-H299/100),-N299)</f>
        <v>-26.7112306782368</v>
      </c>
      <c r="Q299" s="47" t="n">
        <f aca="false">IF(P298&gt;0,Q298+P298*(1-V$20/100),Q298+P298)</f>
        <v>1217.97630258107</v>
      </c>
      <c r="R299" s="48" t="n">
        <f aca="false">R$4+Q299/V$28</f>
        <v>54.4068561485048</v>
      </c>
    </row>
    <row r="300" customFormat="false" ht="12.8" hidden="false" customHeight="false" outlineLevel="0" collapsed="false">
      <c r="A300" s="1" t="n">
        <v>296</v>
      </c>
      <c r="B300" s="37" t="n">
        <v>43841</v>
      </c>
      <c r="C300" s="38" t="n">
        <f aca="false">V$26-V$26*SIN(2*PI()/365*A300)</f>
        <v>27.2932190551592</v>
      </c>
      <c r="D300" s="2" t="n">
        <f aca="false">IF((E300+F300)&gt;C300,C300,E300+F300)</f>
        <v>3.70008536353093</v>
      </c>
      <c r="E300" s="38" t="n">
        <f aca="false">(V$23+V$24*SIN(2*PI()/365*A300))*V$25/100*V$7*V$8/100</f>
        <v>3.05344189556326</v>
      </c>
      <c r="F300" s="38" t="n">
        <f aca="false">(V$23+V$24*SIN(2*PI()/365*A300))*V$25/100*V$9*(1-V$14/100)*(1-V$16/100)</f>
        <v>0.646643467967673</v>
      </c>
      <c r="G300" s="38" t="n">
        <f aca="false">IF(C300&gt;E300,100,C300/E300*100)</f>
        <v>100</v>
      </c>
      <c r="H300" s="38" t="n">
        <f aca="false">L300/F300*100</f>
        <v>100</v>
      </c>
      <c r="I300" s="38" t="n">
        <f aca="false">(V$23+V$24*SIN(2*PI()/365*A300))*V$25/100*V$7*V$8/100*(1-V$15/100)</f>
        <v>2.7175632870513</v>
      </c>
      <c r="J300" s="38" t="n">
        <f aca="false">(V$23+V$24*SIN(2*PI()/365*A300))*V$25/100*V$9*(1-V$14/100)</f>
        <v>0.7265656943457</v>
      </c>
      <c r="K300" s="39" t="n">
        <f aca="false">IF(E300/C300*100&lt;100,E300/C300*100,100)</f>
        <v>11.1875476813208</v>
      </c>
      <c r="L300" s="2" t="n">
        <f aca="false">IF(((C300-E300)&gt;0)AND(F300&gt;(C300-E300)),(C300-E300),IF(C300&lt;E300,0,F300))</f>
        <v>0.646643467967673</v>
      </c>
      <c r="M300" s="2" t="n">
        <f aca="false">IF(C300&lt;(E300+F300),0,C300-E300-F300)</f>
        <v>23.5931336916283</v>
      </c>
      <c r="N300" s="2" t="n">
        <f aca="false">IF(C300&lt;(E300+F300),0,(C300-E300-F300)/(1-V$16/100))</f>
        <v>26.5091389793576</v>
      </c>
      <c r="O300" s="2" t="n">
        <f aca="false">L300+M300</f>
        <v>24.239777159596</v>
      </c>
      <c r="P300" s="2" t="n">
        <f aca="false">IF( N300=0,I300*(1-G300/100)+J300*(1-H300/100),-N300)</f>
        <v>-26.5091389793576</v>
      </c>
      <c r="Q300" s="47" t="n">
        <f aca="false">IF(P299&gt;0,Q299+P299*(1-V$20/100),Q299+P299)</f>
        <v>1191.26507190284</v>
      </c>
      <c r="R300" s="48" t="n">
        <f aca="false">R$4+Q300/V$28</f>
        <v>54.0909018420743</v>
      </c>
    </row>
    <row r="301" customFormat="false" ht="12.8" hidden="false" customHeight="false" outlineLevel="0" collapsed="false">
      <c r="A301" s="1" t="n">
        <v>297</v>
      </c>
      <c r="B301" s="37" t="n">
        <v>43842</v>
      </c>
      <c r="C301" s="38" t="n">
        <f aca="false">V$26-V$26*SIN(2*PI()/365*A301)</f>
        <v>27.2001848784752</v>
      </c>
      <c r="D301" s="2" t="n">
        <f aca="false">IF((E301+F301)&gt;C301,C301,E301+F301)</f>
        <v>3.79476518866612</v>
      </c>
      <c r="E301" s="38" t="n">
        <f aca="false">(V$23+V$24*SIN(2*PI()/365*A301))*V$25/100*V$7*V$8/100</f>
        <v>3.13157505097146</v>
      </c>
      <c r="F301" s="38" t="n">
        <f aca="false">(V$23+V$24*SIN(2*PI()/365*A301))*V$25/100*V$9*(1-V$14/100)*(1-V$16/100)</f>
        <v>0.663190137694655</v>
      </c>
      <c r="G301" s="38" t="n">
        <f aca="false">IF(C301&gt;E301,100,C301/E301*100)</f>
        <v>100</v>
      </c>
      <c r="H301" s="38" t="n">
        <f aca="false">L301/F301*100</f>
        <v>100</v>
      </c>
      <c r="I301" s="38" t="n">
        <f aca="false">(V$23+V$24*SIN(2*PI()/365*A301))*V$25/100*V$7*V$8/100*(1-V$15/100)</f>
        <v>2.7871017953646</v>
      </c>
      <c r="J301" s="38" t="n">
        <f aca="false">(V$23+V$24*SIN(2*PI()/365*A301))*V$25/100*V$9*(1-V$14/100)</f>
        <v>0.745157458083882</v>
      </c>
      <c r="K301" s="39" t="n">
        <f aca="false">IF(E301/C301*100&lt;100,E301/C301*100,100)</f>
        <v>11.5130653154113</v>
      </c>
      <c r="L301" s="2" t="n">
        <f aca="false">IF(((C301-E301)&gt;0)AND(F301&gt;(C301-E301)),(C301-E301),IF(C301&lt;E301,0,F301))</f>
        <v>0.663190137694655</v>
      </c>
      <c r="M301" s="2" t="n">
        <f aca="false">IF(C301&lt;(E301+F301),0,C301-E301-F301)</f>
        <v>23.405419689809</v>
      </c>
      <c r="N301" s="2" t="n">
        <f aca="false">IF(C301&lt;(E301+F301),0,(C301-E301-F301)/(1-V$16/100))</f>
        <v>26.298224370572</v>
      </c>
      <c r="O301" s="2" t="n">
        <f aca="false">L301+M301</f>
        <v>24.0686098275037</v>
      </c>
      <c r="P301" s="2" t="n">
        <f aca="false">IF( N301=0,I301*(1-G301/100)+J301*(1-H301/100),-N301)</f>
        <v>-26.298224370572</v>
      </c>
      <c r="Q301" s="47" t="n">
        <f aca="false">IF(P300&gt;0,Q300+P300*(1-V$20/100),Q300+P300)</f>
        <v>1164.75593292348</v>
      </c>
      <c r="R301" s="48" t="n">
        <f aca="false">R$4+Q301/V$28</f>
        <v>53.7773379811954</v>
      </c>
    </row>
    <row r="302" customFormat="false" ht="12.8" hidden="false" customHeight="false" outlineLevel="0" collapsed="false">
      <c r="A302" s="1" t="n">
        <v>298</v>
      </c>
      <c r="B302" s="37" t="n">
        <v>43843</v>
      </c>
      <c r="C302" s="38" t="n">
        <f aca="false">V$26-V$26*SIN(2*PI()/365*A302)</f>
        <v>27.1032864950269</v>
      </c>
      <c r="D302" s="2" t="n">
        <f aca="false">IF((E302+F302)&gt;C302,C302,E302+F302)</f>
        <v>3.89337757314405</v>
      </c>
      <c r="E302" s="38" t="n">
        <f aca="false">(V$23+V$24*SIN(2*PI()/365*A302))*V$25/100*V$7*V$8/100</f>
        <v>3.21295349406202</v>
      </c>
      <c r="F302" s="38" t="n">
        <f aca="false">(V$23+V$24*SIN(2*PI()/365*A302))*V$25/100*V$9*(1-V$14/100)*(1-V$16/100)</f>
        <v>0.680424079082029</v>
      </c>
      <c r="G302" s="38" t="n">
        <f aca="false">IF(C302&gt;E302,100,C302/E302*100)</f>
        <v>100</v>
      </c>
      <c r="H302" s="38" t="n">
        <f aca="false">L302/F302*100</f>
        <v>100</v>
      </c>
      <c r="I302" s="38" t="n">
        <f aca="false">(V$23+V$24*SIN(2*PI()/365*A302))*V$25/100*V$7*V$8/100*(1-V$15/100)</f>
        <v>2.8595286097152</v>
      </c>
      <c r="J302" s="38" t="n">
        <f aca="false">(V$23+V$24*SIN(2*PI()/365*A302))*V$25/100*V$9*(1-V$14/100)</f>
        <v>0.764521437170819</v>
      </c>
      <c r="K302" s="39" t="n">
        <f aca="false">IF(E302/C302*100&lt;100,E302/C302*100,100)</f>
        <v>11.8544793254189</v>
      </c>
      <c r="L302" s="2" t="n">
        <f aca="false">IF(((C302-E302)&gt;0)AND(F302&gt;(C302-E302)),(C302-E302),IF(C302&lt;E302,0,F302))</f>
        <v>0.680424079082029</v>
      </c>
      <c r="M302" s="2" t="n">
        <f aca="false">IF(C302&lt;(E302+F302),0,C302-E302-F302)</f>
        <v>23.2099089218829</v>
      </c>
      <c r="N302" s="2" t="n">
        <f aca="false">IF(C302&lt;(E302+F302),0,(C302-E302-F302)/(1-V$16/100))</f>
        <v>26.0785493504302</v>
      </c>
      <c r="O302" s="2" t="n">
        <f aca="false">L302+M302</f>
        <v>23.8903330009649</v>
      </c>
      <c r="P302" s="2" t="n">
        <f aca="false">IF( N302=0,I302*(1-G302/100)+J302*(1-H302/100),-N302)</f>
        <v>-26.0785493504302</v>
      </c>
      <c r="Q302" s="47" t="n">
        <f aca="false">IF(P301&gt;0,Q301+P301*(1-V$20/100),Q301+P301)</f>
        <v>1138.45770855291</v>
      </c>
      <c r="R302" s="48" t="n">
        <f aca="false">R$4+Q302/V$28</f>
        <v>53.4662689278279</v>
      </c>
    </row>
    <row r="303" customFormat="false" ht="12.8" hidden="false" customHeight="false" outlineLevel="0" collapsed="false">
      <c r="A303" s="1" t="n">
        <v>299</v>
      </c>
      <c r="B303" s="37" t="n">
        <v>43844</v>
      </c>
      <c r="C303" s="38" t="n">
        <f aca="false">V$26-V$26*SIN(2*PI()/365*A303)</f>
        <v>27.0025526178969</v>
      </c>
      <c r="D303" s="2" t="n">
        <f aca="false">IF((E303+F303)&gt;C303,C303,E303+F303)</f>
        <v>3.99589329598699</v>
      </c>
      <c r="E303" s="38" t="n">
        <f aca="false">(V$23+V$24*SIN(2*PI()/365*A303))*V$25/100*V$7*V$8/100</f>
        <v>3.29755311064597</v>
      </c>
      <c r="F303" s="38" t="n">
        <f aca="false">(V$23+V$24*SIN(2*PI()/365*A303))*V$25/100*V$9*(1-V$14/100)*(1-V$16/100)</f>
        <v>0.698340185341024</v>
      </c>
      <c r="G303" s="38" t="n">
        <f aca="false">IF(C303&gt;E303,100,C303/E303*100)</f>
        <v>100</v>
      </c>
      <c r="H303" s="38" t="n">
        <f aca="false">L303/F303*100</f>
        <v>100</v>
      </c>
      <c r="I303" s="38" t="n">
        <f aca="false">(V$23+V$24*SIN(2*PI()/365*A303))*V$25/100*V$7*V$8/100*(1-V$15/100)</f>
        <v>2.93482226847491</v>
      </c>
      <c r="J303" s="38" t="n">
        <f aca="false">(V$23+V$24*SIN(2*PI()/365*A303))*V$25/100*V$9*(1-V$14/100)</f>
        <v>0.784651893641601</v>
      </c>
      <c r="K303" s="39" t="n">
        <f aca="false">IF(E303/C303*100&lt;100,E303/C303*100,100)</f>
        <v>12.2120051289536</v>
      </c>
      <c r="L303" s="2" t="n">
        <f aca="false">IF(((C303-E303)&gt;0)AND(F303&gt;(C303-E303)),(C303-E303),IF(C303&lt;E303,0,F303))</f>
        <v>0.698340185341024</v>
      </c>
      <c r="M303" s="2" t="n">
        <f aca="false">IF(C303&lt;(E303+F303),0,C303-E303-F303)</f>
        <v>23.0066593219099</v>
      </c>
      <c r="N303" s="2" t="n">
        <f aca="false">IF(C303&lt;(E303+F303),0,(C303-E303-F303)/(1-V$16/100))</f>
        <v>25.8501790133819</v>
      </c>
      <c r="O303" s="2" t="n">
        <f aca="false">L303+M303</f>
        <v>23.7049995072509</v>
      </c>
      <c r="P303" s="2" t="n">
        <f aca="false">IF( N303=0,I303*(1-G303/100)+J303*(1-H303/100),-N303)</f>
        <v>-25.8501790133819</v>
      </c>
      <c r="Q303" s="47" t="n">
        <f aca="false">IF(P302&gt;0,Q302+P302*(1-V$20/100),Q302+P302)</f>
        <v>1112.37915920248</v>
      </c>
      <c r="R303" s="48" t="n">
        <f aca="false">R$4+Q303/V$28</f>
        <v>53.1577983046662</v>
      </c>
    </row>
    <row r="304" customFormat="false" ht="12.8" hidden="false" customHeight="false" outlineLevel="0" collapsed="false">
      <c r="A304" s="1" t="n">
        <v>300</v>
      </c>
      <c r="B304" s="37" t="n">
        <v>43845</v>
      </c>
      <c r="C304" s="38" t="n">
        <f aca="false">V$26-V$26*SIN(2*PI()/365*A304)</f>
        <v>26.8980130967067</v>
      </c>
      <c r="D304" s="2" t="n">
        <f aca="false">IF((E304+F304)&gt;C304,C304,E304+F304)</f>
        <v>4.10228197957379</v>
      </c>
      <c r="E304" s="38" t="n">
        <f aca="false">(V$23+V$24*SIN(2*PI()/365*A304))*V$25/100*V$7*V$8/100</f>
        <v>3.3853488320311</v>
      </c>
      <c r="F304" s="38" t="n">
        <f aca="false">(V$23+V$24*SIN(2*PI()/365*A304))*V$25/100*V$9*(1-V$14/100)*(1-V$16/100)</f>
        <v>0.716933147542695</v>
      </c>
      <c r="G304" s="38" t="n">
        <f aca="false">IF(C304&gt;E304,100,C304/E304*100)</f>
        <v>100</v>
      </c>
      <c r="H304" s="38" t="n">
        <f aca="false">L304/F304*100</f>
        <v>100</v>
      </c>
      <c r="I304" s="38" t="n">
        <f aca="false">(V$23+V$24*SIN(2*PI()/365*A304))*V$25/100*V$7*V$8/100*(1-V$15/100)</f>
        <v>3.01296046050768</v>
      </c>
      <c r="J304" s="38" t="n">
        <f aca="false">(V$23+V$24*SIN(2*PI()/365*A304))*V$25/100*V$9*(1-V$14/100)</f>
        <v>0.805542862407522</v>
      </c>
      <c r="K304" s="39" t="n">
        <f aca="false">IF(E304/C304*100&lt;100,E304/C304*100,100)</f>
        <v>12.5858695207699</v>
      </c>
      <c r="L304" s="2" t="n">
        <f aca="false">IF(((C304-E304)&gt;0)AND(F304&gt;(C304-E304)),(C304-E304),IF(C304&lt;E304,0,F304))</f>
        <v>0.716933147542695</v>
      </c>
      <c r="M304" s="2" t="n">
        <f aca="false">IF(C304&lt;(E304+F304),0,C304-E304-F304)</f>
        <v>22.7957311171329</v>
      </c>
      <c r="N304" s="2" t="n">
        <f aca="false">IF(C304&lt;(E304+F304),0,(C304-E304-F304)/(1-V$16/100))</f>
        <v>25.6131810304864</v>
      </c>
      <c r="O304" s="2" t="n">
        <f aca="false">L304+M304</f>
        <v>23.5126642646756</v>
      </c>
      <c r="P304" s="2" t="n">
        <f aca="false">IF( N304=0,I304*(1-G304/100)+J304*(1-H304/100),-N304)</f>
        <v>-25.6131810304864</v>
      </c>
      <c r="Q304" s="47" t="n">
        <f aca="false">IF(P303&gt;0,Q303+P303*(1-V$20/100),Q303+P303)</f>
        <v>1086.5289801891</v>
      </c>
      <c r="R304" s="48" t="n">
        <f aca="false">R$4+Q304/V$28</f>
        <v>52.8520289644338</v>
      </c>
    </row>
    <row r="305" customFormat="false" ht="12.8" hidden="false" customHeight="false" outlineLevel="0" collapsed="false">
      <c r="A305" s="1" t="n">
        <v>301</v>
      </c>
      <c r="B305" s="37" t="n">
        <v>43846</v>
      </c>
      <c r="C305" s="38" t="n">
        <f aca="false">V$26-V$26*SIN(2*PI()/365*A305)</f>
        <v>26.7896989087727</v>
      </c>
      <c r="D305" s="2" t="n">
        <f aca="false">IF((E305+F305)&gt;C305,C305,E305+F305)</f>
        <v>4.21251209864145</v>
      </c>
      <c r="E305" s="38" t="n">
        <f aca="false">(V$23+V$24*SIN(2*PI()/365*A305))*V$25/100*V$7*V$8/100</f>
        <v>3.47631464245038</v>
      </c>
      <c r="F305" s="38" t="n">
        <f aca="false">(V$23+V$24*SIN(2*PI()/365*A305))*V$25/100*V$9*(1-V$14/100)*(1-V$16/100)</f>
        <v>0.736197456191071</v>
      </c>
      <c r="G305" s="38" t="n">
        <f aca="false">IF(C305&gt;E305,100,C305/E305*100)</f>
        <v>100</v>
      </c>
      <c r="H305" s="38" t="n">
        <f aca="false">L305/F305*100</f>
        <v>100</v>
      </c>
      <c r="I305" s="38" t="n">
        <f aca="false">(V$23+V$24*SIN(2*PI()/365*A305))*V$25/100*V$7*V$8/100*(1-V$15/100)</f>
        <v>3.09392003178084</v>
      </c>
      <c r="J305" s="38" t="n">
        <f aca="false">(V$23+V$24*SIN(2*PI()/365*A305))*V$25/100*V$9*(1-V$14/100)</f>
        <v>0.827188153023675</v>
      </c>
      <c r="K305" s="39" t="n">
        <f aca="false">IF(E305/C305*100&lt;100,E305/C305*100,100)</f>
        <v>12.976310985384</v>
      </c>
      <c r="L305" s="2" t="n">
        <f aca="false">IF(((C305-E305)&gt;0)AND(F305&gt;(C305-E305)),(C305-E305),IF(C305&lt;E305,0,F305))</f>
        <v>0.736197456191071</v>
      </c>
      <c r="M305" s="2" t="n">
        <f aca="false">IF(C305&lt;(E305+F305),0,C305-E305-F305)</f>
        <v>22.5771868101313</v>
      </c>
      <c r="N305" s="2" t="n">
        <f aca="false">IF(C305&lt;(E305+F305),0,(C305-E305-F305)/(1-V$16/100))</f>
        <v>25.367625629361</v>
      </c>
      <c r="O305" s="2" t="n">
        <f aca="false">L305+M305</f>
        <v>23.3133842663224</v>
      </c>
      <c r="P305" s="2" t="n">
        <f aca="false">IF( N305=0,I305*(1-G305/100)+J305*(1-H305/100),-N305)</f>
        <v>-25.367625629361</v>
      </c>
      <c r="Q305" s="47" t="n">
        <f aca="false">IF(P304&gt;0,Q304+P304*(1-V$20/100),Q304+P304)</f>
        <v>1060.91579915861</v>
      </c>
      <c r="R305" s="48" t="n">
        <f aca="false">R$4+Q305/V$28</f>
        <v>52.5490629594058</v>
      </c>
    </row>
    <row r="306" customFormat="false" ht="12.8" hidden="false" customHeight="false" outlineLevel="0" collapsed="false">
      <c r="A306" s="1" t="n">
        <v>302</v>
      </c>
      <c r="B306" s="37" t="n">
        <v>43847</v>
      </c>
      <c r="C306" s="38" t="n">
        <f aca="false">V$26-V$26*SIN(2*PI()/365*A306)</f>
        <v>26.6776421499265</v>
      </c>
      <c r="D306" s="2" t="n">
        <f aca="false">IF((E306+F306)&gt;C306,C306,E306+F306)</f>
        <v>4.32655098962673</v>
      </c>
      <c r="E306" s="38" t="n">
        <f aca="false">(V$23+V$24*SIN(2*PI()/365*A306))*V$25/100*V$7*V$8/100</f>
        <v>3.57042358677098</v>
      </c>
      <c r="F306" s="38" t="n">
        <f aca="false">(V$23+V$24*SIN(2*PI()/365*A306))*V$25/100*V$9*(1-V$14/100)*(1-V$16/100)</f>
        <v>0.756127402855743</v>
      </c>
      <c r="G306" s="38" t="n">
        <f aca="false">IF(C306&gt;E306,100,C306/E306*100)</f>
        <v>100</v>
      </c>
      <c r="H306" s="38" t="n">
        <f aca="false">L306/F306*100</f>
        <v>100</v>
      </c>
      <c r="I306" s="38" t="n">
        <f aca="false">(V$23+V$24*SIN(2*PI()/365*A306))*V$25/100*V$7*V$8/100*(1-V$15/100)</f>
        <v>3.17767699222617</v>
      </c>
      <c r="J306" s="38" t="n">
        <f aca="false">(V$23+V$24*SIN(2*PI()/365*A306))*V$25/100*V$9*(1-V$14/100)</f>
        <v>0.849581351523307</v>
      </c>
      <c r="K306" s="39" t="n">
        <f aca="false">IF(E306/C306*100&lt;100,E306/C306*100,100)</f>
        <v>13.3835800281953</v>
      </c>
      <c r="L306" s="2" t="n">
        <f aca="false">IF(((C306-E306)&gt;0)AND(F306&gt;(C306-E306)),(C306-E306),IF(C306&lt;E306,0,F306))</f>
        <v>0.756127402855743</v>
      </c>
      <c r="M306" s="2" t="n">
        <f aca="false">IF(C306&lt;(E306+F306),0,C306-E306-F306)</f>
        <v>22.3510911602997</v>
      </c>
      <c r="N306" s="2" t="n">
        <f aca="false">IF(C306&lt;(E306+F306),0,(C306-E306-F306)/(1-V$16/100))</f>
        <v>25.1135855733705</v>
      </c>
      <c r="O306" s="2" t="n">
        <f aca="false">L306+M306</f>
        <v>23.1072185631555</v>
      </c>
      <c r="P306" s="2" t="n">
        <f aca="false">IF( N306=0,I306*(1-G306/100)+J306*(1-H306/100),-N306)</f>
        <v>-25.1135855733705</v>
      </c>
      <c r="Q306" s="47" t="n">
        <f aca="false">IF(P305&gt;0,Q305+P305*(1-V$20/100),Q305+P305)</f>
        <v>1035.54817352925</v>
      </c>
      <c r="R306" s="48" t="n">
        <f aca="false">R$4+Q306/V$28</f>
        <v>52.2490015111683</v>
      </c>
    </row>
    <row r="307" customFormat="false" ht="12.8" hidden="false" customHeight="false" outlineLevel="0" collapsed="false">
      <c r="A307" s="1" t="n">
        <v>303</v>
      </c>
      <c r="B307" s="37" t="n">
        <v>43848</v>
      </c>
      <c r="C307" s="38" t="n">
        <f aca="false">V$26-V$26*SIN(2*PI()/365*A307)</f>
        <v>26.5618760250039</v>
      </c>
      <c r="D307" s="2" t="n">
        <f aca="false">IF((E307+F307)&gt;C307,C307,E307+F307)</f>
        <v>4.44436486034505</v>
      </c>
      <c r="E307" s="38" t="n">
        <f aca="false">(V$23+V$24*SIN(2*PI()/365*A307))*V$25/100*V$7*V$8/100</f>
        <v>3.66764777848166</v>
      </c>
      <c r="F307" s="38" t="n">
        <f aca="false">(V$23+V$24*SIN(2*PI()/365*A307))*V$25/100*V$9*(1-V$14/100)*(1-V$16/100)</f>
        <v>0.776717081863389</v>
      </c>
      <c r="G307" s="38" t="n">
        <f aca="false">IF(C307&gt;E307,100,C307/E307*100)</f>
        <v>100</v>
      </c>
      <c r="H307" s="38" t="n">
        <f aca="false">L307/F307*100</f>
        <v>100</v>
      </c>
      <c r="I307" s="38" t="n">
        <f aca="false">(V$23+V$24*SIN(2*PI()/365*A307))*V$25/100*V$7*V$8/100*(1-V$15/100)</f>
        <v>3.26420652284868</v>
      </c>
      <c r="J307" s="38" t="n">
        <f aca="false">(V$23+V$24*SIN(2*PI()/365*A307))*V$25/100*V$9*(1-V$14/100)</f>
        <v>0.872715822318415</v>
      </c>
      <c r="K307" s="39" t="n">
        <f aca="false">IF(E307/C307*100&lt;100,E307/C307*100,100)</f>
        <v>13.8079395259173</v>
      </c>
      <c r="L307" s="2" t="n">
        <f aca="false">IF(((C307-E307)&gt;0)AND(F307&gt;(C307-E307)),(C307-E307),IF(C307&lt;E307,0,F307))</f>
        <v>0.776717081863389</v>
      </c>
      <c r="M307" s="2" t="n">
        <f aca="false">IF(C307&lt;(E307+F307),0,C307-E307-F307)</f>
        <v>22.1175111646589</v>
      </c>
      <c r="N307" s="2" t="n">
        <f aca="false">IF(C307&lt;(E307+F307),0,(C307-E307-F307)/(1-V$16/100))</f>
        <v>24.8511361400662</v>
      </c>
      <c r="O307" s="2" t="n">
        <f aca="false">L307+M307</f>
        <v>22.8942282465223</v>
      </c>
      <c r="P307" s="2" t="n">
        <f aca="false">IF( N307=0,I307*(1-G307/100)+J307*(1-H307/100),-N307)</f>
        <v>-24.8511361400662</v>
      </c>
      <c r="Q307" s="47" t="n">
        <f aca="false">IF(P306&gt;0,Q306+P306*(1-V$20/100),Q306+P306)</f>
        <v>1010.43458795588</v>
      </c>
      <c r="R307" s="48" t="n">
        <f aca="false">R$4+Q307/V$28</f>
        <v>51.951944980625</v>
      </c>
    </row>
    <row r="308" customFormat="false" ht="12.8" hidden="false" customHeight="false" outlineLevel="0" collapsed="false">
      <c r="A308" s="1" t="n">
        <v>304</v>
      </c>
      <c r="B308" s="37" t="n">
        <v>43849</v>
      </c>
      <c r="C308" s="38" t="n">
        <f aca="false">V$26-V$26*SIN(2*PI()/365*A308)</f>
        <v>26.4424348380064</v>
      </c>
      <c r="D308" s="2" t="n">
        <f aca="false">IF((E308+F308)&gt;C308,C308,E308+F308)</f>
        <v>4.56591880000391</v>
      </c>
      <c r="E308" s="38" t="n">
        <f aca="false">(V$23+V$24*SIN(2*PI()/365*A308))*V$25/100*V$7*V$8/100</f>
        <v>3.76795840795615</v>
      </c>
      <c r="F308" s="38" t="n">
        <f aca="false">(V$23+V$24*SIN(2*PI()/365*A308))*V$25/100*V$9*(1-V$14/100)*(1-V$16/100)</f>
        <v>0.79796039204776</v>
      </c>
      <c r="G308" s="38" t="n">
        <f aca="false">IF(C308&gt;E308,100,C308/E308*100)</f>
        <v>100</v>
      </c>
      <c r="H308" s="38" t="n">
        <f aca="false">L308/F308*100</f>
        <v>100</v>
      </c>
      <c r="I308" s="38" t="n">
        <f aca="false">(V$23+V$24*SIN(2*PI()/365*A308))*V$25/100*V$7*V$8/100*(1-V$15/100)</f>
        <v>3.35348298308097</v>
      </c>
      <c r="J308" s="38" t="n">
        <f aca="false">(V$23+V$24*SIN(2*PI()/365*A308))*V$25/100*V$9*(1-V$14/100)</f>
        <v>0.896584710166022</v>
      </c>
      <c r="K308" s="39" t="n">
        <f aca="false">IF(E308/C308*100&lt;100,E308/C308*100,100)</f>
        <v>14.2496650971807</v>
      </c>
      <c r="L308" s="2" t="n">
        <f aca="false">IF(((C308-E308)&gt;0)AND(F308&gt;(C308-E308)),(C308-E308),IF(C308&lt;E308,0,F308))</f>
        <v>0.79796039204776</v>
      </c>
      <c r="M308" s="2" t="n">
        <f aca="false">IF(C308&lt;(E308+F308),0,C308-E308-F308)</f>
        <v>21.8765160380025</v>
      </c>
      <c r="N308" s="2" t="n">
        <f aca="false">IF(C308&lt;(E308+F308),0,(C308-E308-F308)/(1-V$16/100))</f>
        <v>24.5803550988792</v>
      </c>
      <c r="O308" s="2" t="n">
        <f aca="false">L308+M308</f>
        <v>22.6744764300502</v>
      </c>
      <c r="P308" s="2" t="n">
        <f aca="false">IF( N308=0,I308*(1-G308/100)+J308*(1-H308/100),-N308)</f>
        <v>-24.5803550988792</v>
      </c>
      <c r="Q308" s="47" t="n">
        <f aca="false">IF(P307&gt;0,Q307+P307*(1-V$20/100),Q307+P307)</f>
        <v>985.583451815811</v>
      </c>
      <c r="R308" s="48" t="n">
        <f aca="false">R$4+Q308/V$28</f>
        <v>51.6579928382573</v>
      </c>
    </row>
    <row r="309" customFormat="false" ht="12.8" hidden="false" customHeight="false" outlineLevel="0" collapsed="false">
      <c r="A309" s="1" t="n">
        <v>305</v>
      </c>
      <c r="B309" s="37" t="n">
        <v>43850</v>
      </c>
      <c r="C309" s="38" t="n">
        <f aca="false">V$26-V$26*SIN(2*PI()/365*A309)</f>
        <v>26.3193539819353</v>
      </c>
      <c r="D309" s="2" t="n">
        <f aca="false">IF((E309+F309)&gt;C309,C309,E309+F309)</f>
        <v>4.69117678954761</v>
      </c>
      <c r="E309" s="38" t="n">
        <f aca="false">(V$23+V$24*SIN(2*PI()/365*A309))*V$25/100*V$7*V$8/100</f>
        <v>3.87132575099004</v>
      </c>
      <c r="F309" s="38" t="n">
        <f aca="false">(V$23+V$24*SIN(2*PI()/365*A309))*V$25/100*V$9*(1-V$14/100)*(1-V$16/100)</f>
        <v>0.819851038557576</v>
      </c>
      <c r="G309" s="38" t="n">
        <f aca="false">IF(C309&gt;E309,100,C309/E309*100)</f>
        <v>100</v>
      </c>
      <c r="H309" s="38" t="n">
        <f aca="false">L309/F309*100</f>
        <v>100</v>
      </c>
      <c r="I309" s="38" t="n">
        <f aca="false">(V$23+V$24*SIN(2*PI()/365*A309))*V$25/100*V$7*V$8/100*(1-V$15/100)</f>
        <v>3.44547991838113</v>
      </c>
      <c r="J309" s="38" t="n">
        <f aca="false">(V$23+V$24*SIN(2*PI()/365*A309))*V$25/100*V$9*(1-V$14/100)</f>
        <v>0.921180942199524</v>
      </c>
      <c r="K309" s="39" t="n">
        <f aca="false">IF(E309/C309*100&lt;100,E309/C309*100,100)</f>
        <v>14.709045494229</v>
      </c>
      <c r="L309" s="2" t="n">
        <f aca="false">IF(((C309-E309)&gt;0)AND(F309&gt;(C309-E309)),(C309-E309),IF(C309&lt;E309,0,F309))</f>
        <v>0.819851038557576</v>
      </c>
      <c r="M309" s="2" t="n">
        <f aca="false">IF(C309&lt;(E309+F309),0,C309-E309-F309)</f>
        <v>21.6281771923877</v>
      </c>
      <c r="N309" s="2" t="n">
        <f aca="false">IF(C309&lt;(E309+F309),0,(C309-E309-F309)/(1-V$16/100))</f>
        <v>24.301322688076</v>
      </c>
      <c r="O309" s="2" t="n">
        <f aca="false">L309+M309</f>
        <v>22.4480282309452</v>
      </c>
      <c r="P309" s="2" t="n">
        <f aca="false">IF( N309=0,I309*(1-G309/100)+J309*(1-H309/100),-N309)</f>
        <v>-24.301322688076</v>
      </c>
      <c r="Q309" s="47" t="n">
        <f aca="false">IF(P308&gt;0,Q308+P308*(1-V$20/100),Q308+P308)</f>
        <v>961.003096716932</v>
      </c>
      <c r="R309" s="48" t="n">
        <f aca="false">R$4+Q309/V$28</f>
        <v>51.3672436346494</v>
      </c>
    </row>
    <row r="310" customFormat="false" ht="12.8" hidden="false" customHeight="false" outlineLevel="0" collapsed="false">
      <c r="A310" s="1" t="n">
        <v>306</v>
      </c>
      <c r="B310" s="37" t="n">
        <v>43851</v>
      </c>
      <c r="C310" s="38" t="n">
        <f aca="false">V$26-V$26*SIN(2*PI()/365*A310)</f>
        <v>26.1926699283045</v>
      </c>
      <c r="D310" s="2" t="n">
        <f aca="false">IF((E310+F310)&gt;C310,C310,E310+F310)</f>
        <v>4.8201017123306</v>
      </c>
      <c r="E310" s="38" t="n">
        <f aca="false">(V$23+V$24*SIN(2*PI()/365*A310))*V$25/100*V$7*V$8/100</f>
        <v>3.97771917760876</v>
      </c>
      <c r="F310" s="38" t="n">
        <f aca="false">(V$23+V$24*SIN(2*PI()/365*A310))*V$25/100*V$9*(1-V$14/100)*(1-V$16/100)</f>
        <v>0.842382534721843</v>
      </c>
      <c r="G310" s="38" t="n">
        <f aca="false">IF(C310&gt;E310,100,C310/E310*100)</f>
        <v>100</v>
      </c>
      <c r="H310" s="38" t="n">
        <f aca="false">L310/F310*100</f>
        <v>100</v>
      </c>
      <c r="I310" s="38" t="n">
        <f aca="false">(V$23+V$24*SIN(2*PI()/365*A310))*V$25/100*V$7*V$8/100*(1-V$15/100)</f>
        <v>3.5401700680718</v>
      </c>
      <c r="J310" s="38" t="n">
        <f aca="false">(V$23+V$24*SIN(2*PI()/365*A310))*V$25/100*V$9*(1-V$14/100)</f>
        <v>0.946497230024542</v>
      </c>
      <c r="K310" s="39" t="n">
        <f aca="false">IF(E310/C310*100&lt;100,E310/C310*100,100)</f>
        <v>15.1863830166864</v>
      </c>
      <c r="L310" s="2" t="n">
        <f aca="false">IF(((C310-E310)&gt;0)AND(F310&gt;(C310-E310)),(C310-E310),IF(C310&lt;E310,0,F310))</f>
        <v>0.842382534721843</v>
      </c>
      <c r="M310" s="2" t="n">
        <f aca="false">IF(C310&lt;(E310+F310),0,C310-E310-F310)</f>
        <v>21.3725682159739</v>
      </c>
      <c r="N310" s="2" t="n">
        <f aca="false">IF(C310&lt;(E310+F310),0,(C310-E310-F310)/(1-V$16/100))</f>
        <v>24.014121590982</v>
      </c>
      <c r="O310" s="2" t="n">
        <f aca="false">L310+M310</f>
        <v>22.2149507506958</v>
      </c>
      <c r="P310" s="2" t="n">
        <f aca="false">IF( N310=0,I310*(1-G310/100)+J310*(1-H310/100),-N310)</f>
        <v>-24.014121590982</v>
      </c>
      <c r="Q310" s="47" t="n">
        <f aca="false">IF(P309&gt;0,Q309+P309*(1-V$20/100),Q309+P309)</f>
        <v>936.701774028856</v>
      </c>
      <c r="R310" s="48" t="n">
        <f aca="false">R$4+Q310/V$28</f>
        <v>51.0797949712858</v>
      </c>
    </row>
    <row r="311" customFormat="false" ht="12.8" hidden="false" customHeight="false" outlineLevel="0" collapsed="false">
      <c r="A311" s="1" t="n">
        <v>307</v>
      </c>
      <c r="B311" s="37" t="n">
        <v>43852</v>
      </c>
      <c r="C311" s="38" t="n">
        <f aca="false">V$26-V$26*SIN(2*PI()/365*A311)</f>
        <v>26.0624202163334</v>
      </c>
      <c r="D311" s="2" t="n">
        <f aca="false">IF((E311+F311)&gt;C311,C311,E311+F311)</f>
        <v>4.95265536511581</v>
      </c>
      <c r="E311" s="38" t="n">
        <f aca="false">(V$23+V$24*SIN(2*PI()/365*A311))*V$25/100*V$7*V$8/100</f>
        <v>4.08710716114384</v>
      </c>
      <c r="F311" s="38" t="n">
        <f aca="false">(V$23+V$24*SIN(2*PI()/365*A311))*V$25/100*V$9*(1-V$14/100)*(1-V$16/100)</f>
        <v>0.865548203971974</v>
      </c>
      <c r="G311" s="38" t="n">
        <f aca="false">IF(C311&gt;E311,100,C311/E311*100)</f>
        <v>100</v>
      </c>
      <c r="H311" s="38" t="n">
        <f aca="false">L311/F311*100</f>
        <v>100</v>
      </c>
      <c r="I311" s="38" t="n">
        <f aca="false">(V$23+V$24*SIN(2*PI()/365*A311))*V$25/100*V$7*V$8/100*(1-V$15/100)</f>
        <v>3.63752537341801</v>
      </c>
      <c r="J311" s="38" t="n">
        <f aca="false">(V$23+V$24*SIN(2*PI()/365*A311))*V$25/100*V$9*(1-V$14/100)</f>
        <v>0.972526071878622</v>
      </c>
      <c r="K311" s="39" t="n">
        <f aca="false">IF(E311/C311*100&lt;100,E311/C311*100,100)</f>
        <v>15.6819939484455</v>
      </c>
      <c r="L311" s="2" t="n">
        <f aca="false">IF(((C311-E311)&gt;0)AND(F311&gt;(C311-E311)),(C311-E311),IF(C311&lt;E311,0,F311))</f>
        <v>0.865548203971974</v>
      </c>
      <c r="M311" s="2" t="n">
        <f aca="false">IF(C311&lt;(E311+F311),0,C311-E311-F311)</f>
        <v>21.1097648512176</v>
      </c>
      <c r="N311" s="2" t="n">
        <f aca="false">IF(C311&lt;(E311+F311),0,(C311-E311-F311)/(1-V$16/100))</f>
        <v>23.7188369114804</v>
      </c>
      <c r="O311" s="2" t="n">
        <f aca="false">L311+M311</f>
        <v>21.9753130551895</v>
      </c>
      <c r="P311" s="2" t="n">
        <f aca="false">IF( N311=0,I311*(1-G311/100)+J311*(1-H311/100),-N311)</f>
        <v>-23.7188369114804</v>
      </c>
      <c r="Q311" s="47" t="n">
        <f aca="false">IF(P310&gt;0,Q310+P310*(1-V$20/100),Q310+P310)</f>
        <v>912.687652437874</v>
      </c>
      <c r="R311" s="48" t="n">
        <f aca="false">R$4+Q311/V$28</f>
        <v>50.7957434716295</v>
      </c>
    </row>
    <row r="312" customFormat="false" ht="12.8" hidden="false" customHeight="false" outlineLevel="0" collapsed="false">
      <c r="A312" s="1" t="n">
        <v>308</v>
      </c>
      <c r="B312" s="37" t="n">
        <v>43853</v>
      </c>
      <c r="C312" s="38" t="n">
        <f aca="false">V$26-V$26*SIN(2*PI()/365*A312)</f>
        <v>25.9286434418224</v>
      </c>
      <c r="D312" s="2" t="n">
        <f aca="false">IF((E312+F312)&gt;C312,C312,E312+F312)</f>
        <v>5.08879846939517</v>
      </c>
      <c r="E312" s="38" t="n">
        <f aca="false">(V$23+V$24*SIN(2*PI()/365*A312))*V$25/100*V$7*V$8/100</f>
        <v>4.19945728757495</v>
      </c>
      <c r="F312" s="38" t="n">
        <f aca="false">(V$23+V$24*SIN(2*PI()/365*A312))*V$25/100*V$9*(1-V$14/100)*(1-V$16/100)</f>
        <v>0.889341181820214</v>
      </c>
      <c r="G312" s="38" t="n">
        <f aca="false">IF(C312&gt;E312,100,C312/E312*100)</f>
        <v>100</v>
      </c>
      <c r="H312" s="38" t="n">
        <f aca="false">L312/F312*100</f>
        <v>100</v>
      </c>
      <c r="I312" s="38" t="n">
        <f aca="false">(V$23+V$24*SIN(2*PI()/365*A312))*V$25/100*V$7*V$8/100*(1-V$15/100)</f>
        <v>3.73751698594171</v>
      </c>
      <c r="J312" s="38" t="n">
        <f aca="false">(V$23+V$24*SIN(2*PI()/365*A312))*V$25/100*V$9*(1-V$14/100)</f>
        <v>0.999259754854173</v>
      </c>
      <c r="K312" s="39" t="n">
        <f aca="false">IF(E312/C312*100&lt;100,E312/C312*100,100)</f>
        <v>16.1962090187923</v>
      </c>
      <c r="L312" s="2" t="n">
        <f aca="false">IF(((C312-E312)&gt;0)AND(F312&gt;(C312-E312)),(C312-E312),IF(C312&lt;E312,0,F312))</f>
        <v>0.889341181820214</v>
      </c>
      <c r="M312" s="2" t="n">
        <f aca="false">IF(C312&lt;(E312+F312),0,C312-E312-F312)</f>
        <v>20.8398449724273</v>
      </c>
      <c r="N312" s="2" t="n">
        <f aca="false">IF(C312&lt;(E312+F312),0,(C312-E312-F312)/(1-V$16/100))</f>
        <v>23.4155561487947</v>
      </c>
      <c r="O312" s="2" t="n">
        <f aca="false">L312+M312</f>
        <v>21.7291861542475</v>
      </c>
      <c r="P312" s="2" t="n">
        <f aca="false">IF( N312=0,I312*(1-G312/100)+J312*(1-H312/100),-N312)</f>
        <v>-23.4155561487947</v>
      </c>
      <c r="Q312" s="47" t="n">
        <f aca="false">IF(P311&gt;0,Q311+P311*(1-V$20/100),Q311+P311)</f>
        <v>888.968815526394</v>
      </c>
      <c r="R312" s="48" t="n">
        <f aca="false">R$4+Q312/V$28</f>
        <v>50.5151847524907</v>
      </c>
    </row>
    <row r="313" customFormat="false" ht="12.8" hidden="false" customHeight="false" outlineLevel="0" collapsed="false">
      <c r="A313" s="1" t="n">
        <v>309</v>
      </c>
      <c r="B313" s="37" t="n">
        <v>43854</v>
      </c>
      <c r="C313" s="38" t="n">
        <f aca="false">V$26-V$26*SIN(2*PI()/365*A313)</f>
        <v>25.7913792457172</v>
      </c>
      <c r="D313" s="2" t="n">
        <f aca="false">IF((E313+F313)&gt;C313,C313,E313+F313)</f>
        <v>5.22849068302868</v>
      </c>
      <c r="E313" s="38" t="n">
        <f aca="false">(V$23+V$24*SIN(2*PI()/365*A313))*V$25/100*V$7*V$8/100</f>
        <v>4.31473626513495</v>
      </c>
      <c r="F313" s="38" t="n">
        <f aca="false">(V$23+V$24*SIN(2*PI()/365*A313))*V$25/100*V$9*(1-V$14/100)*(1-V$16/100)</f>
        <v>0.913754417893734</v>
      </c>
      <c r="G313" s="38" t="n">
        <f aca="false">IF(C313&gt;E313,100,C313/E313*100)</f>
        <v>100</v>
      </c>
      <c r="H313" s="38" t="n">
        <f aca="false">L313/F313*100</f>
        <v>100</v>
      </c>
      <c r="I313" s="38" t="n">
        <f aca="false">(V$23+V$24*SIN(2*PI()/365*A313))*V$25/100*V$7*V$8/100*(1-V$15/100)</f>
        <v>3.8401152759701</v>
      </c>
      <c r="J313" s="38" t="n">
        <f aca="false">(V$23+V$24*SIN(2*PI()/365*A313))*V$25/100*V$9*(1-V$14/100)</f>
        <v>1.02669035718397</v>
      </c>
      <c r="K313" s="39" t="n">
        <f aca="false">IF(E313/C313*100&lt;100,E313/C313*100,100)</f>
        <v>16.7293738889573</v>
      </c>
      <c r="L313" s="2" t="n">
        <f aca="false">IF(((C313-E313)&gt;0)AND(F313&gt;(C313-E313)),(C313-E313),IF(C313&lt;E313,0,F313))</f>
        <v>0.913754417893734</v>
      </c>
      <c r="M313" s="2" t="n">
        <f aca="false">IF(C313&lt;(E313+F313),0,C313-E313-F313)</f>
        <v>20.5628885626885</v>
      </c>
      <c r="N313" s="2" t="n">
        <f aca="false">IF(C313&lt;(E313+F313),0,(C313-E313-F313)/(1-V$16/100))</f>
        <v>23.1043691715601</v>
      </c>
      <c r="O313" s="2" t="n">
        <f aca="false">L313+M313</f>
        <v>21.4766429805822</v>
      </c>
      <c r="P313" s="2" t="n">
        <f aca="false">IF( N313=0,I313*(1-G313/100)+J313*(1-H313/100),-N313)</f>
        <v>-23.1043691715601</v>
      </c>
      <c r="Q313" s="47" t="n">
        <f aca="false">IF(P312&gt;0,Q312+P312*(1-V$20/100),Q312+P312)</f>
        <v>865.553259377599</v>
      </c>
      <c r="R313" s="48" t="n">
        <f aca="false">R$4+Q313/V$28</f>
        <v>50.2382133956933</v>
      </c>
    </row>
    <row r="314" customFormat="false" ht="12.8" hidden="false" customHeight="false" outlineLevel="0" collapsed="false">
      <c r="A314" s="1" t="n">
        <v>310</v>
      </c>
      <c r="B314" s="37" t="n">
        <v>43855</v>
      </c>
      <c r="C314" s="38" t="n">
        <f aca="false">V$26-V$26*SIN(2*PI()/365*A314)</f>
        <v>25.6506683023612</v>
      </c>
      <c r="D314" s="2" t="n">
        <f aca="false">IF((E314+F314)&gt;C314,C314,E314+F314)</f>
        <v>5.37169061219864</v>
      </c>
      <c r="E314" s="38" t="n">
        <f aca="false">(V$23+V$24*SIN(2*PI()/365*A314))*V$25/100*V$7*V$8/100</f>
        <v>4.43290993417484</v>
      </c>
      <c r="F314" s="38" t="n">
        <f aca="false">(V$23+V$24*SIN(2*PI()/365*A314))*V$25/100*V$9*(1-V$14/100)*(1-V$16/100)</f>
        <v>0.938780678023803</v>
      </c>
      <c r="G314" s="38" t="n">
        <f aca="false">IF(C314&gt;E314,100,C314/E314*100)</f>
        <v>100</v>
      </c>
      <c r="H314" s="38" t="n">
        <f aca="false">L314/F314*100</f>
        <v>100</v>
      </c>
      <c r="I314" s="38" t="n">
        <f aca="false">(V$23+V$24*SIN(2*PI()/365*A314))*V$25/100*V$7*V$8/100*(1-V$15/100)</f>
        <v>3.9452898414156</v>
      </c>
      <c r="J314" s="38" t="n">
        <f aca="false">(V$23+V$24*SIN(2*PI()/365*A314))*V$25/100*V$9*(1-V$14/100)</f>
        <v>1.05480975058854</v>
      </c>
      <c r="K314" s="39" t="n">
        <f aca="false">IF(E314/C314*100&lt;100,E314/C314*100,100)</f>
        <v>17.2818496653624</v>
      </c>
      <c r="L314" s="2" t="n">
        <f aca="false">IF(((C314-E314)&gt;0)AND(F314&gt;(C314-E314)),(C314-E314),IF(C314&lt;E314,0,F314))</f>
        <v>0.938780678023803</v>
      </c>
      <c r="M314" s="2" t="n">
        <f aca="false">IF(C314&lt;(E314+F314),0,C314-E314-F314)</f>
        <v>20.2789776901626</v>
      </c>
      <c r="N314" s="2" t="n">
        <f aca="false">IF(C314&lt;(E314+F314),0,(C314-E314-F314)/(1-V$16/100))</f>
        <v>22.7853681911939</v>
      </c>
      <c r="O314" s="2" t="n">
        <f aca="false">L314+M314</f>
        <v>21.2177583681864</v>
      </c>
      <c r="P314" s="2" t="n">
        <f aca="false">IF( N314=0,I314*(1-G314/100)+J314*(1-H314/100),-N314)</f>
        <v>-22.7853681911939</v>
      </c>
      <c r="Q314" s="47" t="n">
        <f aca="false">IF(P313&gt;0,Q313+P313*(1-V$20/100),Q313+P313)</f>
        <v>842.448890206039</v>
      </c>
      <c r="R314" s="48" t="n">
        <f aca="false">R$4+Q314/V$28</f>
        <v>49.9649229200484</v>
      </c>
    </row>
    <row r="315" customFormat="false" ht="12.8" hidden="false" customHeight="false" outlineLevel="0" collapsed="false">
      <c r="A315" s="1" t="n">
        <v>311</v>
      </c>
      <c r="B315" s="37" t="n">
        <v>43856</v>
      </c>
      <c r="C315" s="38" t="n">
        <f aca="false">V$26-V$26*SIN(2*PI()/365*A315)</f>
        <v>25.506552307444</v>
      </c>
      <c r="D315" s="2" t="n">
        <f aca="false">IF((E315+F315)&gt;C315,C315,E315+F315)</f>
        <v>5.51835582367553</v>
      </c>
      <c r="E315" s="38" t="n">
        <f aca="false">(V$23+V$24*SIN(2*PI()/365*A315))*V$25/100*V$7*V$8/100</f>
        <v>4.55394327728609</v>
      </c>
      <c r="F315" s="38" t="n">
        <f aca="false">(V$23+V$24*SIN(2*PI()/365*A315))*V$25/100*V$9*(1-V$14/100)*(1-V$16/100)</f>
        <v>0.964412546389436</v>
      </c>
      <c r="G315" s="38" t="n">
        <f aca="false">IF(C315&gt;E315,100,C315/E315*100)</f>
        <v>100</v>
      </c>
      <c r="H315" s="38" t="n">
        <f aca="false">L315/F315*100</f>
        <v>100</v>
      </c>
      <c r="I315" s="38" t="n">
        <f aca="false">(V$23+V$24*SIN(2*PI()/365*A315))*V$25/100*V$7*V$8/100*(1-V$15/100)</f>
        <v>4.05300951678462</v>
      </c>
      <c r="J315" s="38" t="n">
        <f aca="false">(V$23+V$24*SIN(2*PI()/365*A315))*V$25/100*V$9*(1-V$14/100)</f>
        <v>1.08360960268476</v>
      </c>
      <c r="K315" s="39" t="n">
        <f aca="false">IF(E315/C315*100&lt;100,E315/C315*100,100)</f>
        <v>17.854013440919</v>
      </c>
      <c r="L315" s="2" t="n">
        <f aca="false">IF(((C315-E315)&gt;0)AND(F315&gt;(C315-E315)),(C315-E315),IF(C315&lt;E315,0,F315))</f>
        <v>0.964412546389436</v>
      </c>
      <c r="M315" s="2" t="n">
        <f aca="false">IF(C315&lt;(E315+F315),0,C315-E315-F315)</f>
        <v>19.9881964837685</v>
      </c>
      <c r="N315" s="2" t="n">
        <f aca="false">IF(C315&lt;(E315+F315),0,(C315-E315-F315)/(1-V$16/100))</f>
        <v>22.4586477345713</v>
      </c>
      <c r="O315" s="2" t="n">
        <f aca="false">L315+M315</f>
        <v>20.9526090301579</v>
      </c>
      <c r="P315" s="2" t="n">
        <f aca="false">IF( N315=0,I315*(1-G315/100)+J315*(1-H315/100),-N315)</f>
        <v>-22.4586477345713</v>
      </c>
      <c r="Q315" s="47" t="n">
        <f aca="false">IF(P314&gt;0,Q314+P314*(1-V$20/100),Q314+P314)</f>
        <v>819.663522014845</v>
      </c>
      <c r="R315" s="48" t="n">
        <f aca="false">R$4+Q315/V$28</f>
        <v>49.6954057536425</v>
      </c>
    </row>
    <row r="316" customFormat="false" ht="12.8" hidden="false" customHeight="false" outlineLevel="0" collapsed="false">
      <c r="A316" s="1" t="n">
        <v>312</v>
      </c>
      <c r="B316" s="37" t="n">
        <v>43857</v>
      </c>
      <c r="C316" s="38" t="n">
        <f aca="false">V$26-V$26*SIN(2*PI()/365*A316)</f>
        <v>25.359073965645</v>
      </c>
      <c r="D316" s="2" t="n">
        <f aca="false">IF((E316+F316)&gt;C316,C316,E316+F316)</f>
        <v>5.66844285739189</v>
      </c>
      <c r="E316" s="38" t="n">
        <f aca="false">(V$23+V$24*SIN(2*PI()/365*A316))*V$25/100*V$7*V$8/100</f>
        <v>4.67780042967704</v>
      </c>
      <c r="F316" s="38" t="n">
        <f aca="false">(V$23+V$24*SIN(2*PI()/365*A316))*V$25/100*V$9*(1-V$14/100)*(1-V$16/100)</f>
        <v>0.990642427714853</v>
      </c>
      <c r="G316" s="38" t="n">
        <f aca="false">IF(C316&gt;E316,100,C316/E316*100)</f>
        <v>100</v>
      </c>
      <c r="H316" s="38" t="n">
        <f aca="false">L316/F316*100</f>
        <v>100</v>
      </c>
      <c r="I316" s="38" t="n">
        <f aca="false">(V$23+V$24*SIN(2*PI()/365*A316))*V$25/100*V$7*V$8/100*(1-V$15/100)</f>
        <v>4.16324238241256</v>
      </c>
      <c r="J316" s="38" t="n">
        <f aca="false">(V$23+V$24*SIN(2*PI()/365*A316))*V$25/100*V$9*(1-V$14/100)</f>
        <v>1.11308137945489</v>
      </c>
      <c r="K316" s="39" t="n">
        <f aca="false">IF(E316/C316*100&lt;100,E316/C316*100,100)</f>
        <v>18.4462588658176</v>
      </c>
      <c r="L316" s="2" t="n">
        <f aca="false">IF(((C316-E316)&gt;0)AND(F316&gt;(C316-E316)),(C316-E316),IF(C316&lt;E316,0,F316))</f>
        <v>0.990642427714853</v>
      </c>
      <c r="M316" s="2" t="n">
        <f aca="false">IF(C316&lt;(E316+F316),0,C316-E316-F316)</f>
        <v>19.6906311082531</v>
      </c>
      <c r="N316" s="2" t="n">
        <f aca="false">IF(C316&lt;(E316+F316),0,(C316-E316-F316)/(1-V$16/100))</f>
        <v>22.1243046160147</v>
      </c>
      <c r="O316" s="2" t="n">
        <f aca="false">L316+M316</f>
        <v>20.681273535968</v>
      </c>
      <c r="P316" s="2" t="n">
        <f aca="false">IF( N316=0,I316*(1-G316/100)+J316*(1-H316/100),-N316)</f>
        <v>-22.1243046160147</v>
      </c>
      <c r="Q316" s="47" t="n">
        <f aca="false">IF(P315&gt;0,Q315+P315*(1-V$20/100),Q315+P315)</f>
        <v>797.204874280274</v>
      </c>
      <c r="R316" s="48" t="n">
        <f aca="false">R$4+Q316/V$28</f>
        <v>49.429753206449</v>
      </c>
    </row>
    <row r="317" customFormat="false" ht="12.8" hidden="false" customHeight="false" outlineLevel="0" collapsed="false">
      <c r="A317" s="1" t="n">
        <v>313</v>
      </c>
      <c r="B317" s="37" t="n">
        <v>43858</v>
      </c>
      <c r="C317" s="38" t="n">
        <f aca="false">V$26-V$26*SIN(2*PI()/365*A317)</f>
        <v>25.2082769779798</v>
      </c>
      <c r="D317" s="2" t="n">
        <f aca="false">IF((E317+F317)&gt;C317,C317,E317+F317)</f>
        <v>5.82190723932048</v>
      </c>
      <c r="E317" s="38" t="n">
        <f aca="false">(V$23+V$24*SIN(2*PI()/365*A317))*V$25/100*V$7*V$8/100</f>
        <v>4.80444468980035</v>
      </c>
      <c r="F317" s="38" t="n">
        <f aca="false">(V$23+V$24*SIN(2*PI()/365*A317))*V$25/100*V$9*(1-V$14/100)*(1-V$16/100)</f>
        <v>1.01746254952013</v>
      </c>
      <c r="G317" s="38" t="n">
        <f aca="false">IF(C317&gt;E317,100,C317/E317*100)</f>
        <v>100</v>
      </c>
      <c r="H317" s="38" t="n">
        <f aca="false">L317/F317*100</f>
        <v>100</v>
      </c>
      <c r="I317" s="38" t="n">
        <f aca="false">(V$23+V$24*SIN(2*PI()/365*A317))*V$25/100*V$7*V$8/100*(1-V$15/100)</f>
        <v>4.27595577392231</v>
      </c>
      <c r="J317" s="38" t="n">
        <f aca="false">(V$23+V$24*SIN(2*PI()/365*A317))*V$25/100*V$9*(1-V$14/100)</f>
        <v>1.14321634777543</v>
      </c>
      <c r="K317" s="39" t="n">
        <f aca="false">IF(E317/C317*100&lt;100,E317/C317*100,100)</f>
        <v>19.0589967493502</v>
      </c>
      <c r="L317" s="2" t="n">
        <f aca="false">IF(((C317-E317)&gt;0)AND(F317&gt;(C317-E317)),(C317-E317),IF(C317&lt;E317,0,F317))</f>
        <v>1.01746254952013</v>
      </c>
      <c r="M317" s="2" t="n">
        <f aca="false">IF(C317&lt;(E317+F317),0,C317-E317-F317)</f>
        <v>19.3863697386593</v>
      </c>
      <c r="N317" s="2" t="n">
        <f aca="false">IF(C317&lt;(E317+F317),0,(C317-E317-F317)/(1-V$16/100))</f>
        <v>21.7824379086059</v>
      </c>
      <c r="O317" s="2" t="n">
        <f aca="false">L317+M317</f>
        <v>20.4038322881794</v>
      </c>
      <c r="P317" s="2" t="n">
        <f aca="false">IF( N317=0,I317*(1-G317/100)+J317*(1-H317/100),-N317)</f>
        <v>-21.7824379086059</v>
      </c>
      <c r="Q317" s="47" t="n">
        <f aca="false">IF(P316&gt;0,Q316+P316*(1-V$20/100),Q316+P316)</f>
        <v>775.080569664259</v>
      </c>
      <c r="R317" s="48" t="n">
        <f aca="false">R$4+Q317/V$28</f>
        <v>49.1680554432716</v>
      </c>
    </row>
    <row r="318" customFormat="false" ht="12.8" hidden="false" customHeight="false" outlineLevel="0" collapsed="false">
      <c r="A318" s="1" t="n">
        <v>314</v>
      </c>
      <c r="B318" s="37" t="n">
        <v>43859</v>
      </c>
      <c r="C318" s="38" t="n">
        <f aca="false">V$26-V$26*SIN(2*PI()/365*A318)</f>
        <v>25.0542060288502</v>
      </c>
      <c r="D318" s="2" t="n">
        <f aca="false">IF((E318+F318)&gt;C318,C318,E318+F318)</f>
        <v>5.97870349465292</v>
      </c>
      <c r="E318" s="38" t="n">
        <f aca="false">(V$23+V$24*SIN(2*PI()/365*A318))*V$25/100*V$7*V$8/100</f>
        <v>4.93383853022857</v>
      </c>
      <c r="F318" s="38" t="n">
        <f aca="false">(V$23+V$24*SIN(2*PI()/365*A318))*V$25/100*V$9*(1-V$14/100)*(1-V$16/100)</f>
        <v>1.04486496442435</v>
      </c>
      <c r="G318" s="38" t="n">
        <f aca="false">IF(C318&gt;E318,100,C318/E318*100)</f>
        <v>100</v>
      </c>
      <c r="H318" s="38" t="n">
        <f aca="false">L318/F318*100</f>
        <v>100</v>
      </c>
      <c r="I318" s="38" t="n">
        <f aca="false">(V$23+V$24*SIN(2*PI()/365*A318))*V$25/100*V$7*V$8/100*(1-V$15/100)</f>
        <v>4.39111629190343</v>
      </c>
      <c r="J318" s="38" t="n">
        <f aca="false">(V$23+V$24*SIN(2*PI()/365*A318))*V$25/100*V$9*(1-V$14/100)</f>
        <v>1.17400557800489</v>
      </c>
      <c r="K318" s="39" t="n">
        <f aca="false">IF(E318/C318*100&lt;100,E318/C318*100,100)</f>
        <v>19.692655694406</v>
      </c>
      <c r="L318" s="2" t="n">
        <f aca="false">IF(((C318-E318)&gt;0)AND(F318&gt;(C318-E318)),(C318-E318),IF(C318&lt;E318,0,F318))</f>
        <v>1.04486496442435</v>
      </c>
      <c r="M318" s="2" t="n">
        <f aca="false">IF(C318&lt;(E318+F318),0,C318-E318-F318)</f>
        <v>19.0755025341973</v>
      </c>
      <c r="N318" s="2" t="n">
        <f aca="false">IF(C318&lt;(E318+F318),0,(C318-E318-F318)/(1-V$16/100))</f>
        <v>21.4331489148284</v>
      </c>
      <c r="O318" s="2" t="n">
        <f aca="false">L318+M318</f>
        <v>20.1203674986216</v>
      </c>
      <c r="P318" s="2" t="n">
        <f aca="false">IF( N318=0,I318*(1-G318/100)+J318*(1-H318/100),-N318)</f>
        <v>-21.4331489148284</v>
      </c>
      <c r="Q318" s="47" t="n">
        <f aca="false">IF(P317&gt;0,Q317+P317*(1-V$20/100),Q317+P317)</f>
        <v>753.298131755653</v>
      </c>
      <c r="R318" s="48" t="n">
        <f aca="false">R$4+Q318/V$28</f>
        <v>48.9104014570257</v>
      </c>
    </row>
    <row r="319" customFormat="false" ht="12.8" hidden="false" customHeight="false" outlineLevel="0" collapsed="false">
      <c r="A319" s="1" t="n">
        <v>315</v>
      </c>
      <c r="B319" s="37" t="n">
        <v>43860</v>
      </c>
      <c r="C319" s="38" t="n">
        <f aca="false">V$26-V$26*SIN(2*PI()/365*A319)</f>
        <v>24.8969067728037</v>
      </c>
      <c r="D319" s="2" t="n">
        <f aca="false">IF((E319+F319)&gt;C319,C319,E319+F319)</f>
        <v>6.1387851612748</v>
      </c>
      <c r="E319" s="38" t="n">
        <f aca="false">(V$23+V$24*SIN(2*PI()/365*A319))*V$25/100*V$7*V$8/100</f>
        <v>5.06594360877421</v>
      </c>
      <c r="F319" s="38" t="n">
        <f aca="false">(V$23+V$24*SIN(2*PI()/365*A319))*V$25/100*V$9*(1-V$14/100)*(1-V$16/100)</f>
        <v>1.07284155250059</v>
      </c>
      <c r="G319" s="38" t="n">
        <f aca="false">IF(C319&gt;E319,100,C319/E319*100)</f>
        <v>100</v>
      </c>
      <c r="H319" s="38" t="n">
        <f aca="false">L319/F319*100</f>
        <v>100</v>
      </c>
      <c r="I319" s="38" t="n">
        <f aca="false">(V$23+V$24*SIN(2*PI()/365*A319))*V$25/100*V$7*V$8/100*(1-V$15/100)</f>
        <v>4.50868981180905</v>
      </c>
      <c r="J319" s="38" t="n">
        <f aca="false">(V$23+V$24*SIN(2*PI()/365*A319))*V$25/100*V$9*(1-V$14/100)</f>
        <v>1.20543994662987</v>
      </c>
      <c r="K319" s="39" t="n">
        <f aca="false">IF(E319/C319*100&lt;100,E319/C319*100,100)</f>
        <v>20.347682766391</v>
      </c>
      <c r="L319" s="2" t="n">
        <f aca="false">IF(((C319-E319)&gt;0)AND(F319&gt;(C319-E319)),(C319-E319),IF(C319&lt;E319,0,F319))</f>
        <v>1.07284155250059</v>
      </c>
      <c r="M319" s="2" t="n">
        <f aca="false">IF(C319&lt;(E319+F319),0,C319-E319-F319)</f>
        <v>18.7581216115289</v>
      </c>
      <c r="N319" s="2" t="n">
        <f aca="false">IF(C319&lt;(E319+F319),0,(C319-E319-F319)/(1-V$16/100))</f>
        <v>21.0765411365493</v>
      </c>
      <c r="O319" s="2" t="n">
        <f aca="false">L319+M319</f>
        <v>19.8309631640295</v>
      </c>
      <c r="P319" s="2" t="n">
        <f aca="false">IF( N319=0,I319*(1-G319/100)+J319*(1-H319/100),-N319)</f>
        <v>-21.0765411365493</v>
      </c>
      <c r="Q319" s="47" t="n">
        <f aca="false">IF(P318&gt;0,Q318+P318*(1-V$20/100),Q318+P318)</f>
        <v>731.864982840825</v>
      </c>
      <c r="R319" s="48" t="n">
        <f aca="false">R$4+Q319/V$28</f>
        <v>48.6568790423686</v>
      </c>
    </row>
    <row r="320" customFormat="false" ht="12.8" hidden="false" customHeight="false" outlineLevel="0" collapsed="false">
      <c r="A320" s="1" t="n">
        <v>316</v>
      </c>
      <c r="B320" s="37" t="n">
        <v>43861</v>
      </c>
      <c r="C320" s="38" t="n">
        <f aca="false">V$26-V$26*SIN(2*PI()/365*A320)</f>
        <v>24.7364258210045</v>
      </c>
      <c r="D320" s="2" t="n">
        <f aca="false">IF((E320+F320)&gt;C320,C320,E320+F320)</f>
        <v>6.30210480353346</v>
      </c>
      <c r="E320" s="38" t="n">
        <f aca="false">(V$23+V$24*SIN(2*PI()/365*A320))*V$25/100*V$7*V$8/100</f>
        <v>5.20072077985145</v>
      </c>
      <c r="F320" s="38" t="n">
        <f aca="false">(V$23+V$24*SIN(2*PI()/365*A320))*V$25/100*V$9*(1-V$14/100)*(1-V$16/100)</f>
        <v>1.10138402368201</v>
      </c>
      <c r="G320" s="38" t="n">
        <f aca="false">IF(C320&gt;E320,100,C320/E320*100)</f>
        <v>100</v>
      </c>
      <c r="H320" s="38" t="n">
        <f aca="false">L320/F320*100</f>
        <v>100</v>
      </c>
      <c r="I320" s="38" t="n">
        <f aca="false">(V$23+V$24*SIN(2*PI()/365*A320))*V$25/100*V$7*V$8/100*(1-V$15/100)</f>
        <v>4.62864149406779</v>
      </c>
      <c r="J320" s="38" t="n">
        <f aca="false">(V$23+V$24*SIN(2*PI()/365*A320))*V$25/100*V$9*(1-V$14/100)</f>
        <v>1.23751013896855</v>
      </c>
      <c r="K320" s="39" t="n">
        <f aca="false">IF(E320/C320*100&lt;100,E320/C320*100,100)</f>
        <v>21.0245441984401</v>
      </c>
      <c r="L320" s="2" t="n">
        <f aca="false">IF(((C320-E320)&gt;0)AND(F320&gt;(C320-E320)),(C320-E320),IF(C320&lt;E320,0,F320))</f>
        <v>1.10138402368201</v>
      </c>
      <c r="M320" s="2" t="n">
        <f aca="false">IF(C320&lt;(E320+F320),0,C320-E320-F320)</f>
        <v>18.434321017471</v>
      </c>
      <c r="N320" s="2" t="n">
        <f aca="false">IF(C320&lt;(E320+F320),0,(C320-E320-F320)/(1-V$16/100))</f>
        <v>20.7127202443495</v>
      </c>
      <c r="O320" s="2" t="n">
        <f aca="false">L320+M320</f>
        <v>19.5357050411531</v>
      </c>
      <c r="P320" s="2" t="n">
        <f aca="false">IF( N320=0,I320*(1-G320/100)+J320*(1-H320/100),-N320)</f>
        <v>-20.7127202443495</v>
      </c>
      <c r="Q320" s="47" t="n">
        <f aca="false">IF(P319&gt;0,Q319+P319*(1-V$20/100),Q319+P319)</f>
        <v>710.788441704275</v>
      </c>
      <c r="R320" s="48" t="n">
        <f aca="false">R$4+Q320/V$28</f>
        <v>48.4075747696838</v>
      </c>
    </row>
    <row r="321" customFormat="false" ht="12.8" hidden="false" customHeight="false" outlineLevel="0" collapsed="false">
      <c r="A321" s="1" t="n">
        <v>317</v>
      </c>
      <c r="B321" s="37" t="n">
        <v>43862</v>
      </c>
      <c r="C321" s="38" t="n">
        <f aca="false">V$26-V$26*SIN(2*PI()/365*A321)</f>
        <v>24.5728107274222</v>
      </c>
      <c r="D321" s="2" t="n">
        <f aca="false">IF((E321+F321)&gt;C321,C321,E321+F321)</f>
        <v>6.46861402629417</v>
      </c>
      <c r="E321" s="38" t="n">
        <f aca="false">(V$23+V$24*SIN(2*PI()/365*A321))*V$25/100*V$7*V$8/100</f>
        <v>5.33813010607576</v>
      </c>
      <c r="F321" s="38" t="n">
        <f aca="false">(V$23+V$24*SIN(2*PI()/365*A321))*V$25/100*V$9*(1-V$14/100)*(1-V$16/100)</f>
        <v>1.13048392021841</v>
      </c>
      <c r="G321" s="38" t="n">
        <f aca="false">IF(C321&gt;E321,100,C321/E321*100)</f>
        <v>100</v>
      </c>
      <c r="H321" s="38" t="n">
        <f aca="false">L321/F321*100</f>
        <v>100</v>
      </c>
      <c r="I321" s="38" t="n">
        <f aca="false">(V$23+V$24*SIN(2*PI()/365*A321))*V$25/100*V$7*V$8/100*(1-V$15/100)</f>
        <v>4.75093579440743</v>
      </c>
      <c r="J321" s="38" t="n">
        <f aca="false">(V$23+V$24*SIN(2*PI()/365*A321))*V$25/100*V$9*(1-V$14/100)</f>
        <v>1.27020665193079</v>
      </c>
      <c r="K321" s="39" t="n">
        <f aca="false">IF(E321/C321*100&lt;100,E321/C321*100,100)</f>
        <v>21.7237261349132</v>
      </c>
      <c r="L321" s="2" t="n">
        <f aca="false">IF(((C321-E321)&gt;0)AND(F321&gt;(C321-E321)),(C321-E321),IF(C321&lt;E321,0,F321))</f>
        <v>1.13048392021841</v>
      </c>
      <c r="M321" s="2" t="n">
        <f aca="false">IF(C321&lt;(E321+F321),0,C321-E321-F321)</f>
        <v>18.104196701128</v>
      </c>
      <c r="N321" s="2" t="n">
        <f aca="false">IF(C321&lt;(E321+F321),0,(C321-E321-F321)/(1-V$16/100))</f>
        <v>20.3417940462113</v>
      </c>
      <c r="O321" s="2" t="n">
        <f aca="false">L321+M321</f>
        <v>19.2346806213465</v>
      </c>
      <c r="P321" s="2" t="n">
        <f aca="false">IF( N321=0,I321*(1-G321/100)+J321*(1-H321/100),-N321)</f>
        <v>-20.3417940462113</v>
      </c>
      <c r="Q321" s="47" t="n">
        <f aca="false">IF(P320&gt;0,Q320+P320*(1-V$20/100),Q320+P320)</f>
        <v>690.075721459926</v>
      </c>
      <c r="R321" s="48" t="n">
        <f aca="false">R$4+Q321/V$28</f>
        <v>48.1625739594282</v>
      </c>
    </row>
    <row r="322" customFormat="false" ht="12.8" hidden="false" customHeight="false" outlineLevel="0" collapsed="false">
      <c r="A322" s="1" t="n">
        <v>318</v>
      </c>
      <c r="B322" s="37" t="n">
        <v>43863</v>
      </c>
      <c r="C322" s="38" t="n">
        <f aca="false">V$26-V$26*SIN(2*PI()/365*A322)</f>
        <v>24.4061099747401</v>
      </c>
      <c r="D322" s="2" t="n">
        <f aca="false">IF((E322+F322)&gt;C322,C322,E322+F322)</f>
        <v>6.63826348928066</v>
      </c>
      <c r="E322" s="38" t="n">
        <f aca="false">(V$23+V$24*SIN(2*PI()/365*A322))*V$25/100*V$7*V$8/100</f>
        <v>5.47813087009825</v>
      </c>
      <c r="F322" s="38" t="n">
        <f aca="false">(V$23+V$24*SIN(2*PI()/365*A322))*V$25/100*V$9*(1-V$14/100)*(1-V$16/100)</f>
        <v>1.16013261918241</v>
      </c>
      <c r="G322" s="38" t="n">
        <f aca="false">IF(C322&gt;E322,100,C322/E322*100)</f>
        <v>100</v>
      </c>
      <c r="H322" s="38" t="n">
        <f aca="false">L322/F322*100</f>
        <v>100</v>
      </c>
      <c r="I322" s="38" t="n">
        <f aca="false">(V$23+V$24*SIN(2*PI()/365*A322))*V$25/100*V$7*V$8/100*(1-V$15/100)</f>
        <v>4.87553647438744</v>
      </c>
      <c r="J322" s="38" t="n">
        <f aca="false">(V$23+V$24*SIN(2*PI()/365*A322))*V$25/100*V$9*(1-V$14/100)</f>
        <v>1.30351979683416</v>
      </c>
      <c r="K322" s="39" t="n">
        <f aca="false">IF(E322/C322*100&lt;100,E322/C322*100,100)</f>
        <v>22.4457354153038</v>
      </c>
      <c r="L322" s="2" t="n">
        <f aca="false">IF(((C322-E322)&gt;0)AND(F322&gt;(C322-E322)),(C322-E322),IF(C322&lt;E322,0,F322))</f>
        <v>1.16013261918241</v>
      </c>
      <c r="M322" s="2" t="n">
        <f aca="false">IF(C322&lt;(E322+F322),0,C322-E322-F322)</f>
        <v>17.7678464854595</v>
      </c>
      <c r="N322" s="2" t="n">
        <f aca="false">IF(C322&lt;(E322+F322),0,(C322-E322-F322)/(1-V$16/100))</f>
        <v>19.9638724555724</v>
      </c>
      <c r="O322" s="2" t="n">
        <f aca="false">L322+M322</f>
        <v>18.9279791046419</v>
      </c>
      <c r="P322" s="2" t="n">
        <f aca="false">IF( N322=0,I322*(1-G322/100)+J322*(1-H322/100),-N322)</f>
        <v>-19.9638724555724</v>
      </c>
      <c r="Q322" s="47" t="n">
        <f aca="false">IF(P321&gt;0,Q321+P321*(1-V$20/100),Q321+P321)</f>
        <v>669.733927413715</v>
      </c>
      <c r="R322" s="48" t="n">
        <f aca="false">R$4+Q322/V$28</f>
        <v>47.9219606568497</v>
      </c>
    </row>
    <row r="323" customFormat="false" ht="12.8" hidden="false" customHeight="false" outlineLevel="0" collapsed="false">
      <c r="A323" s="1" t="n">
        <v>319</v>
      </c>
      <c r="B323" s="37" t="n">
        <v>43864</v>
      </c>
      <c r="C323" s="38" t="n">
        <f aca="false">V$26-V$26*SIN(2*PI()/365*A323)</f>
        <v>24.2363729599889</v>
      </c>
      <c r="D323" s="2" t="n">
        <f aca="false">IF((E323+F323)&gt;C323,C323,E323+F323)</f>
        <v>6.81100292169572</v>
      </c>
      <c r="E323" s="38" t="n">
        <f aca="false">(V$23+V$24*SIN(2*PI()/365*A323))*V$25/100*V$7*V$8/100</f>
        <v>5.62068158667108</v>
      </c>
      <c r="F323" s="38" t="n">
        <f aca="false">(V$23+V$24*SIN(2*PI()/365*A323))*V$25/100*V$9*(1-V$14/100)*(1-V$16/100)</f>
        <v>1.19032133502464</v>
      </c>
      <c r="G323" s="38" t="n">
        <f aca="false">IF(C323&gt;E323,100,C323/E323*100)</f>
        <v>100</v>
      </c>
      <c r="H323" s="38" t="n">
        <f aca="false">L323/F323*100</f>
        <v>100</v>
      </c>
      <c r="I323" s="38" t="n">
        <f aca="false">(V$23+V$24*SIN(2*PI()/365*A323))*V$25/100*V$7*V$8/100*(1-V$15/100)</f>
        <v>5.00240661213726</v>
      </c>
      <c r="J323" s="38" t="n">
        <f aca="false">(V$23+V$24*SIN(2*PI()/365*A323))*V$25/100*V$9*(1-V$14/100)</f>
        <v>1.33743970227488</v>
      </c>
      <c r="K323" s="39" t="n">
        <f aca="false">IF(E323/C323*100&lt;100,E323/C323*100,100)</f>
        <v>23.1911004008318</v>
      </c>
      <c r="L323" s="2" t="n">
        <f aca="false">IF(((C323-E323)&gt;0)AND(F323&gt;(C323-E323)),(C323-E323),IF(C323&lt;E323,0,F323))</f>
        <v>1.19032133502464</v>
      </c>
      <c r="M323" s="2" t="n">
        <f aca="false">IF(C323&lt;(E323+F323),0,C323-E323-F323)</f>
        <v>17.4253700382932</v>
      </c>
      <c r="N323" s="2" t="n">
        <f aca="false">IF(C323&lt;(E323+F323),0,(C323-E323-F323)/(1-V$16/100))</f>
        <v>19.5790674587564</v>
      </c>
      <c r="O323" s="2" t="n">
        <f aca="false">L323+M323</f>
        <v>18.6156913733179</v>
      </c>
      <c r="P323" s="2" t="n">
        <f aca="false">IF( N323=0,I323*(1-G323/100)+J323*(1-H323/100),-N323)</f>
        <v>-19.5790674587564</v>
      </c>
      <c r="Q323" s="47" t="n">
        <f aca="false">IF(P322&gt;0,Q322+P322*(1-V$20/100),Q322+P322)</f>
        <v>649.770054958142</v>
      </c>
      <c r="R323" s="48" t="n">
        <f aca="false">R$4+Q323/V$28</f>
        <v>47.6858176070835</v>
      </c>
    </row>
    <row r="324" customFormat="false" ht="12.8" hidden="false" customHeight="false" outlineLevel="0" collapsed="false">
      <c r="A324" s="1" t="n">
        <v>320</v>
      </c>
      <c r="B324" s="37" t="n">
        <v>43865</v>
      </c>
      <c r="C324" s="38" t="n">
        <f aca="false">V$26-V$26*SIN(2*PI()/365*A324)</f>
        <v>24.0636499799094</v>
      </c>
      <c r="D324" s="2" t="n">
        <f aca="false">IF((E324+F324)&gt;C324,C324,E324+F324)</f>
        <v>6.98678113711749</v>
      </c>
      <c r="E324" s="38" t="n">
        <f aca="false">(V$23+V$24*SIN(2*PI()/365*A324))*V$25/100*V$7*V$8/100</f>
        <v>5.76574001494042</v>
      </c>
      <c r="F324" s="38" t="n">
        <f aca="false">(V$23+V$24*SIN(2*PI()/365*A324))*V$25/100*V$9*(1-V$14/100)*(1-V$16/100)</f>
        <v>1.22104112217707</v>
      </c>
      <c r="G324" s="38" t="n">
        <f aca="false">IF(C324&gt;E324,100,C324/E324*100)</f>
        <v>100</v>
      </c>
      <c r="H324" s="38" t="n">
        <f aca="false">L324/F324*100</f>
        <v>100</v>
      </c>
      <c r="I324" s="38" t="n">
        <f aca="false">(V$23+V$24*SIN(2*PI()/365*A324))*V$25/100*V$7*V$8/100*(1-V$15/100)</f>
        <v>5.13150861329697</v>
      </c>
      <c r="J324" s="38" t="n">
        <f aca="false">(V$23+V$24*SIN(2*PI()/365*A324))*V$25/100*V$9*(1-V$14/100)</f>
        <v>1.37195631705289</v>
      </c>
      <c r="K324" s="39" t="n">
        <f aca="false">IF(E324/C324*100&lt;100,E324/C324*100,100)</f>
        <v>23.9603718461422</v>
      </c>
      <c r="L324" s="2" t="n">
        <f aca="false">IF(((C324-E324)&gt;0)AND(F324&gt;(C324-E324)),(C324-E324),IF(C324&lt;E324,0,F324))</f>
        <v>1.22104112217707</v>
      </c>
      <c r="M324" s="2" t="n">
        <f aca="false">IF(C324&lt;(E324+F324),0,C324-E324-F324)</f>
        <v>17.0768688427919</v>
      </c>
      <c r="N324" s="2" t="n">
        <f aca="false">IF(C324&lt;(E324+F324),0,(C324-E324-F324)/(1-V$16/100))</f>
        <v>19.1874930817887</v>
      </c>
      <c r="O324" s="2" t="n">
        <f aca="false">L324+M324</f>
        <v>18.297909964969</v>
      </c>
      <c r="P324" s="2" t="n">
        <f aca="false">IF( N324=0,I324*(1-G324/100)+J324*(1-H324/100),-N324)</f>
        <v>-19.1874930817887</v>
      </c>
      <c r="Q324" s="47" t="n">
        <f aca="false">IF(P323&gt;0,Q323+P323*(1-V$20/100),Q323+P323)</f>
        <v>630.190987499386</v>
      </c>
      <c r="R324" s="48" t="n">
        <f aca="false">R$4+Q324/V$28</f>
        <v>47.4542262306319</v>
      </c>
    </row>
    <row r="325" customFormat="false" ht="12.8" hidden="false" customHeight="false" outlineLevel="0" collapsed="false">
      <c r="A325" s="1" t="n">
        <v>321</v>
      </c>
      <c r="B325" s="37" t="n">
        <v>43866</v>
      </c>
      <c r="C325" s="38" t="n">
        <f aca="false">V$26-V$26*SIN(2*PI()/365*A325)</f>
        <v>23.8879922160481</v>
      </c>
      <c r="D325" s="2" t="n">
        <f aca="false">IF((E325+F325)&gt;C325,C325,E325+F325)</f>
        <v>7.16554604866715</v>
      </c>
      <c r="E325" s="38" t="n">
        <f aca="false">(V$23+V$24*SIN(2*PI()/365*A325))*V$25/100*V$7*V$8/100</f>
        <v>5.91326317096337</v>
      </c>
      <c r="F325" s="38" t="n">
        <f aca="false">(V$23+V$24*SIN(2*PI()/365*A325))*V$25/100*V$9*(1-V$14/100)*(1-V$16/100)</f>
        <v>1.25228287770379</v>
      </c>
      <c r="G325" s="38" t="n">
        <f aca="false">IF(C325&gt;E325,100,C325/E325*100)</f>
        <v>100</v>
      </c>
      <c r="H325" s="38" t="n">
        <f aca="false">L325/F325*100</f>
        <v>100</v>
      </c>
      <c r="I325" s="38" t="n">
        <f aca="false">(V$23+V$24*SIN(2*PI()/365*A325))*V$25/100*V$7*V$8/100*(1-V$15/100)</f>
        <v>5.2628042221574</v>
      </c>
      <c r="J325" s="38" t="n">
        <f aca="false">(V$23+V$24*SIN(2*PI()/365*A325))*V$25/100*V$9*(1-V$14/100)</f>
        <v>1.40705941315032</v>
      </c>
      <c r="K325" s="39" t="n">
        <f aca="false">IF(E325/C325*100&lt;100,E325/C325*100,100)</f>
        <v>24.7541238187059</v>
      </c>
      <c r="L325" s="2" t="n">
        <f aca="false">IF(((C325-E325)&gt;0)AND(F325&gt;(C325-E325)),(C325-E325),IF(C325&lt;E325,0,F325))</f>
        <v>1.25228287770379</v>
      </c>
      <c r="M325" s="2" t="n">
        <f aca="false">IF(C325&lt;(E325+F325),0,C325-E325-F325)</f>
        <v>16.722446167381</v>
      </c>
      <c r="N325" s="2" t="n">
        <f aca="false">IF(C325&lt;(E325+F325),0,(C325-E325-F325)/(1-V$16/100))</f>
        <v>18.7892653566078</v>
      </c>
      <c r="O325" s="2" t="n">
        <f aca="false">L325+M325</f>
        <v>17.9747290450847</v>
      </c>
      <c r="P325" s="2" t="n">
        <f aca="false">IF( N325=0,I325*(1-G325/100)+J325*(1-H325/100),-N325)</f>
        <v>-18.7892653566078</v>
      </c>
      <c r="Q325" s="47" t="n">
        <f aca="false">IF(P324&gt;0,Q324+P324*(1-V$20/100),Q324+P324)</f>
        <v>611.003494417597</v>
      </c>
      <c r="R325" s="48" t="n">
        <f aca="false">R$4+Q325/V$28</f>
        <v>47.2272665992384</v>
      </c>
    </row>
    <row r="326" customFormat="false" ht="12.8" hidden="false" customHeight="false" outlineLevel="0" collapsed="false">
      <c r="A326" s="1" t="n">
        <v>322</v>
      </c>
      <c r="B326" s="37" t="n">
        <v>43867</v>
      </c>
      <c r="C326" s="38" t="n">
        <f aca="false">V$26-V$26*SIN(2*PI()/365*A326)</f>
        <v>23.7094517195915</v>
      </c>
      <c r="D326" s="2" t="n">
        <f aca="false">IF((E326+F326)&gt;C326,C326,E326+F326)</f>
        <v>7.34724468444335</v>
      </c>
      <c r="E326" s="38" t="n">
        <f aca="false">(V$23+V$24*SIN(2*PI()/365*A326))*V$25/100*V$7*V$8/100</f>
        <v>6.06320734044498</v>
      </c>
      <c r="F326" s="38" t="n">
        <f aca="false">(V$23+V$24*SIN(2*PI()/365*A326))*V$25/100*V$9*(1-V$14/100)*(1-V$16/100)</f>
        <v>1.28403734399837</v>
      </c>
      <c r="G326" s="38" t="n">
        <f aca="false">IF(C326&gt;E326,100,C326/E326*100)</f>
        <v>100</v>
      </c>
      <c r="H326" s="38" t="n">
        <f aca="false">L326/F326*100</f>
        <v>100</v>
      </c>
      <c r="I326" s="38" t="n">
        <f aca="false">(V$23+V$24*SIN(2*PI()/365*A326))*V$25/100*V$7*V$8/100*(1-V$15/100)</f>
        <v>5.39625453299603</v>
      </c>
      <c r="J326" s="38" t="n">
        <f aca="false">(V$23+V$24*SIN(2*PI()/365*A326))*V$25/100*V$9*(1-V$14/100)</f>
        <v>1.44273858876221</v>
      </c>
      <c r="K326" s="39" t="n">
        <f aca="false">IF(E326/C326*100&lt;100,E326/C326*100,100)</f>
        <v>25.5729546686853</v>
      </c>
      <c r="L326" s="2" t="n">
        <f aca="false">IF(((C326-E326)&gt;0)AND(F326&gt;(C326-E326)),(C326-E326),IF(C326&lt;E326,0,F326))</f>
        <v>1.28403734399837</v>
      </c>
      <c r="M326" s="2" t="n">
        <f aca="false">IF(C326&lt;(E326+F326),0,C326-E326-F326)</f>
        <v>16.3622070351482</v>
      </c>
      <c r="N326" s="2" t="n">
        <f aca="false">IF(C326&lt;(E326+F326),0,(C326-E326-F326)/(1-V$16/100))</f>
        <v>18.3845022866833</v>
      </c>
      <c r="O326" s="2" t="n">
        <f aca="false">L326+M326</f>
        <v>17.6462443791465</v>
      </c>
      <c r="P326" s="2" t="n">
        <f aca="false">IF( N326=0,I326*(1-G326/100)+J326*(1-H326/100),-N326)</f>
        <v>-18.3845022866833</v>
      </c>
      <c r="Q326" s="47" t="n">
        <f aca="false">IF(P325&gt;0,Q325+P325*(1-V$20/100),Q325+P325)</f>
        <v>592.214229060989</v>
      </c>
      <c r="R326" s="48" t="n">
        <f aca="false">R$4+Q326/V$28</f>
        <v>47.0050174121606</v>
      </c>
    </row>
    <row r="327" customFormat="false" ht="12.8" hidden="false" customHeight="false" outlineLevel="0" collapsed="false">
      <c r="A327" s="1" t="n">
        <v>323</v>
      </c>
      <c r="B327" s="37" t="n">
        <v>43868</v>
      </c>
      <c r="C327" s="38" t="n">
        <f aca="false">V$26-V$26*SIN(2*PI()/365*A327)</f>
        <v>23.528081395942</v>
      </c>
      <c r="D327" s="2" t="n">
        <f aca="false">IF((E327+F327)&gt;C327,C327,E327+F327)</f>
        <v>7.53182320321891</v>
      </c>
      <c r="E327" s="38" t="n">
        <f aca="false">(V$23+V$24*SIN(2*PI()/365*A327))*V$25/100*V$7*V$8/100</f>
        <v>6.21552809169177</v>
      </c>
      <c r="F327" s="38" t="n">
        <f aca="false">(V$23+V$24*SIN(2*PI()/365*A327))*V$25/100*V$9*(1-V$14/100)*(1-V$16/100)</f>
        <v>1.31629511152713</v>
      </c>
      <c r="G327" s="38" t="n">
        <f aca="false">IF(C327&gt;E327,100,C327/E327*100)</f>
        <v>100</v>
      </c>
      <c r="H327" s="38" t="n">
        <f aca="false">L327/F327*100</f>
        <v>100</v>
      </c>
      <c r="I327" s="38" t="n">
        <f aca="false">(V$23+V$24*SIN(2*PI()/365*A327))*V$25/100*V$7*V$8/100*(1-V$15/100)</f>
        <v>5.53182000160568</v>
      </c>
      <c r="J327" s="38" t="n">
        <f aca="false">(V$23+V$24*SIN(2*PI()/365*A327))*V$25/100*V$9*(1-V$14/100)</f>
        <v>1.4789832713788</v>
      </c>
      <c r="K327" s="39" t="n">
        <f aca="false">IF(E327/C327*100&lt;100,E327/C327*100,100)</f>
        <v>26.4174880522294</v>
      </c>
      <c r="L327" s="2" t="n">
        <f aca="false">IF(((C327-E327)&gt;0)AND(F327&gt;(C327-E327)),(C327-E327),IF(C327&lt;E327,0,F327))</f>
        <v>1.31629511152713</v>
      </c>
      <c r="M327" s="2" t="n">
        <f aca="false">IF(C327&lt;(E327+F327),0,C327-E327-F327)</f>
        <v>15.9962581927231</v>
      </c>
      <c r="N327" s="2" t="n">
        <f aca="false">IF(C327&lt;(E327+F327),0,(C327-E327-F327)/(1-V$16/100))</f>
        <v>17.9733238120484</v>
      </c>
      <c r="O327" s="2" t="n">
        <f aca="false">L327+M327</f>
        <v>17.3125533042502</v>
      </c>
      <c r="P327" s="2" t="n">
        <f aca="false">IF( N327=0,I327*(1-G327/100)+J327*(1-H327/100),-N327)</f>
        <v>-17.9733238120484</v>
      </c>
      <c r="Q327" s="47" t="n">
        <f aca="false">IF(P326&gt;0,Q326+P326*(1-V$20/100),Q326+P326)</f>
        <v>573.829726774306</v>
      </c>
      <c r="R327" s="48" t="n">
        <f aca="false">R$4+Q327/V$28</f>
        <v>46.7875559728495</v>
      </c>
    </row>
    <row r="328" customFormat="false" ht="12.8" hidden="false" customHeight="false" outlineLevel="0" collapsed="false">
      <c r="A328" s="1" t="n">
        <v>324</v>
      </c>
      <c r="B328" s="37" t="n">
        <v>43869</v>
      </c>
      <c r="C328" s="38" t="n">
        <f aca="false">V$26-V$26*SIN(2*PI()/365*A328)</f>
        <v>23.3439349890407</v>
      </c>
      <c r="D328" s="2" t="n">
        <f aca="false">IF((E328+F328)&gt;C328,C328,E328+F328)</f>
        <v>7.7192269103952</v>
      </c>
      <c r="E328" s="38" t="n">
        <f aca="false">(V$23+V$24*SIN(2*PI()/365*A328))*V$25/100*V$7*V$8/100</f>
        <v>6.37018028877781</v>
      </c>
      <c r="F328" s="38" t="n">
        <f aca="false">(V$23+V$24*SIN(2*PI()/365*A328))*V$25/100*V$9*(1-V$14/100)*(1-V$16/100)</f>
        <v>1.34904662161738</v>
      </c>
      <c r="G328" s="38" t="n">
        <f aca="false">IF(C328&gt;E328,100,C328/E328*100)</f>
        <v>100</v>
      </c>
      <c r="H328" s="38" t="n">
        <f aca="false">L328/F328*100</f>
        <v>100</v>
      </c>
      <c r="I328" s="38" t="n">
        <f aca="false">(V$23+V$24*SIN(2*PI()/365*A328))*V$25/100*V$7*V$8/100*(1-V$15/100)</f>
        <v>5.66946045701225</v>
      </c>
      <c r="J328" s="38" t="n">
        <f aca="false">(V$23+V$24*SIN(2*PI()/365*A328))*V$25/100*V$9*(1-V$14/100)</f>
        <v>1.51578272091841</v>
      </c>
      <c r="K328" s="39" t="n">
        <f aca="false">IF(E328/C328*100&lt;100,E328/C328*100,100)</f>
        <v>27.2883740113586</v>
      </c>
      <c r="L328" s="2" t="n">
        <f aca="false">IF(((C328-E328)&gt;0)AND(F328&gt;(C328-E328)),(C328-E328),IF(C328&lt;E328,0,F328))</f>
        <v>1.34904662161738</v>
      </c>
      <c r="M328" s="2" t="n">
        <f aca="false">IF(C328&lt;(E328+F328),0,C328-E328-F328)</f>
        <v>15.6247080786455</v>
      </c>
      <c r="N328" s="2" t="n">
        <f aca="false">IF(C328&lt;(E328+F328),0,(C328-E328-F328)/(1-V$16/100))</f>
        <v>17.5558517737589</v>
      </c>
      <c r="O328" s="2" t="n">
        <f aca="false">L328+M328</f>
        <v>16.9737547002628</v>
      </c>
      <c r="P328" s="2" t="n">
        <f aca="false">IF( N328=0,I328*(1-G328/100)+J328*(1-H328/100),-N328)</f>
        <v>-17.5558517737589</v>
      </c>
      <c r="Q328" s="47" t="n">
        <f aca="false">IF(P327&gt;0,Q327+P327*(1-V$20/100),Q327+P327)</f>
        <v>555.856402962258</v>
      </c>
      <c r="R328" s="48" t="n">
        <f aca="false">R$4+Q328/V$28</f>
        <v>46.5749581660432</v>
      </c>
    </row>
    <row r="329" customFormat="false" ht="12.8" hidden="false" customHeight="false" outlineLevel="0" collapsed="false">
      <c r="A329" s="1" t="n">
        <v>325</v>
      </c>
      <c r="B329" s="37" t="n">
        <v>43870</v>
      </c>
      <c r="C329" s="38" t="n">
        <f aca="false">V$26-V$26*SIN(2*PI()/365*A329)</f>
        <v>23.1570670654421</v>
      </c>
      <c r="D329" s="2" t="n">
        <f aca="false">IF((E329+F329)&gt;C329,C329,E329+F329)</f>
        <v>7.90940027420928</v>
      </c>
      <c r="E329" s="38" t="n">
        <f aca="false">(V$23+V$24*SIN(2*PI()/365*A329))*V$25/100*V$7*V$8/100</f>
        <v>6.52711810491943</v>
      </c>
      <c r="F329" s="38" t="n">
        <f aca="false">(V$23+V$24*SIN(2*PI()/365*A329))*V$25/100*V$9*(1-V$14/100)*(1-V$16/100)</f>
        <v>1.38228216928985</v>
      </c>
      <c r="G329" s="38" t="n">
        <f aca="false">IF(C329&gt;E329,100,C329/E329*100)</f>
        <v>100</v>
      </c>
      <c r="H329" s="38" t="n">
        <f aca="false">L329/F329*100</f>
        <v>100</v>
      </c>
      <c r="I329" s="38" t="n">
        <f aca="false">(V$23+V$24*SIN(2*PI()/365*A329))*V$25/100*V$7*V$8/100*(1-V$15/100)</f>
        <v>5.8091351133783</v>
      </c>
      <c r="J329" s="38" t="n">
        <f aca="false">(V$23+V$24*SIN(2*PI()/365*A329))*V$25/100*V$9*(1-V$14/100)</f>
        <v>1.55312603290994</v>
      </c>
      <c r="K329" s="39" t="n">
        <f aca="false">IF(E329/C329*100&lt;100,E329/C329*100,100)</f>
        <v>28.1862901138289</v>
      </c>
      <c r="L329" s="2" t="n">
        <f aca="false">IF(((C329-E329)&gt;0)AND(F329&gt;(C329-E329)),(C329-E329),IF(C329&lt;E329,0,F329))</f>
        <v>1.38228216928985</v>
      </c>
      <c r="M329" s="2" t="n">
        <f aca="false">IF(C329&lt;(E329+F329),0,C329-E329-F329)</f>
        <v>15.2476667912328</v>
      </c>
      <c r="N329" s="2" t="n">
        <f aca="false">IF(C329&lt;(E329+F329),0,(C329-E329-F329)/(1-V$16/100))</f>
        <v>17.1322098777897</v>
      </c>
      <c r="O329" s="2" t="n">
        <f aca="false">L329+M329</f>
        <v>16.6299489605227</v>
      </c>
      <c r="P329" s="2" t="n">
        <f aca="false">IF( N329=0,I329*(1-G329/100)+J329*(1-H329/100),-N329)</f>
        <v>-17.1322098777897</v>
      </c>
      <c r="Q329" s="47" t="n">
        <f aca="false">IF(P328&gt;0,Q328+P328*(1-V$20/100),Q328+P328)</f>
        <v>538.300551188499</v>
      </c>
      <c r="R329" s="48" t="n">
        <f aca="false">R$4+Q329/V$28</f>
        <v>46.3672984352808</v>
      </c>
    </row>
    <row r="330" customFormat="false" ht="12.8" hidden="false" customHeight="false" outlineLevel="0" collapsed="false">
      <c r="A330" s="1" t="n">
        <v>326</v>
      </c>
      <c r="B330" s="37" t="n">
        <v>43871</v>
      </c>
      <c r="C330" s="38" t="n">
        <f aca="false">V$26-V$26*SIN(2*PI()/365*A330)</f>
        <v>22.9675329981451</v>
      </c>
      <c r="D330" s="2" t="n">
        <f aca="false">IF((E330+F330)&gt;C330,C330,E330+F330)</f>
        <v>8.10228694218917</v>
      </c>
      <c r="E330" s="38" t="n">
        <f aca="false">(V$23+V$24*SIN(2*PI()/365*A330))*V$25/100*V$7*V$8/100</f>
        <v>6.6862950360547</v>
      </c>
      <c r="F330" s="38" t="n">
        <f aca="false">(V$23+V$24*SIN(2*PI()/365*A330))*V$25/100*V$9*(1-V$14/100)*(1-V$16/100)</f>
        <v>1.41599190613446</v>
      </c>
      <c r="G330" s="38" t="n">
        <f aca="false">IF(C330&gt;E330,100,C330/E330*100)</f>
        <v>100</v>
      </c>
      <c r="H330" s="38" t="n">
        <f aca="false">L330/F330*100</f>
        <v>100</v>
      </c>
      <c r="I330" s="38" t="n">
        <f aca="false">(V$23+V$24*SIN(2*PI()/365*A330))*V$25/100*V$7*V$8/100*(1-V$15/100)</f>
        <v>5.95080258208868</v>
      </c>
      <c r="J330" s="38" t="n">
        <f aca="false">(V$23+V$24*SIN(2*PI()/365*A330))*V$25/100*V$9*(1-V$14/100)</f>
        <v>1.59100214172412</v>
      </c>
      <c r="K330" s="39" t="n">
        <f aca="false">IF(E330/C330*100&lt;100,E330/C330*100,100)</f>
        <v>29.1119426565957</v>
      </c>
      <c r="L330" s="2" t="n">
        <f aca="false">IF(((C330-E330)&gt;0)AND(F330&gt;(C330-E330)),(C330-E330),IF(C330&lt;E330,0,F330))</f>
        <v>1.41599190613446</v>
      </c>
      <c r="M330" s="2" t="n">
        <f aca="false">IF(C330&lt;(E330+F330),0,C330-E330-F330)</f>
        <v>14.8652460559559</v>
      </c>
      <c r="N330" s="2" t="n">
        <f aca="false">IF(C330&lt;(E330+F330),0,(C330-E330-F330)/(1-V$16/100))</f>
        <v>16.7025236583775</v>
      </c>
      <c r="O330" s="2" t="n">
        <f aca="false">L330+M330</f>
        <v>16.2812379620904</v>
      </c>
      <c r="P330" s="2" t="n">
        <f aca="false">IF( N330=0,I330*(1-G330/100)+J330*(1-H330/100),-N330)</f>
        <v>-16.7025236583775</v>
      </c>
      <c r="Q330" s="47" t="n">
        <f aca="false">IF(P329&gt;0,Q329+P329*(1-V$20/100),Q329+P329)</f>
        <v>521.168341310709</v>
      </c>
      <c r="R330" s="48" t="n">
        <f aca="false">R$4+Q330/V$28</f>
        <v>46.1646497608425</v>
      </c>
    </row>
    <row r="331" customFormat="false" ht="12.8" hidden="false" customHeight="false" outlineLevel="0" collapsed="false">
      <c r="A331" s="1" t="n">
        <v>327</v>
      </c>
      <c r="B331" s="37" t="n">
        <v>43872</v>
      </c>
      <c r="C331" s="38" t="n">
        <f aca="false">V$26-V$26*SIN(2*PI()/365*A331)</f>
        <v>22.7753889501842</v>
      </c>
      <c r="D331" s="2" t="n">
        <f aca="false">IF((E331+F331)&gt;C331,C331,E331+F331)</f>
        <v>8.29782975785231</v>
      </c>
      <c r="E331" s="38" t="n">
        <f aca="false">(V$23+V$24*SIN(2*PI()/365*A331))*V$25/100*V$7*V$8/100</f>
        <v>6.84766391462362</v>
      </c>
      <c r="F331" s="38" t="n">
        <f aca="false">(V$23+V$24*SIN(2*PI()/365*A331))*V$25/100*V$9*(1-V$14/100)*(1-V$16/100)</f>
        <v>1.45016584322869</v>
      </c>
      <c r="G331" s="38" t="n">
        <f aca="false">IF(C331&gt;E331,100,C331/E331*100)</f>
        <v>100</v>
      </c>
      <c r="H331" s="38" t="n">
        <f aca="false">L331/F331*100</f>
        <v>100</v>
      </c>
      <c r="I331" s="38" t="n">
        <f aca="false">(V$23+V$24*SIN(2*PI()/365*A331))*V$25/100*V$7*V$8/100*(1-V$15/100)</f>
        <v>6.09442088401502</v>
      </c>
      <c r="J331" s="38" t="n">
        <f aca="false">(V$23+V$24*SIN(2*PI()/365*A331))*V$25/100*V$9*(1-V$14/100)</f>
        <v>1.62939982385246</v>
      </c>
      <c r="K331" s="39" t="n">
        <f aca="false">IF(E331/C331*100&lt;100,E331/C331*100,100)</f>
        <v>30.0660679367596</v>
      </c>
      <c r="L331" s="2" t="n">
        <f aca="false">IF(((C331-E331)&gt;0)AND(F331&gt;(C331-E331)),(C331-E331),IF(C331&lt;E331,0,F331))</f>
        <v>1.45016584322869</v>
      </c>
      <c r="M331" s="2" t="n">
        <f aca="false">IF(C331&lt;(E331+F331),0,C331-E331-F331)</f>
        <v>14.4775591923319</v>
      </c>
      <c r="N331" s="2" t="n">
        <f aca="false">IF(C331&lt;(E331+F331),0,(C331-E331-F331)/(1-V$16/100))</f>
        <v>16.2669204408223</v>
      </c>
      <c r="O331" s="2" t="n">
        <f aca="false">L331+M331</f>
        <v>15.9277250355606</v>
      </c>
      <c r="P331" s="2" t="n">
        <f aca="false">IF( N331=0,I331*(1-G331/100)+J331*(1-H331/100),-N331)</f>
        <v>-16.2669204408223</v>
      </c>
      <c r="Q331" s="47" t="n">
        <f aca="false">IF(P330&gt;0,Q330+P330*(1-V$20/100),Q330+P330)</f>
        <v>504.465817652332</v>
      </c>
      <c r="R331" s="48" t="n">
        <f aca="false">R$4+Q331/V$28</f>
        <v>45.9670836381246</v>
      </c>
    </row>
    <row r="332" customFormat="false" ht="12.8" hidden="false" customHeight="false" outlineLevel="0" collapsed="false">
      <c r="A332" s="1" t="n">
        <v>328</v>
      </c>
      <c r="B332" s="37" t="n">
        <v>43873</v>
      </c>
      <c r="C332" s="38" t="n">
        <f aca="false">V$26-V$26*SIN(2*PI()/365*A332)</f>
        <v>22.5806918579876</v>
      </c>
      <c r="D332" s="2" t="n">
        <f aca="false">IF((E332+F332)&gt;C332,C332,E332+F332)</f>
        <v>8.49597077764226</v>
      </c>
      <c r="E332" s="38" t="n">
        <f aca="false">(V$23+V$24*SIN(2*PI()/365*A332))*V$25/100*V$7*V$8/100</f>
        <v>7.01117692354483</v>
      </c>
      <c r="F332" s="38" t="n">
        <f aca="false">(V$23+V$24*SIN(2*PI()/365*A332))*V$25/100*V$9*(1-V$14/100)*(1-V$16/100)</f>
        <v>1.48479385409743</v>
      </c>
      <c r="G332" s="38" t="n">
        <f aca="false">IF(C332&gt;E332,100,C332/E332*100)</f>
        <v>100</v>
      </c>
      <c r="H332" s="38" t="n">
        <f aca="false">L332/F332*100</f>
        <v>100</v>
      </c>
      <c r="I332" s="38" t="n">
        <f aca="false">(V$23+V$24*SIN(2*PI()/365*A332))*V$25/100*V$7*V$8/100*(1-V$15/100)</f>
        <v>6.2399474619549</v>
      </c>
      <c r="J332" s="38" t="n">
        <f aca="false">(V$23+V$24*SIN(2*PI()/365*A332))*V$25/100*V$9*(1-V$14/100)</f>
        <v>1.66830770123307</v>
      </c>
      <c r="K332" s="39" t="n">
        <f aca="false">IF(E332/C332*100&lt;100,E332/C332*100,100)</f>
        <v>31.0494335941471</v>
      </c>
      <c r="L332" s="2" t="n">
        <f aca="false">IF(((C332-E332)&gt;0)AND(F332&gt;(C332-E332)),(C332-E332),IF(C332&lt;E332,0,F332))</f>
        <v>1.48479385409743</v>
      </c>
      <c r="M332" s="2" t="n">
        <f aca="false">IF(C332&lt;(E332+F332),0,C332-E332-F332)</f>
        <v>14.0847210803453</v>
      </c>
      <c r="N332" s="2" t="n">
        <f aca="false">IF(C332&lt;(E332+F332),0,(C332-E332-F332)/(1-V$16/100))</f>
        <v>15.8255293037588</v>
      </c>
      <c r="O332" s="2" t="n">
        <f aca="false">L332+M332</f>
        <v>15.5695149344428</v>
      </c>
      <c r="P332" s="2" t="n">
        <f aca="false">IF( N332=0,I332*(1-G332/100)+J332*(1-H332/100),-N332)</f>
        <v>-15.8255293037588</v>
      </c>
      <c r="Q332" s="47" t="n">
        <f aca="false">IF(P331&gt;0,Q331+P331*(1-V$20/100),Q331+P331)</f>
        <v>488.198897211509</v>
      </c>
      <c r="R332" s="48" t="n">
        <f aca="false">R$4+Q332/V$28</f>
        <v>45.7746700564535</v>
      </c>
    </row>
    <row r="333" customFormat="false" ht="12.8" hidden="false" customHeight="false" outlineLevel="0" collapsed="false">
      <c r="A333" s="1" t="n">
        <v>329</v>
      </c>
      <c r="B333" s="37" t="n">
        <v>43874</v>
      </c>
      <c r="C333" s="38" t="n">
        <f aca="false">V$26-V$26*SIN(2*PI()/365*A333)</f>
        <v>22.3834994145057</v>
      </c>
      <c r="D333" s="2" t="n">
        <f aca="false">IF((E333+F333)&gt;C333,C333,E333+F333)</f>
        <v>8.69665128809865</v>
      </c>
      <c r="E333" s="38" t="n">
        <f aca="false">(V$23+V$24*SIN(2*PI()/365*A333))*V$25/100*V$7*V$8/100</f>
        <v>7.1767856103849</v>
      </c>
      <c r="F333" s="38" t="n">
        <f aca="false">(V$23+V$24*SIN(2*PI()/365*A333))*V$25/100*V$9*(1-V$14/100)*(1-V$16/100)</f>
        <v>1.51986567771374</v>
      </c>
      <c r="G333" s="38" t="n">
        <f aca="false">IF(C333&gt;E333,100,C333/E333*100)</f>
        <v>100</v>
      </c>
      <c r="H333" s="38" t="n">
        <f aca="false">L333/F333*100</f>
        <v>100</v>
      </c>
      <c r="I333" s="38" t="n">
        <f aca="false">(V$23+V$24*SIN(2*PI()/365*A333))*V$25/100*V$7*V$8/100*(1-V$15/100)</f>
        <v>6.38733919324257</v>
      </c>
      <c r="J333" s="38" t="n">
        <f aca="false">(V$23+V$24*SIN(2*PI()/365*A333))*V$25/100*V$9*(1-V$14/100)</f>
        <v>1.70771424462218</v>
      </c>
      <c r="K333" s="39" t="n">
        <f aca="false">IF(E333/C333*100&lt;100,E333/C333*100,100)</f>
        <v>32.062840029982</v>
      </c>
      <c r="L333" s="2" t="n">
        <f aca="false">IF(((C333-E333)&gt;0)AND(F333&gt;(C333-E333)),(C333-E333),IF(C333&lt;E333,0,F333))</f>
        <v>1.51986567771374</v>
      </c>
      <c r="M333" s="2" t="n">
        <f aca="false">IF(C333&lt;(E333+F333),0,C333-E333-F333)</f>
        <v>13.686848126407</v>
      </c>
      <c r="N333" s="2" t="n">
        <f aca="false">IF(C333&lt;(E333+F333),0,(C333-E333-F333)/(1-V$16/100))</f>
        <v>15.3784810409068</v>
      </c>
      <c r="O333" s="2" t="n">
        <f aca="false">L333+M333</f>
        <v>15.2067138041208</v>
      </c>
      <c r="P333" s="2" t="n">
        <f aca="false">IF( N333=0,I333*(1-G333/100)+J333*(1-H333/100),-N333)</f>
        <v>-15.3784810409068</v>
      </c>
      <c r="Q333" s="47" t="n">
        <f aca="false">IF(P332&gt;0,Q332+P332*(1-V$20/100),Q332+P332)</f>
        <v>472.37336790775</v>
      </c>
      <c r="R333" s="48" t="n">
        <f aca="false">R$4+Q333/V$28</f>
        <v>45.5874774783467</v>
      </c>
    </row>
    <row r="334" customFormat="false" ht="12.8" hidden="false" customHeight="false" outlineLevel="0" collapsed="false">
      <c r="A334" s="1" t="n">
        <v>330</v>
      </c>
      <c r="B334" s="37" t="n">
        <v>43875</v>
      </c>
      <c r="C334" s="38" t="n">
        <f aca="false">V$26-V$26*SIN(2*PI()/365*A334)</f>
        <v>22.1838700521152</v>
      </c>
      <c r="D334" s="2" t="n">
        <f aca="false">IF((E334+F334)&gt;C334,C334,E334+F334)</f>
        <v>8.89981182325515</v>
      </c>
      <c r="E334" s="38" t="n">
        <f aca="false">(V$23+V$24*SIN(2*PI()/365*A334))*V$25/100*V$7*V$8/100</f>
        <v>7.34444090171579</v>
      </c>
      <c r="F334" s="38" t="n">
        <f aca="false">(V$23+V$24*SIN(2*PI()/365*A334))*V$25/100*V$9*(1-V$14/100)*(1-V$16/100)</f>
        <v>1.55537092153936</v>
      </c>
      <c r="G334" s="38" t="n">
        <f aca="false">IF(C334&gt;E334,100,C334/E334*100)</f>
        <v>100</v>
      </c>
      <c r="H334" s="38" t="n">
        <f aca="false">L334/F334*100</f>
        <v>100</v>
      </c>
      <c r="I334" s="38" t="n">
        <f aca="false">(V$23+V$24*SIN(2*PI()/365*A334))*V$25/100*V$7*V$8/100*(1-V$15/100)</f>
        <v>6.53655240252706</v>
      </c>
      <c r="J334" s="38" t="n">
        <f aca="false">(V$23+V$24*SIN(2*PI()/365*A334))*V$25/100*V$9*(1-V$14/100)</f>
        <v>1.74760777701052</v>
      </c>
      <c r="K334" s="39" t="n">
        <f aca="false">IF(E334/C334*100&lt;100,E334/C334*100,100)</f>
        <v>33.107121906421</v>
      </c>
      <c r="L334" s="2" t="n">
        <f aca="false">IF(((C334-E334)&gt;0)AND(F334&gt;(C334-E334)),(C334-E334),IF(C334&lt;E334,0,F334))</f>
        <v>1.55537092153936</v>
      </c>
      <c r="M334" s="2" t="n">
        <f aca="false">IF(C334&lt;(E334+F334),0,C334-E334-F334)</f>
        <v>13.28405822886</v>
      </c>
      <c r="N334" s="2" t="n">
        <f aca="false">IF(C334&lt;(E334+F334),0,(C334-E334-F334)/(1-V$16/100))</f>
        <v>14.9259081223146</v>
      </c>
      <c r="O334" s="2" t="n">
        <f aca="false">L334+M334</f>
        <v>14.8394291503994</v>
      </c>
      <c r="P334" s="2" t="n">
        <f aca="false">IF( N334=0,I334*(1-G334/100)+J334*(1-H334/100),-N334)</f>
        <v>-14.9259081223146</v>
      </c>
      <c r="Q334" s="47" t="n">
        <f aca="false">IF(P333&gt;0,Q333+P333*(1-V$20/100),Q333+P333)</f>
        <v>456.994886866844</v>
      </c>
      <c r="R334" s="48" t="n">
        <f aca="false">R$4+Q334/V$28</f>
        <v>45.4055728192254</v>
      </c>
    </row>
    <row r="335" customFormat="false" ht="12.8" hidden="false" customHeight="false" outlineLevel="0" collapsed="false">
      <c r="A335" s="1" t="n">
        <v>331</v>
      </c>
      <c r="B335" s="37" t="n">
        <v>43876</v>
      </c>
      <c r="C335" s="38" t="n">
        <f aca="false">V$26-V$26*SIN(2*PI()/365*A335)</f>
        <v>21.9818629253045</v>
      </c>
      <c r="D335" s="2" t="n">
        <f aca="false">IF((E335+F335)&gt;C335,C335,E335+F335)</f>
        <v>9.10539218226065</v>
      </c>
      <c r="E335" s="38" t="n">
        <f aca="false">(V$23+V$24*SIN(2*PI()/365*A335))*V$25/100*V$7*V$8/100</f>
        <v>7.51409311765637</v>
      </c>
      <c r="F335" s="38" t="n">
        <f aca="false">(V$23+V$24*SIN(2*PI()/365*A335))*V$25/100*V$9*(1-V$14/100)*(1-V$16/100)</f>
        <v>1.59129906460428</v>
      </c>
      <c r="G335" s="38" t="n">
        <f aca="false">IF(C335&gt;E335,100,C335/E335*100)</f>
        <v>100</v>
      </c>
      <c r="H335" s="38" t="n">
        <f aca="false">L335/F335*100</f>
        <v>100</v>
      </c>
      <c r="I335" s="38" t="n">
        <f aca="false">(V$23+V$24*SIN(2*PI()/365*A335))*V$25/100*V$7*V$8/100*(1-V$15/100)</f>
        <v>6.68754287471417</v>
      </c>
      <c r="J335" s="38" t="n">
        <f aca="false">(V$23+V$24*SIN(2*PI()/365*A335))*V$25/100*V$9*(1-V$14/100)</f>
        <v>1.78797647708346</v>
      </c>
      <c r="K335" s="39" t="n">
        <f aca="false">IF(E335/C335*100&lt;100,E335/C335*100,100)</f>
        <v>34.1831497320752</v>
      </c>
      <c r="L335" s="2" t="n">
        <f aca="false">IF(((C335-E335)&gt;0)AND(F335&gt;(C335-E335)),(C335-E335),IF(C335&lt;E335,0,F335))</f>
        <v>1.59129906460428</v>
      </c>
      <c r="M335" s="2" t="n">
        <f aca="false">IF(C335&lt;(E335+F335),0,C335-E335-F335)</f>
        <v>12.8764707430439</v>
      </c>
      <c r="N335" s="2" t="n">
        <f aca="false">IF(C335&lt;(E335+F335),0,(C335-E335-F335)/(1-V$16/100))</f>
        <v>14.4679446551055</v>
      </c>
      <c r="O335" s="2" t="n">
        <f aca="false">L335+M335</f>
        <v>14.4677698076481</v>
      </c>
      <c r="P335" s="2" t="n">
        <f aca="false">IF( N335=0,I335*(1-G335/100)+J335*(1-H335/100),-N335)</f>
        <v>-14.4679446551055</v>
      </c>
      <c r="Q335" s="47" t="n">
        <f aca="false">IF(P334&gt;0,Q334+P334*(1-V$20/100),Q334+P334)</f>
        <v>442.068978744529</v>
      </c>
      <c r="R335" s="48" t="n">
        <f aca="false">R$4+Q335/V$28</f>
        <v>45.2290214275864</v>
      </c>
    </row>
    <row r="336" customFormat="false" ht="12.8" hidden="false" customHeight="false" outlineLevel="0" collapsed="false">
      <c r="A336" s="1" t="n">
        <v>332</v>
      </c>
      <c r="B336" s="37" t="n">
        <v>43877</v>
      </c>
      <c r="C336" s="38" t="n">
        <f aca="false">V$26-V$26*SIN(2*PI()/365*A336)</f>
        <v>21.7775378931451</v>
      </c>
      <c r="D336" s="2" t="n">
        <f aca="false">IF((E336+F336)&gt;C336,C336,E336+F336)</f>
        <v>9.31333144721799</v>
      </c>
      <c r="E336" s="38" t="n">
        <f aca="false">(V$23+V$24*SIN(2*PI()/365*A336))*V$25/100*V$7*V$8/100</f>
        <v>7.68569198659367</v>
      </c>
      <c r="F336" s="38" t="n">
        <f aca="false">(V$23+V$24*SIN(2*PI()/365*A336))*V$25/100*V$9*(1-V$14/100)*(1-V$16/100)</f>
        <v>1.62763946062432</v>
      </c>
      <c r="G336" s="38" t="n">
        <f aca="false">IF(C336&gt;E336,100,C336/E336*100)</f>
        <v>100</v>
      </c>
      <c r="H336" s="38" t="n">
        <f aca="false">L336/F336*100</f>
        <v>100</v>
      </c>
      <c r="I336" s="38" t="n">
        <f aca="false">(V$23+V$24*SIN(2*PI()/365*A336))*V$25/100*V$7*V$8/100*(1-V$15/100)</f>
        <v>6.84026586806837</v>
      </c>
      <c r="J336" s="38" t="n">
        <f aca="false">(V$23+V$24*SIN(2*PI()/365*A336))*V$25/100*V$9*(1-V$14/100)</f>
        <v>1.82880838272396</v>
      </c>
      <c r="K336" s="39" t="n">
        <f aca="false">IF(E336/C336*100&lt;100,E336/C336*100,100)</f>
        <v>35.2918315390139</v>
      </c>
      <c r="L336" s="2" t="n">
        <f aca="false">IF(((C336-E336)&gt;0)AND(F336&gt;(C336-E336)),(C336-E336),IF(C336&lt;E336,0,F336))</f>
        <v>1.62763946062432</v>
      </c>
      <c r="M336" s="2" t="n">
        <f aca="false">IF(C336&lt;(E336+F336),0,C336-E336-F336)</f>
        <v>12.4642064459271</v>
      </c>
      <c r="N336" s="2" t="n">
        <f aca="false">IF(C336&lt;(E336+F336),0,(C336-E336-F336)/(1-V$16/100))</f>
        <v>14.0047263437383</v>
      </c>
      <c r="O336" s="2" t="n">
        <f aca="false">L336+M336</f>
        <v>14.0918459065514</v>
      </c>
      <c r="P336" s="2" t="n">
        <f aca="false">IF( N336=0,I336*(1-G336/100)+J336*(1-H336/100),-N336)</f>
        <v>-14.0047263437383</v>
      </c>
      <c r="Q336" s="47" t="n">
        <f aca="false">IF(P335&gt;0,Q335+P335*(1-V$20/100),Q335+P335)</f>
        <v>427.601034089424</v>
      </c>
      <c r="R336" s="48" t="n">
        <f aca="false">R$4+Q336/V$28</f>
        <v>45.0578870656379</v>
      </c>
    </row>
    <row r="337" customFormat="false" ht="12.8" hidden="false" customHeight="false" outlineLevel="0" collapsed="false">
      <c r="A337" s="1" t="n">
        <v>333</v>
      </c>
      <c r="B337" s="37" t="n">
        <v>43878</v>
      </c>
      <c r="C337" s="38" t="n">
        <f aca="false">V$26-V$26*SIN(2*PI()/365*A337)</f>
        <v>21.5709555015535</v>
      </c>
      <c r="D337" s="2" t="n">
        <f aca="false">IF((E337+F337)&gt;C337,C337,E337+F337)</f>
        <v>9.52356800123526</v>
      </c>
      <c r="E337" s="38" t="n">
        <f aca="false">(V$23+V$24*SIN(2*PI()/365*A337))*V$25/100*V$7*V$8/100</f>
        <v>7.85918666007942</v>
      </c>
      <c r="F337" s="38" t="n">
        <f aca="false">(V$23+V$24*SIN(2*PI()/365*A337))*V$25/100*V$9*(1-V$14/100)*(1-V$16/100)</f>
        <v>1.66438134115585</v>
      </c>
      <c r="G337" s="38" t="n">
        <f aca="false">IF(C337&gt;E337,100,C337/E337*100)</f>
        <v>100</v>
      </c>
      <c r="H337" s="38" t="n">
        <f aca="false">L337/F337*100</f>
        <v>100</v>
      </c>
      <c r="I337" s="38" t="n">
        <f aca="false">(V$23+V$24*SIN(2*PI()/365*A337))*V$25/100*V$7*V$8/100*(1-V$15/100)</f>
        <v>6.99467612747068</v>
      </c>
      <c r="J337" s="38" t="n">
        <f aca="false">(V$23+V$24*SIN(2*PI()/365*A337))*V$25/100*V$9*(1-V$14/100)</f>
        <v>1.87009139455713</v>
      </c>
      <c r="K337" s="39" t="n">
        <f aca="false">IF(E337/C337*100&lt;100,E337/C337*100,100)</f>
        <v>36.4341146571528</v>
      </c>
      <c r="L337" s="2" t="n">
        <f aca="false">IF(((C337-E337)&gt;0)AND(F337&gt;(C337-E337)),(C337-E337),IF(C337&lt;E337,0,F337))</f>
        <v>1.66438134115585</v>
      </c>
      <c r="M337" s="2" t="n">
        <f aca="false">IF(C337&lt;(E337+F337),0,C337-E337-F337)</f>
        <v>12.0473875003183</v>
      </c>
      <c r="N337" s="2" t="n">
        <f aca="false">IF(C337&lt;(E337+F337),0,(C337-E337-F337)/(1-V$16/100))</f>
        <v>13.5363904497958</v>
      </c>
      <c r="O337" s="2" t="n">
        <f aca="false">L337+M337</f>
        <v>13.7117688414741</v>
      </c>
      <c r="P337" s="2" t="n">
        <f aca="false">IF( N337=0,I337*(1-G337/100)+J337*(1-H337/100),-N337)</f>
        <v>-13.5363904497958</v>
      </c>
      <c r="Q337" s="47" t="n">
        <f aca="false">IF(P336&gt;0,Q336+P336*(1-V$20/100),Q336+P336)</f>
        <v>413.596307745685</v>
      </c>
      <c r="R337" s="48" t="n">
        <f aca="false">R$4+Q337/V$28</f>
        <v>44.8922318904051</v>
      </c>
    </row>
    <row r="338" customFormat="false" ht="12.8" hidden="false" customHeight="false" outlineLevel="0" collapsed="false">
      <c r="A338" s="1" t="n">
        <v>334</v>
      </c>
      <c r="B338" s="37" t="n">
        <v>43879</v>
      </c>
      <c r="C338" s="38" t="n">
        <f aca="false">V$26-V$26*SIN(2*PI()/365*A338)</f>
        <v>21.362176965351</v>
      </c>
      <c r="D338" s="2" t="n">
        <f aca="false">IF((E338+F338)&gt;C338,C338,E338+F338)</f>
        <v>9.73603954668424</v>
      </c>
      <c r="E338" s="38" t="n">
        <f aca="false">(V$23+V$24*SIN(2*PI()/365*A338))*V$25/100*V$7*V$8/100</f>
        <v>8.03452572789754</v>
      </c>
      <c r="F338" s="38" t="n">
        <f aca="false">(V$23+V$24*SIN(2*PI()/365*A338))*V$25/100*V$9*(1-V$14/100)*(1-V$16/100)</f>
        <v>1.7015138187867</v>
      </c>
      <c r="G338" s="38" t="n">
        <f aca="false">IF(C338&gt;E338,100,C338/E338*100)</f>
        <v>100</v>
      </c>
      <c r="H338" s="38" t="n">
        <f aca="false">L338/F338*100</f>
        <v>100</v>
      </c>
      <c r="I338" s="38" t="n">
        <f aca="false">(V$23+V$24*SIN(2*PI()/365*A338))*V$25/100*V$7*V$8/100*(1-V$15/100)</f>
        <v>7.15072789782881</v>
      </c>
      <c r="J338" s="38" t="n">
        <f aca="false">(V$23+V$24*SIN(2*PI()/365*A338))*V$25/100*V$9*(1-V$14/100)</f>
        <v>1.91181327953562</v>
      </c>
      <c r="K338" s="39" t="n">
        <f aca="false">IF(E338/C338*100&lt;100,E338/C338*100,100)</f>
        <v>37.6109875923666</v>
      </c>
      <c r="L338" s="2" t="n">
        <f aca="false">IF(((C338-E338)&gt;0)AND(F338&gt;(C338-E338)),(C338-E338),IF(C338&lt;E338,0,F338))</f>
        <v>1.7015138187867</v>
      </c>
      <c r="M338" s="2" t="n">
        <f aca="false">IF(C338&lt;(E338+F338),0,C338-E338-F338)</f>
        <v>11.6261374186667</v>
      </c>
      <c r="N338" s="2" t="n">
        <f aca="false">IF(C338&lt;(E338+F338),0,(C338-E338-F338)/(1-V$16/100))</f>
        <v>13.0630757513109</v>
      </c>
      <c r="O338" s="2" t="n">
        <f aca="false">L338+M338</f>
        <v>13.3276512374534</v>
      </c>
      <c r="P338" s="2" t="n">
        <f aca="false">IF( N338=0,I338*(1-G338/100)+J338*(1-H338/100),-N338)</f>
        <v>-13.0630757513109</v>
      </c>
      <c r="Q338" s="47" t="n">
        <f aca="false">IF(P337&gt;0,Q337+P337*(1-V$20/100),Q337+P337)</f>
        <v>400.05991729589</v>
      </c>
      <c r="R338" s="48" t="n">
        <f aca="false">R$4+Q338/V$28</f>
        <v>44.7321164353122</v>
      </c>
    </row>
    <row r="339" customFormat="false" ht="12.8" hidden="false" customHeight="false" outlineLevel="0" collapsed="false">
      <c r="A339" s="1" t="n">
        <v>335</v>
      </c>
      <c r="B339" s="37" t="n">
        <v>43880</v>
      </c>
      <c r="C339" s="38" t="n">
        <f aca="false">V$26-V$26*SIN(2*PI()/365*A339)</f>
        <v>21.1512641501234</v>
      </c>
      <c r="D339" s="2" t="n">
        <f aca="false">IF((E339+F339)&gt;C339,C339,E339+F339)</f>
        <v>9.9506831236605</v>
      </c>
      <c r="E339" s="38" t="n">
        <f aca="false">(V$23+V$24*SIN(2*PI()/365*A339))*V$25/100*V$7*V$8/100</f>
        <v>8.21165723329811</v>
      </c>
      <c r="F339" s="38" t="n">
        <f aca="false">(V$23+V$24*SIN(2*PI()/365*A339))*V$25/100*V$9*(1-V$14/100)*(1-V$16/100)</f>
        <v>1.73902589036239</v>
      </c>
      <c r="G339" s="38" t="n">
        <f aca="false">IF(C339&gt;E339,100,C339/E339*100)</f>
        <v>100</v>
      </c>
      <c r="H339" s="38" t="n">
        <f aca="false">L339/F339*100</f>
        <v>100</v>
      </c>
      <c r="I339" s="38" t="n">
        <f aca="false">(V$23+V$24*SIN(2*PI()/365*A339))*V$25/100*V$7*V$8/100*(1-V$15/100)</f>
        <v>7.30837493763532</v>
      </c>
      <c r="J339" s="38" t="n">
        <f aca="false">(V$23+V$24*SIN(2*PI()/365*A339))*V$25/100*V$9*(1-V$14/100)</f>
        <v>1.95396167456448</v>
      </c>
      <c r="K339" s="39" t="n">
        <f aca="false">IF(E339/C339*100&lt;100,E339/C339*100,100)</f>
        <v>38.8234820151408</v>
      </c>
      <c r="L339" s="2" t="n">
        <f aca="false">IF(((C339-E339)&gt;0)AND(F339&gt;(C339-E339)),(C339-E339),IF(C339&lt;E339,0,F339))</f>
        <v>1.73902589036239</v>
      </c>
      <c r="M339" s="2" t="n">
        <f aca="false">IF(C339&lt;(E339+F339),0,C339-E339-F339)</f>
        <v>11.2005810264629</v>
      </c>
      <c r="N339" s="2" t="n">
        <f aca="false">IF(C339&lt;(E339+F339),0,(C339-E339-F339)/(1-V$16/100))</f>
        <v>12.5849225016438</v>
      </c>
      <c r="O339" s="2" t="n">
        <f aca="false">L339+M339</f>
        <v>12.9396069168253</v>
      </c>
      <c r="P339" s="2" t="n">
        <f aca="false">IF( N339=0,I339*(1-G339/100)+J339*(1-H339/100),-N339)</f>
        <v>-12.5849225016438</v>
      </c>
      <c r="Q339" s="47" t="n">
        <f aca="false">IF(P338&gt;0,Q338+P338*(1-V$20/100),Q338+P338)</f>
        <v>386.996841544579</v>
      </c>
      <c r="R339" s="48" t="n">
        <f aca="false">R$4+Q339/V$28</f>
        <v>44.5775995922444</v>
      </c>
    </row>
    <row r="340" customFormat="false" ht="12.8" hidden="false" customHeight="false" outlineLevel="0" collapsed="false">
      <c r="A340" s="1" t="n">
        <v>336</v>
      </c>
      <c r="B340" s="37" t="n">
        <v>43881</v>
      </c>
      <c r="C340" s="38" t="n">
        <f aca="false">V$26-V$26*SIN(2*PI()/365*A340)</f>
        <v>20.93827955389</v>
      </c>
      <c r="D340" s="2" t="n">
        <f aca="false">IF((E340+F340)&gt;C340,C340,E340+F340)</f>
        <v>10.1674351286398</v>
      </c>
      <c r="E340" s="38" t="n">
        <f aca="false">(V$23+V$24*SIN(2*PI()/365*A340))*V$25/100*V$7*V$8/100</f>
        <v>8.39052868839326</v>
      </c>
      <c r="F340" s="38" t="n">
        <f aca="false">(V$23+V$24*SIN(2*PI()/365*A340))*V$25/100*V$9*(1-V$14/100)*(1-V$16/100)</f>
        <v>1.77690644024651</v>
      </c>
      <c r="G340" s="38" t="n">
        <f aca="false">IF(C340&gt;E340,100,C340/E340*100)</f>
        <v>100</v>
      </c>
      <c r="H340" s="38" t="n">
        <f aca="false">L340/F340*100</f>
        <v>100</v>
      </c>
      <c r="I340" s="38" t="n">
        <f aca="false">(V$23+V$24*SIN(2*PI()/365*A340))*V$25/100*V$7*V$8/100*(1-V$15/100)</f>
        <v>7.46757053267</v>
      </c>
      <c r="J340" s="38" t="n">
        <f aca="false">(V$23+V$24*SIN(2*PI()/365*A340))*V$25/100*V$9*(1-V$14/100)</f>
        <v>1.99652409016462</v>
      </c>
      <c r="K340" s="39" t="n">
        <f aca="false">IF(E340/C340*100&lt;100,E340/C340*100,100)</f>
        <v>40.0726748670925</v>
      </c>
      <c r="L340" s="2" t="n">
        <f aca="false">IF(((C340-E340)&gt;0)AND(F340&gt;(C340-E340)),(C340-E340),IF(C340&lt;E340,0,F340))</f>
        <v>1.77690644024651</v>
      </c>
      <c r="M340" s="2" t="n">
        <f aca="false">IF(C340&lt;(E340+F340),0,C340-E340-F340)</f>
        <v>10.7708444252502</v>
      </c>
      <c r="N340" s="2" t="n">
        <f aca="false">IF(C340&lt;(E340+F340),0,(C340-E340-F340)/(1-V$16/100))</f>
        <v>12.1020723879216</v>
      </c>
      <c r="O340" s="2" t="n">
        <f aca="false">L340+M340</f>
        <v>12.5477508654968</v>
      </c>
      <c r="P340" s="2" t="n">
        <f aca="false">IF( N340=0,I340*(1-G340/100)+J340*(1-H340/100),-N340)</f>
        <v>-12.1020723879216</v>
      </c>
      <c r="Q340" s="47" t="n">
        <f aca="false">IF(P339&gt;0,Q339+P339*(1-V$20/100),Q339+P339)</f>
        <v>374.411919042935</v>
      </c>
      <c r="R340" s="48" t="n">
        <f aca="false">R$4+Q340/V$28</f>
        <v>44.4287385940977</v>
      </c>
    </row>
    <row r="341" customFormat="false" ht="12.8" hidden="false" customHeight="false" outlineLevel="0" collapsed="false">
      <c r="A341" s="1" t="n">
        <v>337</v>
      </c>
      <c r="B341" s="37" t="n">
        <v>43882</v>
      </c>
      <c r="C341" s="38" t="n">
        <f aca="false">V$26-V$26*SIN(2*PI()/365*A341)</f>
        <v>20.7232862885831</v>
      </c>
      <c r="D341" s="2" t="n">
        <f aca="false">IF((E341+F341)&gt;C341,C341,E341+F341)</f>
        <v>10.3862313333251</v>
      </c>
      <c r="E341" s="38" t="n">
        <f aca="false">(V$23+V$24*SIN(2*PI()/365*A341))*V$25/100*V$7*V$8/100</f>
        <v>8.5710870897105</v>
      </c>
      <c r="F341" s="38" t="n">
        <f aca="false">(V$23+V$24*SIN(2*PI()/365*A341))*V$25/100*V$9*(1-V$14/100)*(1-V$16/100)</f>
        <v>1.81514424361461</v>
      </c>
      <c r="G341" s="38" t="n">
        <f aca="false">IF(C341&gt;E341,100,C341/E341*100)</f>
        <v>100</v>
      </c>
      <c r="H341" s="38" t="n">
        <f aca="false">L341/F341*100</f>
        <v>100</v>
      </c>
      <c r="I341" s="38" t="n">
        <f aca="false">(V$23+V$24*SIN(2*PI()/365*A341))*V$25/100*V$7*V$8/100*(1-V$15/100)</f>
        <v>7.62826750984234</v>
      </c>
      <c r="J341" s="38" t="n">
        <f aca="false">(V$23+V$24*SIN(2*PI()/365*A341))*V$25/100*V$9*(1-V$14/100)</f>
        <v>2.03948791417372</v>
      </c>
      <c r="K341" s="39" t="n">
        <f aca="false">IF(E341/C341*100&lt;100,E341/C341*100,100)</f>
        <v>41.3596905932458</v>
      </c>
      <c r="L341" s="2" t="n">
        <f aca="false">IF(((C341-E341)&gt;0)AND(F341&gt;(C341-E341)),(C341-E341),IF(C341&lt;E341,0,F341))</f>
        <v>1.81514424361461</v>
      </c>
      <c r="M341" s="2" t="n">
        <f aca="false">IF(C341&lt;(E341+F341),0,C341-E341-F341)</f>
        <v>10.337054955258</v>
      </c>
      <c r="N341" s="2" t="n">
        <f aca="false">IF(C341&lt;(E341+F341),0,(C341-E341-F341)/(1-V$16/100))</f>
        <v>11.6146684890539</v>
      </c>
      <c r="O341" s="2" t="n">
        <f aca="false">L341+M341</f>
        <v>12.1521991988726</v>
      </c>
      <c r="P341" s="2" t="n">
        <f aca="false">IF( N341=0,I341*(1-G341/100)+J341*(1-H341/100),-N341)</f>
        <v>-11.6146684890539</v>
      </c>
      <c r="Q341" s="47" t="n">
        <f aca="false">IF(P340&gt;0,Q340+P340*(1-V$20/100),Q340+P340)</f>
        <v>362.309846655013</v>
      </c>
      <c r="R341" s="48" t="n">
        <f aca="false">R$4+Q341/V$28</f>
        <v>44.2855889978189</v>
      </c>
    </row>
    <row r="342" customFormat="false" ht="12.8" hidden="false" customHeight="false" outlineLevel="0" collapsed="false">
      <c r="A342" s="1" t="n">
        <v>338</v>
      </c>
      <c r="B342" s="37" t="n">
        <v>43883</v>
      </c>
      <c r="C342" s="38" t="n">
        <f aca="false">V$26-V$26*SIN(2*PI()/365*A342)</f>
        <v>20.5063480613472</v>
      </c>
      <c r="D342" s="2" t="n">
        <f aca="false">IF((E342+F342)&gt;C342,C342,E342+F342)</f>
        <v>10.607006903679</v>
      </c>
      <c r="E342" s="38" t="n">
        <f aca="false">(V$23+V$24*SIN(2*PI()/365*A342))*V$25/100*V$7*V$8/100</f>
        <v>8.75327893389873</v>
      </c>
      <c r="F342" s="38" t="n">
        <f aca="false">(V$23+V$24*SIN(2*PI()/365*A342))*V$25/100*V$9*(1-V$14/100)*(1-V$16/100)</f>
        <v>1.85372796978032</v>
      </c>
      <c r="G342" s="38" t="n">
        <f aca="false">IF(C342&gt;E342,100,C342/E342*100)</f>
        <v>100</v>
      </c>
      <c r="H342" s="38" t="n">
        <f aca="false">L342/F342*100</f>
        <v>100</v>
      </c>
      <c r="I342" s="38" t="n">
        <f aca="false">(V$23+V$24*SIN(2*PI()/365*A342))*V$25/100*V$7*V$8/100*(1-V$15/100)</f>
        <v>7.79041825116987</v>
      </c>
      <c r="J342" s="38" t="n">
        <f aca="false">(V$23+V$24*SIN(2*PI()/365*A342))*V$25/100*V$9*(1-V$14/100)</f>
        <v>2.0828404154835</v>
      </c>
      <c r="K342" s="39" t="n">
        <f aca="false">IF(E342/C342*100&lt;100,E342/C342*100,100)</f>
        <v>42.6857035085539</v>
      </c>
      <c r="L342" s="2" t="n">
        <f aca="false">IF(((C342-E342)&gt;0)AND(F342&gt;(C342-E342)),(C342-E342),IF(C342&lt;E342,0,F342))</f>
        <v>1.85372796978032</v>
      </c>
      <c r="M342" s="2" t="n">
        <f aca="false">IF(C342&lt;(E342+F342),0,C342-E342-F342)</f>
        <v>9.89934115766811</v>
      </c>
      <c r="N342" s="2" t="n">
        <f aca="false">IF(C342&lt;(E342+F342),0,(C342-E342-F342)/(1-V$16/100))</f>
        <v>11.122855233335</v>
      </c>
      <c r="O342" s="2" t="n">
        <f aca="false">L342+M342</f>
        <v>11.7530691274484</v>
      </c>
      <c r="P342" s="2" t="n">
        <f aca="false">IF( N342=0,I342*(1-G342/100)+J342*(1-H342/100),-N342)</f>
        <v>-11.122855233335</v>
      </c>
      <c r="Q342" s="47" t="n">
        <f aca="false">IF(P341&gt;0,Q341+P341*(1-V$20/100),Q341+P341)</f>
        <v>350.695178165959</v>
      </c>
      <c r="R342" s="48" t="n">
        <f aca="false">R$4+Q342/V$28</f>
        <v>44.1482046679434</v>
      </c>
    </row>
    <row r="343" customFormat="false" ht="12.8" hidden="false" customHeight="false" outlineLevel="0" collapsed="false">
      <c r="A343" s="1" t="n">
        <v>339</v>
      </c>
      <c r="B343" s="37" t="n">
        <v>43884</v>
      </c>
      <c r="C343" s="38" t="n">
        <f aca="false">V$26-V$26*SIN(2*PI()/365*A343)</f>
        <v>20.2875291556608</v>
      </c>
      <c r="D343" s="2" t="n">
        <f aca="false">IF((E343+F343)&gt;C343,C343,E343+F343)</f>
        <v>10.8296964191354</v>
      </c>
      <c r="E343" s="38" t="n">
        <f aca="false">(V$23+V$24*SIN(2*PI()/365*A343))*V$25/100*V$7*V$8/100</f>
        <v>8.93705023358252</v>
      </c>
      <c r="F343" s="38" t="n">
        <f aca="false">(V$23+V$24*SIN(2*PI()/365*A343))*V$25/100*V$9*(1-V$14/100)*(1-V$16/100)</f>
        <v>1.89264618555286</v>
      </c>
      <c r="G343" s="38" t="n">
        <f aca="false">IF(C343&gt;E343,100,C343/E343*100)</f>
        <v>100</v>
      </c>
      <c r="H343" s="38" t="n">
        <f aca="false">L343/F343*100</f>
        <v>100</v>
      </c>
      <c r="I343" s="38" t="n">
        <f aca="false">(V$23+V$24*SIN(2*PI()/365*A343))*V$25/100*V$7*V$8/100*(1-V$15/100)</f>
        <v>7.95397470788844</v>
      </c>
      <c r="J343" s="38" t="n">
        <f aca="false">(V$23+V$24*SIN(2*PI()/365*A343))*V$25/100*V$9*(1-V$14/100)</f>
        <v>2.1265687478122</v>
      </c>
      <c r="K343" s="39" t="n">
        <f aca="false">IF(E343/C343*100&lt;100,E343/C343*100,100)</f>
        <v>44.0519403078162</v>
      </c>
      <c r="L343" s="2" t="n">
        <f aca="false">IF(((C343-E343)&gt;0)AND(F343&gt;(C343-E343)),(C343-E343),IF(C343&lt;E343,0,F343))</f>
        <v>1.89264618555286</v>
      </c>
      <c r="M343" s="2" t="n">
        <f aca="false">IF(C343&lt;(E343+F343),0,C343-E343-F343)</f>
        <v>9.45783273652544</v>
      </c>
      <c r="N343" s="2" t="n">
        <f aca="false">IF(C343&lt;(E343+F343),0,(C343-E343-F343)/(1-V$16/100))</f>
        <v>10.6267783556466</v>
      </c>
      <c r="O343" s="2" t="n">
        <f aca="false">L343+M343</f>
        <v>11.3504789220783</v>
      </c>
      <c r="P343" s="2" t="n">
        <f aca="false">IF( N343=0,I343*(1-G343/100)+J343*(1-H343/100),-N343)</f>
        <v>-10.6267783556466</v>
      </c>
      <c r="Q343" s="47" t="n">
        <f aca="false">IF(P342&gt;0,Q342+P342*(1-V$20/100),Q342+P342)</f>
        <v>339.572322932624</v>
      </c>
      <c r="R343" s="48" t="n">
        <f aca="false">R$4+Q343/V$28</f>
        <v>44.0166377606335</v>
      </c>
    </row>
    <row r="344" customFormat="false" ht="12.8" hidden="false" customHeight="false" outlineLevel="0" collapsed="false">
      <c r="A344" s="1" t="n">
        <v>340</v>
      </c>
      <c r="B344" s="37" t="n">
        <v>43885</v>
      </c>
      <c r="C344" s="38" t="n">
        <f aca="false">V$26-V$26*SIN(2*PI()/365*A344)</f>
        <v>20.0668944122883</v>
      </c>
      <c r="D344" s="2" t="n">
        <f aca="false">IF((E344+F344)&gt;C344,C344,E344+F344)</f>
        <v>11.0542338919846</v>
      </c>
      <c r="E344" s="38" t="n">
        <f aca="false">(V$23+V$24*SIN(2*PI()/365*A344))*V$25/100*V$7*V$8/100</f>
        <v>9.12234653335965</v>
      </c>
      <c r="F344" s="38" t="n">
        <f aca="false">(V$23+V$24*SIN(2*PI()/365*A344))*V$25/100*V$9*(1-V$14/100)*(1-V$16/100)</f>
        <v>1.93188735862498</v>
      </c>
      <c r="G344" s="38" t="n">
        <f aca="false">IF(C344&gt;E344,100,C344/E344*100)</f>
        <v>100</v>
      </c>
      <c r="H344" s="38" t="n">
        <f aca="false">L344/F344*100</f>
        <v>100</v>
      </c>
      <c r="I344" s="38" t="n">
        <f aca="false">(V$23+V$24*SIN(2*PI()/365*A344))*V$25/100*V$7*V$8/100*(1-V$15/100)</f>
        <v>8.11888841469009</v>
      </c>
      <c r="J344" s="38" t="n">
        <f aca="false">(V$23+V$24*SIN(2*PI()/365*A344))*V$25/100*V$9*(1-V$14/100)</f>
        <v>2.17065995351121</v>
      </c>
      <c r="K344" s="39" t="n">
        <f aca="false">IF(E344/C344*100&lt;100,E344/C344*100,100)</f>
        <v>45.4596827288502</v>
      </c>
      <c r="L344" s="2" t="n">
        <f aca="false">IF(((C344-E344)&gt;0)AND(F344&gt;(C344-E344)),(C344-E344),IF(C344&lt;E344,0,F344))</f>
        <v>1.93188735862498</v>
      </c>
      <c r="M344" s="2" t="n">
        <f aca="false">IF(C344&lt;(E344+F344),0,C344-E344-F344)</f>
        <v>9.01266052030372</v>
      </c>
      <c r="N344" s="2" t="n">
        <f aca="false">IF(C344&lt;(E344+F344),0,(C344-E344-F344)/(1-V$16/100))</f>
        <v>10.1265848542738</v>
      </c>
      <c r="O344" s="2" t="n">
        <f aca="false">L344+M344</f>
        <v>10.9445478789287</v>
      </c>
      <c r="P344" s="2" t="n">
        <f aca="false">IF( N344=0,I344*(1-G344/100)+J344*(1-H344/100),-N344)</f>
        <v>-10.1265848542738</v>
      </c>
      <c r="Q344" s="47" t="n">
        <f aca="false">IF(P343&gt;0,Q343+P343*(1-V$20/100),Q343+P343)</f>
        <v>328.945544576978</v>
      </c>
      <c r="R344" s="48" t="n">
        <f aca="false">R$4+Q344/V$28</f>
        <v>43.8909387082239</v>
      </c>
    </row>
    <row r="345" customFormat="false" ht="12.8" hidden="false" customHeight="false" outlineLevel="0" collapsed="false">
      <c r="A345" s="1" t="n">
        <v>341</v>
      </c>
      <c r="B345" s="37" t="n">
        <v>43886</v>
      </c>
      <c r="C345" s="38" t="n">
        <f aca="false">V$26-V$26*SIN(2*PI()/365*A345)</f>
        <v>19.8445092100659</v>
      </c>
      <c r="D345" s="2" t="n">
        <f aca="false">IF((E345+F345)&gt;C345,C345,E345+F345)</f>
        <v>11.2805527869277</v>
      </c>
      <c r="E345" s="38" t="n">
        <f aca="false">(V$23+V$24*SIN(2*PI()/365*A345))*V$25/100*V$7*V$8/100</f>
        <v>9.30911292593746</v>
      </c>
      <c r="F345" s="38" t="n">
        <f aca="false">(V$23+V$24*SIN(2*PI()/365*A345))*V$25/100*V$9*(1-V$14/100)*(1-V$16/100)</f>
        <v>1.9714398609902</v>
      </c>
      <c r="G345" s="38" t="n">
        <f aca="false">IF(C345&gt;E345,100,C345/E345*100)</f>
        <v>100</v>
      </c>
      <c r="H345" s="38" t="n">
        <f aca="false">L345/F345*100</f>
        <v>100</v>
      </c>
      <c r="I345" s="38" t="n">
        <f aca="false">(V$23+V$24*SIN(2*PI()/365*A345))*V$25/100*V$7*V$8/100*(1-V$15/100)</f>
        <v>8.28511050408434</v>
      </c>
      <c r="J345" s="38" t="n">
        <f aca="false">(V$23+V$24*SIN(2*PI()/365*A345))*V$25/100*V$9*(1-V$14/100)</f>
        <v>2.21510096740472</v>
      </c>
      <c r="K345" s="39" t="n">
        <f aca="false">IF(E345/C345*100&lt;100,E345/C345*100,100)</f>
        <v>46.9102703795543</v>
      </c>
      <c r="L345" s="2" t="n">
        <f aca="false">IF(((C345-E345)&gt;0)AND(F345&gt;(C345-E345)),(C345-E345),IF(C345&lt;E345,0,F345))</f>
        <v>1.9714398609902</v>
      </c>
      <c r="M345" s="2" t="n">
        <f aca="false">IF(C345&lt;(E345+F345),0,C345-E345-F345)</f>
        <v>8.56395642313823</v>
      </c>
      <c r="N345" s="2" t="n">
        <f aca="false">IF(C345&lt;(E345+F345),0,(C345-E345-F345)/(1-V$16/100))</f>
        <v>9.62242294734632</v>
      </c>
      <c r="O345" s="2" t="n">
        <f aca="false">L345+M345</f>
        <v>10.5353962841284</v>
      </c>
      <c r="P345" s="2" t="n">
        <f aca="false">IF( N345=0,I345*(1-G345/100)+J345*(1-H345/100),-N345)</f>
        <v>-9.62242294734632</v>
      </c>
      <c r="Q345" s="47" t="n">
        <f aca="false">IF(P344&gt;0,Q344+P344*(1-V$20/100),Q344+P344)</f>
        <v>318.818959722704</v>
      </c>
      <c r="R345" s="48" t="n">
        <f aca="false">R$4+Q345/V$28</f>
        <v>43.771156204277</v>
      </c>
    </row>
    <row r="346" customFormat="false" ht="12.8" hidden="false" customHeight="false" outlineLevel="0" collapsed="false">
      <c r="A346" s="1" t="n">
        <v>342</v>
      </c>
      <c r="B346" s="37" t="n">
        <v>43887</v>
      </c>
      <c r="C346" s="38" t="n">
        <f aca="false">V$26-V$26*SIN(2*PI()/365*A346)</f>
        <v>19.6204394465283</v>
      </c>
      <c r="D346" s="2" t="n">
        <f aca="false">IF((E346+F346)&gt;C346,C346,E346+F346)</f>
        <v>11.5085860407916</v>
      </c>
      <c r="E346" s="38" t="n">
        <f aca="false">(V$23+V$24*SIN(2*PI()/365*A346))*V$25/100*V$7*V$8/100</f>
        <v>9.4972940684031</v>
      </c>
      <c r="F346" s="38" t="n">
        <f aca="false">(V$23+V$24*SIN(2*PI()/365*A346))*V$25/100*V$9*(1-V$14/100)*(1-V$16/100)</f>
        <v>2.01129197238846</v>
      </c>
      <c r="G346" s="38" t="n">
        <f aca="false">IF(C346&gt;E346,100,C346/E346*100)</f>
        <v>100</v>
      </c>
      <c r="H346" s="38" t="n">
        <f aca="false">L346/F346*100</f>
        <v>100</v>
      </c>
      <c r="I346" s="38" t="n">
        <f aca="false">(V$23+V$24*SIN(2*PI()/365*A346))*V$25/100*V$7*V$8/100*(1-V$15/100)</f>
        <v>8.45259172087876</v>
      </c>
      <c r="J346" s="38" t="n">
        <f aca="false">(V$23+V$24*SIN(2*PI()/365*A346))*V$25/100*V$9*(1-V$14/100)</f>
        <v>2.25987862066119</v>
      </c>
      <c r="K346" s="39" t="n">
        <f aca="false">IF(E346/C346*100&lt;100,E346/C346*100,100)</f>
        <v>48.4051037403425</v>
      </c>
      <c r="L346" s="2" t="n">
        <f aca="false">IF(((C346-E346)&gt;0)AND(F346&gt;(C346-E346)),(C346-E346),IF(C346&lt;E346,0,F346))</f>
        <v>2.01129197238846</v>
      </c>
      <c r="M346" s="2" t="n">
        <f aca="false">IF(C346&lt;(E346+F346),0,C346-E346-F346)</f>
        <v>8.11185340573675</v>
      </c>
      <c r="N346" s="2" t="n">
        <f aca="false">IF(C346&lt;(E346+F346),0,(C346-E346-F346)/(1-V$16/100))</f>
        <v>9.11444202891769</v>
      </c>
      <c r="O346" s="2" t="n">
        <f aca="false">L346+M346</f>
        <v>10.1231453781252</v>
      </c>
      <c r="P346" s="2" t="n">
        <f aca="false">IF( N346=0,I346*(1-G346/100)+J346*(1-H346/100),-N346)</f>
        <v>-9.11444202891769</v>
      </c>
      <c r="Q346" s="47" t="n">
        <f aca="false">IF(P345&gt;0,Q345+P345*(1-V$20/100),Q345+P345)</f>
        <v>309.196536775358</v>
      </c>
      <c r="R346" s="48" t="n">
        <f aca="false">R$4+Q346/V$28</f>
        <v>43.6573371891543</v>
      </c>
    </row>
    <row r="347" customFormat="false" ht="12.8" hidden="false" customHeight="false" outlineLevel="0" collapsed="false">
      <c r="A347" s="1" t="n">
        <v>343</v>
      </c>
      <c r="B347" s="37" t="n">
        <v>43888</v>
      </c>
      <c r="C347" s="38" t="n">
        <f aca="false">V$26-V$26*SIN(2*PI()/365*A347)</f>
        <v>19.3947515183824</v>
      </c>
      <c r="D347" s="2" t="n">
        <f aca="false">IF((E347+F347)&gt;C347,C347,E347+F347)</f>
        <v>11.7382660824018</v>
      </c>
      <c r="E347" s="38" t="n">
        <f aca="false">(V$23+V$24*SIN(2*PI()/365*A347))*V$25/100*V$7*V$8/100</f>
        <v>9.68683419862277</v>
      </c>
      <c r="F347" s="38" t="n">
        <f aca="false">(V$23+V$24*SIN(2*PI()/365*A347))*V$25/100*V$9*(1-V$14/100)*(1-V$16/100)</f>
        <v>2.05143188377907</v>
      </c>
      <c r="G347" s="38" t="n">
        <f aca="false">IF(C347&gt;E347,100,C347/E347*100)</f>
        <v>100</v>
      </c>
      <c r="H347" s="38" t="n">
        <f aca="false">L347/F347*100</f>
        <v>100</v>
      </c>
      <c r="I347" s="38" t="n">
        <f aca="false">(V$23+V$24*SIN(2*PI()/365*A347))*V$25/100*V$7*V$8/100*(1-V$15/100)</f>
        <v>8.62128243677427</v>
      </c>
      <c r="J347" s="38" t="n">
        <f aca="false">(V$23+V$24*SIN(2*PI()/365*A347))*V$25/100*V$9*(1-V$14/100)</f>
        <v>2.30497964469559</v>
      </c>
      <c r="K347" s="39" t="n">
        <f aca="false">IF(E347/C347*100&lt;100,E347/C347*100,100)</f>
        <v>49.9456473543451</v>
      </c>
      <c r="L347" s="2" t="n">
        <f aca="false">IF(((C347-E347)&gt;0)AND(F347&gt;(C347-E347)),(C347-E347),IF(C347&lt;E347,0,F347))</f>
        <v>2.05143188377907</v>
      </c>
      <c r="M347" s="2" t="n">
        <f aca="false">IF(C347&lt;(E347+F347),0,C347-E347-F347)</f>
        <v>7.65648543598056</v>
      </c>
      <c r="N347" s="2" t="n">
        <f aca="false">IF(C347&lt;(E347+F347),0,(C347-E347-F347)/(1-V$16/100))</f>
        <v>8.60279262469726</v>
      </c>
      <c r="O347" s="2" t="n">
        <f aca="false">L347+M347</f>
        <v>9.70791731975963</v>
      </c>
      <c r="P347" s="2" t="n">
        <f aca="false">IF( N347=0,I347*(1-G347/100)+J347*(1-H347/100),-N347)</f>
        <v>-8.60279262469726</v>
      </c>
      <c r="Q347" s="47" t="n">
        <f aca="false">IF(P346&gt;0,Q346+P346*(1-V$20/100),Q346+P346)</f>
        <v>300.08209474644</v>
      </c>
      <c r="R347" s="48" t="n">
        <f aca="false">R$4+Q347/V$28</f>
        <v>43.5495268361071</v>
      </c>
    </row>
    <row r="348" customFormat="false" ht="12.8" hidden="false" customHeight="false" outlineLevel="0" collapsed="false">
      <c r="A348" s="1" t="n">
        <v>344</v>
      </c>
      <c r="B348" s="37" t="n">
        <v>43889</v>
      </c>
      <c r="C348" s="38" t="n">
        <f aca="false">V$26-V$26*SIN(2*PI()/365*A348)</f>
        <v>19.167512301832</v>
      </c>
      <c r="D348" s="2" t="n">
        <f aca="false">IF((E348+F348)&gt;C348,C348,E348+F348)</f>
        <v>11.9695248526053</v>
      </c>
      <c r="E348" s="38" t="n">
        <f aca="false">(V$23+V$24*SIN(2*PI()/365*A348))*V$25/100*V$7*V$8/100</f>
        <v>9.87767715176529</v>
      </c>
      <c r="F348" s="38" t="n">
        <f aca="false">(V$23+V$24*SIN(2*PI()/365*A348))*V$25/100*V$9*(1-V$14/100)*(1-V$16/100)</f>
        <v>2.09184770084</v>
      </c>
      <c r="G348" s="38" t="n">
        <f aca="false">IF(C348&gt;E348,100,C348/E348*100)</f>
        <v>100</v>
      </c>
      <c r="H348" s="38" t="n">
        <f aca="false">L348/F348*100</f>
        <v>100</v>
      </c>
      <c r="I348" s="38" t="n">
        <f aca="false">(V$23+V$24*SIN(2*PI()/365*A348))*V$25/100*V$7*V$8/100*(1-V$15/100)</f>
        <v>8.79113266507111</v>
      </c>
      <c r="J348" s="38" t="n">
        <f aca="false">(V$23+V$24*SIN(2*PI()/365*A348))*V$25/100*V$9*(1-V$14/100)</f>
        <v>2.35039067510113</v>
      </c>
      <c r="K348" s="39" t="n">
        <f aca="false">IF(E348/C348*100&lt;100,E348/C348*100,100)</f>
        <v>51.5334332187761</v>
      </c>
      <c r="L348" s="2" t="n">
        <f aca="false">IF(((C348-E348)&gt;0)AND(F348&gt;(C348-E348)),(C348-E348),IF(C348&lt;E348,0,F348))</f>
        <v>2.09184770084</v>
      </c>
      <c r="M348" s="2" t="n">
        <f aca="false">IF(C348&lt;(E348+F348),0,C348-E348-F348)</f>
        <v>7.1979874492267</v>
      </c>
      <c r="N348" s="2" t="n">
        <f aca="false">IF(C348&lt;(E348+F348),0,(C348-E348-F348)/(1-V$16/100))</f>
        <v>8.08762634744573</v>
      </c>
      <c r="O348" s="2" t="n">
        <f aca="false">L348+M348</f>
        <v>9.28983515006671</v>
      </c>
      <c r="P348" s="2" t="n">
        <f aca="false">IF( N348=0,I348*(1-G348/100)+J348*(1-H348/100),-N348)</f>
        <v>-8.08762634744573</v>
      </c>
      <c r="Q348" s="47" t="n">
        <f aca="false">IF(P347&gt;0,Q347+P347*(1-V$20/100),Q347+P347)</f>
        <v>291.479302121743</v>
      </c>
      <c r="R348" s="48" t="n">
        <f aca="false">R$4+Q348/V$28</f>
        <v>43.4477685378899</v>
      </c>
    </row>
    <row r="349" customFormat="false" ht="12.8" hidden="false" customHeight="false" outlineLevel="0" collapsed="false">
      <c r="A349" s="1" t="n">
        <v>345</v>
      </c>
      <c r="B349" s="37" t="n">
        <v>43890</v>
      </c>
      <c r="C349" s="38" t="n">
        <f aca="false">V$26-V$26*SIN(2*PI()/365*A349)</f>
        <v>18.9387891327612</v>
      </c>
      <c r="D349" s="2" t="n">
        <f aca="false">IF((E349+F349)&gt;C349,C349,E349+F349)</f>
        <v>12.2022938244373</v>
      </c>
      <c r="E349" s="38" t="n">
        <f aca="false">(V$23+V$24*SIN(2*PI()/365*A349))*V$25/100*V$7*V$8/100</f>
        <v>10.0697663769449</v>
      </c>
      <c r="F349" s="38" t="n">
        <f aca="false">(V$23+V$24*SIN(2*PI()/365*A349))*V$25/100*V$9*(1-V$14/100)*(1-V$16/100)</f>
        <v>2.13252744749241</v>
      </c>
      <c r="G349" s="38" t="n">
        <f aca="false">IF(C349&gt;E349,100,C349/E349*100)</f>
        <v>100</v>
      </c>
      <c r="H349" s="38" t="n">
        <f aca="false">L349/F349*100</f>
        <v>100</v>
      </c>
      <c r="I349" s="38" t="n">
        <f aca="false">(V$23+V$24*SIN(2*PI()/365*A349))*V$25/100*V$7*V$8/100*(1-V$15/100)</f>
        <v>8.96209207548096</v>
      </c>
      <c r="J349" s="38" t="n">
        <f aca="false">(V$23+V$24*SIN(2*PI()/365*A349))*V$25/100*V$9*(1-V$14/100)</f>
        <v>2.39609825560945</v>
      </c>
      <c r="K349" s="39" t="n">
        <f aca="false">IF(E349/C349*100&lt;100,E349/C349*100,100)</f>
        <v>53.1700643919508</v>
      </c>
      <c r="L349" s="2" t="n">
        <f aca="false">IF(((C349-E349)&gt;0)AND(F349&gt;(C349-E349)),(C349-E349),IF(C349&lt;E349,0,F349))</f>
        <v>2.13252744749241</v>
      </c>
      <c r="M349" s="2" t="n">
        <f aca="false">IF(C349&lt;(E349+F349),0,C349-E349-F349)</f>
        <v>6.73649530832387</v>
      </c>
      <c r="N349" s="2" t="n">
        <f aca="false">IF(C349&lt;(E349+F349),0,(C349-E349-F349)/(1-V$16/100))</f>
        <v>7.5690958520493</v>
      </c>
      <c r="O349" s="2" t="n">
        <f aca="false">L349+M349</f>
        <v>8.86902275581629</v>
      </c>
      <c r="P349" s="2" t="n">
        <f aca="false">IF( N349=0,I349*(1-G349/100)+J349*(1-H349/100),-N349)</f>
        <v>-7.5690958520493</v>
      </c>
      <c r="Q349" s="47" t="n">
        <f aca="false">IF(P348&gt;0,Q348+P348*(1-V$20/100),Q348+P348)</f>
        <v>283.391675774297</v>
      </c>
      <c r="R349" s="48" t="n">
        <f aca="false">R$4+Q349/V$28</f>
        <v>43.3521038939034</v>
      </c>
    </row>
    <row r="350" customFormat="false" ht="12.8" hidden="false" customHeight="false" outlineLevel="0" collapsed="false">
      <c r="A350" s="1" t="n">
        <v>346</v>
      </c>
      <c r="B350" s="37" t="n">
        <v>43891</v>
      </c>
      <c r="C350" s="38" t="n">
        <f aca="false">V$26-V$26*SIN(2*PI()/365*A350)</f>
        <v>18.7086497867812</v>
      </c>
      <c r="D350" s="2" t="n">
        <f aca="false">IF((E350+F350)&gt;C350,C350,E350+F350)</f>
        <v>12.436504023428</v>
      </c>
      <c r="E350" s="38" t="n">
        <f aca="false">(V$23+V$24*SIN(2*PI()/365*A350))*V$25/100*V$7*V$8/100</f>
        <v>10.2630449539785</v>
      </c>
      <c r="F350" s="38" t="n">
        <f aca="false">(V$23+V$24*SIN(2*PI()/365*A350))*V$25/100*V$9*(1-V$14/100)*(1-V$16/100)</f>
        <v>2.17345906944942</v>
      </c>
      <c r="G350" s="38" t="n">
        <f aca="false">IF(C350&gt;E350,100,C350/E350*100)</f>
        <v>100</v>
      </c>
      <c r="H350" s="38" t="n">
        <f aca="false">L350/F350*100</f>
        <v>100</v>
      </c>
      <c r="I350" s="38" t="n">
        <f aca="false">(V$23+V$24*SIN(2*PI()/365*A350))*V$25/100*V$7*V$8/100*(1-V$15/100)</f>
        <v>9.1341100090409</v>
      </c>
      <c r="J350" s="38" t="n">
        <f aca="false">(V$23+V$24*SIN(2*PI()/365*A350))*V$25/100*V$9*(1-V$14/100)</f>
        <v>2.442088842078</v>
      </c>
      <c r="K350" s="39" t="n">
        <f aca="false">IF(E350/C350*100&lt;100,E350/C350*100,100)</f>
        <v>54.8572188316337</v>
      </c>
      <c r="L350" s="2" t="n">
        <f aca="false">IF(((C350-E350)&gt;0)AND(F350&gt;(C350-E350)),(C350-E350),IF(C350&lt;E350,0,F350))</f>
        <v>2.17345906944942</v>
      </c>
      <c r="M350" s="2" t="n">
        <f aca="false">IF(C350&lt;(E350+F350),0,C350-E350-F350)</f>
        <v>6.27214576335326</v>
      </c>
      <c r="N350" s="2" t="n">
        <f aca="false">IF(C350&lt;(E350+F350),0,(C350-E350-F350)/(1-V$16/100))</f>
        <v>7.04735479028456</v>
      </c>
      <c r="O350" s="2" t="n">
        <f aca="false">L350+M350</f>
        <v>8.44560483280268</v>
      </c>
      <c r="P350" s="2" t="n">
        <f aca="false">IF( N350=0,I350*(1-G350/100)+J350*(1-H350/100),-N350)</f>
        <v>-7.04735479028456</v>
      </c>
      <c r="Q350" s="47" t="n">
        <f aca="false">IF(P349&gt;0,Q349+P349*(1-V$20/100),Q349+P349)</f>
        <v>275.822579922248</v>
      </c>
      <c r="R350" s="48" t="n">
        <f aca="false">R$4+Q350/V$28</f>
        <v>43.2625726978664</v>
      </c>
    </row>
    <row r="351" customFormat="false" ht="12.8" hidden="false" customHeight="false" outlineLevel="0" collapsed="false">
      <c r="A351" s="1" t="n">
        <v>347</v>
      </c>
      <c r="B351" s="37" t="n">
        <v>43892</v>
      </c>
      <c r="C351" s="38" t="n">
        <f aca="false">V$26-V$26*SIN(2*PI()/365*A351)</f>
        <v>18.4771624591471</v>
      </c>
      <c r="D351" s="2" t="n">
        <f aca="false">IF((E351+F351)&gt;C351,C351,E351+F351)</f>
        <v>12.6720860480406</v>
      </c>
      <c r="E351" s="38" t="n">
        <f aca="false">(V$23+V$24*SIN(2*PI()/365*A351))*V$25/100*V$7*V$8/100</f>
        <v>10.4574556102526</v>
      </c>
      <c r="F351" s="38" t="n">
        <f aca="false">(V$23+V$24*SIN(2*PI()/365*A351))*V$25/100*V$9*(1-V$14/100)*(1-V$16/100)</f>
        <v>2.21463043778808</v>
      </c>
      <c r="G351" s="38" t="n">
        <f aca="false">IF(C351&gt;E351,100,C351/E351*100)</f>
        <v>100</v>
      </c>
      <c r="H351" s="38" t="n">
        <f aca="false">L351/F351*100</f>
        <v>100</v>
      </c>
      <c r="I351" s="38" t="n">
        <f aca="false">(V$23+V$24*SIN(2*PI()/365*A351))*V$25/100*V$7*V$8/100*(1-V$15/100)</f>
        <v>9.30713549312478</v>
      </c>
      <c r="J351" s="38" t="n">
        <f aca="false">(V$23+V$24*SIN(2*PI()/365*A351))*V$25/100*V$9*(1-V$14/100)</f>
        <v>2.48834880650346</v>
      </c>
      <c r="K351" s="39" t="n">
        <f aca="false">IF(E351/C351*100&lt;100,E351/C351*100,100)</f>
        <v>56.5966534816909</v>
      </c>
      <c r="L351" s="2" t="n">
        <f aca="false">IF(((C351-E351)&gt;0)AND(F351&gt;(C351-E351)),(C351-E351),IF(C351&lt;E351,0,F351))</f>
        <v>2.21463043778808</v>
      </c>
      <c r="M351" s="2" t="n">
        <f aca="false">IF(C351&lt;(E351+F351),0,C351-E351-F351)</f>
        <v>5.80507641110647</v>
      </c>
      <c r="N351" s="2" t="n">
        <f aca="false">IF(C351&lt;(E351+F351),0,(C351-E351-F351)/(1-V$16/100))</f>
        <v>6.52255776528817</v>
      </c>
      <c r="O351" s="2" t="n">
        <f aca="false">L351+M351</f>
        <v>8.01970684889455</v>
      </c>
      <c r="P351" s="2" t="n">
        <f aca="false">IF( N351=0,I351*(1-G351/100)+J351*(1-H351/100),-N351)</f>
        <v>-6.52255776528817</v>
      </c>
      <c r="Q351" s="47" t="n">
        <f aca="false">IF(P350&gt;0,Q350+P350*(1-V$20/100),Q350+P350)</f>
        <v>268.775225131963</v>
      </c>
      <c r="R351" s="48" t="n">
        <f aca="false">R$4+Q351/V$28</f>
        <v>43.1792129260253</v>
      </c>
    </row>
    <row r="352" customFormat="false" ht="12.8" hidden="false" customHeight="false" outlineLevel="0" collapsed="false">
      <c r="A352" s="1" t="n">
        <v>348</v>
      </c>
      <c r="B352" s="37" t="n">
        <v>43893</v>
      </c>
      <c r="C352" s="38" t="n">
        <f aca="false">V$26-V$26*SIN(2*PI()/365*A352)</f>
        <v>18.24439574455</v>
      </c>
      <c r="D352" s="2" t="n">
        <f aca="false">IF((E352+F352)&gt;C352,C352,E352+F352)</f>
        <v>12.9089700902372</v>
      </c>
      <c r="E352" s="38" t="n">
        <f aca="false">(V$23+V$24*SIN(2*PI()/365*A352))*V$25/100*V$7*V$8/100</f>
        <v>10.6529407376938</v>
      </c>
      <c r="F352" s="38" t="n">
        <f aca="false">(V$23+V$24*SIN(2*PI()/365*A352))*V$25/100*V$9*(1-V$14/100)*(1-V$16/100)</f>
        <v>2.25602935254338</v>
      </c>
      <c r="G352" s="38" t="n">
        <f aca="false">IF(C352&gt;E352,100,C352/E352*100)</f>
        <v>100</v>
      </c>
      <c r="H352" s="38" t="n">
        <f aca="false">L352/F352*100</f>
        <v>100</v>
      </c>
      <c r="I352" s="38" t="n">
        <f aca="false">(V$23+V$24*SIN(2*PI()/365*A352))*V$25/100*V$7*V$8/100*(1-V$15/100)</f>
        <v>9.48111725654747</v>
      </c>
      <c r="J352" s="38" t="n">
        <f aca="false">(V$23+V$24*SIN(2*PI()/365*A352))*V$25/100*V$9*(1-V$14/100)</f>
        <v>2.53486444105997</v>
      </c>
      <c r="K352" s="39" t="n">
        <f aca="false">IF(E352/C352*100&lt;100,E352/C352*100,100)</f>
        <v>58.3902086254409</v>
      </c>
      <c r="L352" s="2" t="n">
        <f aca="false">IF(((C352-E352)&gt;0)AND(F352&gt;(C352-E352)),(C352-E352),IF(C352&lt;E352,0,F352))</f>
        <v>2.25602935254338</v>
      </c>
      <c r="M352" s="2" t="n">
        <f aca="false">IF(C352&lt;(E352+F352),0,C352-E352-F352)</f>
        <v>5.33542565431281</v>
      </c>
      <c r="N352" s="2" t="n">
        <f aca="false">IF(C352&lt;(E352+F352),0,(C352-E352-F352)/(1-V$16/100))</f>
        <v>5.99486028574473</v>
      </c>
      <c r="O352" s="2" t="n">
        <f aca="false">L352+M352</f>
        <v>7.59145500685619</v>
      </c>
      <c r="P352" s="2" t="n">
        <f aca="false">IF( N352=0,I352*(1-G352/100)+J352*(1-H352/100),-N352)</f>
        <v>-5.99486028574473</v>
      </c>
      <c r="Q352" s="47" t="n">
        <f aca="false">IF(P351&gt;0,Q351+P351*(1-V$20/100),Q351+P351)</f>
        <v>262.252667366675</v>
      </c>
      <c r="R352" s="48" t="n">
        <f aca="false">R$4+Q352/V$28</f>
        <v>43.1020607258998</v>
      </c>
    </row>
    <row r="353" customFormat="false" ht="12.8" hidden="false" customHeight="false" outlineLevel="0" collapsed="false">
      <c r="A353" s="1" t="n">
        <v>349</v>
      </c>
      <c r="B353" s="37" t="n">
        <v>43894</v>
      </c>
      <c r="C353" s="38" t="n">
        <f aca="false">V$26-V$26*SIN(2*PI()/365*A353)</f>
        <v>18.0104186167908</v>
      </c>
      <c r="D353" s="2" t="n">
        <f aca="false">IF((E353+F353)&gt;C353,C353,E353+F353)</f>
        <v>13.1470859561635</v>
      </c>
      <c r="E353" s="38" t="n">
        <f aca="false">(V$23+V$24*SIN(2*PI()/365*A353))*V$25/100*V$7*V$8/100</f>
        <v>10.84944240984</v>
      </c>
      <c r="F353" s="38" t="n">
        <f aca="false">(V$23+V$24*SIN(2*PI()/365*A353))*V$25/100*V$9*(1-V$14/100)*(1-V$16/100)</f>
        <v>2.29764354632343</v>
      </c>
      <c r="G353" s="38" t="n">
        <f aca="false">IF(C353&gt;E353,100,C353/E353*100)</f>
        <v>100</v>
      </c>
      <c r="H353" s="38" t="n">
        <f aca="false">L353/F353*100</f>
        <v>100</v>
      </c>
      <c r="I353" s="38" t="n">
        <f aca="false">(V$23+V$24*SIN(2*PI()/365*A353))*V$25/100*V$7*V$8/100*(1-V$15/100)</f>
        <v>9.65600374475763</v>
      </c>
      <c r="J353" s="38" t="n">
        <f aca="false">(V$23+V$24*SIN(2*PI()/365*A353))*V$25/100*V$9*(1-V$14/100)</f>
        <v>2.58162196216116</v>
      </c>
      <c r="K353" s="39" t="n">
        <f aca="false">IF(E353/C353*100&lt;100,E353/C353*100,100)</f>
        <v>60.2398125256527</v>
      </c>
      <c r="L353" s="2" t="n">
        <f aca="false">IF(((C353-E353)&gt;0)AND(F353&gt;(C353-E353)),(C353-E353),IF(C353&lt;E353,0,F353))</f>
        <v>2.29764354632343</v>
      </c>
      <c r="M353" s="2" t="n">
        <f aca="false">IF(C353&lt;(E353+F353),0,C353-E353-F353)</f>
        <v>4.86333266062736</v>
      </c>
      <c r="N353" s="2" t="n">
        <f aca="false">IF(C353&lt;(E353+F353),0,(C353-E353-F353)/(1-V$16/100))</f>
        <v>5.46441871980602</v>
      </c>
      <c r="O353" s="2" t="n">
        <f aca="false">L353+M353</f>
        <v>7.16097620695079</v>
      </c>
      <c r="P353" s="2" t="n">
        <f aca="false">IF( N353=0,I353*(1-G353/100)+J353*(1-H353/100),-N353)</f>
        <v>-5.46441871980602</v>
      </c>
      <c r="Q353" s="47" t="n">
        <f aca="false">IF(P352&gt;0,Q352+P352*(1-V$20/100),Q352+P352)</f>
        <v>256.25780708093</v>
      </c>
      <c r="R353" s="48" t="n">
        <f aca="false">R$4+Q353/V$28</f>
        <v>43.0311504055725</v>
      </c>
    </row>
    <row r="354" customFormat="false" ht="12.8" hidden="false" customHeight="false" outlineLevel="0" collapsed="false">
      <c r="A354" s="1" t="n">
        <v>350</v>
      </c>
      <c r="B354" s="37" t="n">
        <v>43895</v>
      </c>
      <c r="C354" s="38" t="n">
        <f aca="false">V$26-V$26*SIN(2*PI()/365*A354)</f>
        <v>17.7753004083423</v>
      </c>
      <c r="D354" s="2" t="n">
        <f aca="false">IF((E354+F354)&gt;C354,C354,E354+F354)</f>
        <v>13.3863630869495</v>
      </c>
      <c r="E354" s="38" t="n">
        <f aca="false">(V$23+V$24*SIN(2*PI()/365*A354))*V$25/100*V$7*V$8/100</f>
        <v>11.046902399005</v>
      </c>
      <c r="F354" s="38" t="n">
        <f aca="false">(V$23+V$24*SIN(2*PI()/365*A354))*V$25/100*V$9*(1-V$14/100)*(1-V$16/100)</f>
        <v>2.3394606879445</v>
      </c>
      <c r="G354" s="38" t="n">
        <f aca="false">IF(C354&gt;E354,100,C354/E354*100)</f>
        <v>100</v>
      </c>
      <c r="H354" s="38" t="n">
        <f aca="false">L354/F354*100</f>
        <v>100</v>
      </c>
      <c r="I354" s="38" t="n">
        <f aca="false">(V$23+V$24*SIN(2*PI()/365*A354))*V$25/100*V$7*V$8/100*(1-V$15/100)</f>
        <v>9.83174313511445</v>
      </c>
      <c r="J354" s="38" t="n">
        <f aca="false">(V$23+V$24*SIN(2*PI()/365*A354))*V$25/100*V$9*(1-V$14/100)</f>
        <v>2.62860751454439</v>
      </c>
      <c r="K354" s="39" t="n">
        <f aca="false">IF(E354/C354*100&lt;100,E354/C354*100,100)</f>
        <v>62.147486372835</v>
      </c>
      <c r="L354" s="2" t="n">
        <f aca="false">IF(((C354-E354)&gt;0)AND(F354&gt;(C354-E354)),(C354-E354),IF(C354&lt;E354,0,F354))</f>
        <v>2.3394606879445</v>
      </c>
      <c r="M354" s="2" t="n">
        <f aca="false">IF(C354&lt;(E354+F354),0,C354-E354-F354)</f>
        <v>4.38893732139278</v>
      </c>
      <c r="N354" s="2" t="n">
        <f aca="false">IF(C354&lt;(E354+F354),0,(C354-E354-F354)/(1-V$16/100))</f>
        <v>4.93139024875593</v>
      </c>
      <c r="O354" s="2" t="n">
        <f aca="false">L354+M354</f>
        <v>6.72839800933728</v>
      </c>
      <c r="P354" s="2" t="n">
        <f aca="false">IF( N354=0,I354*(1-G354/100)+J354*(1-H354/100),-N354)</f>
        <v>-4.93139024875593</v>
      </c>
      <c r="Q354" s="47" t="n">
        <f aca="false">IF(P353&gt;0,Q353+P353*(1-V$20/100),Q353+P353)</f>
        <v>250.793388361124</v>
      </c>
      <c r="R354" s="48" t="n">
        <f aca="false">R$4+Q354/V$28</f>
        <v>42.9665144235221</v>
      </c>
    </row>
    <row r="355" customFormat="false" ht="12.8" hidden="false" customHeight="false" outlineLevel="0" collapsed="false">
      <c r="A355" s="1" t="n">
        <v>351</v>
      </c>
      <c r="B355" s="37" t="n">
        <v>43896</v>
      </c>
      <c r="C355" s="38" t="n">
        <f aca="false">V$26-V$26*SIN(2*PI()/365*A355)</f>
        <v>17.5391107898038</v>
      </c>
      <c r="D355" s="2" t="n">
        <f aca="false">IF((E355+F355)&gt;C355,C355,E355+F355)</f>
        <v>13.6267305796174</v>
      </c>
      <c r="E355" s="38" t="n">
        <f aca="false">(V$23+V$24*SIN(2*PI()/365*A355))*V$25/100*V$7*V$8/100</f>
        <v>11.2452621935323</v>
      </c>
      <c r="F355" s="38" t="n">
        <f aca="false">(V$23+V$24*SIN(2*PI()/365*A355))*V$25/100*V$9*(1-V$14/100)*(1-V$16/100)</f>
        <v>2.38146838608505</v>
      </c>
      <c r="G355" s="38" t="n">
        <f aca="false">IF(C355&gt;E355,100,C355/E355*100)</f>
        <v>100</v>
      </c>
      <c r="H355" s="38" t="n">
        <f aca="false">L355/F355*100</f>
        <v>100</v>
      </c>
      <c r="I355" s="38" t="n">
        <f aca="false">(V$23+V$24*SIN(2*PI()/365*A355))*V$25/100*V$7*V$8/100*(1-V$15/100)</f>
        <v>10.0082833522438</v>
      </c>
      <c r="J355" s="38" t="n">
        <f aca="false">(V$23+V$24*SIN(2*PI()/365*A355))*V$25/100*V$9*(1-V$14/100)</f>
        <v>2.67580717537646</v>
      </c>
      <c r="K355" s="39" t="n">
        <f aca="false">IF(E355/C355*100&lt;100,E355/C355*100,100)</f>
        <v>64.115349565325</v>
      </c>
      <c r="L355" s="2" t="n">
        <f aca="false">IF(((C355-E355)&gt;0)AND(F355&gt;(C355-E355)),(C355-E355),IF(C355&lt;E355,0,F355))</f>
        <v>2.38146838608505</v>
      </c>
      <c r="M355" s="2" t="n">
        <f aca="false">IF(C355&lt;(E355+F355),0,C355-E355-F355)</f>
        <v>3.91238021018639</v>
      </c>
      <c r="N355" s="2" t="n">
        <f aca="false">IF(C355&lt;(E355+F355),0,(C355-E355-F355)/(1-V$16/100))</f>
        <v>4.39593282043415</v>
      </c>
      <c r="O355" s="2" t="n">
        <f aca="false">L355+M355</f>
        <v>6.29384859627144</v>
      </c>
      <c r="P355" s="2" t="n">
        <f aca="false">IF( N355=0,I355*(1-G355/100)+J355*(1-H355/100),-N355)</f>
        <v>-4.39593282043415</v>
      </c>
      <c r="Q355" s="47" t="n">
        <f aca="false">IF(P354&gt;0,Q354+P354*(1-V$20/100),Q354+P354)</f>
        <v>245.861998112368</v>
      </c>
      <c r="R355" s="48" t="n">
        <f aca="false">R$4+Q355/V$28</f>
        <v>42.9081833790055</v>
      </c>
    </row>
    <row r="356" customFormat="false" ht="12.8" hidden="false" customHeight="false" outlineLevel="0" collapsed="false">
      <c r="A356" s="1" t="n">
        <v>352</v>
      </c>
      <c r="B356" s="37" t="n">
        <v>43897</v>
      </c>
      <c r="C356" s="38" t="n">
        <f aca="false">V$26-V$26*SIN(2*PI()/365*A356)</f>
        <v>17.3019197492566</v>
      </c>
      <c r="D356" s="2" t="n">
        <f aca="false">IF((E356+F356)&gt;C356,C356,E356+F356)</f>
        <v>13.8681172080915</v>
      </c>
      <c r="E356" s="38" t="n">
        <f aca="false">(V$23+V$24*SIN(2*PI()/365*A356))*V$25/100*V$7*V$8/100</f>
        <v>11.444463015134</v>
      </c>
      <c r="F356" s="38" t="n">
        <f aca="false">(V$23+V$24*SIN(2*PI()/365*A356))*V$25/100*V$9*(1-V$14/100)*(1-V$16/100)</f>
        <v>2.42365419295751</v>
      </c>
      <c r="G356" s="38" t="n">
        <f aca="false">IF(C356&gt;E356,100,C356/E356*100)</f>
        <v>100</v>
      </c>
      <c r="H356" s="38" t="n">
        <f aca="false">L356/F356*100</f>
        <v>100</v>
      </c>
      <c r="I356" s="38" t="n">
        <f aca="false">(V$23+V$24*SIN(2*PI()/365*A356))*V$25/100*V$7*V$8/100*(1-V$15/100)</f>
        <v>10.1855720834693</v>
      </c>
      <c r="J356" s="38" t="n">
        <f aca="false">(V$23+V$24*SIN(2*PI()/365*A356))*V$25/100*V$9*(1-V$14/100)</f>
        <v>2.72320695837922</v>
      </c>
      <c r="K356" s="39" t="n">
        <f aca="false">IF(E356/C356*100&lt;100,E356/C356*100,100)</f>
        <v>66.1456253467231</v>
      </c>
      <c r="L356" s="2" t="n">
        <f aca="false">IF(((C356-E356)&gt;0)AND(F356&gt;(C356-E356)),(C356-E356),IF(C356&lt;E356,0,F356))</f>
        <v>2.42365419295751</v>
      </c>
      <c r="M356" s="2" t="n">
        <f aca="false">IF(C356&lt;(E356+F356),0,C356-E356-F356)</f>
        <v>3.43380254116514</v>
      </c>
      <c r="N356" s="2" t="n">
        <f aca="false">IF(C356&lt;(E356+F356),0,(C356-E356-F356)/(1-V$16/100))</f>
        <v>3.85820510243274</v>
      </c>
      <c r="O356" s="2" t="n">
        <f aca="false">L356+M356</f>
        <v>5.85745673412265</v>
      </c>
      <c r="P356" s="2" t="n">
        <f aca="false">IF( N356=0,I356*(1-G356/100)+J356*(1-H356/100),-N356)</f>
        <v>-3.85820510243274</v>
      </c>
      <c r="Q356" s="47" t="n">
        <f aca="false">IF(P355&gt;0,Q355+P355*(1-V$20/100),Q355+P355)</f>
        <v>241.466065291934</v>
      </c>
      <c r="R356" s="48" t="n">
        <f aca="false">R$4+Q356/V$28</f>
        <v>42.8561860029907</v>
      </c>
    </row>
    <row r="357" customFormat="false" ht="12.8" hidden="false" customHeight="false" outlineLevel="0" collapsed="false">
      <c r="A357" s="1" t="n">
        <v>353</v>
      </c>
      <c r="B357" s="37" t="n">
        <v>43898</v>
      </c>
      <c r="C357" s="38" t="n">
        <f aca="false">V$26-V$26*SIN(2*PI()/365*A357)</f>
        <v>17.0637975715252</v>
      </c>
      <c r="D357" s="2" t="n">
        <f aca="false">IF((E357+F357)&gt;C357,C357,E357+F357)</f>
        <v>14.1104514443043</v>
      </c>
      <c r="E357" s="38" t="n">
        <f aca="false">(V$23+V$24*SIN(2*PI()/365*A357))*V$25/100*V$7*V$8/100</f>
        <v>11.6444458363074</v>
      </c>
      <c r="F357" s="38" t="n">
        <f aca="false">(V$23+V$24*SIN(2*PI()/365*A357))*V$25/100*V$9*(1-V$14/100)*(1-V$16/100)</f>
        <v>2.46600560799686</v>
      </c>
      <c r="G357" s="38" t="n">
        <f aca="false">IF(C357&gt;E357,100,C357/E357*100)</f>
        <v>100</v>
      </c>
      <c r="H357" s="38" t="n">
        <f aca="false">L357/F357*100</f>
        <v>100</v>
      </c>
      <c r="I357" s="38" t="n">
        <f aca="false">(V$23+V$24*SIN(2*PI()/365*A357))*V$25/100*V$7*V$8/100*(1-V$15/100)</f>
        <v>10.3635567943136</v>
      </c>
      <c r="J357" s="38" t="n">
        <f aca="false">(V$23+V$24*SIN(2*PI()/365*A357))*V$25/100*V$9*(1-V$14/100)</f>
        <v>2.770792817974</v>
      </c>
      <c r="K357" s="39" t="n">
        <f aca="false">IF(E357/C357*100&lt;100,E357/C357*100,100)</f>
        <v>68.2406468284573</v>
      </c>
      <c r="L357" s="2" t="n">
        <f aca="false">IF(((C357-E357)&gt;0)AND(F357&gt;(C357-E357)),(C357-E357),IF(C357&lt;E357,0,F357))</f>
        <v>2.46600560799686</v>
      </c>
      <c r="M357" s="2" t="n">
        <f aca="false">IF(C357&lt;(E357+F357),0,C357-E357-F357)</f>
        <v>2.95334612722097</v>
      </c>
      <c r="N357" s="2" t="n">
        <f aca="false">IF(C357&lt;(E357+F357),0,(C357-E357-F357)/(1-V$16/100))</f>
        <v>3.31836643507974</v>
      </c>
      <c r="O357" s="2" t="n">
        <f aca="false">L357+M357</f>
        <v>5.41935173521783</v>
      </c>
      <c r="P357" s="2" t="n">
        <f aca="false">IF( N357=0,I357*(1-G357/100)+J357*(1-H357/100),-N357)</f>
        <v>-3.31836643507974</v>
      </c>
      <c r="Q357" s="47" t="n">
        <f aca="false">IF(P356&gt;0,Q356+P356*(1-V$20/100),Q356+P356)</f>
        <v>237.607860189501</v>
      </c>
      <c r="R357" s="48" t="n">
        <f aca="false">R$4+Q357/V$28</f>
        <v>42.8105491496427</v>
      </c>
    </row>
    <row r="358" customFormat="false" ht="12.8" hidden="false" customHeight="false" outlineLevel="0" collapsed="false">
      <c r="A358" s="1" t="n">
        <v>354</v>
      </c>
      <c r="B358" s="37" t="n">
        <v>43899</v>
      </c>
      <c r="C358" s="38" t="n">
        <f aca="false">V$26-V$26*SIN(2*PI()/365*A358)</f>
        <v>16.8248148173499</v>
      </c>
      <c r="D358" s="2" t="n">
        <f aca="false">IF((E358+F358)&gt;C358,C358,E358+F358)</f>
        <v>14.3536614793915</v>
      </c>
      <c r="E358" s="38" t="n">
        <f aca="false">(V$23+V$24*SIN(2*PI()/365*A358))*V$25/100*V$7*V$8/100</f>
        <v>11.8451513978267</v>
      </c>
      <c r="F358" s="38" t="n">
        <f aca="false">(V$23+V$24*SIN(2*PI()/365*A358))*V$25/100*V$9*(1-V$14/100)*(1-V$16/100)</f>
        <v>2.50851008156481</v>
      </c>
      <c r="G358" s="38" t="n">
        <f aca="false">IF(C358&gt;E358,100,C358/E358*100)</f>
        <v>100</v>
      </c>
      <c r="H358" s="38" t="n">
        <f aca="false">L358/F358*100</f>
        <v>100</v>
      </c>
      <c r="I358" s="38" t="n">
        <f aca="false">(V$23+V$24*SIN(2*PI()/365*A358))*V$25/100*V$7*V$8/100*(1-V$15/100)</f>
        <v>10.5421847440658</v>
      </c>
      <c r="J358" s="38" t="n">
        <f aca="false">(V$23+V$24*SIN(2*PI()/365*A358))*V$25/100*V$9*(1-V$14/100)</f>
        <v>2.8185506534436</v>
      </c>
      <c r="K358" s="39" t="n">
        <f aca="false">IF(E358/C358*100&lt;100,E358/C358*100,100)</f>
        <v>70.4028634277264</v>
      </c>
      <c r="L358" s="2" t="n">
        <f aca="false">IF(((C358-E358)&gt;0)AND(F358&gt;(C358-E358)),(C358-E358),IF(C358&lt;E358,0,F358))</f>
        <v>2.50851008156481</v>
      </c>
      <c r="M358" s="2" t="n">
        <f aca="false">IF(C358&lt;(E358+F358),0,C358-E358-F358)</f>
        <v>2.47115333795837</v>
      </c>
      <c r="N358" s="2" t="n">
        <f aca="false">IF(C358&lt;(E358+F358),0,(C358-E358-F358)/(1-V$16/100))</f>
        <v>2.77657678422289</v>
      </c>
      <c r="O358" s="2" t="n">
        <f aca="false">L358+M358</f>
        <v>4.97966341952317</v>
      </c>
      <c r="P358" s="2" t="n">
        <f aca="false">IF( N358=0,I358*(1-G358/100)+J358*(1-H358/100),-N358)</f>
        <v>-2.77657678422289</v>
      </c>
      <c r="Q358" s="47" t="n">
        <f aca="false">IF(P357&gt;0,Q357+P357*(1-V$20/100),Q357+P357)</f>
        <v>234.289493754422</v>
      </c>
      <c r="R358" s="48" t="n">
        <f aca="false">R$4+Q358/V$28</f>
        <v>42.7712977883667</v>
      </c>
    </row>
    <row r="359" customFormat="false" ht="12.8" hidden="false" customHeight="false" outlineLevel="0" collapsed="false">
      <c r="A359" s="1" t="n">
        <v>355</v>
      </c>
      <c r="B359" s="37" t="n">
        <v>43900</v>
      </c>
      <c r="C359" s="38" t="n">
        <f aca="false">V$26-V$26*SIN(2*PI()/365*A359)</f>
        <v>16.5850423024783</v>
      </c>
      <c r="D359" s="2" t="n">
        <f aca="false">IF((E359+F359)&gt;C359,C359,E359+F359)</f>
        <v>14.5976752449709</v>
      </c>
      <c r="E359" s="38" t="n">
        <f aca="false">(V$23+V$24*SIN(2*PI()/365*A359))*V$25/100*V$7*V$8/100</f>
        <v>12.0465202263024</v>
      </c>
      <c r="F359" s="38" t="n">
        <f aca="false">(V$23+V$24*SIN(2*PI()/365*A359))*V$25/100*V$9*(1-V$14/100)*(1-V$16/100)</f>
        <v>2.55115501866851</v>
      </c>
      <c r="G359" s="38" t="n">
        <f aca="false">IF(C359&gt;E359,100,C359/E359*100)</f>
        <v>100</v>
      </c>
      <c r="H359" s="38" t="n">
        <f aca="false">L359/F359*100</f>
        <v>100</v>
      </c>
      <c r="I359" s="38" t="n">
        <f aca="false">(V$23+V$24*SIN(2*PI()/365*A359))*V$25/100*V$7*V$8/100*(1-V$15/100)</f>
        <v>10.7214030014092</v>
      </c>
      <c r="J359" s="38" t="n">
        <f aca="false">(V$23+V$24*SIN(2*PI()/365*A359))*V$25/100*V$9*(1-V$14/100)</f>
        <v>2.86646631311069</v>
      </c>
      <c r="K359" s="39" t="n">
        <f aca="false">IF(E359/C359*100&lt;100,E359/C359*100,100)</f>
        <v>72.6348477537636</v>
      </c>
      <c r="L359" s="2" t="n">
        <f aca="false">IF(((C359-E359)&gt;0)AND(F359&gt;(C359-E359)),(C359-E359),IF(C359&lt;E359,0,F359))</f>
        <v>2.55115501866851</v>
      </c>
      <c r="M359" s="2" t="n">
        <f aca="false">IF(C359&lt;(E359+F359),0,C359-E359-F359)</f>
        <v>1.9873670575074</v>
      </c>
      <c r="N359" s="2" t="n">
        <f aca="false">IF(C359&lt;(E359+F359),0,(C359-E359-F359)/(1-V$16/100))</f>
        <v>2.23299669382854</v>
      </c>
      <c r="O359" s="2" t="n">
        <f aca="false">L359+M359</f>
        <v>4.53852207617591</v>
      </c>
      <c r="P359" s="2" t="n">
        <f aca="false">IF( N359=0,I359*(1-G359/100)+J359*(1-H359/100),-N359)</f>
        <v>-2.23299669382854</v>
      </c>
      <c r="Q359" s="47" t="n">
        <f aca="false">IF(P358&gt;0,Q358+P358*(1-V$20/100),Q358+P358)</f>
        <v>231.512916970199</v>
      </c>
      <c r="R359" s="48" t="n">
        <f aca="false">R$4+Q359/V$28</f>
        <v>42.7384549964086</v>
      </c>
    </row>
    <row r="360" customFormat="false" ht="12.8" hidden="false" customHeight="false" outlineLevel="0" collapsed="false">
      <c r="A360" s="1" t="n">
        <v>356</v>
      </c>
      <c r="B360" s="37" t="n">
        <v>43901</v>
      </c>
      <c r="C360" s="38" t="n">
        <f aca="false">V$26-V$26*SIN(2*PI()/365*A360)</f>
        <v>16.3445510766815</v>
      </c>
      <c r="D360" s="2" t="n">
        <f aca="false">IF((E360+F360)&gt;C360,C360,E360+F360)</f>
        <v>14.8424204344975</v>
      </c>
      <c r="E360" s="38" t="n">
        <f aca="false">(V$23+V$24*SIN(2*PI()/365*A360))*V$25/100*V$7*V$8/100</f>
        <v>12.2484926518048</v>
      </c>
      <c r="F360" s="38" t="n">
        <f aca="false">(V$23+V$24*SIN(2*PI()/365*A360))*V$25/100*V$9*(1-V$14/100)*(1-V$16/100)</f>
        <v>2.59392778269276</v>
      </c>
      <c r="G360" s="38" t="n">
        <f aca="false">IF(C360&gt;E360,100,C360/E360*100)</f>
        <v>100</v>
      </c>
      <c r="H360" s="38" t="n">
        <f aca="false">L360/F360*100</f>
        <v>100</v>
      </c>
      <c r="I360" s="38" t="n">
        <f aca="false">(V$23+V$24*SIN(2*PI()/365*A360))*V$25/100*V$7*V$8/100*(1-V$15/100)</f>
        <v>10.9011584601062</v>
      </c>
      <c r="J360" s="38" t="n">
        <f aca="false">(V$23+V$24*SIN(2*PI()/365*A360))*V$25/100*V$9*(1-V$14/100)</f>
        <v>2.91452559853119</v>
      </c>
      <c r="K360" s="39" t="n">
        <f aca="false">IF(E360/C360*100&lt;100,E360/C360*100,100)</f>
        <v>74.9393029783455</v>
      </c>
      <c r="L360" s="2" t="n">
        <f aca="false">IF(((C360-E360)&gt;0)AND(F360&gt;(C360-E360)),(C360-E360),IF(C360&lt;E360,0,F360))</f>
        <v>2.59392778269276</v>
      </c>
      <c r="M360" s="2" t="n">
        <f aca="false">IF(C360&lt;(E360+F360),0,C360-E360-F360)</f>
        <v>1.50213064218394</v>
      </c>
      <c r="N360" s="2" t="n">
        <f aca="false">IF(C360&lt;(E360+F360),0,(C360-E360-F360)/(1-V$16/100))</f>
        <v>1.68778723840893</v>
      </c>
      <c r="O360" s="2" t="n">
        <f aca="false">L360+M360</f>
        <v>4.0960584248767</v>
      </c>
      <c r="P360" s="2" t="n">
        <f aca="false">IF( N360=0,I360*(1-G360/100)+J360*(1-H360/100),-N360)</f>
        <v>-1.68778723840893</v>
      </c>
      <c r="Q360" s="47" t="n">
        <f aca="false">IF(P359&gt;0,Q359+P359*(1-V$20/100),Q359+P359)</f>
        <v>229.27992027637</v>
      </c>
      <c r="R360" s="48" t="n">
        <f aca="false">R$4+Q360/V$28</f>
        <v>42.7120419520169</v>
      </c>
    </row>
    <row r="361" customFormat="false" ht="12.8" hidden="false" customHeight="false" outlineLevel="0" collapsed="false">
      <c r="A361" s="1" t="n">
        <v>357</v>
      </c>
      <c r="B361" s="37" t="n">
        <v>43902</v>
      </c>
      <c r="C361" s="38" t="n">
        <f aca="false">V$26-V$26*SIN(2*PI()/365*A361)</f>
        <v>16.1034124026997</v>
      </c>
      <c r="D361" s="2" t="n">
        <f aca="false">IF((E361+F361)&gt;C361,C361,E361+F361)</f>
        <v>15.0878245246896</v>
      </c>
      <c r="E361" s="38" t="n">
        <f aca="false">(V$23+V$24*SIN(2*PI()/365*A361))*V$25/100*V$7*V$8/100</f>
        <v>12.4510088255451</v>
      </c>
      <c r="F361" s="38" t="n">
        <f aca="false">(V$23+V$24*SIN(2*PI()/365*A361))*V$25/100*V$9*(1-V$14/100)*(1-V$16/100)</f>
        <v>2.63681569914446</v>
      </c>
      <c r="G361" s="38" t="n">
        <f aca="false">IF(C361&gt;E361,100,C361/E361*100)</f>
        <v>100</v>
      </c>
      <c r="H361" s="38" t="n">
        <f aca="false">L361/F361*100</f>
        <v>100</v>
      </c>
      <c r="I361" s="38" t="n">
        <f aca="false">(V$23+V$24*SIN(2*PI()/365*A361))*V$25/100*V$7*V$8/100*(1-V$15/100)</f>
        <v>11.0813978547352</v>
      </c>
      <c r="J361" s="38" t="n">
        <f aca="false">(V$23+V$24*SIN(2*PI()/365*A361))*V$25/100*V$9*(1-V$14/100)</f>
        <v>2.96271426870164</v>
      </c>
      <c r="K361" s="39" t="n">
        <f aca="false">IF(E361/C361*100&lt;100,E361/C361*100,100)</f>
        <v>77.3190707297403</v>
      </c>
      <c r="L361" s="2" t="n">
        <f aca="false">IF(((C361-E361)&gt;0)AND(F361&gt;(C361-E361)),(C361-E361),IF(C361&lt;E361,0,F361))</f>
        <v>2.63681569914446</v>
      </c>
      <c r="M361" s="2" t="n">
        <f aca="false">IF(C361&lt;(E361+F361),0,C361-E361-F361)</f>
        <v>1.01558787801008</v>
      </c>
      <c r="N361" s="2" t="n">
        <f aca="false">IF(C361&lt;(E361+F361),0,(C361-E361-F361)/(1-V$16/100))</f>
        <v>1.14110997529223</v>
      </c>
      <c r="O361" s="2" t="n">
        <f aca="false">L361+M361</f>
        <v>3.65240357715454</v>
      </c>
      <c r="P361" s="2" t="n">
        <f aca="false">IF( N361=0,I361*(1-G361/100)+J361*(1-H361/100),-N361)</f>
        <v>-1.14110997529223</v>
      </c>
      <c r="Q361" s="47" t="n">
        <f aca="false">IF(P360&gt;0,Q360+P360*(1-V$20/100),Q360+P360)</f>
        <v>227.592133037961</v>
      </c>
      <c r="R361" s="48" t="n">
        <f aca="false">R$4+Q361/V$28</f>
        <v>42.6920779281673</v>
      </c>
    </row>
    <row r="362" customFormat="false" ht="12.8" hidden="false" customHeight="false" outlineLevel="0" collapsed="false">
      <c r="A362" s="1" t="n">
        <v>358</v>
      </c>
      <c r="B362" s="37" t="n">
        <v>43903</v>
      </c>
      <c r="C362" s="38" t="n">
        <f aca="false">V$26-V$26*SIN(2*PI()/365*A362)</f>
        <v>15.8616977351263</v>
      </c>
      <c r="D362" s="2" t="n">
        <f aca="false">IF((E362+F362)&gt;C362,C362,E362+F362)</f>
        <v>15.333814797019</v>
      </c>
      <c r="E362" s="38" t="n">
        <f aca="false">(V$23+V$24*SIN(2*PI()/365*A362))*V$25/100*V$7*V$8/100</f>
        <v>12.6540087376106</v>
      </c>
      <c r="F362" s="38" t="n">
        <f aca="false">(V$23+V$24*SIN(2*PI()/365*A362))*V$25/100*V$9*(1-V$14/100)*(1-V$16/100)</f>
        <v>2.67980605940836</v>
      </c>
      <c r="G362" s="38" t="n">
        <f aca="false">IF(C362&gt;E362,100,C362/E362*100)</f>
        <v>100</v>
      </c>
      <c r="H362" s="38" t="n">
        <f aca="false">L362/F362*100</f>
        <v>100</v>
      </c>
      <c r="I362" s="38" t="n">
        <f aca="false">(V$23+V$24*SIN(2*PI()/365*A362))*V$25/100*V$7*V$8/100*(1-V$15/100)</f>
        <v>11.2620677764735</v>
      </c>
      <c r="J362" s="38" t="n">
        <f aca="false">(V$23+V$24*SIN(2*PI()/365*A362))*V$25/100*V$9*(1-V$14/100)</f>
        <v>3.01101804427905</v>
      </c>
      <c r="K362" s="39" t="n">
        <f aca="false">IF(E362/C362*100&lt;100,E362/C362*100,100)</f>
        <v>79.7771395528983</v>
      </c>
      <c r="L362" s="2" t="n">
        <f aca="false">IF(((C362-E362)&gt;0)AND(F362&gt;(C362-E362)),(C362-E362),IF(C362&lt;E362,0,F362))</f>
        <v>2.67980605940836</v>
      </c>
      <c r="M362" s="2" t="n">
        <f aca="false">IF(C362&lt;(E362+F362),0,C362-E362-F362)</f>
        <v>0.527882938107325</v>
      </c>
      <c r="N362" s="2" t="n">
        <f aca="false">IF(C362&lt;(E362+F362),0,(C362-E362-F362)/(1-V$16/100))</f>
        <v>0.593126896749803</v>
      </c>
      <c r="O362" s="2" t="n">
        <f aca="false">L362+M362</f>
        <v>3.20768899751568</v>
      </c>
      <c r="P362" s="2" t="n">
        <f aca="false">IF( N362=0,I362*(1-G362/100)+J362*(1-H362/100),-N362)</f>
        <v>-0.593126896749803</v>
      </c>
      <c r="Q362" s="47" t="n">
        <f aca="false">IF(P361&gt;0,Q361+P361*(1-V$20/100),Q361+P361)</f>
        <v>226.451023062669</v>
      </c>
      <c r="R362" s="48" t="n">
        <f aca="false">R$4+Q362/V$28</f>
        <v>42.6785802868512</v>
      </c>
    </row>
    <row r="363" customFormat="false" ht="12.8" hidden="false" customHeight="false" outlineLevel="0" collapsed="false">
      <c r="A363" s="1" t="n">
        <v>359</v>
      </c>
      <c r="B363" s="37" t="n">
        <v>43904</v>
      </c>
      <c r="C363" s="38" t="n">
        <f aca="false">V$26-V$26*SIN(2*PI()/365*A363)</f>
        <v>15.619478699234</v>
      </c>
      <c r="D363" s="2" t="n">
        <f aca="false">IF((E363+F363)&gt;C363,C363,E363+F363)</f>
        <v>15.5803183592591</v>
      </c>
      <c r="E363" s="38" t="n">
        <f aca="false">(V$23+V$24*SIN(2*PI()/365*A363))*V$25/100*V$7*V$8/100</f>
        <v>12.8574322347462</v>
      </c>
      <c r="F363" s="38" t="n">
        <f aca="false">(V$23+V$24*SIN(2*PI()/365*A363))*V$25/100*V$9*(1-V$14/100)*(1-V$16/100)</f>
        <v>2.72288612451292</v>
      </c>
      <c r="G363" s="38" t="n">
        <f aca="false">IF(C363&gt;E363,100,C363/E363*100)</f>
        <v>100</v>
      </c>
      <c r="H363" s="38" t="n">
        <f aca="false">L363/F363*100</f>
        <v>100</v>
      </c>
      <c r="I363" s="38" t="n">
        <f aca="false">(V$23+V$24*SIN(2*PI()/365*A363))*V$25/100*V$7*V$8/100*(1-V$15/100)</f>
        <v>11.4431146889241</v>
      </c>
      <c r="J363" s="38" t="n">
        <f aca="false">(V$23+V$24*SIN(2*PI()/365*A363))*V$25/100*V$9*(1-V$14/100)</f>
        <v>3.05942261181226</v>
      </c>
      <c r="K363" s="39" t="n">
        <f aca="false">IF(E363/C363*100&lt;100,E363/C363*100,100)</f>
        <v>82.3166539826759</v>
      </c>
      <c r="L363" s="2" t="n">
        <f aca="false">IF(((C363-E363)&gt;0)AND(F363&gt;(C363-E363)),(C363-E363),IF(C363&lt;E363,0,F363))</f>
        <v>2.72288612451292</v>
      </c>
      <c r="M363" s="2" t="n">
        <f aca="false">IF(C363&lt;(E363+F363),0,C363-E363-F363)</f>
        <v>0.0391603399748655</v>
      </c>
      <c r="N363" s="2" t="n">
        <f aca="false">IF(C363&lt;(E363+F363),0,(C363-E363-F363)/(1-V$16/100))</f>
        <v>0.0440003819942308</v>
      </c>
      <c r="O363" s="2" t="n">
        <f aca="false">L363+M363</f>
        <v>2.76204646448778</v>
      </c>
      <c r="P363" s="2" t="n">
        <f aca="false">IF( N363=0,I363*(1-G363/100)+J363*(1-H363/100),-N363)</f>
        <v>-0.0440003819942308</v>
      </c>
      <c r="Q363" s="47" t="n">
        <f aca="false">IF(P362&gt;0,Q362+P362*(1-V$20/100),Q362+P362)</f>
        <v>225.857896165919</v>
      </c>
      <c r="R363" s="48" t="n">
        <f aca="false">R$4+Q363/V$28</f>
        <v>42.6715644739318</v>
      </c>
    </row>
    <row r="364" customFormat="false" ht="12.8" hidden="false" customHeight="false" outlineLevel="0" collapsed="false">
      <c r="A364" s="1" t="n">
        <v>360</v>
      </c>
      <c r="B364" s="37" t="n">
        <v>43905</v>
      </c>
      <c r="C364" s="38" t="n">
        <f aca="false">V$26-V$26*SIN(2*PI()/365*A364)</f>
        <v>15.3768270697505</v>
      </c>
      <c r="D364" s="2" t="n">
        <f aca="false">IF((E364+F364)&gt;C364,C364,E364+F364)</f>
        <v>15.3768270697505</v>
      </c>
      <c r="E364" s="38" t="n">
        <f aca="false">(V$23+V$24*SIN(2*PI()/365*A364))*V$25/100*V$7*V$8/100</f>
        <v>13.0612190381794</v>
      </c>
      <c r="F364" s="38" t="n">
        <f aca="false">(V$23+V$24*SIN(2*PI()/365*A364))*V$25/100*V$9*(1-V$14/100)*(1-V$16/100)</f>
        <v>2.76604312890509</v>
      </c>
      <c r="G364" s="38" t="n">
        <f aca="false">IF(C364&gt;E364,100,C364/E364*100)</f>
        <v>100</v>
      </c>
      <c r="H364" s="38" t="n">
        <f aca="false">L364/F364*100</f>
        <v>83.7155432383927</v>
      </c>
      <c r="I364" s="38" t="n">
        <f aca="false">(V$23+V$24*SIN(2*PI()/365*A364))*V$25/100*V$7*V$8/100*(1-V$15/100)</f>
        <v>11.6244849439796</v>
      </c>
      <c r="J364" s="38" t="n">
        <f aca="false">(V$23+V$24*SIN(2*PI()/365*A364))*V$25/100*V$9*(1-V$14/100)</f>
        <v>3.10791362798325</v>
      </c>
      <c r="K364" s="39" t="n">
        <f aca="false">IF(E364/C364*100&lt;100,E364/C364*100,100)</f>
        <v>84.940924281275</v>
      </c>
      <c r="L364" s="2" t="n">
        <f aca="false">IF(((C364-E364)&gt;0)AND(F364&gt;(C364-E364)),(C364-E364),IF(C364&lt;E364,0,F364))</f>
        <v>2.31560803157113</v>
      </c>
      <c r="M364" s="2" t="n">
        <f aca="false">IF(C364&lt;(E364+F364),0,C364-E364-F364)</f>
        <v>0</v>
      </c>
      <c r="N364" s="2" t="n">
        <f aca="false">IF(C364&lt;(E364+F364),0,(C364-E364-F364)/(1-V$16/100))</f>
        <v>0</v>
      </c>
      <c r="O364" s="2" t="n">
        <f aca="false">L364+M364</f>
        <v>2.31560803157113</v>
      </c>
      <c r="P364" s="2" t="n">
        <f aca="false">IF( N364=0,I364*(1-G364/100)+J364*(1-H364/100),-N364)</f>
        <v>0.506106850937033</v>
      </c>
      <c r="Q364" s="47" t="n">
        <f aca="false">IF(P363&gt;0,Q363+P363*(1-V$20/100),Q363+P363)</f>
        <v>225.813895783925</v>
      </c>
      <c r="R364" s="48" t="n">
        <f aca="false">R$4+Q364/V$28</f>
        <v>42.6710440145661</v>
      </c>
    </row>
    <row r="365" customFormat="false" ht="12.8" hidden="false" customHeight="false" outlineLevel="0" collapsed="false">
      <c r="A365" s="1" t="n">
        <v>361</v>
      </c>
      <c r="B365" s="37" t="n">
        <v>43906</v>
      </c>
      <c r="C365" s="38" t="n">
        <f aca="false">V$26-V$26*SIN(2*PI()/365*A365)</f>
        <v>15.1338147495906</v>
      </c>
      <c r="D365" s="2" t="n">
        <f aca="false">IF((E365+F365)&gt;C365,C365,E365+F365)</f>
        <v>15.1338147495906</v>
      </c>
      <c r="E365" s="38" t="n">
        <f aca="false">(V$23+V$24*SIN(2*PI()/365*A365))*V$25/100*V$7*V$8/100</f>
        <v>13.2653087614822</v>
      </c>
      <c r="F365" s="38" t="n">
        <f aca="false">(V$23+V$24*SIN(2*PI()/365*A365))*V$25/100*V$9*(1-V$14/100)*(1-V$16/100)</f>
        <v>2.80926428423308</v>
      </c>
      <c r="G365" s="38" t="n">
        <f aca="false">IF(C365&gt;E365,100,C365/E365*100)</f>
        <v>100</v>
      </c>
      <c r="H365" s="38" t="n">
        <f aca="false">L365/F365*100</f>
        <v>66.5122893063252</v>
      </c>
      <c r="I365" s="38" t="n">
        <f aca="false">(V$23+V$24*SIN(2*PI()/365*A365))*V$25/100*V$7*V$8/100*(1-V$15/100)</f>
        <v>11.8061247977192</v>
      </c>
      <c r="J365" s="38" t="n">
        <f aca="false">(V$23+V$24*SIN(2*PI()/365*A365))*V$25/100*V$9*(1-V$14/100)</f>
        <v>3.15647672385739</v>
      </c>
      <c r="K365" s="39" t="n">
        <f aca="false">IF(E365/C365*100&lt;100,E365/C365*100,100)</f>
        <v>87.6534368959491</v>
      </c>
      <c r="L365" s="2" t="n">
        <f aca="false">IF(((C365-E365)&gt;0)AND(F365&gt;(C365-E365)),(C365-E365),IF(C365&lt;E365,0,F365))</f>
        <v>1.86850598810837</v>
      </c>
      <c r="M365" s="2" t="n">
        <f aca="false">IF(C365&lt;(E365+F365),0,C365-E365-F365)</f>
        <v>0</v>
      </c>
      <c r="N365" s="2" t="n">
        <f aca="false">IF(C365&lt;(E365+F365),0,(C365-E365-F365)/(1-V$16/100))</f>
        <v>0</v>
      </c>
      <c r="O365" s="2" t="n">
        <f aca="false">L365+M365</f>
        <v>1.86850598810837</v>
      </c>
      <c r="P365" s="2" t="n">
        <f aca="false">IF( N365=0,I365*(1-G365/100)+J365*(1-H365/100),-N365)</f>
        <v>1.05703179339855</v>
      </c>
      <c r="Q365" s="47" t="n">
        <f aca="false">IF(P364&gt;0,Q364+P364*(1-V$20/100),Q364+P364)</f>
        <v>226.284575155296</v>
      </c>
      <c r="R365" s="48" t="n">
        <f aca="false">R$4+Q365/V$28</f>
        <v>42.6766114545738</v>
      </c>
    </row>
    <row r="366" customFormat="false" ht="12.8" hidden="false" customHeight="false" outlineLevel="0" collapsed="false">
      <c r="A366" s="1" t="n">
        <v>362</v>
      </c>
      <c r="B366" s="37" t="n">
        <v>43907</v>
      </c>
      <c r="C366" s="38" t="n">
        <f aca="false">V$26-V$26*SIN(2*PI()/365*A366)</f>
        <v>14.8905137485493</v>
      </c>
      <c r="D366" s="2" t="n">
        <f aca="false">IF((E366+F366)&gt;C366,C366,E366+F366)</f>
        <v>14.8905137485493</v>
      </c>
      <c r="E366" s="38" t="n">
        <f aca="false">(V$23+V$24*SIN(2*PI()/365*A366))*V$25/100*V$7*V$8/100</f>
        <v>13.4696409284651</v>
      </c>
      <c r="F366" s="38" t="n">
        <f aca="false">(V$23+V$24*SIN(2*PI()/365*A366))*V$25/100*V$9*(1-V$14/100)*(1-V$16/100)</f>
        <v>2.85253678313577</v>
      </c>
      <c r="G366" s="38" t="n">
        <f aca="false">IF(C366&gt;E366,100,C366/E366*100)</f>
        <v>100</v>
      </c>
      <c r="H366" s="38" t="n">
        <f aca="false">L366/F366*100</f>
        <v>49.8108500645602</v>
      </c>
      <c r="I366" s="38" t="n">
        <f aca="false">(V$23+V$24*SIN(2*PI()/365*A366))*V$25/100*V$7*V$8/100*(1-V$15/100)</f>
        <v>11.987980426334</v>
      </c>
      <c r="J366" s="38" t="n">
        <f aca="false">(V$23+V$24*SIN(2*PI()/365*A366))*V$25/100*V$9*(1-V$14/100)</f>
        <v>3.20509750914131</v>
      </c>
      <c r="K366" s="39" t="n">
        <f aca="false">IF(E366/C366*100&lt;100,E366/C366*100,100)</f>
        <v>90.4578656984041</v>
      </c>
      <c r="L366" s="2" t="n">
        <f aca="false">IF(((C366-E366)&gt;0)AND(F366&gt;(C366-E366)),(C366-E366),IF(C366&lt;E366,0,F366))</f>
        <v>1.42087282008418</v>
      </c>
      <c r="M366" s="2" t="n">
        <f aca="false">IF(C366&lt;(E366+F366),0,C366-E366-F366)</f>
        <v>0</v>
      </c>
      <c r="N366" s="2" t="n">
        <f aca="false">IF(C366&lt;(E366+F366),0,(C366-E366-F366)/(1-V$16/100))</f>
        <v>0</v>
      </c>
      <c r="O366" s="2" t="n">
        <f aca="false">L366+M366</f>
        <v>1.42087282008418</v>
      </c>
      <c r="P366" s="2" t="n">
        <f aca="false">IF( N366=0,I366*(1-G366/100)+J366*(1-H366/100),-N366)</f>
        <v>1.60861119443998</v>
      </c>
      <c r="Q366" s="47" t="n">
        <f aca="false">IF(P365&gt;0,Q365+P365*(1-V$20/100),Q365+P365)</f>
        <v>227.267614723157</v>
      </c>
      <c r="R366" s="48" t="n">
        <f aca="false">R$4+Q366/V$28</f>
        <v>42.6882393570317</v>
      </c>
    </row>
    <row r="367" customFormat="false" ht="12.8" hidden="false" customHeight="false" outlineLevel="0" collapsed="false">
      <c r="A367" s="1" t="n">
        <v>363</v>
      </c>
      <c r="B367" s="37" t="n">
        <v>43908</v>
      </c>
      <c r="C367" s="38" t="n">
        <f aca="false">V$26-V$26*SIN(2*PI()/365*A367)</f>
        <v>14.6469961619642</v>
      </c>
      <c r="D367" s="2" t="n">
        <f aca="false">IF((E367+F367)&gt;C367,C367,E367+F367)</f>
        <v>14.6469961619642</v>
      </c>
      <c r="E367" s="38" t="n">
        <f aca="false">(V$23+V$24*SIN(2*PI()/365*A367))*V$25/100*V$7*V$8/100</f>
        <v>13.6741549910972</v>
      </c>
      <c r="F367" s="38" t="n">
        <f aca="false">(V$23+V$24*SIN(2*PI()/365*A367))*V$25/100*V$9*(1-V$14/100)*(1-V$16/100)</f>
        <v>2.89584780303783</v>
      </c>
      <c r="G367" s="38" t="n">
        <f aca="false">IF(C367&gt;E367,100,C367/E367*100)</f>
        <v>100</v>
      </c>
      <c r="H367" s="38" t="n">
        <f aca="false">L367/F367*100</f>
        <v>33.5943473909945</v>
      </c>
      <c r="I367" s="38" t="n">
        <f aca="false">(V$23+V$24*SIN(2*PI()/365*A367))*V$25/100*V$7*V$8/100*(1-V$15/100)</f>
        <v>12.1699979420765</v>
      </c>
      <c r="J367" s="38" t="n">
        <f aca="false">(V$23+V$24*SIN(2*PI()/365*A367))*V$25/100*V$9*(1-V$14/100)</f>
        <v>3.253761576447</v>
      </c>
      <c r="K367" s="39" t="n">
        <f aca="false">IF(E367/C367*100&lt;100,E367/C367*100,100)</f>
        <v>93.3580840732838</v>
      </c>
      <c r="L367" s="2" t="n">
        <f aca="false">IF(((C367-E367)&gt;0)AND(F367&gt;(C367-E367)),(C367-E367),IF(C367&lt;E367,0,F367))</f>
        <v>0.97284117086701</v>
      </c>
      <c r="M367" s="2" t="n">
        <f aca="false">IF(C367&lt;(E367+F367),0,C367-E367-F367)</f>
        <v>0</v>
      </c>
      <c r="N367" s="2" t="n">
        <f aca="false">IF(C367&lt;(E367+F367),0,(C367-E367-F367)/(1-V$16/100))</f>
        <v>0</v>
      </c>
      <c r="O367" s="2" t="n">
        <f aca="false">L367+M367</f>
        <v>0.97284117086701</v>
      </c>
      <c r="P367" s="2" t="n">
        <f aca="false">IF( N367=0,I367*(1-G367/100)+J367*(1-H367/100),-N367)</f>
        <v>2.1606816091807</v>
      </c>
      <c r="Q367" s="47" t="n">
        <f aca="false">IF(P366&gt;0,Q366+P366*(1-V$20/100),Q366+P366)</f>
        <v>228.763623133986</v>
      </c>
      <c r="R367" s="48" t="n">
        <f aca="false">R$4+Q367/V$28</f>
        <v>42.7059349213264</v>
      </c>
    </row>
    <row r="368" customFormat="false" ht="12.8" hidden="false" customHeight="false" outlineLevel="0" collapsed="false">
      <c r="A368" s="1" t="n">
        <v>364</v>
      </c>
      <c r="B368" s="37" t="n">
        <v>43909</v>
      </c>
      <c r="C368" s="38" t="n">
        <f aca="false">V$26-V$26*SIN(2*PI()/365*A368)</f>
        <v>14.4033341493516</v>
      </c>
      <c r="D368" s="2" t="n">
        <f aca="false">IF((E368+F368)&gt;C368,C368,E368+F368)</f>
        <v>14.4033341493516</v>
      </c>
      <c r="E368" s="38" t="n">
        <f aca="false">(V$23+V$24*SIN(2*PI()/365*A368))*V$25/100*V$7*V$8/100</f>
        <v>13.8787903474478</v>
      </c>
      <c r="F368" s="38" t="n">
        <f aca="false">(V$23+V$24*SIN(2*PI()/365*A368))*V$25/100*V$9*(1-V$14/100)*(1-V$16/100)</f>
        <v>2.93918450994935</v>
      </c>
      <c r="G368" s="38" t="n">
        <f aca="false">IF(C368&gt;E368,100,C368/E368*100)</f>
        <v>100</v>
      </c>
      <c r="H368" s="38" t="n">
        <f aca="false">L368/F368*100</f>
        <v>17.8465761549901</v>
      </c>
      <c r="I368" s="38" t="n">
        <f aca="false">(V$23+V$24*SIN(2*PI()/365*A368))*V$25/100*V$7*V$8/100*(1-V$15/100)</f>
        <v>12.3521234092286</v>
      </c>
      <c r="J368" s="38" t="n">
        <f aca="false">(V$23+V$24*SIN(2*PI()/365*A368))*V$25/100*V$9*(1-V$14/100)</f>
        <v>3.30245450556107</v>
      </c>
      <c r="K368" s="39" t="n">
        <f aca="false">IF(E368/C368*100&lt;100,E368/C368*100,100)</f>
        <v>96.3581779297441</v>
      </c>
      <c r="L368" s="2" t="n">
        <f aca="false">IF(((C368-E368)&gt;0)AND(F368&gt;(C368-E368)),(C368-E368),IF(C368&lt;E368,0,F368))</f>
        <v>0.524543801903784</v>
      </c>
      <c r="M368" s="2" t="n">
        <f aca="false">IF(C368&lt;(E368+F368),0,C368-E368-F368)</f>
        <v>0</v>
      </c>
      <c r="N368" s="2" t="n">
        <f aca="false">IF(C368&lt;(E368+F368),0,(C368-E368-F368)/(1-V$16/100))</f>
        <v>0</v>
      </c>
      <c r="O368" s="2" t="n">
        <f aca="false">L368+M368</f>
        <v>0.524543801903784</v>
      </c>
      <c r="P368" s="2" t="n">
        <f aca="false">IF( N368=0,I368*(1-G368/100)+J368*(1-H368/100),-N368)</f>
        <v>2.71307944724221</v>
      </c>
      <c r="Q368" s="47" t="n">
        <f aca="false">IF(P367&gt;0,Q367+P367*(1-V$20/100),Q367+P367)</f>
        <v>230.773057030524</v>
      </c>
      <c r="R368" s="48" t="n">
        <f aca="false">R$4+Q368/V$28</f>
        <v>42.7297035488654</v>
      </c>
    </row>
    <row r="369" customFormat="false" ht="12.8" hidden="false" customHeight="false" outlineLevel="0" collapsed="false">
      <c r="A369" s="1" t="n">
        <v>365</v>
      </c>
      <c r="B369" s="37" t="n">
        <v>43910</v>
      </c>
      <c r="C369" s="38" t="n">
        <f aca="false">V$26-V$26*SIN(2*PI()/365*A369)</f>
        <v>14.1595999130246</v>
      </c>
      <c r="D369" s="2" t="n">
        <f aca="false">IF((E369+F369)&gt;C369,C369,E369+F369)</f>
        <v>14.1595999130246</v>
      </c>
      <c r="E369" s="38" t="n">
        <f aca="false">(V$23+V$24*SIN(2*PI()/365*A369))*V$25/100*V$7*V$8/100</f>
        <v>14.0834863596446</v>
      </c>
      <c r="F369" s="38" t="n">
        <f aca="false">(V$23+V$24*SIN(2*PI()/365*A369))*V$25/100*V$9*(1-V$14/100)*(1-V$16/100)</f>
        <v>2.98253406226878</v>
      </c>
      <c r="G369" s="38" t="n">
        <f aca="false">IF(C369&gt;E369,100,C369/E369*100)</f>
        <v>100</v>
      </c>
      <c r="H369" s="38" t="n">
        <f aca="false">L369/F369*100</f>
        <v>2.55197599728687</v>
      </c>
      <c r="I369" s="38" t="n">
        <f aca="false">(V$23+V$24*SIN(2*PI()/365*A369))*V$25/100*V$7*V$8/100*(1-V$15/100)</f>
        <v>12.5343028600837</v>
      </c>
      <c r="J369" s="38" t="n">
        <f aca="false">(V$23+V$24*SIN(2*PI()/365*A369))*V$25/100*V$9*(1-V$14/100)</f>
        <v>3.35116186771773</v>
      </c>
      <c r="K369" s="39" t="n">
        <f aca="false">IF(E369/C369*100&lt;100,E369/C369*100,100)</f>
        <v>99.462459717453</v>
      </c>
      <c r="L369" s="2" t="n">
        <f aca="false">IF(((C369-E369)&gt;0)AND(F369&gt;(C369-E369)),(C369-E369),IF(C369&lt;E369,0,F369))</f>
        <v>0.0761135533800044</v>
      </c>
      <c r="M369" s="2" t="n">
        <f aca="false">IF(C369&lt;(E369+F369),0,C369-E369-F369)</f>
        <v>0</v>
      </c>
      <c r="N369" s="2" t="n">
        <f aca="false">IF(C369&lt;(E369+F369),0,(C369-E369-F369)/(1-V$16/100))</f>
        <v>0</v>
      </c>
      <c r="O369" s="2" t="n">
        <f aca="false">L369+M369</f>
        <v>0.0761135533800044</v>
      </c>
      <c r="P369" s="2" t="n">
        <f aca="false">IF( N369=0,I369*(1-G369/100)+J369*(1-H369/100),-N369)</f>
        <v>3.26564102122335</v>
      </c>
      <c r="Q369" s="47" t="n">
        <f aca="false">IF(P368&gt;0,Q368+P368*(1-V$20/100),Q368+P368)</f>
        <v>233.296220916459</v>
      </c>
      <c r="R369" s="48" t="n">
        <f aca="false">R$4+Q369/V$28</f>
        <v>42.7595488414763</v>
      </c>
    </row>
    <row r="370" customFormat="false" ht="12.8" hidden="false" customHeight="false" outlineLevel="0" collapsed="false">
      <c r="A370" s="1" t="n">
        <v>366</v>
      </c>
      <c r="B370" s="37" t="n">
        <v>43911</v>
      </c>
      <c r="C370" s="38" t="n">
        <f aca="false">V$26-V$26*SIN(2*PI()/365*A370)</f>
        <v>13.9158656766976</v>
      </c>
      <c r="D370" s="2" t="n">
        <f aca="false">IF((E370+F370)&gt;C370,C370,E370+F370)</f>
        <v>13.9158656766976</v>
      </c>
      <c r="E370" s="38" t="n">
        <f aca="false">(V$23+V$24*SIN(2*PI()/365*A370))*V$25/100*V$7*V$8/100</f>
        <v>14.2881823718413</v>
      </c>
      <c r="F370" s="38" t="n">
        <f aca="false">(V$23+V$24*SIN(2*PI()/365*A370))*V$25/100*V$9*(1-V$14/100)*(1-V$16/100)</f>
        <v>3.02588361458821</v>
      </c>
      <c r="G370" s="38" t="n">
        <f aca="false">IF(C370&gt;E370,100,C370/E370*100)</f>
        <v>97.3942333219549</v>
      </c>
      <c r="H370" s="38" t="n">
        <f aca="false">L370/F370*100</f>
        <v>0</v>
      </c>
      <c r="I370" s="38" t="n">
        <f aca="false">(V$23+V$24*SIN(2*PI()/365*A370))*V$25/100*V$7*V$8/100*(1-V$15/100)</f>
        <v>12.7164823109388</v>
      </c>
      <c r="J370" s="38" t="n">
        <f aca="false">(V$23+V$24*SIN(2*PI()/365*A370))*V$25/100*V$9*(1-V$14/100)</f>
        <v>3.39986922987439</v>
      </c>
      <c r="K370" s="39" t="n">
        <f aca="false">IF(E370/C370*100&lt;100,E370/C370*100,100)</f>
        <v>100</v>
      </c>
      <c r="L370" s="2" t="n">
        <f aca="false">IF(((C370-E370)&gt;0)AND(F370&gt;(C370-E370)),(C370-E370),IF(C370&lt;E370,0,F370))</f>
        <v>0</v>
      </c>
      <c r="M370" s="2" t="n">
        <f aca="false">IF(C370&lt;(E370+F370),0,C370-E370-F370)</f>
        <v>0</v>
      </c>
      <c r="N370" s="2" t="n">
        <f aca="false">IF(C370&lt;(E370+F370),0,(C370-E370-F370)/(1-V$16/100))</f>
        <v>0</v>
      </c>
      <c r="O370" s="2" t="n">
        <f aca="false">L370+M370</f>
        <v>0</v>
      </c>
      <c r="P370" s="2" t="n">
        <f aca="false">IF( N370=0,I370*(1-G370/100)+J370*(1-H370/100),-N370)</f>
        <v>3.73123108855234</v>
      </c>
      <c r="Q370" s="47" t="n">
        <f aca="false">IF(P369&gt;0,Q369+P369*(1-V$20/100),Q369+P369)</f>
        <v>236.333267066197</v>
      </c>
      <c r="R370" s="48" t="n">
        <f aca="false">R$4+Q370/V$28</f>
        <v>42.7954726003401</v>
      </c>
    </row>
    <row r="371" customFormat="false" ht="12.8" hidden="false" customHeight="false" outlineLevel="0" collapsed="false">
      <c r="A371" s="1" t="n">
        <v>367</v>
      </c>
      <c r="B371" s="37" t="n">
        <v>43912</v>
      </c>
      <c r="C371" s="38" t="n">
        <f aca="false">V$26-V$26*SIN(2*PI()/365*A371)</f>
        <v>13.672203664085</v>
      </c>
      <c r="D371" s="2" t="n">
        <f aca="false">IF((E371+F371)&gt;C371,C371,E371+F371)</f>
        <v>13.672203664085</v>
      </c>
      <c r="E371" s="38" t="n">
        <f aca="false">(V$23+V$24*SIN(2*PI()/365*A371))*V$25/100*V$7*V$8/100</f>
        <v>14.492817728192</v>
      </c>
      <c r="F371" s="38" t="n">
        <f aca="false">(V$23+V$24*SIN(2*PI()/365*A371))*V$25/100*V$9*(1-V$14/100)*(1-V$16/100)</f>
        <v>3.06922032149973</v>
      </c>
      <c r="G371" s="38" t="n">
        <f aca="false">IF(C371&gt;E371,100,C371/E371*100)</f>
        <v>94.3377880030142</v>
      </c>
      <c r="H371" s="38" t="n">
        <f aca="false">L371/F371*100</f>
        <v>0</v>
      </c>
      <c r="I371" s="38" t="n">
        <f aca="false">(V$23+V$24*SIN(2*PI()/365*A371))*V$25/100*V$7*V$8/100*(1-V$15/100)</f>
        <v>12.8986077780908</v>
      </c>
      <c r="J371" s="38" t="n">
        <f aca="false">(V$23+V$24*SIN(2*PI()/365*A371))*V$25/100*V$9*(1-V$14/100)</f>
        <v>3.44856215898846</v>
      </c>
      <c r="K371" s="39" t="n">
        <f aca="false">IF(E371/C371*100&lt;100,E371/C371*100,100)</f>
        <v>100</v>
      </c>
      <c r="L371" s="2" t="n">
        <f aca="false">IF(((C371-E371)&gt;0)AND(F371&gt;(C371-E371)),(C371-E371),IF(C371&lt;E371,0,F371))</f>
        <v>0</v>
      </c>
      <c r="M371" s="2" t="n">
        <f aca="false">IF(C371&lt;(E371+F371),0,C371-E371-F371)</f>
        <v>0</v>
      </c>
      <c r="N371" s="2" t="n">
        <f aca="false">IF(C371&lt;(E371+F371),0,(C371-E371-F371)/(1-V$16/100))</f>
        <v>0</v>
      </c>
      <c r="O371" s="2" t="n">
        <f aca="false">L371+M371</f>
        <v>0</v>
      </c>
      <c r="P371" s="2" t="n">
        <f aca="false">IF( N371=0,I371*(1-G371/100)+J371*(1-H371/100),-N371)</f>
        <v>4.17890867604367</v>
      </c>
      <c r="Q371" s="47" t="n">
        <f aca="false">IF(P370&gt;0,Q370+P370*(1-V$20/100),Q370+P370)</f>
        <v>239.803311978551</v>
      </c>
      <c r="R371" s="48" t="n">
        <f aca="false">R$4+Q371/V$28</f>
        <v>42.8365180934052</v>
      </c>
    </row>
    <row r="372" customFormat="false" ht="12.8" hidden="false" customHeight="false" outlineLevel="0" collapsed="false">
      <c r="A372" s="1" t="n">
        <v>368</v>
      </c>
      <c r="B372" s="37" t="n">
        <v>43913</v>
      </c>
      <c r="C372" s="38" t="n">
        <f aca="false">V$26-V$26*SIN(2*PI()/365*A372)</f>
        <v>13.4286860774998</v>
      </c>
      <c r="D372" s="2" t="n">
        <f aca="false">IF((E372+F372)&gt;C372,C372,E372+F372)</f>
        <v>13.4286860774998</v>
      </c>
      <c r="E372" s="38" t="n">
        <f aca="false">(V$23+V$24*SIN(2*PI()/365*A372))*V$25/100*V$7*V$8/100</f>
        <v>14.697331790824</v>
      </c>
      <c r="F372" s="38" t="n">
        <f aca="false">(V$23+V$24*SIN(2*PI()/365*A372))*V$25/100*V$9*(1-V$14/100)*(1-V$16/100)</f>
        <v>3.1125313414018</v>
      </c>
      <c r="G372" s="38" t="n">
        <f aca="false">IF(C372&gt;E372,100,C372/E372*100)</f>
        <v>91.3681902852856</v>
      </c>
      <c r="H372" s="38" t="n">
        <f aca="false">L372/F372*100</f>
        <v>0</v>
      </c>
      <c r="I372" s="38" t="n">
        <f aca="false">(V$23+V$24*SIN(2*PI()/365*A372))*V$25/100*V$7*V$8/100*(1-V$15/100)</f>
        <v>13.0806252938334</v>
      </c>
      <c r="J372" s="38" t="n">
        <f aca="false">(V$23+V$24*SIN(2*PI()/365*A372))*V$25/100*V$9*(1-V$14/100)</f>
        <v>3.49722622629415</v>
      </c>
      <c r="K372" s="39" t="n">
        <f aca="false">IF(E372/C372*100&lt;100,E372/C372*100,100)</f>
        <v>100</v>
      </c>
      <c r="L372" s="2" t="n">
        <f aca="false">IF(((C372-E372)&gt;0)AND(F372&gt;(C372-E372)),(C372-E372),IF(C372&lt;E372,0,F372))</f>
        <v>0</v>
      </c>
      <c r="M372" s="2" t="n">
        <f aca="false">IF(C372&lt;(E372+F372),0,C372-E372-F372)</f>
        <v>0</v>
      </c>
      <c r="N372" s="2" t="n">
        <f aca="false">IF(C372&lt;(E372+F372),0,(C372-E372-F372)/(1-V$16/100))</f>
        <v>0</v>
      </c>
      <c r="O372" s="2" t="n">
        <f aca="false">L372+M372</f>
        <v>0</v>
      </c>
      <c r="P372" s="2" t="n">
        <f aca="false">IF( N372=0,I372*(1-G372/100)+J372*(1-H372/100),-N372)</f>
        <v>4.62632091115265</v>
      </c>
      <c r="Q372" s="47" t="n">
        <f aca="false">IF(P371&gt;0,Q371+P371*(1-V$20/100),Q371+P371)</f>
        <v>243.689697047271</v>
      </c>
      <c r="R372" s="48" t="n">
        <f aca="false">R$4+Q372/V$28</f>
        <v>42.8824882740271</v>
      </c>
    </row>
    <row r="373" customFormat="false" ht="12.8" hidden="false" customHeight="false" outlineLevel="0" collapsed="false">
      <c r="A373" s="1" t="n">
        <v>369</v>
      </c>
      <c r="B373" s="37" t="n">
        <v>43914</v>
      </c>
      <c r="C373" s="38" t="n">
        <f aca="false">V$26-V$26*SIN(2*PI()/365*A373)</f>
        <v>13.1853850764586</v>
      </c>
      <c r="D373" s="2" t="n">
        <f aca="false">IF((E373+F373)&gt;C373,C373,E373+F373)</f>
        <v>13.1853850764586</v>
      </c>
      <c r="E373" s="38" t="n">
        <f aca="false">(V$23+V$24*SIN(2*PI()/365*A373))*V$25/100*V$7*V$8/100</f>
        <v>14.9016639578069</v>
      </c>
      <c r="F373" s="38" t="n">
        <f aca="false">(V$23+V$24*SIN(2*PI()/365*A373))*V$25/100*V$9*(1-V$14/100)*(1-V$16/100)</f>
        <v>3.15580384030448</v>
      </c>
      <c r="G373" s="38" t="n">
        <f aca="false">IF(C373&gt;E373,100,C373/E373*100)</f>
        <v>88.4826359914713</v>
      </c>
      <c r="H373" s="38" t="n">
        <f aca="false">L373/F373*100</f>
        <v>0</v>
      </c>
      <c r="I373" s="38" t="n">
        <f aca="false">(V$23+V$24*SIN(2*PI()/365*A373))*V$25/100*V$7*V$8/100*(1-V$15/100)</f>
        <v>13.2624809224482</v>
      </c>
      <c r="J373" s="38" t="n">
        <f aca="false">(V$23+V$24*SIN(2*PI()/365*A373))*V$25/100*V$9*(1-V$14/100)</f>
        <v>3.54584701157807</v>
      </c>
      <c r="K373" s="39" t="n">
        <f aca="false">IF(E373/C373*100&lt;100,E373/C373*100,100)</f>
        <v>100</v>
      </c>
      <c r="L373" s="2" t="n">
        <f aca="false">IF(((C373-E373)&gt;0)AND(F373&gt;(C373-E373)),(C373-E373),IF(C373&lt;E373,0,F373))</f>
        <v>0</v>
      </c>
      <c r="M373" s="2" t="n">
        <f aca="false">IF(C373&lt;(E373+F373),0,C373-E373-F373)</f>
        <v>0</v>
      </c>
      <c r="N373" s="2" t="n">
        <f aca="false">IF(C373&lt;(E373+F373),0,(C373-E373-F373)/(1-V$16/100))</f>
        <v>0</v>
      </c>
      <c r="O373" s="2" t="n">
        <f aca="false">L373+M373</f>
        <v>0</v>
      </c>
      <c r="P373" s="2" t="n">
        <f aca="false">IF( N373=0,I373*(1-G373/100)+J373*(1-H373/100),-N373)</f>
        <v>5.0733352159781</v>
      </c>
      <c r="Q373" s="47" t="n">
        <f aca="false">IF(P372&gt;0,Q372+P372*(1-V$20/100),Q372+P372)</f>
        <v>247.992175494643</v>
      </c>
      <c r="R373" s="48" t="n">
        <f aca="false">R$4+Q373/V$28</f>
        <v>42.9333802231906</v>
      </c>
    </row>
    <row r="374" customFormat="false" ht="12.8" hidden="false" customHeight="false" outlineLevel="0" collapsed="false">
      <c r="A374" s="1" t="n">
        <v>370</v>
      </c>
      <c r="B374" s="37" t="n">
        <v>43915</v>
      </c>
      <c r="C374" s="38" t="n">
        <f aca="false">V$26-V$26*SIN(2*PI()/365*A374)</f>
        <v>12.9423727562987</v>
      </c>
      <c r="D374" s="2" t="n">
        <f aca="false">IF((E374+F374)&gt;C374,C374,E374+F374)</f>
        <v>12.9423727562987</v>
      </c>
      <c r="E374" s="38" t="n">
        <f aca="false">(V$23+V$24*SIN(2*PI()/365*A374))*V$25/100*V$7*V$8/100</f>
        <v>15.1057536811098</v>
      </c>
      <c r="F374" s="38" t="n">
        <f aca="false">(V$23+V$24*SIN(2*PI()/365*A374))*V$25/100*V$9*(1-V$14/100)*(1-V$16/100)</f>
        <v>3.19902499563247</v>
      </c>
      <c r="G374" s="38" t="n">
        <f aca="false">IF(C374&gt;E374,100,C374/E374*100)</f>
        <v>85.6784310767857</v>
      </c>
      <c r="H374" s="38" t="n">
        <f aca="false">L374/F374*100</f>
        <v>0</v>
      </c>
      <c r="I374" s="38" t="n">
        <f aca="false">(V$23+V$24*SIN(2*PI()/365*A374))*V$25/100*V$7*V$8/100*(1-V$15/100)</f>
        <v>13.4441207761877</v>
      </c>
      <c r="J374" s="38" t="n">
        <f aca="false">(V$23+V$24*SIN(2*PI()/365*A374))*V$25/100*V$9*(1-V$14/100)</f>
        <v>3.59441010745222</v>
      </c>
      <c r="K374" s="39" t="n">
        <f aca="false">IF(E374/C374*100&lt;100,E374/C374*100,100)</f>
        <v>100</v>
      </c>
      <c r="L374" s="2" t="n">
        <f aca="false">IF(((C374-E374)&gt;0)AND(F374&gt;(C374-E374)),(C374-E374),IF(C374&lt;E374,0,F374))</f>
        <v>0</v>
      </c>
      <c r="M374" s="2" t="n">
        <f aca="false">IF(C374&lt;(E374+F374),0,C374-E374-F374)</f>
        <v>0</v>
      </c>
      <c r="N374" s="2" t="n">
        <f aca="false">IF(C374&lt;(E374+F374),0,(C374-E374-F374)/(1-V$16/100))</f>
        <v>0</v>
      </c>
      <c r="O374" s="2" t="n">
        <f aca="false">L374+M374</f>
        <v>0</v>
      </c>
      <c r="P374" s="2" t="n">
        <f aca="false">IF( N374=0,I374*(1-G374/100)+J374*(1-H374/100),-N374)</f>
        <v>5.51981913053412</v>
      </c>
      <c r="Q374" s="47" t="n">
        <f aca="false">IF(P373&gt;0,Q373+P373*(1-V$20/100),Q373+P373)</f>
        <v>252.710377245503</v>
      </c>
      <c r="R374" s="48" t="n">
        <f aca="false">R$4+Q374/V$28</f>
        <v>42.9891895634546</v>
      </c>
    </row>
    <row r="375" customFormat="false" ht="12.8" hidden="false" customHeight="false" outlineLevel="0" collapsed="false">
      <c r="A375" s="1" t="n">
        <v>371</v>
      </c>
      <c r="B375" s="37" t="n">
        <v>43916</v>
      </c>
      <c r="C375" s="38" t="n">
        <f aca="false">V$26-V$26*SIN(2*PI()/365*A375)</f>
        <v>12.6997211268152</v>
      </c>
      <c r="D375" s="2" t="n">
        <f aca="false">IF((E375+F375)&gt;C375,C375,E375+F375)</f>
        <v>12.6997211268152</v>
      </c>
      <c r="E375" s="38" t="n">
        <f aca="false">(V$23+V$24*SIN(2*PI()/365*A375))*V$25/100*V$7*V$8/100</f>
        <v>15.3095404845429</v>
      </c>
      <c r="F375" s="38" t="n">
        <f aca="false">(V$23+V$24*SIN(2*PI()/365*A375))*V$25/100*V$9*(1-V$14/100)*(1-V$16/100)</f>
        <v>3.24218200002465</v>
      </c>
      <c r="G375" s="38" t="n">
        <f aca="false">IF(C375&gt;E375,100,C375/E375*100)</f>
        <v>82.9529869928969</v>
      </c>
      <c r="H375" s="38" t="n">
        <f aca="false">L375/F375*100</f>
        <v>0</v>
      </c>
      <c r="I375" s="38" t="n">
        <f aca="false">(V$23+V$24*SIN(2*PI()/365*A375))*V$25/100*V$7*V$8/100*(1-V$15/100)</f>
        <v>13.6254910312432</v>
      </c>
      <c r="J375" s="38" t="n">
        <f aca="false">(V$23+V$24*SIN(2*PI()/365*A375))*V$25/100*V$9*(1-V$14/100)</f>
        <v>3.6429011236232</v>
      </c>
      <c r="K375" s="39" t="n">
        <f aca="false">IF(E375/C375*100&lt;100,E375/C375*100,100)</f>
        <v>100</v>
      </c>
      <c r="L375" s="2" t="n">
        <f aca="false">IF(((C375-E375)&gt;0)AND(F375&gt;(C375-E375)),(C375-E375),IF(C375&lt;E375,0,F375))</f>
        <v>0</v>
      </c>
      <c r="M375" s="2" t="n">
        <f aca="false">IF(C375&lt;(E375+F375),0,C375-E375-F375)</f>
        <v>0</v>
      </c>
      <c r="N375" s="2" t="n">
        <f aca="false">IF(C375&lt;(E375+F375),0,(C375-E375-F375)/(1-V$16/100))</f>
        <v>0</v>
      </c>
      <c r="O375" s="2" t="n">
        <f aca="false">L375+M375</f>
        <v>0</v>
      </c>
      <c r="P375" s="2" t="n">
        <f aca="false">IF( N375=0,I375*(1-G375/100)+J375*(1-H375/100),-N375)</f>
        <v>5.96564035200089</v>
      </c>
      <c r="Q375" s="47" t="n">
        <f aca="false">IF(P374&gt;0,Q374+P374*(1-V$20/100),Q374+P374)</f>
        <v>257.8438090369</v>
      </c>
      <c r="R375" s="48" t="n">
        <f aca="false">R$4+Q375/V$28</f>
        <v>43.0499104602488</v>
      </c>
    </row>
    <row r="376" customFormat="false" ht="12.8" hidden="false" customHeight="false" outlineLevel="0" collapsed="false">
      <c r="A376" s="1" t="n">
        <v>372</v>
      </c>
      <c r="B376" s="37" t="n">
        <v>43917</v>
      </c>
      <c r="C376" s="38" t="n">
        <f aca="false">V$26-V$26*SIN(2*PI()/365*A376)</f>
        <v>12.4575020909228</v>
      </c>
      <c r="D376" s="2" t="n">
        <f aca="false">IF((E376+F376)&gt;C376,C376,E376+F376)</f>
        <v>12.4575020909228</v>
      </c>
      <c r="E376" s="38" t="n">
        <f aca="false">(V$23+V$24*SIN(2*PI()/365*A376))*V$25/100*V$7*V$8/100</f>
        <v>15.5129639816785</v>
      </c>
      <c r="F376" s="38" t="n">
        <f aca="false">(V$23+V$24*SIN(2*PI()/365*A376))*V$25/100*V$9*(1-V$14/100)*(1-V$16/100)</f>
        <v>3.2852620651292</v>
      </c>
      <c r="G376" s="38" t="n">
        <f aca="false">IF(C376&gt;E376,100,C376/E376*100)</f>
        <v>80.303816250948</v>
      </c>
      <c r="H376" s="38" t="n">
        <f aca="false">L376/F376*100</f>
        <v>0</v>
      </c>
      <c r="I376" s="38" t="n">
        <f aca="false">(V$23+V$24*SIN(2*PI()/365*A376))*V$25/100*V$7*V$8/100*(1-V$15/100)</f>
        <v>13.8065379436939</v>
      </c>
      <c r="J376" s="38" t="n">
        <f aca="false">(V$23+V$24*SIN(2*PI()/365*A376))*V$25/100*V$9*(1-V$14/100)</f>
        <v>3.69130569115641</v>
      </c>
      <c r="K376" s="39" t="n">
        <f aca="false">IF(E376/C376*100&lt;100,E376/C376*100,100)</f>
        <v>100</v>
      </c>
      <c r="L376" s="2" t="n">
        <f aca="false">IF(((C376-E376)&gt;0)AND(F376&gt;(C376-E376)),(C376-E376),IF(C376&lt;E376,0,F376))</f>
        <v>0</v>
      </c>
      <c r="M376" s="2" t="n">
        <f aca="false">IF(C376&lt;(E376+F376),0,C376-E376-F376)</f>
        <v>0</v>
      </c>
      <c r="N376" s="2" t="n">
        <f aca="false">IF(C376&lt;(E376+F376),0,(C376-E376-F376)/(1-V$16/100))</f>
        <v>0</v>
      </c>
      <c r="O376" s="2" t="n">
        <f aca="false">L376+M376</f>
        <v>0</v>
      </c>
      <c r="P376" s="2" t="n">
        <f aca="false">IF( N376=0,I376*(1-G376/100)+J376*(1-H376/100),-N376)</f>
        <v>6.41066677392894</v>
      </c>
      <c r="Q376" s="47" t="n">
        <f aca="false">IF(P375&gt;0,Q375+P375*(1-V$20/100),Q375+P375)</f>
        <v>263.391854564261</v>
      </c>
      <c r="R376" s="48" t="n">
        <f aca="false">R$4+Q376/V$28</f>
        <v>43.1155356236027</v>
      </c>
    </row>
    <row r="377" customFormat="false" ht="12.8" hidden="false" customHeight="false" outlineLevel="0" collapsed="false">
      <c r="A377" s="1" t="n">
        <v>373</v>
      </c>
      <c r="B377" s="37" t="n">
        <v>43918</v>
      </c>
      <c r="C377" s="38" t="n">
        <f aca="false">V$26-V$26*SIN(2*PI()/365*A377)</f>
        <v>12.2157874233495</v>
      </c>
      <c r="D377" s="2" t="n">
        <f aca="false">IF((E377+F377)&gt;C377,C377,E377+F377)</f>
        <v>12.2157874233495</v>
      </c>
      <c r="E377" s="38" t="n">
        <f aca="false">(V$23+V$24*SIN(2*PI()/365*A377))*V$25/100*V$7*V$8/100</f>
        <v>15.715963893744</v>
      </c>
      <c r="F377" s="38" t="n">
        <f aca="false">(V$23+V$24*SIN(2*PI()/365*A377))*V$25/100*V$9*(1-V$14/100)*(1-V$16/100)</f>
        <v>3.32825242539311</v>
      </c>
      <c r="G377" s="38" t="n">
        <f aca="false">IF(C377&gt;E377,100,C377/E377*100)</f>
        <v>77.7285281764499</v>
      </c>
      <c r="H377" s="38" t="n">
        <f aca="false">L377/F377*100</f>
        <v>0</v>
      </c>
      <c r="I377" s="38" t="n">
        <f aca="false">(V$23+V$24*SIN(2*PI()/365*A377))*V$25/100*V$7*V$8/100*(1-V$15/100)</f>
        <v>13.9872078654321</v>
      </c>
      <c r="J377" s="38" t="n">
        <f aca="false">(V$23+V$24*SIN(2*PI()/365*A377))*V$25/100*V$9*(1-V$14/100)</f>
        <v>3.73960946673383</v>
      </c>
      <c r="K377" s="39" t="n">
        <f aca="false">IF(E377/C377*100&lt;100,E377/C377*100,100)</f>
        <v>100</v>
      </c>
      <c r="L377" s="2" t="n">
        <f aca="false">IF(((C377-E377)&gt;0)AND(F377&gt;(C377-E377)),(C377-E377),IF(C377&lt;E377,0,F377))</f>
        <v>0</v>
      </c>
      <c r="M377" s="2" t="n">
        <f aca="false">IF(C377&lt;(E377+F377),0,C377-E377-F377)</f>
        <v>0</v>
      </c>
      <c r="N377" s="2" t="n">
        <f aca="false">IF(C377&lt;(E377+F377),0,(C377-E377-F377)/(1-V$16/100))</f>
        <v>0</v>
      </c>
      <c r="O377" s="2" t="n">
        <f aca="false">L377+M377</f>
        <v>0</v>
      </c>
      <c r="P377" s="2" t="n">
        <f aca="false">IF( N377=0,I377*(1-G377/100)+J377*(1-H377/100),-N377)</f>
        <v>6.85476652538493</v>
      </c>
      <c r="Q377" s="47" t="n">
        <f aca="false">IF(P376&gt;0,Q376+P376*(1-V$20/100),Q376+P376)</f>
        <v>269.353774664014</v>
      </c>
      <c r="R377" s="48" t="n">
        <f aca="false">R$4+Q377/V$28</f>
        <v>43.1860563103057</v>
      </c>
    </row>
    <row r="378" customFormat="false" ht="12.8" hidden="false" customHeight="false" outlineLevel="0" collapsed="false">
      <c r="A378" s="1" t="n">
        <v>374</v>
      </c>
      <c r="B378" s="37" t="n">
        <v>43919</v>
      </c>
      <c r="C378" s="38" t="n">
        <f aca="false">V$26-V$26*SIN(2*PI()/365*A378)</f>
        <v>11.9746487493677</v>
      </c>
      <c r="D378" s="2" t="n">
        <f aca="false">IF((E378+F378)&gt;C378,C378,E378+F378)</f>
        <v>11.9746487493677</v>
      </c>
      <c r="E378" s="38" t="n">
        <f aca="false">(V$23+V$24*SIN(2*PI()/365*A378))*V$25/100*V$7*V$8/100</f>
        <v>15.9184800674844</v>
      </c>
      <c r="F378" s="38" t="n">
        <f aca="false">(V$23+V$24*SIN(2*PI()/365*A378))*V$25/100*V$9*(1-V$14/100)*(1-V$16/100)</f>
        <v>3.3711403418448</v>
      </c>
      <c r="G378" s="38" t="n">
        <f aca="false">IF(C378&gt;E378,100,C378/E378*100)</f>
        <v>75.2248248488719</v>
      </c>
      <c r="H378" s="38" t="n">
        <f aca="false">L378/F378*100</f>
        <v>0</v>
      </c>
      <c r="I378" s="38" t="n">
        <f aca="false">(V$23+V$24*SIN(2*PI()/365*A378))*V$25/100*V$7*V$8/100*(1-V$15/100)</f>
        <v>14.1674472600611</v>
      </c>
      <c r="J378" s="38" t="n">
        <f aca="false">(V$23+V$24*SIN(2*PI()/365*A378))*V$25/100*V$9*(1-V$14/100)</f>
        <v>3.78779813690427</v>
      </c>
      <c r="K378" s="39" t="n">
        <f aca="false">IF(E378/C378*100&lt;100,E378/C378*100,100)</f>
        <v>100</v>
      </c>
      <c r="L378" s="2" t="n">
        <f aca="false">IF(((C378-E378)&gt;0)AND(F378&gt;(C378-E378)),(C378-E378),IF(C378&lt;E378,0,F378))</f>
        <v>0</v>
      </c>
      <c r="M378" s="2" t="n">
        <f aca="false">IF(C378&lt;(E378+F378),0,C378-E378-F378)</f>
        <v>0</v>
      </c>
      <c r="N378" s="2" t="n">
        <f aca="false">IF(C378&lt;(E378+F378),0,(C378-E378-F378)/(1-V$16/100))</f>
        <v>0</v>
      </c>
      <c r="O378" s="2" t="n">
        <f aca="false">L378+M378</f>
        <v>0</v>
      </c>
      <c r="P378" s="2" t="n">
        <f aca="false">IF( N378=0,I378*(1-G378/100)+J378*(1-H378/100),-N378)</f>
        <v>7.29780801002811</v>
      </c>
      <c r="Q378" s="47" t="n">
        <f aca="false">IF(P377&gt;0,Q377+P377*(1-V$20/100),Q377+P377)</f>
        <v>275.728707532622</v>
      </c>
      <c r="R378" s="48" t="n">
        <f aca="false">R$4+Q378/V$28</f>
        <v>43.2614623264981</v>
      </c>
    </row>
    <row r="379" customFormat="false" ht="12.8" hidden="false" customHeight="false" outlineLevel="0" collapsed="false">
      <c r="A379" s="1" t="n">
        <v>375</v>
      </c>
      <c r="B379" s="37" t="n">
        <v>43920</v>
      </c>
      <c r="C379" s="38" t="n">
        <f aca="false">V$26-V$26*SIN(2*PI()/365*A379)</f>
        <v>11.7341575235708</v>
      </c>
      <c r="D379" s="2" t="n">
        <f aca="false">IF((E379+F379)&gt;C379,C379,E379+F379)</f>
        <v>11.7341575235708</v>
      </c>
      <c r="E379" s="38" t="n">
        <f aca="false">(V$23+V$24*SIN(2*PI()/365*A379))*V$25/100*V$7*V$8/100</f>
        <v>16.1204524929867</v>
      </c>
      <c r="F379" s="38" t="n">
        <f aca="false">(V$23+V$24*SIN(2*PI()/365*A379))*V$25/100*V$9*(1-V$14/100)*(1-V$16/100)</f>
        <v>3.41391310586905</v>
      </c>
      <c r="G379" s="38" t="n">
        <f aca="false">IF(C379&gt;E379,100,C379/E379*100)</f>
        <v>72.7904972188331</v>
      </c>
      <c r="H379" s="38" t="n">
        <f aca="false">L379/F379*100</f>
        <v>0</v>
      </c>
      <c r="I379" s="38" t="n">
        <f aca="false">(V$23+V$24*SIN(2*PI()/365*A379))*V$25/100*V$7*V$8/100*(1-V$15/100)</f>
        <v>14.3472027187582</v>
      </c>
      <c r="J379" s="38" t="n">
        <f aca="false">(V$23+V$24*SIN(2*PI()/365*A379))*V$25/100*V$9*(1-V$14/100)</f>
        <v>3.83585742232478</v>
      </c>
      <c r="K379" s="39" t="n">
        <f aca="false">IF(E379/C379*100&lt;100,E379/C379*100,100)</f>
        <v>100</v>
      </c>
      <c r="L379" s="2" t="n">
        <f aca="false">IF(((C379-E379)&gt;0)AND(F379&gt;(C379-E379)),(C379-E379),IF(C379&lt;E379,0,F379))</f>
        <v>0</v>
      </c>
      <c r="M379" s="2" t="n">
        <f aca="false">IF(C379&lt;(E379+F379),0,C379-E379-F379)</f>
        <v>0</v>
      </c>
      <c r="N379" s="2" t="n">
        <f aca="false">IF(C379&lt;(E379+F379),0,(C379-E379-F379)/(1-V$16/100))</f>
        <v>0</v>
      </c>
      <c r="O379" s="2" t="n">
        <f aca="false">L379+M379</f>
        <v>0</v>
      </c>
      <c r="P379" s="2" t="n">
        <f aca="false">IF( N379=0,I379*(1-G379/100)+J379*(1-H379/100),-N379)</f>
        <v>7.73965994510493</v>
      </c>
      <c r="Q379" s="47" t="n">
        <f aca="false">IF(P378&gt;0,Q378+P378*(1-V$20/100),Q378+P378)</f>
        <v>282.515668981949</v>
      </c>
      <c r="R379" s="48" t="n">
        <f aca="false">R$4+Q379/V$28</f>
        <v>43.3417420306916</v>
      </c>
    </row>
    <row r="380" customFormat="false" ht="12.8" hidden="false" customHeight="false" outlineLevel="0" collapsed="false">
      <c r="A380" s="1" t="n">
        <v>376</v>
      </c>
      <c r="B380" s="37" t="n">
        <v>43921</v>
      </c>
      <c r="C380" s="38" t="n">
        <f aca="false">V$26-V$26*SIN(2*PI()/365*A380)</f>
        <v>11.4943850086993</v>
      </c>
      <c r="D380" s="2" t="n">
        <f aca="false">IF((E380+F380)&gt;C380,C380,E380+F380)</f>
        <v>11.4943850086993</v>
      </c>
      <c r="E380" s="38" t="n">
        <f aca="false">(V$23+V$24*SIN(2*PI()/365*A380))*V$25/100*V$7*V$8/100</f>
        <v>16.3218213214624</v>
      </c>
      <c r="F380" s="38" t="n">
        <f aca="false">(V$23+V$24*SIN(2*PI()/365*A380))*V$25/100*V$9*(1-V$14/100)*(1-V$16/100)</f>
        <v>3.45655804297276</v>
      </c>
      <c r="G380" s="38" t="n">
        <f aca="false">IF(C380&gt;E380,100,C380/E380*100)</f>
        <v>70.4234213958996</v>
      </c>
      <c r="H380" s="38" t="n">
        <f aca="false">L380/F380*100</f>
        <v>0</v>
      </c>
      <c r="I380" s="38" t="n">
        <f aca="false">(V$23+V$24*SIN(2*PI()/365*A380))*V$25/100*V$7*V$8/100*(1-V$15/100)</f>
        <v>14.5264209761016</v>
      </c>
      <c r="J380" s="38" t="n">
        <f aca="false">(V$23+V$24*SIN(2*PI()/365*A380))*V$25/100*V$9*(1-V$14/100)</f>
        <v>3.88377308199186</v>
      </c>
      <c r="K380" s="39" t="n">
        <f aca="false">IF(E380/C380*100&lt;100,E380/C380*100,100)</f>
        <v>100</v>
      </c>
      <c r="L380" s="2" t="n">
        <f aca="false">IF(((C380-E380)&gt;0)AND(F380&gt;(C380-E380)),(C380-E380),IF(C380&lt;E380,0,F380))</f>
        <v>0</v>
      </c>
      <c r="M380" s="2" t="n">
        <f aca="false">IF(C380&lt;(E380+F380),0,C380-E380-F380)</f>
        <v>0</v>
      </c>
      <c r="N380" s="2" t="n">
        <f aca="false">IF(C380&lt;(E380+F380),0,(C380-E380-F380)/(1-V$16/100))</f>
        <v>0</v>
      </c>
      <c r="O380" s="2" t="n">
        <f aca="false">L380+M380</f>
        <v>0</v>
      </c>
      <c r="P380" s="2" t="n">
        <f aca="false">IF( N380=0,I380*(1-G380/100)+J380*(1-H380/100),-N380)</f>
        <v>8.18019140035106</v>
      </c>
      <c r="Q380" s="47" t="n">
        <f aca="false">IF(P379&gt;0,Q379+P379*(1-V$20/100),Q379+P379)</f>
        <v>289.713552730896</v>
      </c>
      <c r="R380" s="48" t="n">
        <f aca="false">R$4+Q380/V$28</f>
        <v>43.4268823372189</v>
      </c>
    </row>
    <row r="381" customFormat="false" ht="12.8" hidden="false" customHeight="false" outlineLevel="0" collapsed="false">
      <c r="A381" s="1" t="n">
        <v>377</v>
      </c>
      <c r="B381" s="37" t="n">
        <v>43922</v>
      </c>
      <c r="C381" s="38" t="n">
        <f aca="false">V$26-V$26*SIN(2*PI()/365*A381)</f>
        <v>11.2554022545239</v>
      </c>
      <c r="D381" s="2" t="n">
        <f aca="false">IF((E381+F381)&gt;C381,C381,E381+F381)</f>
        <v>11.2554022545239</v>
      </c>
      <c r="E381" s="38" t="n">
        <f aca="false">(V$23+V$24*SIN(2*PI()/365*A381))*V$25/100*V$7*V$8/100</f>
        <v>16.5225268829817</v>
      </c>
      <c r="F381" s="38" t="n">
        <f aca="false">(V$23+V$24*SIN(2*PI()/365*A381))*V$25/100*V$9*(1-V$14/100)*(1-V$16/100)</f>
        <v>3.49906251654071</v>
      </c>
      <c r="G381" s="38" t="n">
        <f aca="false">IF(C381&gt;E381,100,C381/E381*100)</f>
        <v>68.1215551001284</v>
      </c>
      <c r="H381" s="38" t="n">
        <f aca="false">L381/F381*100</f>
        <v>0</v>
      </c>
      <c r="I381" s="38" t="n">
        <f aca="false">(V$23+V$24*SIN(2*PI()/365*A381))*V$25/100*V$7*V$8/100*(1-V$15/100)</f>
        <v>14.7050489258537</v>
      </c>
      <c r="J381" s="38" t="n">
        <f aca="false">(V$23+V$24*SIN(2*PI()/365*A381))*V$25/100*V$9*(1-V$14/100)</f>
        <v>3.93153091746147</v>
      </c>
      <c r="K381" s="39" t="n">
        <f aca="false">IF(E381/C381*100&lt;100,E381/C381*100,100)</f>
        <v>100</v>
      </c>
      <c r="L381" s="2" t="n">
        <f aca="false">IF(((C381-E381)&gt;0)AND(F381&gt;(C381-E381)),(C381-E381),IF(C381&lt;E381,0,F381))</f>
        <v>0</v>
      </c>
      <c r="M381" s="2" t="n">
        <f aca="false">IF(C381&lt;(E381+F381),0,C381-E381-F381)</f>
        <v>0</v>
      </c>
      <c r="N381" s="2" t="n">
        <f aca="false">IF(C381&lt;(E381+F381),0,(C381-E381-F381)/(1-V$16/100))</f>
        <v>0</v>
      </c>
      <c r="O381" s="2" t="n">
        <f aca="false">L381+M381</f>
        <v>0</v>
      </c>
      <c r="P381" s="2" t="n">
        <f aca="false">IF( N381=0,I381*(1-G381/100)+J381*(1-H381/100),-N381)</f>
        <v>8.61927183678891</v>
      </c>
      <c r="Q381" s="47" t="n">
        <f aca="false">IF(P380&gt;0,Q380+P380*(1-V$20/100),Q380+P380)</f>
        <v>297.321130733223</v>
      </c>
      <c r="R381" s="48" t="n">
        <f aca="false">R$4+Q381/V$28</f>
        <v>43.5168687201114</v>
      </c>
    </row>
    <row r="382" customFormat="false" ht="12.8" hidden="false" customHeight="false" outlineLevel="0" collapsed="false">
      <c r="A382" s="1" t="n">
        <v>378</v>
      </c>
      <c r="B382" s="37" t="n">
        <v>43923</v>
      </c>
      <c r="C382" s="38" t="n">
        <f aca="false">V$26-V$26*SIN(2*PI()/365*A382)</f>
        <v>11.0172800767925</v>
      </c>
      <c r="D382" s="2" t="n">
        <f aca="false">IF((E382+F382)&gt;C382,C382,E382+F382)</f>
        <v>11.0172800767925</v>
      </c>
      <c r="E382" s="38" t="n">
        <f aca="false">(V$23+V$24*SIN(2*PI()/365*A382))*V$25/100*V$7*V$8/100</f>
        <v>16.7225097041551</v>
      </c>
      <c r="F382" s="38" t="n">
        <f aca="false">(V$23+V$24*SIN(2*PI()/365*A382))*V$25/100*V$9*(1-V$14/100)*(1-V$16/100)</f>
        <v>3.54141393158005</v>
      </c>
      <c r="G382" s="38" t="n">
        <f aca="false">IF(C382&gt;E382,100,C382/E382*100)</f>
        <v>65.8829342706555</v>
      </c>
      <c r="H382" s="38" t="n">
        <f aca="false">L382/F382*100</f>
        <v>0</v>
      </c>
      <c r="I382" s="38" t="n">
        <f aca="false">(V$23+V$24*SIN(2*PI()/365*A382))*V$25/100*V$7*V$8/100*(1-V$15/100)</f>
        <v>14.8830336366981</v>
      </c>
      <c r="J382" s="38" t="n">
        <f aca="false">(V$23+V$24*SIN(2*PI()/365*A382))*V$25/100*V$9*(1-V$14/100)</f>
        <v>3.97911677705624</v>
      </c>
      <c r="K382" s="39" t="n">
        <f aca="false">IF(E382/C382*100&lt;100,E382/C382*100,100)</f>
        <v>100</v>
      </c>
      <c r="L382" s="2" t="n">
        <f aca="false">IF(((C382-E382)&gt;0)AND(F382&gt;(C382-E382)),(C382-E382),IF(C382&lt;E382,0,F382))</f>
        <v>0</v>
      </c>
      <c r="M382" s="2" t="n">
        <f aca="false">IF(C382&lt;(E382+F382),0,C382-E382-F382)</f>
        <v>0</v>
      </c>
      <c r="N382" s="2" t="n">
        <f aca="false">IF(C382&lt;(E382+F382),0,(C382-E382-F382)/(1-V$16/100))</f>
        <v>0</v>
      </c>
      <c r="O382" s="2" t="n">
        <f aca="false">L382+M382</f>
        <v>0</v>
      </c>
      <c r="P382" s="2" t="n">
        <f aca="false">IF( N382=0,I382*(1-G382/100)+J382*(1-H382/100),-N382)</f>
        <v>9.05677114540897</v>
      </c>
      <c r="Q382" s="47" t="n">
        <f aca="false">IF(P381&gt;0,Q381+P381*(1-V$20/100),Q381+P381)</f>
        <v>305.337053541436</v>
      </c>
      <c r="R382" s="48" t="n">
        <f aca="false">R$4+Q382/V$28</f>
        <v>43.6116852174035</v>
      </c>
    </row>
    <row r="383" customFormat="false" ht="12.8" hidden="false" customHeight="false" outlineLevel="0" collapsed="false">
      <c r="A383" s="1" t="n">
        <v>379</v>
      </c>
      <c r="B383" s="37" t="n">
        <v>43924</v>
      </c>
      <c r="C383" s="38" t="n">
        <f aca="false">V$26-V$26*SIN(2*PI()/365*A383)</f>
        <v>10.7800890362454</v>
      </c>
      <c r="D383" s="2" t="n">
        <f aca="false">IF((E383+F383)&gt;C383,C383,E383+F383)</f>
        <v>10.7800890362454</v>
      </c>
      <c r="E383" s="38" t="n">
        <f aca="false">(V$23+V$24*SIN(2*PI()/365*A383))*V$25/100*V$7*V$8/100</f>
        <v>16.9217105257568</v>
      </c>
      <c r="F383" s="38" t="n">
        <f aca="false">(V$23+V$24*SIN(2*PI()/365*A383))*V$25/100*V$9*(1-V$14/100)*(1-V$16/100)</f>
        <v>3.58359973845251</v>
      </c>
      <c r="G383" s="38" t="n">
        <f aca="false">IF(C383&gt;E383,100,C383/E383*100)</f>
        <v>63.7056698247902</v>
      </c>
      <c r="H383" s="38" t="n">
        <f aca="false">L383/F383*100</f>
        <v>0</v>
      </c>
      <c r="I383" s="38" t="n">
        <f aca="false">(V$23+V$24*SIN(2*PI()/365*A383))*V$25/100*V$7*V$8/100*(1-V$15/100)</f>
        <v>15.0603223679236</v>
      </c>
      <c r="J383" s="38" t="n">
        <f aca="false">(V$23+V$24*SIN(2*PI()/365*A383))*V$25/100*V$9*(1-V$14/100)</f>
        <v>4.026516560059</v>
      </c>
      <c r="K383" s="39" t="n">
        <f aca="false">IF(E383/C383*100&lt;100,E383/C383*100,100)</f>
        <v>100</v>
      </c>
      <c r="L383" s="2" t="n">
        <f aca="false">IF(((C383-E383)&gt;0)AND(F383&gt;(C383-E383)),(C383-E383),IF(C383&lt;E383,0,F383))</f>
        <v>0</v>
      </c>
      <c r="M383" s="2" t="n">
        <f aca="false">IF(C383&lt;(E383+F383),0,C383-E383-F383)</f>
        <v>0</v>
      </c>
      <c r="N383" s="2" t="n">
        <f aca="false">IF(C383&lt;(E383+F383),0,(C383-E383-F383)/(1-V$16/100))</f>
        <v>0</v>
      </c>
      <c r="O383" s="2" t="n">
        <f aca="false">L383+M383</f>
        <v>0</v>
      </c>
      <c r="P383" s="2" t="n">
        <f aca="false">IF( N383=0,I383*(1-G383/100)+J383*(1-H383/100),-N383)</f>
        <v>9.49255968572415</v>
      </c>
      <c r="Q383" s="47" t="n">
        <f aca="false">IF(P382&gt;0,Q382+P382*(1-V$20/100),Q382+P382)</f>
        <v>313.759850706667</v>
      </c>
      <c r="R383" s="48" t="n">
        <f aca="false">R$4+Q383/V$28</f>
        <v>43.7113144358623</v>
      </c>
    </row>
    <row r="384" customFormat="false" ht="12.8" hidden="false" customHeight="false" outlineLevel="0" collapsed="false">
      <c r="A384" s="1" t="n">
        <v>380</v>
      </c>
      <c r="B384" s="37" t="n">
        <v>43925</v>
      </c>
      <c r="C384" s="38" t="n">
        <f aca="false">V$26-V$26*SIN(2*PI()/365*A384)</f>
        <v>10.5438994177069</v>
      </c>
      <c r="D384" s="2" t="n">
        <f aca="false">IF((E384+F384)&gt;C384,C384,E384+F384)</f>
        <v>10.5438994177069</v>
      </c>
      <c r="E384" s="38" t="n">
        <f aca="false">(V$23+V$24*SIN(2*PI()/365*A384))*V$25/100*V$7*V$8/100</f>
        <v>17.1200703202841</v>
      </c>
      <c r="F384" s="38" t="n">
        <f aca="false">(V$23+V$24*SIN(2*PI()/365*A384))*V$25/100*V$9*(1-V$14/100)*(1-V$16/100)</f>
        <v>3.62560743659306</v>
      </c>
      <c r="G384" s="38" t="n">
        <f aca="false">IF(C384&gt;E384,100,C384/E384*100)</f>
        <v>61.5879445612691</v>
      </c>
      <c r="H384" s="38" t="n">
        <f aca="false">L384/F384*100</f>
        <v>0</v>
      </c>
      <c r="I384" s="38" t="n">
        <f aca="false">(V$23+V$24*SIN(2*PI()/365*A384))*V$25/100*V$7*V$8/100*(1-V$15/100)</f>
        <v>15.2368625850529</v>
      </c>
      <c r="J384" s="38" t="n">
        <f aca="false">(V$23+V$24*SIN(2*PI()/365*A384))*V$25/100*V$9*(1-V$14/100)</f>
        <v>4.07371622089108</v>
      </c>
      <c r="K384" s="39" t="n">
        <f aca="false">IF(E384/C384*100&lt;100,E384/C384*100,100)</f>
        <v>100</v>
      </c>
      <c r="L384" s="2" t="n">
        <f aca="false">IF(((C384-E384)&gt;0)AND(F384&gt;(C384-E384)),(C384-E384),IF(C384&lt;E384,0,F384))</f>
        <v>0</v>
      </c>
      <c r="M384" s="2" t="n">
        <f aca="false">IF(C384&lt;(E384+F384),0,C384-E384-F384)</f>
        <v>0</v>
      </c>
      <c r="N384" s="2" t="n">
        <f aca="false">IF(C384&lt;(E384+F384),0,(C384-E384-F384)/(1-V$16/100))</f>
        <v>0</v>
      </c>
      <c r="O384" s="2" t="n">
        <f aca="false">L384+M384</f>
        <v>0</v>
      </c>
      <c r="P384" s="2" t="n">
        <f aca="false">IF( N384=0,I384*(1-G384/100)+J384*(1-H384/100),-N384)</f>
        <v>9.92650832418485</v>
      </c>
      <c r="Q384" s="47" t="n">
        <f aca="false">IF(P383&gt;0,Q383+P383*(1-V$20/100),Q383+P383)</f>
        <v>322.58793121439</v>
      </c>
      <c r="R384" s="48" t="n">
        <f aca="false">R$4+Q384/V$28</f>
        <v>43.8157375561419</v>
      </c>
    </row>
    <row r="385" customFormat="false" ht="12.8" hidden="false" customHeight="false" outlineLevel="0" collapsed="false">
      <c r="A385" s="1" t="n">
        <v>381</v>
      </c>
      <c r="B385" s="37" t="n">
        <v>43926</v>
      </c>
      <c r="C385" s="38" t="n">
        <f aca="false">V$26-V$26*SIN(2*PI()/365*A385)</f>
        <v>10.3087812092583</v>
      </c>
      <c r="D385" s="2" t="n">
        <f aca="false">IF((E385+F385)&gt;C385,C385,E385+F385)</f>
        <v>10.3087812092583</v>
      </c>
      <c r="E385" s="38" t="n">
        <f aca="false">(V$23+V$24*SIN(2*PI()/365*A385))*V$25/100*V$7*V$8/100</f>
        <v>17.3175303094491</v>
      </c>
      <c r="F385" s="38" t="n">
        <f aca="false">(V$23+V$24*SIN(2*PI()/365*A385))*V$25/100*V$9*(1-V$14/100)*(1-V$16/100)</f>
        <v>3.66742457821413</v>
      </c>
      <c r="G385" s="38" t="n">
        <f aca="false">IF(C385&gt;E385,100,C385/E385*100)</f>
        <v>59.5280102015094</v>
      </c>
      <c r="H385" s="38" t="n">
        <f aca="false">L385/F385*100</f>
        <v>0</v>
      </c>
      <c r="I385" s="38" t="n">
        <f aca="false">(V$23+V$24*SIN(2*PI()/365*A385))*V$25/100*V$7*V$8/100*(1-V$15/100)</f>
        <v>15.4126019754097</v>
      </c>
      <c r="J385" s="38" t="n">
        <f aca="false">(V$23+V$24*SIN(2*PI()/365*A385))*V$25/100*V$9*(1-V$14/100)</f>
        <v>4.12070177327431</v>
      </c>
      <c r="K385" s="39" t="n">
        <f aca="false">IF(E385/C385*100&lt;100,E385/C385*100,100)</f>
        <v>100</v>
      </c>
      <c r="L385" s="2" t="n">
        <f aca="false">IF(((C385-E385)&gt;0)AND(F385&gt;(C385-E385)),(C385-E385),IF(C385&lt;E385,0,F385))</f>
        <v>0</v>
      </c>
      <c r="M385" s="2" t="n">
        <f aca="false">IF(C385&lt;(E385+F385),0,C385-E385-F385)</f>
        <v>0</v>
      </c>
      <c r="N385" s="2" t="n">
        <f aca="false">IF(C385&lt;(E385+F385),0,(C385-E385-F385)/(1-V$16/100))</f>
        <v>0</v>
      </c>
      <c r="O385" s="2" t="n">
        <f aca="false">L385+M385</f>
        <v>0</v>
      </c>
      <c r="P385" s="2" t="n">
        <f aca="false">IF( N385=0,I385*(1-G385/100)+J385*(1-H385/100),-N385)</f>
        <v>10.3584884724441</v>
      </c>
      <c r="Q385" s="47" t="n">
        <f aca="false">IF(P384&gt;0,Q384+P384*(1-V$20/100),Q384+P384)</f>
        <v>331.819583955882</v>
      </c>
      <c r="R385" s="48" t="n">
        <f aca="false">R$4+Q385/V$28</f>
        <v>43.9249343383599</v>
      </c>
    </row>
    <row r="386" customFormat="false" ht="12.8" hidden="false" customHeight="false" outlineLevel="0" collapsed="false">
      <c r="A386" s="1" t="n">
        <v>382</v>
      </c>
      <c r="B386" s="37" t="n">
        <v>43927</v>
      </c>
      <c r="C386" s="38" t="n">
        <f aca="false">V$26-V$26*SIN(2*PI()/365*A386)</f>
        <v>10.0748040814992</v>
      </c>
      <c r="D386" s="2" t="n">
        <f aca="false">IF((E386+F386)&gt;C386,C386,E386+F386)</f>
        <v>10.0748040814992</v>
      </c>
      <c r="E386" s="38" t="n">
        <f aca="false">(V$23+V$24*SIN(2*PI()/365*A386))*V$25/100*V$7*V$8/100</f>
        <v>17.5140319815953</v>
      </c>
      <c r="F386" s="38" t="n">
        <f aca="false">(V$23+V$24*SIN(2*PI()/365*A386))*V$25/100*V$9*(1-V$14/100)*(1-V$16/100)</f>
        <v>3.70903877199418</v>
      </c>
      <c r="G386" s="38" t="n">
        <f aca="false">IF(C386&gt;E386,100,C386/E386*100)</f>
        <v>57.5241845629054</v>
      </c>
      <c r="H386" s="38" t="n">
        <f aca="false">L386/F386*100</f>
        <v>0</v>
      </c>
      <c r="I386" s="38" t="n">
        <f aca="false">(V$23+V$24*SIN(2*PI()/365*A386))*V$25/100*V$7*V$8/100*(1-V$15/100)</f>
        <v>15.5874884636199</v>
      </c>
      <c r="J386" s="38" t="n">
        <f aca="false">(V$23+V$24*SIN(2*PI()/365*A386))*V$25/100*V$9*(1-V$14/100)</f>
        <v>4.16745929437549</v>
      </c>
      <c r="K386" s="39" t="n">
        <f aca="false">IF(E386/C386*100&lt;100,E386/C386*100,100)</f>
        <v>100</v>
      </c>
      <c r="L386" s="2" t="n">
        <f aca="false">IF(((C386-E386)&gt;0)AND(F386&gt;(C386-E386)),(C386-E386),IF(C386&lt;E386,0,F386))</f>
        <v>0</v>
      </c>
      <c r="M386" s="2" t="n">
        <f aca="false">IF(C386&lt;(E386+F386),0,C386-E386-F386)</f>
        <v>0</v>
      </c>
      <c r="N386" s="2" t="n">
        <f aca="false">IF(C386&lt;(E386+F386),0,(C386-E386-F386)/(1-V$16/100))</f>
        <v>0</v>
      </c>
      <c r="O386" s="2" t="n">
        <f aca="false">L386+M386</f>
        <v>0</v>
      </c>
      <c r="P386" s="2" t="n">
        <f aca="false">IF( N386=0,I386*(1-G386/100)+J386*(1-H386/100),-N386)</f>
        <v>10.7883721254611</v>
      </c>
      <c r="Q386" s="47" t="n">
        <f aca="false">IF(P385&gt;0,Q385+P385*(1-V$20/100),Q385+P385)</f>
        <v>341.452978235255</v>
      </c>
      <c r="R386" s="48" t="n">
        <f aca="false">R$4+Q386/V$28</f>
        <v>44.0388831280947</v>
      </c>
    </row>
    <row r="387" customFormat="false" ht="12.8" hidden="false" customHeight="false" outlineLevel="0" collapsed="false">
      <c r="A387" s="1" t="n">
        <v>383</v>
      </c>
      <c r="B387" s="37" t="n">
        <v>43928</v>
      </c>
      <c r="C387" s="38" t="n">
        <f aca="false">V$26-V$26*SIN(2*PI()/365*A387)</f>
        <v>9.84203736690205</v>
      </c>
      <c r="D387" s="2" t="n">
        <f aca="false">IF((E387+F387)&gt;C387,C387,E387+F387)</f>
        <v>9.84203736690205</v>
      </c>
      <c r="E387" s="38" t="n">
        <f aca="false">(V$23+V$24*SIN(2*PI()/365*A387))*V$25/100*V$7*V$8/100</f>
        <v>17.7095171090366</v>
      </c>
      <c r="F387" s="38" t="n">
        <f aca="false">(V$23+V$24*SIN(2*PI()/365*A387))*V$25/100*V$9*(1-V$14/100)*(1-V$16/100)</f>
        <v>3.75043768674949</v>
      </c>
      <c r="G387" s="38" t="n">
        <f aca="false">IF(C387&gt;E387,100,C387/E387*100)</f>
        <v>55.5748488584141</v>
      </c>
      <c r="H387" s="38" t="n">
        <f aca="false">L387/F387*100</f>
        <v>0</v>
      </c>
      <c r="I387" s="38" t="n">
        <f aca="false">(V$23+V$24*SIN(2*PI()/365*A387))*V$25/100*V$7*V$8/100*(1-V$15/100)</f>
        <v>15.7614702270425</v>
      </c>
      <c r="J387" s="38" t="n">
        <f aca="false">(V$23+V$24*SIN(2*PI()/365*A387))*V$25/100*V$9*(1-V$14/100)</f>
        <v>4.21397492893201</v>
      </c>
      <c r="K387" s="39" t="n">
        <f aca="false">IF(E387/C387*100&lt;100,E387/C387*100,100)</f>
        <v>100</v>
      </c>
      <c r="L387" s="2" t="n">
        <f aca="false">IF(((C387-E387)&gt;0)AND(F387&gt;(C387-E387)),(C387-E387),IF(C387&lt;E387,0,F387))</f>
        <v>0</v>
      </c>
      <c r="M387" s="2" t="n">
        <f aca="false">IF(C387&lt;(E387+F387),0,C387-E387-F387)</f>
        <v>0</v>
      </c>
      <c r="N387" s="2" t="n">
        <f aca="false">IF(C387&lt;(E387+F387),0,(C387-E387-F387)/(1-V$16/100))</f>
        <v>0</v>
      </c>
      <c r="O387" s="2" t="n">
        <f aca="false">L387+M387</f>
        <v>0</v>
      </c>
      <c r="P387" s="2" t="n">
        <f aca="false">IF( N387=0,I387*(1-G387/100)+J387*(1-H387/100),-N387)</f>
        <v>11.2160318994317</v>
      </c>
      <c r="Q387" s="47" t="n">
        <f aca="false">IF(P386&gt;0,Q386+P386*(1-V$20/100),Q386+P386)</f>
        <v>351.486164311934</v>
      </c>
      <c r="R387" s="48" t="n">
        <f aca="false">R$4+Q387/V$28</f>
        <v>44.1575608628023</v>
      </c>
    </row>
    <row r="388" customFormat="false" ht="12.8" hidden="false" customHeight="false" outlineLevel="0" collapsed="false">
      <c r="A388" s="1" t="n">
        <v>384</v>
      </c>
      <c r="B388" s="37" t="n">
        <v>43929</v>
      </c>
      <c r="C388" s="38" t="n">
        <f aca="false">V$26-V$26*SIN(2*PI()/365*A388)</f>
        <v>9.61055003926794</v>
      </c>
      <c r="D388" s="2" t="n">
        <f aca="false">IF((E388+F388)&gt;C388,C388,E388+F388)</f>
        <v>9.61055003926794</v>
      </c>
      <c r="E388" s="38" t="n">
        <f aca="false">(V$23+V$24*SIN(2*PI()/365*A388))*V$25/100*V$7*V$8/100</f>
        <v>17.9039277653106</v>
      </c>
      <c r="F388" s="38" t="n">
        <f aca="false">(V$23+V$24*SIN(2*PI()/365*A388))*V$25/100*V$9*(1-V$14/100)*(1-V$16/100)</f>
        <v>3.79160905508814</v>
      </c>
      <c r="G388" s="38" t="n">
        <f aca="false">IF(C388&gt;E388,100,C388/E388*100)</f>
        <v>53.6784451168792</v>
      </c>
      <c r="H388" s="38" t="n">
        <f aca="false">L388/F388*100</f>
        <v>0</v>
      </c>
      <c r="I388" s="38" t="n">
        <f aca="false">(V$23+V$24*SIN(2*PI()/365*A388))*V$25/100*V$7*V$8/100*(1-V$15/100)</f>
        <v>15.9344957111264</v>
      </c>
      <c r="J388" s="38" t="n">
        <f aca="false">(V$23+V$24*SIN(2*PI()/365*A388))*V$25/100*V$9*(1-V$14/100)</f>
        <v>4.26023489335746</v>
      </c>
      <c r="K388" s="39" t="n">
        <f aca="false">IF(E388/C388*100&lt;100,E388/C388*100,100)</f>
        <v>100</v>
      </c>
      <c r="L388" s="2" t="n">
        <f aca="false">IF(((C388-E388)&gt;0)AND(F388&gt;(C388-E388)),(C388-E388),IF(C388&lt;E388,0,F388))</f>
        <v>0</v>
      </c>
      <c r="M388" s="2" t="n">
        <f aca="false">IF(C388&lt;(E388+F388),0,C388-E388-F388)</f>
        <v>0</v>
      </c>
      <c r="N388" s="2" t="n">
        <f aca="false">IF(C388&lt;(E388+F388),0,(C388-E388-F388)/(1-V$16/100))</f>
        <v>0</v>
      </c>
      <c r="O388" s="2" t="n">
        <f aca="false">L388+M388</f>
        <v>0</v>
      </c>
      <c r="P388" s="2" t="n">
        <f aca="false">IF( N388=0,I388*(1-G388/100)+J388*(1-H388/100),-N388)</f>
        <v>11.6413410695354</v>
      </c>
      <c r="Q388" s="47" t="n">
        <f aca="false">IF(P387&gt;0,Q387+P387*(1-V$20/100),Q387+P387)</f>
        <v>361.917073978405</v>
      </c>
      <c r="R388" s="48" t="n">
        <f aca="false">R$4+Q388/V$28</f>
        <v>44.2809430786504</v>
      </c>
    </row>
    <row r="389" customFormat="false" ht="12.8" hidden="false" customHeight="false" outlineLevel="0" collapsed="false">
      <c r="A389" s="1" t="n">
        <v>385</v>
      </c>
      <c r="B389" s="37" t="n">
        <v>43930</v>
      </c>
      <c r="C389" s="38" t="n">
        <f aca="false">V$26-V$26*SIN(2*PI()/365*A389)</f>
        <v>9.38041069328797</v>
      </c>
      <c r="D389" s="2" t="n">
        <f aca="false">IF((E389+F389)&gt;C389,C389,E389+F389)</f>
        <v>9.38041069328797</v>
      </c>
      <c r="E389" s="38" t="n">
        <f aca="false">(V$23+V$24*SIN(2*PI()/365*A389))*V$25/100*V$7*V$8/100</f>
        <v>18.0972063423442</v>
      </c>
      <c r="F389" s="38" t="n">
        <f aca="false">(V$23+V$24*SIN(2*PI()/365*A389))*V$25/100*V$9*(1-V$14/100)*(1-V$16/100)</f>
        <v>3.83254067704515</v>
      </c>
      <c r="G389" s="38" t="n">
        <f aca="false">IF(C389&gt;E389,100,C389/E389*100)</f>
        <v>51.8334737187555</v>
      </c>
      <c r="H389" s="38" t="n">
        <f aca="false">L389/F389*100</f>
        <v>0</v>
      </c>
      <c r="I389" s="38" t="n">
        <f aca="false">(V$23+V$24*SIN(2*PI()/365*A389))*V$25/100*V$7*V$8/100*(1-V$15/100)</f>
        <v>16.1065136446864</v>
      </c>
      <c r="J389" s="38" t="n">
        <f aca="false">(V$23+V$24*SIN(2*PI()/365*A389))*V$25/100*V$9*(1-V$14/100)</f>
        <v>4.30622547982601</v>
      </c>
      <c r="K389" s="39" t="n">
        <f aca="false">IF(E389/C389*100&lt;100,E389/C389*100,100)</f>
        <v>100</v>
      </c>
      <c r="L389" s="2" t="n">
        <f aca="false">IF(((C389-E389)&gt;0)AND(F389&gt;(C389-E389)),(C389-E389),IF(C389&lt;E389,0,F389))</f>
        <v>0</v>
      </c>
      <c r="M389" s="2" t="n">
        <f aca="false">IF(C389&lt;(E389+F389),0,C389-E389-F389)</f>
        <v>0</v>
      </c>
      <c r="N389" s="2" t="n">
        <f aca="false">IF(C389&lt;(E389+F389),0,(C389-E389-F389)/(1-V$16/100))</f>
        <v>0</v>
      </c>
      <c r="O389" s="2" t="n">
        <f aca="false">L389+M389</f>
        <v>0</v>
      </c>
      <c r="P389" s="2" t="n">
        <f aca="false">IF( N389=0,I389*(1-G389/100)+J389*(1-H389/100),-N389)</f>
        <v>12.0641736074861</v>
      </c>
      <c r="Q389" s="47" t="n">
        <f aca="false">IF(P388&gt;0,Q388+P388*(1-V$20/100),Q388+P388)</f>
        <v>372.743521173073</v>
      </c>
      <c r="R389" s="48" t="n">
        <f aca="false">R$4+Q389/V$28</f>
        <v>44.4090039177673</v>
      </c>
    </row>
    <row r="390" customFormat="false" ht="12.8" hidden="false" customHeight="false" outlineLevel="0" collapsed="false">
      <c r="A390" s="1" t="n">
        <v>386</v>
      </c>
      <c r="B390" s="37" t="n">
        <v>43931</v>
      </c>
      <c r="C390" s="38" t="n">
        <f aca="false">V$26-V$26*SIN(2*PI()/365*A390)</f>
        <v>9.15168752421716</v>
      </c>
      <c r="D390" s="2" t="n">
        <f aca="false">IF((E390+F390)&gt;C390,C390,E390+F390)</f>
        <v>9.15168752421716</v>
      </c>
      <c r="E390" s="38" t="n">
        <f aca="false">(V$23+V$24*SIN(2*PI()/365*A390))*V$25/100*V$7*V$8/100</f>
        <v>18.2892955675238</v>
      </c>
      <c r="F390" s="38" t="n">
        <f aca="false">(V$23+V$24*SIN(2*PI()/365*A390))*V$25/100*V$9*(1-V$14/100)*(1-V$16/100)</f>
        <v>3.87322042369756</v>
      </c>
      <c r="G390" s="38" t="n">
        <f aca="false">IF(C390&gt;E390,100,C390/E390*100)</f>
        <v>50.0384910420921</v>
      </c>
      <c r="H390" s="38" t="n">
        <f aca="false">L390/F390*100</f>
        <v>0</v>
      </c>
      <c r="I390" s="38" t="n">
        <f aca="false">(V$23+V$24*SIN(2*PI()/365*A390))*V$25/100*V$7*V$8/100*(1-V$15/100)</f>
        <v>16.2774730550962</v>
      </c>
      <c r="J390" s="38" t="n">
        <f aca="false">(V$23+V$24*SIN(2*PI()/365*A390))*V$25/100*V$9*(1-V$14/100)</f>
        <v>4.35193306033433</v>
      </c>
      <c r="K390" s="39" t="n">
        <f aca="false">IF(E390/C390*100&lt;100,E390/C390*100,100)</f>
        <v>100</v>
      </c>
      <c r="L390" s="2" t="n">
        <f aca="false">IF(((C390-E390)&gt;0)AND(F390&gt;(C390-E390)),(C390-E390),IF(C390&lt;E390,0,F390))</f>
        <v>0</v>
      </c>
      <c r="M390" s="2" t="n">
        <f aca="false">IF(C390&lt;(E390+F390),0,C390-E390-F390)</f>
        <v>0</v>
      </c>
      <c r="N390" s="2" t="n">
        <f aca="false">IF(C390&lt;(E390+F390),0,(C390-E390-F390)/(1-V$16/100))</f>
        <v>0</v>
      </c>
      <c r="O390" s="2" t="n">
        <f aca="false">L390+M390</f>
        <v>0</v>
      </c>
      <c r="P390" s="2" t="n">
        <f aca="false">IF( N390=0,I390*(1-G390/100)+J390*(1-H390/100),-N390)</f>
        <v>12.4844042188773</v>
      </c>
      <c r="Q390" s="47" t="n">
        <f aca="false">IF(P389&gt;0,Q389+P389*(1-V$20/100),Q389+P389)</f>
        <v>383.963202628036</v>
      </c>
      <c r="R390" s="48" t="n">
        <f aca="false">R$4+Q390/V$28</f>
        <v>44.5417161359041</v>
      </c>
    </row>
    <row r="391" customFormat="false" ht="12.8" hidden="false" customHeight="false" outlineLevel="0" collapsed="false">
      <c r="A391" s="1" t="n">
        <v>387</v>
      </c>
      <c r="B391" s="37" t="n">
        <v>43932</v>
      </c>
      <c r="C391" s="38" t="n">
        <f aca="false">V$26-V$26*SIN(2*PI()/365*A391)</f>
        <v>8.92444830766675</v>
      </c>
      <c r="D391" s="2" t="n">
        <f aca="false">IF((E391+F391)&gt;C391,C391,E391+F391)</f>
        <v>8.92444830766675</v>
      </c>
      <c r="E391" s="38" t="n">
        <f aca="false">(V$23+V$24*SIN(2*PI()/365*A391))*V$25/100*V$7*V$8/100</f>
        <v>18.4801385206664</v>
      </c>
      <c r="F391" s="38" t="n">
        <f aca="false">(V$23+V$24*SIN(2*PI()/365*A391))*V$25/100*V$9*(1-V$14/100)*(1-V$16/100)</f>
        <v>3.91363624075849</v>
      </c>
      <c r="G391" s="38" t="n">
        <f aca="false">IF(C391&gt;E391,100,C391/E391*100)</f>
        <v>48.2921072138422</v>
      </c>
      <c r="H391" s="38" t="n">
        <f aca="false">L391/F391*100</f>
        <v>0</v>
      </c>
      <c r="I391" s="38" t="n">
        <f aca="false">(V$23+V$24*SIN(2*PI()/365*A391))*V$25/100*V$7*V$8/100*(1-V$15/100)</f>
        <v>16.4473232833931</v>
      </c>
      <c r="J391" s="38" t="n">
        <f aca="false">(V$23+V$24*SIN(2*PI()/365*A391))*V$25/100*V$9*(1-V$14/100)</f>
        <v>4.39734409073987</v>
      </c>
      <c r="K391" s="39" t="n">
        <f aca="false">IF(E391/C391*100&lt;100,E391/C391*100,100)</f>
        <v>100</v>
      </c>
      <c r="L391" s="2" t="n">
        <f aca="false">IF(((C391-E391)&gt;0)AND(F391&gt;(C391-E391)),(C391-E391),IF(C391&lt;E391,0,F391))</f>
        <v>0</v>
      </c>
      <c r="M391" s="2" t="n">
        <f aca="false">IF(C391&lt;(E391+F391),0,C391-E391-F391)</f>
        <v>0</v>
      </c>
      <c r="N391" s="2" t="n">
        <f aca="false">IF(C391&lt;(E391+F391),0,(C391-E391-F391)/(1-V$16/100))</f>
        <v>0</v>
      </c>
      <c r="O391" s="2" t="n">
        <f aca="false">L391+M391</f>
        <v>0</v>
      </c>
      <c r="P391" s="2" t="n">
        <f aca="false">IF( N391=0,I391*(1-G391/100)+J391*(1-H391/100),-N391)</f>
        <v>12.9019083803095</v>
      </c>
      <c r="Q391" s="47" t="n">
        <f aca="false">IF(P390&gt;0,Q390+P390*(1-V$20/100),Q390+P390)</f>
        <v>395.573698551591</v>
      </c>
      <c r="R391" s="48" t="n">
        <f aca="false">R$4+Q391/V$28</f>
        <v>44.6790511105083</v>
      </c>
    </row>
    <row r="392" customFormat="false" ht="12.8" hidden="false" customHeight="false" outlineLevel="0" collapsed="false">
      <c r="A392" s="1" t="n">
        <v>388</v>
      </c>
      <c r="B392" s="37" t="n">
        <v>43933</v>
      </c>
      <c r="C392" s="38" t="n">
        <f aca="false">V$26-V$26*SIN(2*PI()/365*A392)</f>
        <v>8.69876037952085</v>
      </c>
      <c r="D392" s="2" t="n">
        <f aca="false">IF((E392+F392)&gt;C392,C392,E392+F392)</f>
        <v>8.69876037952085</v>
      </c>
      <c r="E392" s="38" t="n">
        <f aca="false">(V$23+V$24*SIN(2*PI()/365*A392))*V$25/100*V$7*V$8/100</f>
        <v>18.669678650886</v>
      </c>
      <c r="F392" s="38" t="n">
        <f aca="false">(V$23+V$24*SIN(2*PI()/365*A392))*V$25/100*V$9*(1-V$14/100)*(1-V$16/100)</f>
        <v>3.9537761521491</v>
      </c>
      <c r="G392" s="38" t="n">
        <f aca="false">IF(C392&gt;E392,100,C392/E392*100)</f>
        <v>46.5929839617674</v>
      </c>
      <c r="H392" s="38" t="n">
        <f aca="false">L392/F392*100</f>
        <v>0</v>
      </c>
      <c r="I392" s="38" t="n">
        <f aca="false">(V$23+V$24*SIN(2*PI()/365*A392))*V$25/100*V$7*V$8/100*(1-V$15/100)</f>
        <v>16.6160139992886</v>
      </c>
      <c r="J392" s="38" t="n">
        <f aca="false">(V$23+V$24*SIN(2*PI()/365*A392))*V$25/100*V$9*(1-V$14/100)</f>
        <v>4.44244511477427</v>
      </c>
      <c r="K392" s="39" t="n">
        <f aca="false">IF(E392/C392*100&lt;100,E392/C392*100,100)</f>
        <v>100</v>
      </c>
      <c r="L392" s="2" t="n">
        <f aca="false">IF(((C392-E392)&gt;0)AND(F392&gt;(C392-E392)),(C392-E392),IF(C392&lt;E392,0,F392))</f>
        <v>0</v>
      </c>
      <c r="M392" s="2" t="n">
        <f aca="false">IF(C392&lt;(E392+F392),0,C392-E392-F392)</f>
        <v>0</v>
      </c>
      <c r="N392" s="2" t="n">
        <f aca="false">IF(C392&lt;(E392+F392),0,(C392-E392-F392)/(1-V$16/100))</f>
        <v>0</v>
      </c>
      <c r="O392" s="2" t="n">
        <f aca="false">L392+M392</f>
        <v>0</v>
      </c>
      <c r="P392" s="2" t="n">
        <f aca="false">IF( N392=0,I392*(1-G392/100)+J392*(1-H392/100),-N392)</f>
        <v>13.3165623762893</v>
      </c>
      <c r="Q392" s="47" t="n">
        <f aca="false">IF(P391&gt;0,Q391+P391*(1-V$20/100),Q391+P391)</f>
        <v>407.572473345279</v>
      </c>
      <c r="R392" s="48" t="n">
        <f aca="false">R$4+Q392/V$28</f>
        <v>44.8209788492046</v>
      </c>
    </row>
    <row r="393" customFormat="false" ht="12.8" hidden="false" customHeight="false" outlineLevel="0" collapsed="false">
      <c r="A393" s="1" t="n">
        <v>389</v>
      </c>
      <c r="B393" s="37" t="n">
        <v>43934</v>
      </c>
      <c r="C393" s="38" t="n">
        <f aca="false">V$26-V$26*SIN(2*PI()/365*A393)</f>
        <v>8.47469061598327</v>
      </c>
      <c r="D393" s="2" t="n">
        <f aca="false">IF((E393+F393)&gt;C393,C393,E393+F393)</f>
        <v>8.47469061598327</v>
      </c>
      <c r="E393" s="38" t="n">
        <f aca="false">(V$23+V$24*SIN(2*PI()/365*A393))*V$25/100*V$7*V$8/100</f>
        <v>18.8578597933517</v>
      </c>
      <c r="F393" s="38" t="n">
        <f aca="false">(V$23+V$24*SIN(2*PI()/365*A393))*V$25/100*V$9*(1-V$14/100)*(1-V$16/100)</f>
        <v>3.99362826354736</v>
      </c>
      <c r="G393" s="38" t="n">
        <f aca="false">IF(C393&gt;E393,100,C393/E393*100)</f>
        <v>44.9398325623941</v>
      </c>
      <c r="H393" s="38" t="n">
        <f aca="false">L393/F393*100</f>
        <v>0</v>
      </c>
      <c r="I393" s="38" t="n">
        <f aca="false">(V$23+V$24*SIN(2*PI()/365*A393))*V$25/100*V$7*V$8/100*(1-V$15/100)</f>
        <v>16.783495216083</v>
      </c>
      <c r="J393" s="38" t="n">
        <f aca="false">(V$23+V$24*SIN(2*PI()/365*A393))*V$25/100*V$9*(1-V$14/100)</f>
        <v>4.48722276803074</v>
      </c>
      <c r="K393" s="39" t="n">
        <f aca="false">IF(E393/C393*100&lt;100,E393/C393*100,100)</f>
        <v>100</v>
      </c>
      <c r="L393" s="2" t="n">
        <f aca="false">IF(((C393-E393)&gt;0)AND(F393&gt;(C393-E393)),(C393-E393),IF(C393&lt;E393,0,F393))</f>
        <v>0</v>
      </c>
      <c r="M393" s="2" t="n">
        <f aca="false">IF(C393&lt;(E393+F393),0,C393-E393-F393)</f>
        <v>0</v>
      </c>
      <c r="N393" s="2" t="n">
        <f aca="false">IF(C393&lt;(E393+F393),0,(C393-E393-F393)/(1-V$16/100))</f>
        <v>0</v>
      </c>
      <c r="O393" s="2" t="n">
        <f aca="false">L393+M393</f>
        <v>0</v>
      </c>
      <c r="P393" s="2" t="n">
        <f aca="false">IF( N393=0,I393*(1-G393/100)+J393*(1-H393/100),-N393)</f>
        <v>13.7282433358886</v>
      </c>
      <c r="Q393" s="47" t="n">
        <f aca="false">IF(P392&gt;0,Q392+P392*(1-V$20/100),Q392+P392)</f>
        <v>419.956876355228</v>
      </c>
      <c r="R393" s="48" t="n">
        <f aca="false">R$4+Q393/V$28</f>
        <v>44.9674679986826</v>
      </c>
    </row>
    <row r="394" customFormat="false" ht="12.8" hidden="false" customHeight="false" outlineLevel="0" collapsed="false">
      <c r="A394" s="1" t="n">
        <v>390</v>
      </c>
      <c r="B394" s="37" t="n">
        <v>43935</v>
      </c>
      <c r="C394" s="38" t="n">
        <f aca="false">V$26-V$26*SIN(2*PI()/365*A394)</f>
        <v>8.25230541376081</v>
      </c>
      <c r="D394" s="2" t="n">
        <f aca="false">IF((E394+F394)&gt;C394,C394,E394+F394)</f>
        <v>8.25230541376081</v>
      </c>
      <c r="E394" s="38" t="n">
        <f aca="false">(V$23+V$24*SIN(2*PI()/365*A394))*V$25/100*V$7*V$8/100</f>
        <v>19.0446261859295</v>
      </c>
      <c r="F394" s="38" t="n">
        <f aca="false">(V$23+V$24*SIN(2*PI()/365*A394))*V$25/100*V$9*(1-V$14/100)*(1-V$16/100)</f>
        <v>4.03318076591258</v>
      </c>
      <c r="G394" s="38" t="n">
        <f aca="false">IF(C394&gt;E394,100,C394/E394*100)</f>
        <v>43.3314118806793</v>
      </c>
      <c r="H394" s="38" t="n">
        <f aca="false">L394/F394*100</f>
        <v>0</v>
      </c>
      <c r="I394" s="38" t="n">
        <f aca="false">(V$23+V$24*SIN(2*PI()/365*A394))*V$25/100*V$7*V$8/100*(1-V$15/100)</f>
        <v>16.9497173054773</v>
      </c>
      <c r="J394" s="38" t="n">
        <f aca="false">(V$23+V$24*SIN(2*PI()/365*A394))*V$25/100*V$9*(1-V$14/100)</f>
        <v>4.53166378192425</v>
      </c>
      <c r="K394" s="39" t="n">
        <f aca="false">IF(E394/C394*100&lt;100,E394/C394*100,100)</f>
        <v>100</v>
      </c>
      <c r="L394" s="2" t="n">
        <f aca="false">IF(((C394-E394)&gt;0)AND(F394&gt;(C394-E394)),(C394-E394),IF(C394&lt;E394,0,F394))</f>
        <v>0</v>
      </c>
      <c r="M394" s="2" t="n">
        <f aca="false">IF(C394&lt;(E394+F394),0,C394-E394-F394)</f>
        <v>0</v>
      </c>
      <c r="N394" s="2" t="n">
        <f aca="false">IF(C394&lt;(E394+F394),0,(C394-E394-F394)/(1-V$16/100))</f>
        <v>0</v>
      </c>
      <c r="O394" s="2" t="n">
        <f aca="false">L394+M394</f>
        <v>0</v>
      </c>
      <c r="P394" s="2" t="n">
        <f aca="false">IF( N394=0,I394*(1-G394/100)+J394*(1-H394/100),-N394)</f>
        <v>14.1368292691544</v>
      </c>
      <c r="Q394" s="47" t="n">
        <f aca="false">IF(P393&gt;0,Q393+P393*(1-V$20/100),Q393+P393)</f>
        <v>432.724142657605</v>
      </c>
      <c r="R394" s="48" t="n">
        <f aca="false">R$4+Q394/V$28</f>
        <v>45.1184858539875</v>
      </c>
    </row>
    <row r="395" customFormat="false" ht="12.8" hidden="false" customHeight="false" outlineLevel="0" collapsed="false">
      <c r="A395" s="1" t="n">
        <v>391</v>
      </c>
      <c r="B395" s="37" t="n">
        <v>43936</v>
      </c>
      <c r="C395" s="38" t="n">
        <f aca="false">V$26-V$26*SIN(2*PI()/365*A395)</f>
        <v>8.03167067038834</v>
      </c>
      <c r="D395" s="2" t="n">
        <f aca="false">IF((E395+F395)&gt;C395,C395,E395+F395)</f>
        <v>8.03167067038834</v>
      </c>
      <c r="E395" s="38" t="n">
        <f aca="false">(V$23+V$24*SIN(2*PI()/365*A395))*V$25/100*V$7*V$8/100</f>
        <v>19.2299224857066</v>
      </c>
      <c r="F395" s="38" t="n">
        <f aca="false">(V$23+V$24*SIN(2*PI()/365*A395))*V$25/100*V$9*(1-V$14/100)*(1-V$16/100)</f>
        <v>4.0724219389847</v>
      </c>
      <c r="G395" s="38" t="n">
        <f aca="false">IF(C395&gt;E395,100,C395/E395*100)</f>
        <v>41.7665264972243</v>
      </c>
      <c r="H395" s="38" t="n">
        <f aca="false">L395/F395*100</f>
        <v>0</v>
      </c>
      <c r="I395" s="38" t="n">
        <f aca="false">(V$23+V$24*SIN(2*PI()/365*A395))*V$25/100*V$7*V$8/100*(1-V$15/100)</f>
        <v>17.1146310122789</v>
      </c>
      <c r="J395" s="38" t="n">
        <f aca="false">(V$23+V$24*SIN(2*PI()/365*A395))*V$25/100*V$9*(1-V$14/100)</f>
        <v>4.57575498762326</v>
      </c>
      <c r="K395" s="39" t="n">
        <f aca="false">IF(E395/C395*100&lt;100,E395/C395*100,100)</f>
        <v>100</v>
      </c>
      <c r="L395" s="2" t="n">
        <f aca="false">IF(((C395-E395)&gt;0)AND(F395&gt;(C395-E395)),(C395-E395),IF(C395&lt;E395,0,F395))</f>
        <v>0</v>
      </c>
      <c r="M395" s="2" t="n">
        <f aca="false">IF(C395&lt;(E395+F395),0,C395-E395-F395)</f>
        <v>0</v>
      </c>
      <c r="N395" s="2" t="n">
        <f aca="false">IF(C395&lt;(E395+F395),0,(C395-E395-F395)/(1-V$16/100))</f>
        <v>0</v>
      </c>
      <c r="O395" s="2" t="n">
        <f aca="false">L395+M395</f>
        <v>0</v>
      </c>
      <c r="P395" s="2" t="n">
        <f aca="false">IF( N395=0,I395*(1-G395/100)+J395*(1-H395/100),-N395)</f>
        <v>14.5421991032565</v>
      </c>
      <c r="Q395" s="47" t="n">
        <f aca="false">IF(P394&gt;0,Q394+P394*(1-V$20/100),Q394+P394)</f>
        <v>445.871393877918</v>
      </c>
      <c r="R395" s="48" t="n">
        <f aca="false">R$4+Q395/V$28</f>
        <v>45.2739983682112</v>
      </c>
    </row>
    <row r="396" customFormat="false" ht="12.8" hidden="false" customHeight="false" outlineLevel="0" collapsed="false">
      <c r="A396" s="1" t="n">
        <v>392</v>
      </c>
      <c r="B396" s="37" t="n">
        <v>43937</v>
      </c>
      <c r="C396" s="38" t="n">
        <f aca="false">V$26-V$26*SIN(2*PI()/365*A396)</f>
        <v>7.812851764702</v>
      </c>
      <c r="D396" s="2" t="n">
        <f aca="false">IF((E396+F396)&gt;C396,C396,E396+F396)</f>
        <v>7.812851764702</v>
      </c>
      <c r="E396" s="38" t="n">
        <f aca="false">(V$23+V$24*SIN(2*PI()/365*A396))*V$25/100*V$7*V$8/100</f>
        <v>19.4136937853904</v>
      </c>
      <c r="F396" s="38" t="n">
        <f aca="false">(V$23+V$24*SIN(2*PI()/365*A396))*V$25/100*V$9*(1-V$14/100)*(1-V$16/100)</f>
        <v>4.11134015475724</v>
      </c>
      <c r="G396" s="38" t="n">
        <f aca="false">IF(C396&gt;E396,100,C396/E396*100)</f>
        <v>40.2440249190573</v>
      </c>
      <c r="H396" s="38" t="n">
        <f aca="false">L396/F396*100</f>
        <v>0</v>
      </c>
      <c r="I396" s="38" t="n">
        <f aca="false">(V$23+V$24*SIN(2*PI()/365*A396))*V$25/100*V$7*V$8/100*(1-V$15/100)</f>
        <v>17.2781874689975</v>
      </c>
      <c r="J396" s="38" t="n">
        <f aca="false">(V$23+V$24*SIN(2*PI()/365*A396))*V$25/100*V$9*(1-V$14/100)</f>
        <v>4.61948331995196</v>
      </c>
      <c r="K396" s="39" t="n">
        <f aca="false">IF(E396/C396*100&lt;100,E396/C396*100,100)</f>
        <v>100</v>
      </c>
      <c r="L396" s="2" t="n">
        <f aca="false">IF(((C396-E396)&gt;0)AND(F396&gt;(C396-E396)),(C396-E396),IF(C396&lt;E396,0,F396))</f>
        <v>0</v>
      </c>
      <c r="M396" s="2" t="n">
        <f aca="false">IF(C396&lt;(E396+F396),0,C396-E396-F396)</f>
        <v>0</v>
      </c>
      <c r="N396" s="2" t="n">
        <f aca="false">IF(C396&lt;(E396+F396),0,(C396-E396-F396)/(1-V$16/100))</f>
        <v>0</v>
      </c>
      <c r="O396" s="2" t="n">
        <f aca="false">L396+M396</f>
        <v>0</v>
      </c>
      <c r="P396" s="2" t="n">
        <f aca="false">IF( N396=0,I396*(1-G396/100)+J396*(1-H396/100),-N396)</f>
        <v>14.9442327183646</v>
      </c>
      <c r="Q396" s="47" t="n">
        <f aca="false">IF(P395&gt;0,Q395+P395*(1-V$20/100),Q395+P395)</f>
        <v>459.395639043947</v>
      </c>
      <c r="R396" s="48" t="n">
        <f aca="false">R$4+Q396/V$28</f>
        <v>45.4339701625813</v>
      </c>
    </row>
    <row r="397" customFormat="false" ht="12.8" hidden="false" customHeight="false" outlineLevel="0" collapsed="false">
      <c r="A397" s="1" t="n">
        <v>393</v>
      </c>
      <c r="B397" s="37" t="n">
        <v>43938</v>
      </c>
      <c r="C397" s="38" t="n">
        <f aca="false">V$26-V$26*SIN(2*PI()/365*A397)</f>
        <v>7.59591353746606</v>
      </c>
      <c r="D397" s="2" t="n">
        <f aca="false">IF((E397+F397)&gt;C397,C397,E397+F397)</f>
        <v>7.59591353746606</v>
      </c>
      <c r="E397" s="38" t="n">
        <f aca="false">(V$23+V$24*SIN(2*PI()/365*A397))*V$25/100*V$7*V$8/100</f>
        <v>19.5958856295786</v>
      </c>
      <c r="F397" s="38" t="n">
        <f aca="false">(V$23+V$24*SIN(2*PI()/365*A397))*V$25/100*V$9*(1-V$14/100)*(1-V$16/100)</f>
        <v>4.14992388092295</v>
      </c>
      <c r="G397" s="38" t="n">
        <f aca="false">IF(C397&gt;E397,100,C397/E397*100)</f>
        <v>38.7627978701843</v>
      </c>
      <c r="H397" s="38" t="n">
        <f aca="false">L397/F397*100</f>
        <v>0</v>
      </c>
      <c r="I397" s="38" t="n">
        <f aca="false">(V$23+V$24*SIN(2*PI()/365*A397))*V$25/100*V$7*V$8/100*(1-V$15/100)</f>
        <v>17.440338210325</v>
      </c>
      <c r="J397" s="38" t="n">
        <f aca="false">(V$23+V$24*SIN(2*PI()/365*A397))*V$25/100*V$9*(1-V$14/100)</f>
        <v>4.66283582126174</v>
      </c>
      <c r="K397" s="39" t="n">
        <f aca="false">IF(E397/C397*100&lt;100,E397/C397*100,100)</f>
        <v>100</v>
      </c>
      <c r="L397" s="2" t="n">
        <f aca="false">IF(((C397-E397)&gt;0)AND(F397&gt;(C397-E397)),(C397-E397),IF(C397&lt;E397,0,F397))</f>
        <v>0</v>
      </c>
      <c r="M397" s="2" t="n">
        <f aca="false">IF(C397&lt;(E397+F397),0,C397-E397-F397)</f>
        <v>0</v>
      </c>
      <c r="N397" s="2" t="n">
        <f aca="false">IF(C397&lt;(E397+F397),0,(C397-E397-F397)/(1-V$16/100))</f>
        <v>0</v>
      </c>
      <c r="O397" s="2" t="n">
        <f aca="false">L397+M397</f>
        <v>0</v>
      </c>
      <c r="P397" s="2" t="n">
        <f aca="false">IF( N397=0,I397*(1-G397/100)+J397*(1-H397/100),-N397)</f>
        <v>15.3428109832419</v>
      </c>
      <c r="Q397" s="47" t="n">
        <f aca="false">IF(P396&gt;0,Q396+P396*(1-V$20/100),Q396+P396)</f>
        <v>473.293775472026</v>
      </c>
      <c r="R397" s="48" t="n">
        <f aca="false">R$4+Q397/V$28</f>
        <v>45.5983645369441</v>
      </c>
    </row>
    <row r="398" customFormat="false" ht="12.8" hidden="false" customHeight="false" outlineLevel="0" collapsed="false">
      <c r="A398" s="1" t="n">
        <v>394</v>
      </c>
      <c r="B398" s="37" t="n">
        <v>43939</v>
      </c>
      <c r="C398" s="38" t="n">
        <f aca="false">V$26-V$26*SIN(2*PI()/365*A398)</f>
        <v>7.38092027215914</v>
      </c>
      <c r="D398" s="2" t="n">
        <f aca="false">IF((E398+F398)&gt;C398,C398,E398+F398)</f>
        <v>7.38092027215914</v>
      </c>
      <c r="E398" s="38" t="n">
        <f aca="false">(V$23+V$24*SIN(2*PI()/365*A398))*V$25/100*V$7*V$8/100</f>
        <v>19.7764440308959</v>
      </c>
      <c r="F398" s="38" t="n">
        <f aca="false">(V$23+V$24*SIN(2*PI()/365*A398))*V$25/100*V$9*(1-V$14/100)*(1-V$16/100)</f>
        <v>4.18816168429105</v>
      </c>
      <c r="G398" s="38" t="n">
        <f aca="false">IF(C398&gt;E398,100,C398/E398*100)</f>
        <v>37.3217766582721</v>
      </c>
      <c r="H398" s="38" t="n">
        <f aca="false">L398/F398*100</f>
        <v>0</v>
      </c>
      <c r="I398" s="38" t="n">
        <f aca="false">(V$23+V$24*SIN(2*PI()/365*A398))*V$25/100*V$7*V$8/100*(1-V$15/100)</f>
        <v>17.6010351874973</v>
      </c>
      <c r="J398" s="38" t="n">
        <f aca="false">(V$23+V$24*SIN(2*PI()/365*A398))*V$25/100*V$9*(1-V$14/100)</f>
        <v>4.70579964527084</v>
      </c>
      <c r="K398" s="39" t="n">
        <f aca="false">IF(E398/C398*100&lt;100,E398/C398*100,100)</f>
        <v>100</v>
      </c>
      <c r="L398" s="2" t="n">
        <f aca="false">IF(((C398-E398)&gt;0)AND(F398&gt;(C398-E398)),(C398-E398),IF(C398&lt;E398,0,F398))</f>
        <v>0</v>
      </c>
      <c r="M398" s="2" t="n">
        <f aca="false">IF(C398&lt;(E398+F398),0,C398-E398-F398)</f>
        <v>0</v>
      </c>
      <c r="N398" s="2" t="n">
        <f aca="false">IF(C398&lt;(E398+F398),0,(C398-E398-F398)/(1-V$16/100))</f>
        <v>0</v>
      </c>
      <c r="O398" s="2" t="n">
        <f aca="false">L398+M398</f>
        <v>0</v>
      </c>
      <c r="P398" s="2" t="n">
        <f aca="false">IF( N398=0,I398*(1-G398/100)+J398*(1-H398/100),-N398)</f>
        <v>15.7378157905465</v>
      </c>
      <c r="Q398" s="47" t="n">
        <f aca="false">IF(P397&gt;0,Q397+P397*(1-V$20/100),Q397+P397)</f>
        <v>487.562589686441</v>
      </c>
      <c r="R398" s="48" t="n">
        <f aca="false">R$4+Q398/V$28</f>
        <v>45.7671434806405</v>
      </c>
    </row>
    <row r="399" customFormat="false" ht="12.8" hidden="false" customHeight="false" outlineLevel="0" collapsed="false">
      <c r="A399" s="1" t="n">
        <v>395</v>
      </c>
      <c r="B399" s="37" t="n">
        <v>43940</v>
      </c>
      <c r="C399" s="38" t="n">
        <f aca="false">V$26-V$26*SIN(2*PI()/365*A399)</f>
        <v>7.1679356759257</v>
      </c>
      <c r="D399" s="2" t="n">
        <f aca="false">IF((E399+F399)&gt;C399,C399,E399+F399)</f>
        <v>7.1679356759257</v>
      </c>
      <c r="E399" s="38" t="n">
        <f aca="false">(V$23+V$24*SIN(2*PI()/365*A399))*V$25/100*V$7*V$8/100</f>
        <v>19.955315485991</v>
      </c>
      <c r="F399" s="38" t="n">
        <f aca="false">(V$23+V$24*SIN(2*PI()/365*A399))*V$25/100*V$9*(1-V$14/100)*(1-V$16/100)</f>
        <v>4.22604223417518</v>
      </c>
      <c r="G399" s="38" t="n">
        <f aca="false">IF(C399&gt;E399,100,C399/E399*100)</f>
        <v>35.9199316139988</v>
      </c>
      <c r="H399" s="38" t="n">
        <f aca="false">L399/F399*100</f>
        <v>0</v>
      </c>
      <c r="I399" s="38" t="n">
        <f aca="false">(V$23+V$24*SIN(2*PI()/365*A399))*V$25/100*V$7*V$8/100*(1-V$15/100)</f>
        <v>17.760230782532</v>
      </c>
      <c r="J399" s="38" t="n">
        <f aca="false">(V$23+V$24*SIN(2*PI()/365*A399))*V$25/100*V$9*(1-V$14/100)</f>
        <v>4.74836206087099</v>
      </c>
      <c r="K399" s="39" t="n">
        <f aca="false">IF(E399/C399*100&lt;100,E399/C399*100,100)</f>
        <v>100</v>
      </c>
      <c r="L399" s="2" t="n">
        <f aca="false">IF(((C399-E399)&gt;0)AND(F399&gt;(C399-E399)),(C399-E399),IF(C399&lt;E399,0,F399))</f>
        <v>0</v>
      </c>
      <c r="M399" s="2" t="n">
        <f aca="false">IF(C399&lt;(E399+F399),0,C399-E399-F399)</f>
        <v>0</v>
      </c>
      <c r="N399" s="2" t="n">
        <f aca="false">IF(C399&lt;(E399+F399),0,(C399-E399-F399)/(1-V$16/100))</f>
        <v>0</v>
      </c>
      <c r="O399" s="2" t="n">
        <f aca="false">L399+M399</f>
        <v>0</v>
      </c>
      <c r="P399" s="2" t="n">
        <f aca="false">IF( N399=0,I399*(1-G399/100)+J399*(1-H399/100),-N399)</f>
        <v>16.1291300918291</v>
      </c>
      <c r="Q399" s="47" t="n">
        <f aca="false">IF(P398&gt;0,Q398+P398*(1-V$20/100),Q398+P398)</f>
        <v>502.198758371649</v>
      </c>
      <c r="R399" s="48" t="n">
        <f aca="false">R$4+Q399/V$28</f>
        <v>45.9402676837684</v>
      </c>
    </row>
    <row r="400" customFormat="false" ht="12.8" hidden="false" customHeight="false" outlineLevel="0" collapsed="false">
      <c r="A400" s="1" t="n">
        <v>396</v>
      </c>
      <c r="B400" s="37" t="n">
        <v>43941</v>
      </c>
      <c r="C400" s="38" t="n">
        <f aca="false">V$26-V$26*SIN(2*PI()/365*A400)</f>
        <v>6.9570228606982</v>
      </c>
      <c r="D400" s="2" t="n">
        <f aca="false">IF((E400+F400)&gt;C400,C400,E400+F400)</f>
        <v>6.9570228606982</v>
      </c>
      <c r="E400" s="38" t="n">
        <f aca="false">(V$23+V$24*SIN(2*PI()/365*A400))*V$25/100*V$7*V$8/100</f>
        <v>20.1324469913916</v>
      </c>
      <c r="F400" s="38" t="n">
        <f aca="false">(V$23+V$24*SIN(2*PI()/365*A400))*V$25/100*V$9*(1-V$14/100)*(1-V$16/100)</f>
        <v>4.26355430575086</v>
      </c>
      <c r="G400" s="38" t="n">
        <f aca="false">IF(C400&gt;E400,100,C400/E400*100)</f>
        <v>34.5562705997584</v>
      </c>
      <c r="H400" s="38" t="n">
        <f aca="false">L400/F400*100</f>
        <v>0</v>
      </c>
      <c r="I400" s="38" t="n">
        <f aca="false">(V$23+V$24*SIN(2*PI()/365*A400))*V$25/100*V$7*V$8/100*(1-V$15/100)</f>
        <v>17.9178778223385</v>
      </c>
      <c r="J400" s="38" t="n">
        <f aca="false">(V$23+V$24*SIN(2*PI()/365*A400))*V$25/100*V$9*(1-V$14/100)</f>
        <v>4.79051045589984</v>
      </c>
      <c r="K400" s="39" t="n">
        <f aca="false">IF(E400/C400*100&lt;100,E400/C400*100,100)</f>
        <v>100</v>
      </c>
      <c r="L400" s="2" t="n">
        <f aca="false">IF(((C400-E400)&gt;0)AND(F400&gt;(C400-E400)),(C400-E400),IF(C400&lt;E400,0,F400))</f>
        <v>0</v>
      </c>
      <c r="M400" s="2" t="n">
        <f aca="false">IF(C400&lt;(E400+F400),0,C400-E400-F400)</f>
        <v>0</v>
      </c>
      <c r="N400" s="2" t="n">
        <f aca="false">IF(C400&lt;(E400+F400),0,(C400-E400-F400)/(1-V$16/100))</f>
        <v>0</v>
      </c>
      <c r="O400" s="2" t="n">
        <f aca="false">L400+M400</f>
        <v>0</v>
      </c>
      <c r="P400" s="2" t="n">
        <f aca="false">IF( N400=0,I400*(1-G400/100)+J400*(1-H400/100),-N400)</f>
        <v>16.516637932217</v>
      </c>
      <c r="Q400" s="47" t="n">
        <f aca="false">IF(P399&gt;0,Q399+P399*(1-V$20/100),Q399+P399)</f>
        <v>517.19884935705</v>
      </c>
      <c r="R400" s="48" t="n">
        <f aca="false">R$4+Q400/V$28</f>
        <v>46.1176965488319</v>
      </c>
    </row>
    <row r="401" customFormat="false" ht="12.8" hidden="false" customHeight="false" outlineLevel="0" collapsed="false">
      <c r="A401" s="1" t="n">
        <v>397</v>
      </c>
      <c r="B401" s="37" t="n">
        <v>43942</v>
      </c>
      <c r="C401" s="38" t="n">
        <f aca="false">V$26-V$26*SIN(2*PI()/365*A401)</f>
        <v>6.74824432449563</v>
      </c>
      <c r="D401" s="2" t="n">
        <f aca="false">IF((E401+F401)&gt;C401,C401,E401+F401)</f>
        <v>6.74824432449563</v>
      </c>
      <c r="E401" s="38" t="n">
        <f aca="false">(V$23+V$24*SIN(2*PI()/365*A401))*V$25/100*V$7*V$8/100</f>
        <v>20.3077860592097</v>
      </c>
      <c r="F401" s="38" t="n">
        <f aca="false">(V$23+V$24*SIN(2*PI()/365*A401))*V$25/100*V$9*(1-V$14/100)*(1-V$16/100)</f>
        <v>4.30068678338172</v>
      </c>
      <c r="G401" s="38" t="n">
        <f aca="false">IF(C401&gt;E401,100,C401/E401*100)</f>
        <v>33.2298375845616</v>
      </c>
      <c r="H401" s="38" t="n">
        <f aca="false">L401/F401*100</f>
        <v>0</v>
      </c>
      <c r="I401" s="38" t="n">
        <f aca="false">(V$23+V$24*SIN(2*PI()/365*A401))*V$25/100*V$7*V$8/100*(1-V$15/100)</f>
        <v>18.0739295926966</v>
      </c>
      <c r="J401" s="38" t="n">
        <f aca="false">(V$23+V$24*SIN(2*PI()/365*A401))*V$25/100*V$9*(1-V$14/100)</f>
        <v>4.83223234087833</v>
      </c>
      <c r="K401" s="39" t="n">
        <f aca="false">IF(E401/C401*100&lt;100,E401/C401*100,100)</f>
        <v>100</v>
      </c>
      <c r="L401" s="2" t="n">
        <f aca="false">IF(((C401-E401)&gt;0)AND(F401&gt;(C401-E401)),(C401-E401),IF(C401&lt;E401,0,F401))</f>
        <v>0</v>
      </c>
      <c r="M401" s="2" t="n">
        <f aca="false">IF(C401&lt;(E401+F401),0,C401-E401-F401)</f>
        <v>0</v>
      </c>
      <c r="N401" s="2" t="n">
        <f aca="false">IF(C401&lt;(E401+F401),0,(C401-E401-F401)/(1-V$16/100))</f>
        <v>0</v>
      </c>
      <c r="O401" s="2" t="n">
        <f aca="false">L401+M401</f>
        <v>0</v>
      </c>
      <c r="P401" s="2" t="n">
        <f aca="false">IF( N401=0,I401*(1-G401/100)+J401*(1-H401/100),-N401)</f>
        <v>16.9002244847739</v>
      </c>
      <c r="Q401" s="47" t="n">
        <f aca="false">IF(P400&gt;0,Q400+P400*(1-V$20/100),Q400+P400)</f>
        <v>532.559322634012</v>
      </c>
      <c r="R401" s="48" t="n">
        <f aca="false">R$4+Q401/V$28</f>
        <v>46.2993882027706</v>
      </c>
    </row>
    <row r="402" customFormat="false" ht="12.8" hidden="false" customHeight="false" outlineLevel="0" collapsed="false">
      <c r="A402" s="1" t="n">
        <v>398</v>
      </c>
      <c r="B402" s="37" t="n">
        <v>43943</v>
      </c>
      <c r="C402" s="38" t="n">
        <f aca="false">V$26-V$26*SIN(2*PI()/365*A402)</f>
        <v>6.54166193290411</v>
      </c>
      <c r="D402" s="2" t="n">
        <f aca="false">IF((E402+F402)&gt;C402,C402,E402+F402)</f>
        <v>6.54166193290411</v>
      </c>
      <c r="E402" s="38" t="n">
        <f aca="false">(V$23+V$24*SIN(2*PI()/365*A402))*V$25/100*V$7*V$8/100</f>
        <v>20.4812807326955</v>
      </c>
      <c r="F402" s="38" t="n">
        <f aca="false">(V$23+V$24*SIN(2*PI()/365*A402))*V$25/100*V$9*(1-V$14/100)*(1-V$16/100)</f>
        <v>4.33742866391324</v>
      </c>
      <c r="G402" s="38" t="n">
        <f aca="false">IF(C402&gt;E402,100,C402/E402*100)</f>
        <v>31.9397112821234</v>
      </c>
      <c r="H402" s="38" t="n">
        <f aca="false">L402/F402*100</f>
        <v>0</v>
      </c>
      <c r="I402" s="38" t="n">
        <f aca="false">(V$23+V$24*SIN(2*PI()/365*A402))*V$25/100*V$7*V$8/100*(1-V$15/100)</f>
        <v>18.228339852099</v>
      </c>
      <c r="J402" s="38" t="n">
        <f aca="false">(V$23+V$24*SIN(2*PI()/365*A402))*V$25/100*V$9*(1-V$14/100)</f>
        <v>4.87351535271151</v>
      </c>
      <c r="K402" s="39" t="n">
        <f aca="false">IF(E402/C402*100&lt;100,E402/C402*100,100)</f>
        <v>100</v>
      </c>
      <c r="L402" s="2" t="n">
        <f aca="false">IF(((C402-E402)&gt;0)AND(F402&gt;(C402-E402)),(C402-E402),IF(C402&lt;E402,0,F402))</f>
        <v>0</v>
      </c>
      <c r="M402" s="2" t="n">
        <f aca="false">IF(C402&lt;(E402+F402),0,C402-E402-F402)</f>
        <v>0</v>
      </c>
      <c r="N402" s="2" t="n">
        <f aca="false">IF(C402&lt;(E402+F402),0,(C402-E402-F402)/(1-V$16/100))</f>
        <v>0</v>
      </c>
      <c r="O402" s="2" t="n">
        <f aca="false">L402+M402</f>
        <v>0</v>
      </c>
      <c r="P402" s="2" t="n">
        <f aca="false">IF( N402=0,I402*(1-G402/100)+J402*(1-H402/100),-N402)</f>
        <v>17.2797760845258</v>
      </c>
      <c r="Q402" s="47" t="n">
        <f aca="false">IF(P401&gt;0,Q401+P401*(1-V$20/100),Q401+P401)</f>
        <v>548.276531404852</v>
      </c>
      <c r="R402" s="48" t="n">
        <f aca="false">R$4+Q402/V$28</f>
        <v>46.485299509368</v>
      </c>
    </row>
    <row r="403" customFormat="false" ht="12.8" hidden="false" customHeight="false" outlineLevel="0" collapsed="false">
      <c r="A403" s="1" t="n">
        <v>399</v>
      </c>
      <c r="B403" s="37" t="n">
        <v>43944</v>
      </c>
      <c r="C403" s="38" t="n">
        <f aca="false">V$26-V$26*SIN(2*PI()/365*A403)</f>
        <v>6.33733690074465</v>
      </c>
      <c r="D403" s="2" t="n">
        <f aca="false">IF((E403+F403)&gt;C403,C403,E403+F403)</f>
        <v>6.33733690074465</v>
      </c>
      <c r="E403" s="38" t="n">
        <f aca="false">(V$23+V$24*SIN(2*PI()/365*A403))*V$25/100*V$7*V$8/100</f>
        <v>20.6528796016328</v>
      </c>
      <c r="F403" s="38" t="n">
        <f aca="false">(V$23+V$24*SIN(2*PI()/365*A403))*V$25/100*V$9*(1-V$14/100)*(1-V$16/100)</f>
        <v>4.37376905993328</v>
      </c>
      <c r="G403" s="38" t="n">
        <f aca="false">IF(C403&gt;E403,100,C403/E403*100)</f>
        <v>30.6850038492629</v>
      </c>
      <c r="H403" s="38" t="n">
        <f aca="false">L403/F403*100</f>
        <v>0</v>
      </c>
      <c r="I403" s="38" t="n">
        <f aca="false">(V$23+V$24*SIN(2*PI()/365*A403))*V$25/100*V$7*V$8/100*(1-V$15/100)</f>
        <v>18.3810628454532</v>
      </c>
      <c r="J403" s="38" t="n">
        <f aca="false">(V$23+V$24*SIN(2*PI()/365*A403))*V$25/100*V$9*(1-V$14/100)</f>
        <v>4.914347258352</v>
      </c>
      <c r="K403" s="39" t="n">
        <f aca="false">IF(E403/C403*100&lt;100,E403/C403*100,100)</f>
        <v>100</v>
      </c>
      <c r="L403" s="2" t="n">
        <f aca="false">IF(((C403-E403)&gt;0)AND(F403&gt;(C403-E403)),(C403-E403),IF(C403&lt;E403,0,F403))</f>
        <v>0</v>
      </c>
      <c r="M403" s="2" t="n">
        <f aca="false">IF(C403&lt;(E403+F403),0,C403-E403-F403)</f>
        <v>0</v>
      </c>
      <c r="N403" s="2" t="n">
        <f aca="false">IF(C403&lt;(E403+F403),0,(C403-E403-F403)/(1-V$16/100))</f>
        <v>0</v>
      </c>
      <c r="O403" s="2" t="n">
        <f aca="false">L403+M403</f>
        <v>0</v>
      </c>
      <c r="P403" s="2" t="n">
        <f aca="false">IF( N403=0,I403*(1-G403/100)+J403*(1-H403/100),-N403)</f>
        <v>17.6551802621424</v>
      </c>
      <c r="Q403" s="47" t="n">
        <f aca="false">IF(P402&gt;0,Q402+P402*(1-V$20/100),Q402+P402)</f>
        <v>564.346723163461</v>
      </c>
      <c r="R403" s="48" t="n">
        <f aca="false">R$4+Q403/V$28</f>
        <v>46.6753860820333</v>
      </c>
    </row>
    <row r="404" customFormat="false" ht="12.8" hidden="false" customHeight="false" outlineLevel="0" collapsed="false">
      <c r="A404" s="1" t="n">
        <v>400</v>
      </c>
      <c r="B404" s="37" t="n">
        <v>43945</v>
      </c>
      <c r="C404" s="38" t="n">
        <f aca="false">V$26-V$26*SIN(2*PI()/365*A404)</f>
        <v>6.135329773934</v>
      </c>
      <c r="D404" s="2" t="n">
        <f aca="false">IF((E404+F404)&gt;C404,C404,E404+F404)</f>
        <v>6.135329773934</v>
      </c>
      <c r="E404" s="38" t="n">
        <f aca="false">(V$23+V$24*SIN(2*PI()/365*A404))*V$25/100*V$7*V$8/100</f>
        <v>20.8225318175733</v>
      </c>
      <c r="F404" s="38" t="n">
        <f aca="false">(V$23+V$24*SIN(2*PI()/365*A404))*V$25/100*V$9*(1-V$14/100)*(1-V$16/100)</f>
        <v>4.4096972029982</v>
      </c>
      <c r="G404" s="38" t="n">
        <f aca="false">IF(C404&gt;E404,100,C404/E404*100)</f>
        <v>29.464859641881</v>
      </c>
      <c r="H404" s="38" t="n">
        <f aca="false">L404/F404*100</f>
        <v>0</v>
      </c>
      <c r="I404" s="38" t="n">
        <f aca="false">(V$23+V$24*SIN(2*PI()/365*A404))*V$25/100*V$7*V$8/100*(1-V$15/100)</f>
        <v>18.5320533176403</v>
      </c>
      <c r="J404" s="38" t="n">
        <f aca="false">(V$23+V$24*SIN(2*PI()/365*A404))*V$25/100*V$9*(1-V$14/100)</f>
        <v>4.95471595842495</v>
      </c>
      <c r="K404" s="39" t="n">
        <f aca="false">IF(E404/C404*100&lt;100,E404/C404*100,100)</f>
        <v>100</v>
      </c>
      <c r="L404" s="2" t="n">
        <f aca="false">IF(((C404-E404)&gt;0)AND(F404&gt;(C404-E404)),(C404-E404),IF(C404&lt;E404,0,F404))</f>
        <v>0</v>
      </c>
      <c r="M404" s="2" t="n">
        <f aca="false">IF(C404&lt;(E404+F404),0,C404-E404-F404)</f>
        <v>0</v>
      </c>
      <c r="N404" s="2" t="n">
        <f aca="false">IF(C404&lt;(E404+F404),0,(C404-E404-F404)/(1-V$16/100))</f>
        <v>0</v>
      </c>
      <c r="O404" s="2" t="n">
        <f aca="false">L404+M404</f>
        <v>0</v>
      </c>
      <c r="P404" s="2" t="n">
        <f aca="false">IF( N404=0,I404*(1-G404/100)+J404*(1-H404/100),-N404)</f>
        <v>18.026325777264</v>
      </c>
      <c r="Q404" s="47" t="n">
        <f aca="false">IF(P403&gt;0,Q403+P403*(1-V$20/100),Q403+P403)</f>
        <v>580.766040807253</v>
      </c>
      <c r="R404" s="48" t="n">
        <f aca="false">R$4+Q404/V$28</f>
        <v>46.8696022969542</v>
      </c>
    </row>
    <row r="405" customFormat="false" ht="12.8" hidden="false" customHeight="false" outlineLevel="0" collapsed="false">
      <c r="A405" s="1" t="n">
        <v>401</v>
      </c>
      <c r="B405" s="37" t="n">
        <v>43946</v>
      </c>
      <c r="C405" s="38" t="n">
        <f aca="false">V$26-V$26*SIN(2*PI()/365*A405)</f>
        <v>5.9357004115435</v>
      </c>
      <c r="D405" s="2" t="n">
        <f aca="false">IF((E405+F405)&gt;C405,C405,E405+F405)</f>
        <v>5.9357004115435</v>
      </c>
      <c r="E405" s="38" t="n">
        <f aca="false">(V$23+V$24*SIN(2*PI()/365*A405))*V$25/100*V$7*V$8/100</f>
        <v>20.9901871089042</v>
      </c>
      <c r="F405" s="38" t="n">
        <f aca="false">(V$23+V$24*SIN(2*PI()/365*A405))*V$25/100*V$9*(1-V$14/100)*(1-V$16/100)</f>
        <v>4.44520244682382</v>
      </c>
      <c r="G405" s="38" t="n">
        <f aca="false">IF(C405&gt;E405,100,C405/E405*100)</f>
        <v>28.2784540259077</v>
      </c>
      <c r="H405" s="38" t="n">
        <f aca="false">L405/F405*100</f>
        <v>0</v>
      </c>
      <c r="I405" s="38" t="n">
        <f aca="false">(V$23+V$24*SIN(2*PI()/365*A405))*V$25/100*V$7*V$8/100*(1-V$15/100)</f>
        <v>18.6812665269248</v>
      </c>
      <c r="J405" s="38" t="n">
        <f aca="false">(V$23+V$24*SIN(2*PI()/365*A405))*V$25/100*V$9*(1-V$14/100)</f>
        <v>4.99460949081328</v>
      </c>
      <c r="K405" s="39" t="n">
        <f aca="false">IF(E405/C405*100&lt;100,E405/C405*100,100)</f>
        <v>100</v>
      </c>
      <c r="L405" s="2" t="n">
        <f aca="false">IF(((C405-E405)&gt;0)AND(F405&gt;(C405-E405)),(C405-E405),IF(C405&lt;E405,0,F405))</f>
        <v>0</v>
      </c>
      <c r="M405" s="2" t="n">
        <f aca="false">IF(C405&lt;(E405+F405),0,C405-E405-F405)</f>
        <v>0</v>
      </c>
      <c r="N405" s="2" t="n">
        <f aca="false">IF(C405&lt;(E405+F405),0,(C405-E405-F405)/(1-V$16/100))</f>
        <v>0</v>
      </c>
      <c r="O405" s="2" t="n">
        <f aca="false">L405+M405</f>
        <v>0</v>
      </c>
      <c r="P405" s="2" t="n">
        <f aca="false">IF( N405=0,I405*(1-G405/100)+J405*(1-H405/100),-N405)</f>
        <v>18.3931026514643</v>
      </c>
      <c r="Q405" s="47" t="n">
        <f aca="false">IF(P404&gt;0,Q404+P404*(1-V$20/100),Q404+P404)</f>
        <v>597.530523780109</v>
      </c>
      <c r="R405" s="48" t="n">
        <f aca="false">R$4+Q405/V$28</f>
        <v>47.0679013066166</v>
      </c>
    </row>
    <row r="406" customFormat="false" ht="12.8" hidden="false" customHeight="false" outlineLevel="0" collapsed="false">
      <c r="A406" s="1" t="n">
        <v>402</v>
      </c>
      <c r="B406" s="37" t="n">
        <v>43947</v>
      </c>
      <c r="C406" s="38" t="n">
        <f aca="false">V$26-V$26*SIN(2*PI()/365*A406)</f>
        <v>5.73850796806156</v>
      </c>
      <c r="D406" s="2" t="n">
        <f aca="false">IF((E406+F406)&gt;C406,C406,E406+F406)</f>
        <v>5.73850796806156</v>
      </c>
      <c r="E406" s="38" t="n">
        <f aca="false">(V$23+V$24*SIN(2*PI()/365*A406))*V$25/100*V$7*V$8/100</f>
        <v>21.1557957957443</v>
      </c>
      <c r="F406" s="38" t="n">
        <f aca="false">(V$23+V$24*SIN(2*PI()/365*A406))*V$25/100*V$9*(1-V$14/100)*(1-V$16/100)</f>
        <v>4.48027427044013</v>
      </c>
      <c r="G406" s="38" t="n">
        <f aca="false">IF(C406&gt;E406,100,C406/E406*100)</f>
        <v>27.1249922407358</v>
      </c>
      <c r="H406" s="38" t="n">
        <f aca="false">L406/F406*100</f>
        <v>0</v>
      </c>
      <c r="I406" s="38" t="n">
        <f aca="false">(V$23+V$24*SIN(2*PI()/365*A406))*V$25/100*V$7*V$8/100*(1-V$15/100)</f>
        <v>18.8286582582124</v>
      </c>
      <c r="J406" s="38" t="n">
        <f aca="false">(V$23+V$24*SIN(2*PI()/365*A406))*V$25/100*V$9*(1-V$14/100)</f>
        <v>5.03401603420239</v>
      </c>
      <c r="K406" s="39" t="n">
        <f aca="false">IF(E406/C406*100&lt;100,E406/C406*100,100)</f>
        <v>100</v>
      </c>
      <c r="L406" s="2" t="n">
        <f aca="false">IF(((C406-E406)&gt;0)AND(F406&gt;(C406-E406)),(C406-E406),IF(C406&lt;E406,0,F406))</f>
        <v>0</v>
      </c>
      <c r="M406" s="2" t="n">
        <f aca="false">IF(C406&lt;(E406+F406),0,C406-E406-F406)</f>
        <v>0</v>
      </c>
      <c r="N406" s="2" t="n">
        <f aca="false">IF(C406&lt;(E406+F406),0,(C406-E406-F406)/(1-V$16/100))</f>
        <v>0</v>
      </c>
      <c r="O406" s="2" t="n">
        <f aca="false">L406+M406</f>
        <v>0</v>
      </c>
      <c r="P406" s="2" t="n">
        <f aca="false">IF( N406=0,I406*(1-G406/100)+J406*(1-H406/100),-N406)</f>
        <v>18.75540220084</v>
      </c>
      <c r="Q406" s="47" t="n">
        <f aca="false">IF(P405&gt;0,Q405+P405*(1-V$20/100),Q405+P405)</f>
        <v>614.63610924597</v>
      </c>
      <c r="R406" s="48" t="n">
        <f aca="false">R$4+Q406/V$28</f>
        <v>47.2702350536857</v>
      </c>
    </row>
    <row r="407" customFormat="false" ht="12.8" hidden="false" customHeight="false" outlineLevel="0" collapsed="false">
      <c r="A407" s="1" t="n">
        <v>403</v>
      </c>
      <c r="B407" s="37" t="n">
        <v>43948</v>
      </c>
      <c r="C407" s="38" t="n">
        <f aca="false">V$26-V$26*SIN(2*PI()/365*A407)</f>
        <v>5.54381087586498</v>
      </c>
      <c r="D407" s="2" t="n">
        <f aca="false">IF((E407+F407)&gt;C407,C407,E407+F407)</f>
        <v>5.54381087586498</v>
      </c>
      <c r="E407" s="38" t="n">
        <f aca="false">(V$23+V$24*SIN(2*PI()/365*A407))*V$25/100*V$7*V$8/100</f>
        <v>21.3193088046655</v>
      </c>
      <c r="F407" s="38" t="n">
        <f aca="false">(V$23+V$24*SIN(2*PI()/365*A407))*V$25/100*V$9*(1-V$14/100)*(1-V$16/100)</f>
        <v>4.51490228130887</v>
      </c>
      <c r="G407" s="38" t="n">
        <f aca="false">IF(C407&gt;E407,100,C407/E407*100)</f>
        <v>26.003708312775</v>
      </c>
      <c r="H407" s="38" t="n">
        <f aca="false">L407/F407*100</f>
        <v>0</v>
      </c>
      <c r="I407" s="38" t="n">
        <f aca="false">(V$23+V$24*SIN(2*PI()/365*A407))*V$25/100*V$7*V$8/100*(1-V$15/100)</f>
        <v>18.9741848361523</v>
      </c>
      <c r="J407" s="38" t="n">
        <f aca="false">(V$23+V$24*SIN(2*PI()/365*A407))*V$25/100*V$9*(1-V$14/100)</f>
        <v>5.072923911583</v>
      </c>
      <c r="K407" s="39" t="n">
        <f aca="false">IF(E407/C407*100&lt;100,E407/C407*100,100)</f>
        <v>100</v>
      </c>
      <c r="L407" s="2" t="n">
        <f aca="false">IF(((C407-E407)&gt;0)AND(F407&gt;(C407-E407)),(C407-E407),IF(C407&lt;E407,0,F407))</f>
        <v>0</v>
      </c>
      <c r="M407" s="2" t="n">
        <f aca="false">IF(C407&lt;(E407+F407),0,C407-E407-F407)</f>
        <v>0</v>
      </c>
      <c r="N407" s="2" t="n">
        <f aca="false">IF(C407&lt;(E407+F407),0,(C407-E407-F407)/(1-V$16/100))</f>
        <v>0</v>
      </c>
      <c r="O407" s="2" t="n">
        <f aca="false">L407+M407</f>
        <v>0</v>
      </c>
      <c r="P407" s="2" t="n">
        <f aca="false">IF( N407=0,I407*(1-G407/100)+J407*(1-H407/100),-N407)</f>
        <v>19.1131170682155</v>
      </c>
      <c r="Q407" s="47" t="n">
        <f aca="false">IF(P406&gt;0,Q406+P406*(1-V$20/100),Q406+P406)</f>
        <v>632.078633292752</v>
      </c>
      <c r="R407" s="48" t="n">
        <f aca="false">R$4+Q407/V$28</f>
        <v>47.4765542852473</v>
      </c>
    </row>
    <row r="408" customFormat="false" ht="12.8" hidden="false" customHeight="false" outlineLevel="0" collapsed="false">
      <c r="A408" s="1" t="n">
        <v>404</v>
      </c>
      <c r="B408" s="37" t="n">
        <v>43949</v>
      </c>
      <c r="C408" s="38" t="n">
        <f aca="false">V$26-V$26*SIN(2*PI()/365*A408)</f>
        <v>5.35166682790405</v>
      </c>
      <c r="D408" s="2" t="n">
        <f aca="false">IF((E408+F408)&gt;C408,C408,E408+F408)</f>
        <v>5.35166682790405</v>
      </c>
      <c r="E408" s="38" t="n">
        <f aca="false">(V$23+V$24*SIN(2*PI()/365*A408))*V$25/100*V$7*V$8/100</f>
        <v>21.4806776832344</v>
      </c>
      <c r="F408" s="38" t="n">
        <f aca="false">(V$23+V$24*SIN(2*PI()/365*A408))*V$25/100*V$9*(1-V$14/100)*(1-V$16/100)</f>
        <v>4.5490762184031</v>
      </c>
      <c r="G408" s="38" t="n">
        <f aca="false">IF(C408&gt;E408,100,C408/E408*100)</f>
        <v>24.9138640168741</v>
      </c>
      <c r="H408" s="38" t="n">
        <f aca="false">L408/F408*100</f>
        <v>0</v>
      </c>
      <c r="I408" s="38" t="n">
        <f aca="false">(V$23+V$24*SIN(2*PI()/365*A408))*V$25/100*V$7*V$8/100*(1-V$15/100)</f>
        <v>19.1178031380786</v>
      </c>
      <c r="J408" s="38" t="n">
        <f aca="false">(V$23+V$24*SIN(2*PI()/365*A408))*V$25/100*V$9*(1-V$14/100)</f>
        <v>5.11132159371135</v>
      </c>
      <c r="K408" s="39" t="n">
        <f aca="false">IF(E408/C408*100&lt;100,E408/C408*100,100)</f>
        <v>100</v>
      </c>
      <c r="L408" s="2" t="n">
        <f aca="false">IF(((C408-E408)&gt;0)AND(F408&gt;(C408-E408)),(C408-E408),IF(C408&lt;E408,0,F408))</f>
        <v>0</v>
      </c>
      <c r="M408" s="2" t="n">
        <f aca="false">IF(C408&lt;(E408+F408),0,C408-E408-F408)</f>
        <v>0</v>
      </c>
      <c r="N408" s="2" t="n">
        <f aca="false">IF(C408&lt;(E408+F408),0,(C408-E408-F408)/(1-V$16/100))</f>
        <v>0</v>
      </c>
      <c r="O408" s="2" t="n">
        <f aca="false">L408+M408</f>
        <v>0</v>
      </c>
      <c r="P408" s="2" t="n">
        <f aca="false">IF( N408=0,I408*(1-G408/100)+J408*(1-H408/100),-N408)</f>
        <v>19.4661412549554</v>
      </c>
      <c r="Q408" s="47" t="n">
        <f aca="false">IF(P407&gt;0,Q407+P407*(1-V$20/100),Q407+P407)</f>
        <v>649.853832166192</v>
      </c>
      <c r="R408" s="48" t="n">
        <f aca="false">R$4+Q408/V$28</f>
        <v>47.6868085674021</v>
      </c>
    </row>
    <row r="409" customFormat="false" ht="12.8" hidden="false" customHeight="false" outlineLevel="0" collapsed="false">
      <c r="A409" s="1" t="n">
        <v>405</v>
      </c>
      <c r="B409" s="37" t="n">
        <v>43950</v>
      </c>
      <c r="C409" s="38" t="n">
        <f aca="false">V$26-V$26*SIN(2*PI()/365*A409)</f>
        <v>5.16213276060701</v>
      </c>
      <c r="D409" s="2" t="n">
        <f aca="false">IF((E409+F409)&gt;C409,C409,E409+F409)</f>
        <v>5.16213276060701</v>
      </c>
      <c r="E409" s="38" t="n">
        <f aca="false">(V$23+V$24*SIN(2*PI()/365*A409))*V$25/100*V$7*V$8/100</f>
        <v>21.6398546143697</v>
      </c>
      <c r="F409" s="38" t="n">
        <f aca="false">(V$23+V$24*SIN(2*PI()/365*A409))*V$25/100*V$9*(1-V$14/100)*(1-V$16/100)</f>
        <v>4.58278595524772</v>
      </c>
      <c r="G409" s="38" t="n">
        <f aca="false">IF(C409&gt;E409,100,C409/E409*100)</f>
        <v>23.8547478834685</v>
      </c>
      <c r="H409" s="38" t="n">
        <f aca="false">L409/F409*100</f>
        <v>0</v>
      </c>
      <c r="I409" s="38" t="n">
        <f aca="false">(V$23+V$24*SIN(2*PI()/365*A409))*V$25/100*V$7*V$8/100*(1-V$15/100)</f>
        <v>19.259470606789</v>
      </c>
      <c r="J409" s="38" t="n">
        <f aca="false">(V$23+V$24*SIN(2*PI()/365*A409))*V$25/100*V$9*(1-V$14/100)</f>
        <v>5.14919770252553</v>
      </c>
      <c r="K409" s="39" t="n">
        <f aca="false">IF(E409/C409*100&lt;100,E409/C409*100,100)</f>
        <v>100</v>
      </c>
      <c r="L409" s="2" t="n">
        <f aca="false">IF(((C409-E409)&gt;0)AND(F409&gt;(C409-E409)),(C409-E409),IF(C409&lt;E409,0,F409))</f>
        <v>0</v>
      </c>
      <c r="M409" s="2" t="n">
        <f aca="false">IF(C409&lt;(E409+F409),0,C409-E409-F409)</f>
        <v>0</v>
      </c>
      <c r="N409" s="2" t="n">
        <f aca="false">IF(C409&lt;(E409+F409),0,(C409-E409-F409)/(1-V$16/100))</f>
        <v>0</v>
      </c>
      <c r="O409" s="2" t="n">
        <f aca="false">L409+M409</f>
        <v>0</v>
      </c>
      <c r="P409" s="2" t="n">
        <f aca="false">IF( N409=0,I409*(1-G409/100)+J409*(1-H409/100),-N409)</f>
        <v>19.8143701523743</v>
      </c>
      <c r="Q409" s="47" t="n">
        <f aca="false">IF(P408&gt;0,Q408+P408*(1-V$20/100),Q408+P408)</f>
        <v>667.957343533301</v>
      </c>
      <c r="R409" s="48" t="n">
        <f aca="false">R$4+Q409/V$28</f>
        <v>47.9009463002102</v>
      </c>
    </row>
    <row r="410" customFormat="false" ht="12.8" hidden="false" customHeight="false" outlineLevel="0" collapsed="false">
      <c r="A410" s="1" t="n">
        <v>406</v>
      </c>
      <c r="B410" s="37" t="n">
        <v>43951</v>
      </c>
      <c r="C410" s="38" t="n">
        <f aca="false">V$26-V$26*SIN(2*PI()/365*A410)</f>
        <v>4.97526483700849</v>
      </c>
      <c r="D410" s="2" t="n">
        <f aca="false">IF((E410+F410)&gt;C410,C410,E410+F410)</f>
        <v>4.97526483700849</v>
      </c>
      <c r="E410" s="38" t="n">
        <f aca="false">(V$23+V$24*SIN(2*PI()/365*A410))*V$25/100*V$7*V$8/100</f>
        <v>21.7967924305113</v>
      </c>
      <c r="F410" s="38" t="n">
        <f aca="false">(V$23+V$24*SIN(2*PI()/365*A410))*V$25/100*V$9*(1-V$14/100)*(1-V$16/100)</f>
        <v>4.61602150292018</v>
      </c>
      <c r="G410" s="38" t="n">
        <f aca="false">IF(C410&gt;E410,100,C410/E410*100)</f>
        <v>22.8256742494096</v>
      </c>
      <c r="H410" s="38" t="n">
        <f aca="false">L410/F410*100</f>
        <v>0</v>
      </c>
      <c r="I410" s="38" t="n">
        <f aca="false">(V$23+V$24*SIN(2*PI()/365*A410))*V$25/100*V$7*V$8/100*(1-V$15/100)</f>
        <v>19.3991452631551</v>
      </c>
      <c r="J410" s="38" t="n">
        <f aca="false">(V$23+V$24*SIN(2*PI()/365*A410))*V$25/100*V$9*(1-V$14/100)</f>
        <v>5.18654101451705</v>
      </c>
      <c r="K410" s="39" t="n">
        <f aca="false">IF(E410/C410*100&lt;100,E410/C410*100,100)</f>
        <v>100</v>
      </c>
      <c r="L410" s="2" t="n">
        <f aca="false">IF(((C410-E410)&gt;0)AND(F410&gt;(C410-E410)),(C410-E410),IF(C410&lt;E410,0,F410))</f>
        <v>0</v>
      </c>
      <c r="M410" s="2" t="n">
        <f aca="false">IF(C410&lt;(E410+F410),0,C410-E410-F410)</f>
        <v>0</v>
      </c>
      <c r="N410" s="2" t="n">
        <f aca="false">IF(C410&lt;(E410+F410),0,(C410-E410-F410)/(1-V$16/100))</f>
        <v>0</v>
      </c>
      <c r="O410" s="2" t="n">
        <f aca="false">L410+M410</f>
        <v>0</v>
      </c>
      <c r="P410" s="2" t="n">
        <f aca="false">IF( N410=0,I410*(1-G410/100)+J410*(1-H410/100),-N410)</f>
        <v>20.1577005727346</v>
      </c>
      <c r="Q410" s="47" t="n">
        <f aca="false">IF(P409&gt;0,Q409+P409*(1-V$20/100),Q409+P409)</f>
        <v>686.384707775009</v>
      </c>
      <c r="R410" s="48" t="n">
        <f aca="false">R$4+Q410/V$28</f>
        <v>48.1189147329817</v>
      </c>
    </row>
    <row r="411" customFormat="false" ht="12.8" hidden="false" customHeight="false" outlineLevel="0" collapsed="false">
      <c r="A411" s="1" t="n">
        <v>407</v>
      </c>
      <c r="B411" s="37" t="n">
        <v>43952</v>
      </c>
      <c r="C411" s="38" t="n">
        <f aca="false">V$26-V$26*SIN(2*PI()/365*A411)</f>
        <v>4.79111843010717</v>
      </c>
      <c r="D411" s="2" t="n">
        <f aca="false">IF((E411+F411)&gt;C411,C411,E411+F411)</f>
        <v>4.79111843010717</v>
      </c>
      <c r="E411" s="38" t="n">
        <f aca="false">(V$23+V$24*SIN(2*PI()/365*A411))*V$25/100*V$7*V$8/100</f>
        <v>21.9514446275974</v>
      </c>
      <c r="F411" s="38" t="n">
        <f aca="false">(V$23+V$24*SIN(2*PI()/365*A411))*V$25/100*V$9*(1-V$14/100)*(1-V$16/100)</f>
        <v>4.64877301301043</v>
      </c>
      <c r="G411" s="38" t="n">
        <f aca="false">IF(C411&gt;E411,100,C411/E411*100)</f>
        <v>21.8259823505364</v>
      </c>
      <c r="H411" s="38" t="n">
        <f aca="false">L411/F411*100</f>
        <v>0</v>
      </c>
      <c r="I411" s="38" t="n">
        <f aca="false">(V$23+V$24*SIN(2*PI()/365*A411))*V$25/100*V$7*V$8/100*(1-V$15/100)</f>
        <v>19.5367857185617</v>
      </c>
      <c r="J411" s="38" t="n">
        <f aca="false">(V$23+V$24*SIN(2*PI()/365*A411))*V$25/100*V$9*(1-V$14/100)</f>
        <v>5.22334046405666</v>
      </c>
      <c r="K411" s="39" t="n">
        <f aca="false">IF(E411/C411*100&lt;100,E411/C411*100,100)</f>
        <v>100</v>
      </c>
      <c r="L411" s="2" t="n">
        <f aca="false">IF(((C411-E411)&gt;0)AND(F411&gt;(C411-E411)),(C411-E411),IF(C411&lt;E411,0,F411))</f>
        <v>0</v>
      </c>
      <c r="M411" s="2" t="n">
        <f aca="false">IF(C411&lt;(E411+F411),0,C411-E411-F411)</f>
        <v>0</v>
      </c>
      <c r="N411" s="2" t="n">
        <f aca="false">IF(C411&lt;(E411+F411),0,(C411-E411-F411)/(1-V$16/100))</f>
        <v>0</v>
      </c>
      <c r="O411" s="2" t="n">
        <f aca="false">L411+M411</f>
        <v>0</v>
      </c>
      <c r="P411" s="2" t="n">
        <f aca="false">IF( N411=0,I411*(1-G411/100)+J411*(1-H411/100),-N411)</f>
        <v>20.4960307798229</v>
      </c>
      <c r="Q411" s="47" t="n">
        <f aca="false">IF(P410&gt;0,Q410+P410*(1-V$20/100),Q410+P410)</f>
        <v>705.131369307652</v>
      </c>
      <c r="R411" s="48" t="n">
        <f aca="false">R$4+Q411/V$28</f>
        <v>48.3406599799074</v>
      </c>
    </row>
    <row r="412" customFormat="false" ht="12.8" hidden="false" customHeight="false" outlineLevel="0" collapsed="false">
      <c r="A412" s="1" t="n">
        <v>408</v>
      </c>
      <c r="B412" s="37" t="n">
        <v>43953</v>
      </c>
      <c r="C412" s="38" t="n">
        <f aca="false">V$26-V$26*SIN(2*PI()/365*A412)</f>
        <v>4.60974810645763</v>
      </c>
      <c r="D412" s="2" t="n">
        <f aca="false">IF((E412+F412)&gt;C412,C412,E412+F412)</f>
        <v>4.60974810645763</v>
      </c>
      <c r="E412" s="38" t="n">
        <f aca="false">(V$23+V$24*SIN(2*PI()/365*A412))*V$25/100*V$7*V$8/100</f>
        <v>22.1037653788442</v>
      </c>
      <c r="F412" s="38" t="n">
        <f aca="false">(V$23+V$24*SIN(2*PI()/365*A412))*V$25/100*V$9*(1-V$14/100)*(1-V$16/100)</f>
        <v>4.6810307805392</v>
      </c>
      <c r="G412" s="38" t="n">
        <f aca="false">IF(C412&gt;E412,100,C412/E412*100)</f>
        <v>20.8550354541389</v>
      </c>
      <c r="H412" s="38" t="n">
        <f aca="false">L412/F412*100</f>
        <v>0</v>
      </c>
      <c r="I412" s="38" t="n">
        <f aca="false">(V$23+V$24*SIN(2*PI()/365*A412))*V$25/100*V$7*V$8/100*(1-V$15/100)</f>
        <v>19.6723511871713</v>
      </c>
      <c r="J412" s="38" t="n">
        <f aca="false">(V$23+V$24*SIN(2*PI()/365*A412))*V$25/100*V$9*(1-V$14/100)</f>
        <v>5.25958514667325</v>
      </c>
      <c r="K412" s="39" t="n">
        <f aca="false">IF(E412/C412*100&lt;100,E412/C412*100,100)</f>
        <v>100</v>
      </c>
      <c r="L412" s="2" t="n">
        <f aca="false">IF(((C412-E412)&gt;0)AND(F412&gt;(C412-E412)),(C412-E412),IF(C412&lt;E412,0,F412))</f>
        <v>0</v>
      </c>
      <c r="M412" s="2" t="n">
        <f aca="false">IF(C412&lt;(E412+F412),0,C412-E412-F412)</f>
        <v>0</v>
      </c>
      <c r="N412" s="2" t="n">
        <f aca="false">IF(C412&lt;(E412+F412),0,(C412-E412-F412)/(1-V$16/100))</f>
        <v>0</v>
      </c>
      <c r="O412" s="2" t="n">
        <f aca="false">L412+M412</f>
        <v>0</v>
      </c>
      <c r="P412" s="2" t="n">
        <f aca="false">IF( N412=0,I412*(1-G412/100)+J412*(1-H412/100),-N412)</f>
        <v>20.8292605190973</v>
      </c>
      <c r="Q412" s="47" t="n">
        <f aca="false">IF(P411&gt;0,Q411+P411*(1-V$20/100),Q411+P411)</f>
        <v>724.192677932887</v>
      </c>
      <c r="R412" s="48" t="n">
        <f aca="false">R$4+Q412/V$28</f>
        <v>48.5661270360267</v>
      </c>
    </row>
    <row r="413" customFormat="false" ht="12.8" hidden="false" customHeight="false" outlineLevel="0" collapsed="false">
      <c r="A413" s="1" t="n">
        <v>409</v>
      </c>
      <c r="B413" s="37" t="n">
        <v>43954</v>
      </c>
      <c r="C413" s="38" t="n">
        <f aca="false">V$26-V$26*SIN(2*PI()/365*A413)</f>
        <v>4.43120761000105</v>
      </c>
      <c r="D413" s="2" t="n">
        <f aca="false">IF((E413+F413)&gt;C413,C413,E413+F413)</f>
        <v>4.43120761000105</v>
      </c>
      <c r="E413" s="38" t="n">
        <f aca="false">(V$23+V$24*SIN(2*PI()/365*A413))*V$25/100*V$7*V$8/100</f>
        <v>22.2537095483258</v>
      </c>
      <c r="F413" s="38" t="n">
        <f aca="false">(V$23+V$24*SIN(2*PI()/365*A413))*V$25/100*V$9*(1-V$14/100)*(1-V$16/100)</f>
        <v>4.71278524683378</v>
      </c>
      <c r="G413" s="38" t="n">
        <f aca="false">IF(C413&gt;E413,100,C413/E413*100)</f>
        <v>19.9122200295565</v>
      </c>
      <c r="H413" s="38" t="n">
        <f aca="false">L413/F413*100</f>
        <v>0</v>
      </c>
      <c r="I413" s="38" t="n">
        <f aca="false">(V$23+V$24*SIN(2*PI()/365*A413))*V$25/100*V$7*V$8/100*(1-V$15/100)</f>
        <v>19.8058014980099</v>
      </c>
      <c r="J413" s="38" t="n">
        <f aca="false">(V$23+V$24*SIN(2*PI()/365*A413))*V$25/100*V$9*(1-V$14/100)</f>
        <v>5.29526432228514</v>
      </c>
      <c r="K413" s="39" t="n">
        <f aca="false">IF(E413/C413*100&lt;100,E413/C413*100,100)</f>
        <v>100</v>
      </c>
      <c r="L413" s="2" t="n">
        <f aca="false">IF(((C413-E413)&gt;0)AND(F413&gt;(C413-E413)),(C413-E413),IF(C413&lt;E413,0,F413))</f>
        <v>0</v>
      </c>
      <c r="M413" s="2" t="n">
        <f aca="false">IF(C413&lt;(E413+F413),0,C413-E413-F413)</f>
        <v>0</v>
      </c>
      <c r="N413" s="2" t="n">
        <f aca="false">IF(C413&lt;(E413+F413),0,(C413-E413-F413)/(1-V$16/100))</f>
        <v>0</v>
      </c>
      <c r="O413" s="2" t="n">
        <f aca="false">L413+M413</f>
        <v>0</v>
      </c>
      <c r="P413" s="2" t="n">
        <f aca="false">IF( N413=0,I413*(1-G413/100)+J413*(1-H413/100),-N413)</f>
        <v>21.1572910473941</v>
      </c>
      <c r="Q413" s="47" t="n">
        <f aca="false">IF(P412&gt;0,Q412+P412*(1-V$20/100),Q412+P412)</f>
        <v>743.563890215648</v>
      </c>
      <c r="R413" s="48" t="n">
        <f aca="false">R$4+Q413/V$28</f>
        <v>48.7952597935266</v>
      </c>
    </row>
    <row r="414" customFormat="false" ht="12.8" hidden="false" customHeight="false" outlineLevel="0" collapsed="false">
      <c r="A414" s="1" t="n">
        <v>410</v>
      </c>
      <c r="B414" s="37" t="n">
        <v>43955</v>
      </c>
      <c r="C414" s="38" t="n">
        <f aca="false">V$26-V$26*SIN(2*PI()/365*A414)</f>
        <v>4.25554984613976</v>
      </c>
      <c r="D414" s="2" t="n">
        <f aca="false">IF((E414+F414)&gt;C414,C414,E414+F414)</f>
        <v>4.25554984613976</v>
      </c>
      <c r="E414" s="38" t="n">
        <f aca="false">(V$23+V$24*SIN(2*PI()/365*A414))*V$25/100*V$7*V$8/100</f>
        <v>22.4012327043487</v>
      </c>
      <c r="F414" s="38" t="n">
        <f aca="false">(V$23+V$24*SIN(2*PI()/365*A414))*V$25/100*V$9*(1-V$14/100)*(1-V$16/100)</f>
        <v>4.74402700236049</v>
      </c>
      <c r="G414" s="38" t="n">
        <f aca="false">IF(C414&gt;E414,100,C414/E414*100)</f>
        <v>18.9969449552374</v>
      </c>
      <c r="H414" s="38" t="n">
        <f aca="false">L414/F414*100</f>
        <v>0</v>
      </c>
      <c r="I414" s="38" t="n">
        <f aca="false">(V$23+V$24*SIN(2*PI()/365*A414))*V$25/100*V$7*V$8/100*(1-V$15/100)</f>
        <v>19.9370971068704</v>
      </c>
      <c r="J414" s="38" t="n">
        <f aca="false">(V$23+V$24*SIN(2*PI()/365*A414))*V$25/100*V$9*(1-V$14/100)</f>
        <v>5.33036741838257</v>
      </c>
      <c r="K414" s="39" t="n">
        <f aca="false">IF(E414/C414*100&lt;100,E414/C414*100,100)</f>
        <v>100</v>
      </c>
      <c r="L414" s="2" t="n">
        <f aca="false">IF(((C414-E414)&gt;0)AND(F414&gt;(C414-E414)),(C414-E414),IF(C414&lt;E414,0,F414))</f>
        <v>0</v>
      </c>
      <c r="M414" s="2" t="n">
        <f aca="false">IF(C414&lt;(E414+F414),0,C414-E414-F414)</f>
        <v>0</v>
      </c>
      <c r="N414" s="2" t="n">
        <f aca="false">IF(C414&lt;(E414+F414),0,(C414-E414-F414)/(1-V$16/100))</f>
        <v>0</v>
      </c>
      <c r="O414" s="2" t="n">
        <f aca="false">L414+M414</f>
        <v>0</v>
      </c>
      <c r="P414" s="2" t="n">
        <f aca="false">IF( N414=0,I414*(1-G414/100)+J414*(1-H414/100),-N414)</f>
        <v>21.4800251621885</v>
      </c>
      <c r="Q414" s="47" t="n">
        <f aca="false">IF(P413&gt;0,Q413+P413*(1-V$20/100),Q413+P413)</f>
        <v>763.240170889724</v>
      </c>
      <c r="R414" s="48" t="n">
        <f aca="false">R$4+Q414/V$28</f>
        <v>49.0280010583675</v>
      </c>
    </row>
    <row r="415" customFormat="false" ht="12.8" hidden="false" customHeight="false" outlineLevel="0" collapsed="false">
      <c r="A415" s="1" t="n">
        <v>411</v>
      </c>
      <c r="B415" s="37" t="n">
        <v>43956</v>
      </c>
      <c r="C415" s="38" t="n">
        <f aca="false">V$26-V$26*SIN(2*PI()/365*A415)</f>
        <v>4.0828268660602</v>
      </c>
      <c r="D415" s="2" t="n">
        <f aca="false">IF((E415+F415)&gt;C415,C415,E415+F415)</f>
        <v>4.0828268660602</v>
      </c>
      <c r="E415" s="38" t="n">
        <f aca="false">(V$23+V$24*SIN(2*PI()/365*A415))*V$25/100*V$7*V$8/100</f>
        <v>22.5462911326181</v>
      </c>
      <c r="F415" s="38" t="n">
        <f aca="false">(V$23+V$24*SIN(2*PI()/365*A415))*V$25/100*V$9*(1-V$14/100)*(1-V$16/100)</f>
        <v>4.77474678951292</v>
      </c>
      <c r="G415" s="38" t="n">
        <f aca="false">IF(C415&gt;E415,100,C415/E415*100)</f>
        <v>18.1086407606682</v>
      </c>
      <c r="H415" s="38" t="n">
        <f aca="false">L415/F415*100</f>
        <v>0</v>
      </c>
      <c r="I415" s="38" t="n">
        <f aca="false">(V$23+V$24*SIN(2*PI()/365*A415))*V$25/100*V$7*V$8/100*(1-V$15/100)</f>
        <v>20.0661991080301</v>
      </c>
      <c r="J415" s="38" t="n">
        <f aca="false">(V$23+V$24*SIN(2*PI()/365*A415))*V$25/100*V$9*(1-V$14/100)</f>
        <v>5.36488403316059</v>
      </c>
      <c r="K415" s="39" t="n">
        <f aca="false">IF(E415/C415*100&lt;100,E415/C415*100,100)</f>
        <v>100</v>
      </c>
      <c r="L415" s="2" t="n">
        <f aca="false">IF(((C415-E415)&gt;0)AND(F415&gt;(C415-E415)),(C415-E415),IF(C415&lt;E415,0,F415))</f>
        <v>0</v>
      </c>
      <c r="M415" s="2" t="n">
        <f aca="false">IF(C415&lt;(E415+F415),0,C415-E415-F415)</f>
        <v>0</v>
      </c>
      <c r="N415" s="2" t="n">
        <f aca="false">IF(C415&lt;(E415+F415),0,(C415-E415-F415)/(1-V$16/100))</f>
        <v>0</v>
      </c>
      <c r="O415" s="2" t="n">
        <f aca="false">L415+M415</f>
        <v>0</v>
      </c>
      <c r="P415" s="2" t="n">
        <f aca="false">IF( N415=0,I415*(1-G415/100)+J415*(1-H415/100),-N415)</f>
        <v>21.7973672303971</v>
      </c>
      <c r="Q415" s="47" t="n">
        <f aca="false">IF(P414&gt;0,Q414+P414*(1-V$20/100),Q414+P414)</f>
        <v>783.216594290559</v>
      </c>
      <c r="R415" s="48" t="n">
        <f aca="false">R$4+Q415/V$28</f>
        <v>49.2642925672315</v>
      </c>
    </row>
    <row r="416" customFormat="false" ht="12.8" hidden="false" customHeight="false" outlineLevel="0" collapsed="false">
      <c r="A416" s="1" t="n">
        <v>412</v>
      </c>
      <c r="B416" s="37" t="n">
        <v>43957</v>
      </c>
      <c r="C416" s="38" t="n">
        <f aca="false">V$26-V$26*SIN(2*PI()/365*A416)</f>
        <v>3.91308985130903</v>
      </c>
      <c r="D416" s="2" t="n">
        <f aca="false">IF((E416+F416)&gt;C416,C416,E416+F416)</f>
        <v>3.91308985130903</v>
      </c>
      <c r="E416" s="38" t="n">
        <f aca="false">(V$23+V$24*SIN(2*PI()/365*A416))*V$25/100*V$7*V$8/100</f>
        <v>22.6888418491909</v>
      </c>
      <c r="F416" s="38" t="n">
        <f aca="false">(V$23+V$24*SIN(2*PI()/365*A416))*V$25/100*V$9*(1-V$14/100)*(1-V$16/100)</f>
        <v>4.80493550535516</v>
      </c>
      <c r="G416" s="38" t="n">
        <f aca="false">IF(C416&gt;E416,100,C416/E416*100)</f>
        <v>17.2467589016606</v>
      </c>
      <c r="H416" s="38" t="n">
        <f aca="false">L416/F416*100</f>
        <v>0</v>
      </c>
      <c r="I416" s="38" t="n">
        <f aca="false">(V$23+V$24*SIN(2*PI()/365*A416))*V$25/100*V$7*V$8/100*(1-V$15/100)</f>
        <v>20.1930692457799</v>
      </c>
      <c r="J416" s="38" t="n">
        <f aca="false">(V$23+V$24*SIN(2*PI()/365*A416))*V$25/100*V$9*(1-V$14/100)</f>
        <v>5.3988039386013</v>
      </c>
      <c r="K416" s="39" t="n">
        <f aca="false">IF(E416/C416*100&lt;100,E416/C416*100,100)</f>
        <v>100</v>
      </c>
      <c r="L416" s="2" t="n">
        <f aca="false">IF(((C416-E416)&gt;0)AND(F416&gt;(C416-E416)),(C416-E416),IF(C416&lt;E416,0,F416))</f>
        <v>0</v>
      </c>
      <c r="M416" s="2" t="n">
        <f aca="false">IF(C416&lt;(E416+F416),0,C416-E416-F416)</f>
        <v>0</v>
      </c>
      <c r="N416" s="2" t="n">
        <f aca="false">IF(C416&lt;(E416+F416),0,(C416-E416-F416)/(1-V$16/100))</f>
        <v>0</v>
      </c>
      <c r="O416" s="2" t="n">
        <f aca="false">L416+M416</f>
        <v>0</v>
      </c>
      <c r="P416" s="2" t="n">
        <f aca="false">IF( N416=0,I416*(1-G416/100)+J416*(1-H416/100),-N416)</f>
        <v>22.1092232167162</v>
      </c>
      <c r="Q416" s="47" t="n">
        <f aca="false">IF(P415&gt;0,Q415+P415*(1-V$20/100),Q415+P415)</f>
        <v>803.488145814829</v>
      </c>
      <c r="R416" s="48" t="n">
        <f aca="false">R$4+Q416/V$28</f>
        <v>49.5040750047866</v>
      </c>
    </row>
    <row r="417" customFormat="false" ht="12.8" hidden="false" customHeight="false" outlineLevel="0" collapsed="false">
      <c r="A417" s="1" t="n">
        <v>413</v>
      </c>
      <c r="B417" s="37" t="n">
        <v>43958</v>
      </c>
      <c r="C417" s="38" t="n">
        <f aca="false">V$26-V$26*SIN(2*PI()/365*A417)</f>
        <v>3.74638909862694</v>
      </c>
      <c r="D417" s="2" t="n">
        <f aca="false">IF((E417+F417)&gt;C417,C417,E417+F417)</f>
        <v>3.74638909862694</v>
      </c>
      <c r="E417" s="38" t="n">
        <f aca="false">(V$23+V$24*SIN(2*PI()/365*A417))*V$25/100*V$7*V$8/100</f>
        <v>22.8288426132134</v>
      </c>
      <c r="F417" s="38" t="n">
        <f aca="false">(V$23+V$24*SIN(2*PI()/365*A417))*V$25/100*V$9*(1-V$14/100)*(1-V$16/100)</f>
        <v>4.83458420431916</v>
      </c>
      <c r="G417" s="38" t="n">
        <f aca="false">IF(C417&gt;E417,100,C417/E417*100)</f>
        <v>16.4107710675552</v>
      </c>
      <c r="H417" s="38" t="n">
        <f aca="false">L417/F417*100</f>
        <v>0</v>
      </c>
      <c r="I417" s="38" t="n">
        <f aca="false">(V$23+V$24*SIN(2*PI()/365*A417))*V$25/100*V$7*V$8/100*(1-V$15/100)</f>
        <v>20.3176699257599</v>
      </c>
      <c r="J417" s="38" t="n">
        <f aca="false">(V$23+V$24*SIN(2*PI()/365*A417))*V$25/100*V$9*(1-V$14/100)</f>
        <v>5.43211708350467</v>
      </c>
      <c r="K417" s="39" t="n">
        <f aca="false">IF(E417/C417*100&lt;100,E417/C417*100,100)</f>
        <v>100</v>
      </c>
      <c r="L417" s="2" t="n">
        <f aca="false">IF(((C417-E417)&gt;0)AND(F417&gt;(C417-E417)),(C417-E417),IF(C417&lt;E417,0,F417))</f>
        <v>0</v>
      </c>
      <c r="M417" s="2" t="n">
        <f aca="false">IF(C417&lt;(E417+F417),0,C417-E417-F417)</f>
        <v>0</v>
      </c>
      <c r="N417" s="2" t="n">
        <f aca="false">IF(C417&lt;(E417+F417),0,(C417-E417-F417)/(1-V$16/100))</f>
        <v>0</v>
      </c>
      <c r="O417" s="2" t="n">
        <f aca="false">L417+M417</f>
        <v>0</v>
      </c>
      <c r="P417" s="2" t="n">
        <f aca="false">IF( N417=0,I417*(1-G417/100)+J417*(1-H417/100),-N417)</f>
        <v>22.4155007114866</v>
      </c>
      <c r="Q417" s="47" t="n">
        <f aca="false">IF(P416&gt;0,Q416+P416*(1-V$20/100),Q416+P416)</f>
        <v>824.049723406375</v>
      </c>
      <c r="R417" s="48" t="n">
        <f aca="false">R$4+Q417/V$28</f>
        <v>49.7472880212631</v>
      </c>
    </row>
    <row r="418" customFormat="false" ht="12.8" hidden="false" customHeight="false" outlineLevel="0" collapsed="false">
      <c r="A418" s="1" t="n">
        <v>414</v>
      </c>
      <c r="B418" s="37" t="n">
        <v>43959</v>
      </c>
      <c r="C418" s="38" t="n">
        <f aca="false">V$26-V$26*SIN(2*PI()/365*A418)</f>
        <v>3.58277400504465</v>
      </c>
      <c r="D418" s="2" t="n">
        <f aca="false">IF((E418+F418)&gt;C418,C418,E418+F418)</f>
        <v>3.58277400504465</v>
      </c>
      <c r="E418" s="38" t="n">
        <f aca="false">(V$23+V$24*SIN(2*PI()/365*A418))*V$25/100*V$7*V$8/100</f>
        <v>22.9662519394377</v>
      </c>
      <c r="F418" s="38" t="n">
        <f aca="false">(V$23+V$24*SIN(2*PI()/365*A418))*V$25/100*V$9*(1-V$14/100)*(1-V$16/100)</f>
        <v>4.86368410085556</v>
      </c>
      <c r="G418" s="38" t="n">
        <f aca="false">IF(C418&gt;E418,100,C418/E418*100)</f>
        <v>15.600168518975</v>
      </c>
      <c r="H418" s="38" t="n">
        <f aca="false">L418/F418*100</f>
        <v>0</v>
      </c>
      <c r="I418" s="38" t="n">
        <f aca="false">(V$23+V$24*SIN(2*PI()/365*A418))*V$25/100*V$7*V$8/100*(1-V$15/100)</f>
        <v>20.4399642260995</v>
      </c>
      <c r="J418" s="38" t="n">
        <f aca="false">(V$23+V$24*SIN(2*PI()/365*A418))*V$25/100*V$9*(1-V$14/100)</f>
        <v>5.46481359646692</v>
      </c>
      <c r="K418" s="39" t="n">
        <f aca="false">IF(E418/C418*100&lt;100,E418/C418*100,100)</f>
        <v>100</v>
      </c>
      <c r="L418" s="2" t="n">
        <f aca="false">IF(((C418-E418)&gt;0)AND(F418&gt;(C418-E418)),(C418-E418),IF(C418&lt;E418,0,F418))</f>
        <v>0</v>
      </c>
      <c r="M418" s="2" t="n">
        <f aca="false">IF(C418&lt;(E418+F418),0,C418-E418-F418)</f>
        <v>0</v>
      </c>
      <c r="N418" s="2" t="n">
        <f aca="false">IF(C418&lt;(E418+F418),0,(C418-E418-F418)/(1-V$16/100))</f>
        <v>0</v>
      </c>
      <c r="O418" s="2" t="n">
        <f aca="false">L418+M418</f>
        <v>0</v>
      </c>
      <c r="P418" s="2" t="n">
        <f aca="false">IF( N418=0,I418*(1-G418/100)+J418*(1-H418/100),-N418)</f>
        <v>22.7161089580767</v>
      </c>
      <c r="Q418" s="47" t="n">
        <f aca="false">IF(P417&gt;0,Q417+P417*(1-V$20/100),Q417+P417)</f>
        <v>844.896139068057</v>
      </c>
      <c r="R418" s="48" t="n">
        <f aca="false">R$4+Q418/V$28</f>
        <v>49.9938702503372</v>
      </c>
    </row>
    <row r="419" customFormat="false" ht="12.8" hidden="false" customHeight="false" outlineLevel="0" collapsed="false">
      <c r="A419" s="1" t="n">
        <v>415</v>
      </c>
      <c r="B419" s="37" t="n">
        <v>43960</v>
      </c>
      <c r="C419" s="38" t="n">
        <f aca="false">V$26-V$26*SIN(2*PI()/365*A419)</f>
        <v>3.42229305324549</v>
      </c>
      <c r="D419" s="2" t="n">
        <f aca="false">IF((E419+F419)&gt;C419,C419,E419+F419)</f>
        <v>3.42229305324549</v>
      </c>
      <c r="E419" s="38" t="n">
        <f aca="false">(V$23+V$24*SIN(2*PI()/365*A419))*V$25/100*V$7*V$8/100</f>
        <v>23.1010291105149</v>
      </c>
      <c r="F419" s="38" t="n">
        <f aca="false">(V$23+V$24*SIN(2*PI()/365*A419))*V$25/100*V$9*(1-V$14/100)*(1-V$16/100)</f>
        <v>4.89222657203698</v>
      </c>
      <c r="G419" s="38" t="n">
        <f aca="false">IF(C419&gt;E419,100,C419/E419*100)</f>
        <v>14.8144614548266</v>
      </c>
      <c r="H419" s="38" t="n">
        <f aca="false">L419/F419*100</f>
        <v>0</v>
      </c>
      <c r="I419" s="38" t="n">
        <f aca="false">(V$23+V$24*SIN(2*PI()/365*A419))*V$25/100*V$7*V$8/100*(1-V$15/100)</f>
        <v>20.5599159083583</v>
      </c>
      <c r="J419" s="38" t="n">
        <f aca="false">(V$23+V$24*SIN(2*PI()/365*A419))*V$25/100*V$9*(1-V$14/100)</f>
        <v>5.49688378880559</v>
      </c>
      <c r="K419" s="39" t="n">
        <f aca="false">IF(E419/C419*100&lt;100,E419/C419*100,100)</f>
        <v>100</v>
      </c>
      <c r="L419" s="2" t="n">
        <f aca="false">IF(((C419-E419)&gt;0)AND(F419&gt;(C419-E419)),(C419-E419),IF(C419&lt;E419,0,F419))</f>
        <v>0</v>
      </c>
      <c r="M419" s="2" t="n">
        <f aca="false">IF(C419&lt;(E419+F419),0,C419-E419-F419)</f>
        <v>0</v>
      </c>
      <c r="N419" s="2" t="n">
        <f aca="false">IF(C419&lt;(E419+F419),0,(C419-E419-F419)/(1-V$16/100))</f>
        <v>0</v>
      </c>
      <c r="O419" s="2" t="n">
        <f aca="false">L419+M419</f>
        <v>0</v>
      </c>
      <c r="P419" s="2" t="n">
        <f aca="false">IF( N419=0,I419*(1-G419/100)+J419*(1-H419/100),-N419)</f>
        <v>23.0109588797754</v>
      </c>
      <c r="Q419" s="47" t="n">
        <f aca="false">IF(P418&gt;0,Q418+P418*(1-V$20/100),Q418+P418)</f>
        <v>866.022120399069</v>
      </c>
      <c r="R419" s="48" t="n">
        <f aca="false">R$4+Q419/V$28</f>
        <v>50.2437593273142</v>
      </c>
    </row>
    <row r="420" customFormat="false" ht="12.8" hidden="false" customHeight="false" outlineLevel="0" collapsed="false">
      <c r="A420" s="1" t="n">
        <v>416</v>
      </c>
      <c r="B420" s="37" t="n">
        <v>43961</v>
      </c>
      <c r="C420" s="38" t="n">
        <f aca="false">V$26-V$26*SIN(2*PI()/365*A420)</f>
        <v>3.26499379719896</v>
      </c>
      <c r="D420" s="2" t="n">
        <f aca="false">IF((E420+F420)&gt;C420,C420,E420+F420)</f>
        <v>3.26499379719896</v>
      </c>
      <c r="E420" s="38" t="n">
        <f aca="false">(V$23+V$24*SIN(2*PI()/365*A420))*V$25/100*V$7*V$8/100</f>
        <v>23.2331341890606</v>
      </c>
      <c r="F420" s="38" t="n">
        <f aca="false">(V$23+V$24*SIN(2*PI()/365*A420))*V$25/100*V$9*(1-V$14/100)*(1-V$16/100)</f>
        <v>4.92020316011321</v>
      </c>
      <c r="G420" s="38" t="n">
        <f aca="false">IF(C420&gt;E420,100,C420/E420*100)</f>
        <v>14.0531784073123</v>
      </c>
      <c r="H420" s="38" t="n">
        <f aca="false">L420/F420*100</f>
        <v>0</v>
      </c>
      <c r="I420" s="38" t="n">
        <f aca="false">(V$23+V$24*SIN(2*PI()/365*A420))*V$25/100*V$7*V$8/100*(1-V$15/100)</f>
        <v>20.6774894282639</v>
      </c>
      <c r="J420" s="38" t="n">
        <f aca="false">(V$23+V$24*SIN(2*PI()/365*A420))*V$25/100*V$9*(1-V$14/100)</f>
        <v>5.52831815743058</v>
      </c>
      <c r="K420" s="39" t="n">
        <f aca="false">IF(E420/C420*100&lt;100,E420/C420*100,100)</f>
        <v>100</v>
      </c>
      <c r="L420" s="2" t="n">
        <f aca="false">IF(((C420-E420)&gt;0)AND(F420&gt;(C420-E420)),(C420-E420),IF(C420&lt;E420,0,F420))</f>
        <v>0</v>
      </c>
      <c r="M420" s="2" t="n">
        <f aca="false">IF(C420&lt;(E420+F420),0,C420-E420-F420)</f>
        <v>0</v>
      </c>
      <c r="N420" s="2" t="n">
        <f aca="false">IF(C420&lt;(E420+F420),0,(C420-E420-F420)/(1-V$16/100))</f>
        <v>0</v>
      </c>
      <c r="O420" s="2" t="n">
        <f aca="false">L420+M420</f>
        <v>0</v>
      </c>
      <c r="P420" s="2" t="n">
        <f aca="false">IF( N420=0,I420*(1-G420/100)+J420*(1-H420/100),-N420)</f>
        <v>23.2999631061874</v>
      </c>
      <c r="Q420" s="47" t="n">
        <f aca="false">IF(P419&gt;0,Q419+P419*(1-V$20/100),Q419+P419)</f>
        <v>887.42231215726</v>
      </c>
      <c r="R420" s="48" t="n">
        <f aca="false">R$4+Q420/V$28</f>
        <v>50.4968919076093</v>
      </c>
    </row>
    <row r="421" customFormat="false" ht="12.8" hidden="false" customHeight="false" outlineLevel="0" collapsed="false">
      <c r="A421" s="1" t="n">
        <v>417</v>
      </c>
      <c r="B421" s="37" t="n">
        <v>43962</v>
      </c>
      <c r="C421" s="38" t="n">
        <f aca="false">V$26-V$26*SIN(2*PI()/365*A421)</f>
        <v>3.11092284806939</v>
      </c>
      <c r="D421" s="2" t="n">
        <f aca="false">IF((E421+F421)&gt;C421,C421,E421+F421)</f>
        <v>3.11092284806939</v>
      </c>
      <c r="E421" s="38" t="n">
        <f aca="false">(V$23+V$24*SIN(2*PI()/365*A421))*V$25/100*V$7*V$8/100</f>
        <v>23.3625280294888</v>
      </c>
      <c r="F421" s="38" t="n">
        <f aca="false">(V$23+V$24*SIN(2*PI()/365*A421))*V$25/100*V$9*(1-V$14/100)*(1-V$16/100)</f>
        <v>4.94760557501744</v>
      </c>
      <c r="G421" s="38" t="n">
        <f aca="false">IF(C421&gt;E421,100,C421/E421*100)</f>
        <v>13.3158656637788</v>
      </c>
      <c r="H421" s="38" t="n">
        <f aca="false">L421/F421*100</f>
        <v>0</v>
      </c>
      <c r="I421" s="38" t="n">
        <f aca="false">(V$23+V$24*SIN(2*PI()/365*A421))*V$25/100*V$7*V$8/100*(1-V$15/100)</f>
        <v>20.792649946245</v>
      </c>
      <c r="J421" s="38" t="n">
        <f aca="false">(V$23+V$24*SIN(2*PI()/365*A421))*V$25/100*V$9*(1-V$14/100)</f>
        <v>5.55910738766004</v>
      </c>
      <c r="K421" s="39" t="n">
        <f aca="false">IF(E421/C421*100&lt;100,E421/C421*100,100)</f>
        <v>100</v>
      </c>
      <c r="L421" s="2" t="n">
        <f aca="false">IF(((C421-E421)&gt;0)AND(F421&gt;(C421-E421)),(C421-E421),IF(C421&lt;E421,0,F421))</f>
        <v>0</v>
      </c>
      <c r="M421" s="2" t="n">
        <f aca="false">IF(C421&lt;(E421+F421),0,C421-E421-F421)</f>
        <v>0</v>
      </c>
      <c r="N421" s="2" t="n">
        <f aca="false">IF(C421&lt;(E421+F421),0,(C421-E421-F421)/(1-V$16/100))</f>
        <v>0</v>
      </c>
      <c r="O421" s="2" t="n">
        <f aca="false">L421+M421</f>
        <v>0</v>
      </c>
      <c r="P421" s="2" t="n">
        <f aca="false">IF( N421=0,I421*(1-G421/100)+J421*(1-H421/100),-N421)</f>
        <v>23.5830359991233</v>
      </c>
      <c r="Q421" s="47" t="n">
        <f aca="false">IF(P420&gt;0,Q420+P420*(1-V$20/100),Q420+P420)</f>
        <v>909.091277846014</v>
      </c>
      <c r="R421" s="48" t="n">
        <f aca="false">R$4+Q421/V$28</f>
        <v>50.7532036855177</v>
      </c>
    </row>
    <row r="422" customFormat="false" ht="12.8" hidden="false" customHeight="false" outlineLevel="0" collapsed="false">
      <c r="A422" s="1" t="n">
        <v>418</v>
      </c>
      <c r="B422" s="37" t="n">
        <v>43963</v>
      </c>
      <c r="C422" s="38" t="n">
        <f aca="false">V$26-V$26*SIN(2*PI()/365*A422)</f>
        <v>2.96012586040416</v>
      </c>
      <c r="D422" s="2" t="n">
        <f aca="false">IF((E422+F422)&gt;C422,C422,E422+F422)</f>
        <v>2.96012586040416</v>
      </c>
      <c r="E422" s="38" t="n">
        <f aca="false">(V$23+V$24*SIN(2*PI()/365*A422))*V$25/100*V$7*V$8/100</f>
        <v>23.4891722896121</v>
      </c>
      <c r="F422" s="38" t="n">
        <f aca="false">(V$23+V$24*SIN(2*PI()/365*A422))*V$25/100*V$9*(1-V$14/100)*(1-V$16/100)</f>
        <v>4.97442569682271</v>
      </c>
      <c r="G422" s="38" t="n">
        <f aca="false">IF(C422&gt;E422,100,C422/E422*100)</f>
        <v>12.6020867142826</v>
      </c>
      <c r="H422" s="38" t="n">
        <f aca="false">L422/F422*100</f>
        <v>0</v>
      </c>
      <c r="I422" s="38" t="n">
        <f aca="false">(V$23+V$24*SIN(2*PI()/365*A422))*V$25/100*V$7*V$8/100*(1-V$15/100)</f>
        <v>20.9053633377548</v>
      </c>
      <c r="J422" s="38" t="n">
        <f aca="false">(V$23+V$24*SIN(2*PI()/365*A422))*V$25/100*V$9*(1-V$14/100)</f>
        <v>5.58924235598057</v>
      </c>
      <c r="K422" s="39" t="n">
        <f aca="false">IF(E422/C422*100&lt;100,E422/C422*100,100)</f>
        <v>100</v>
      </c>
      <c r="L422" s="2" t="n">
        <f aca="false">IF(((C422-E422)&gt;0)AND(F422&gt;(C422-E422)),(C422-E422),IF(C422&lt;E422,0,F422))</f>
        <v>0</v>
      </c>
      <c r="M422" s="2" t="n">
        <f aca="false">IF(C422&lt;(E422+F422),0,C422-E422-F422)</f>
        <v>0</v>
      </c>
      <c r="N422" s="2" t="n">
        <f aca="false">IF(C422&lt;(E422+F422),0,(C422-E422-F422)/(1-V$16/100))</f>
        <v>0</v>
      </c>
      <c r="O422" s="2" t="n">
        <f aca="false">L422+M422</f>
        <v>0</v>
      </c>
      <c r="P422" s="2" t="n">
        <f aca="false">IF( N422=0,I422*(1-G422/100)+J422*(1-H422/100),-N422)</f>
        <v>23.8600936779756</v>
      </c>
      <c r="Q422" s="47" t="n">
        <f aca="false">IF(P421&gt;0,Q421+P421*(1-V$20/100),Q421+P421)</f>
        <v>931.023501325199</v>
      </c>
      <c r="R422" s="48" t="n">
        <f aca="false">R$4+Q422/V$28</f>
        <v>51.0126294132694</v>
      </c>
    </row>
    <row r="423" customFormat="false" ht="12.8" hidden="false" customHeight="false" outlineLevel="0" collapsed="false">
      <c r="A423" s="1" t="n">
        <v>419</v>
      </c>
      <c r="B423" s="37" t="n">
        <v>43964</v>
      </c>
      <c r="C423" s="38" t="n">
        <f aca="false">V$26-V$26*SIN(2*PI()/365*A423)</f>
        <v>2.81264751860515</v>
      </c>
      <c r="D423" s="2" t="n">
        <f aca="false">IF((E423+F423)&gt;C423,C423,E423+F423)</f>
        <v>2.81264751860515</v>
      </c>
      <c r="E423" s="38" t="n">
        <f aca="false">(V$23+V$24*SIN(2*PI()/365*A423))*V$25/100*V$7*V$8/100</f>
        <v>23.613029442003</v>
      </c>
      <c r="F423" s="38" t="n">
        <f aca="false">(V$23+V$24*SIN(2*PI()/365*A423))*V$25/100*V$9*(1-V$14/100)*(1-V$16/100)</f>
        <v>5.00065557814813</v>
      </c>
      <c r="G423" s="38" t="n">
        <f aca="false">IF(C423&gt;E423,100,C423/E423*100)</f>
        <v>11.9114217238132</v>
      </c>
      <c r="H423" s="38" t="n">
        <f aca="false">L423/F423*100</f>
        <v>0</v>
      </c>
      <c r="I423" s="38" t="n">
        <f aca="false">(V$23+V$24*SIN(2*PI()/365*A423))*V$25/100*V$7*V$8/100*(1-V$15/100)</f>
        <v>21.0155962033827</v>
      </c>
      <c r="J423" s="38" t="n">
        <f aca="false">(V$23+V$24*SIN(2*PI()/365*A423))*V$25/100*V$9*(1-V$14/100)</f>
        <v>5.61871413275071</v>
      </c>
      <c r="K423" s="39" t="n">
        <f aca="false">IF(E423/C423*100&lt;100,E423/C423*100,100)</f>
        <v>100</v>
      </c>
      <c r="L423" s="2" t="n">
        <f aca="false">IF(((C423-E423)&gt;0)AND(F423&gt;(C423-E423)),(C423-E423),IF(C423&lt;E423,0,F423))</f>
        <v>0</v>
      </c>
      <c r="M423" s="2" t="n">
        <f aca="false">IF(C423&lt;(E423+F423),0,C423-E423-F423)</f>
        <v>0</v>
      </c>
      <c r="N423" s="2" t="n">
        <f aca="false">IF(C423&lt;(E423+F423),0,(C423-E423-F423)/(1-V$16/100))</f>
        <v>0</v>
      </c>
      <c r="O423" s="2" t="n">
        <f aca="false">L423+M423</f>
        <v>0</v>
      </c>
      <c r="P423" s="2" t="n">
        <f aca="false">IF( N423=0,I423*(1-G423/100)+J423*(1-H423/100),-N423)</f>
        <v>24.1310540445748</v>
      </c>
      <c r="Q423" s="47" t="n">
        <f aca="false">IF(P422&gt;0,Q422+P422*(1-V$20/100),Q422+P422)</f>
        <v>953.213388445716</v>
      </c>
      <c r="R423" s="48" t="n">
        <f aca="false">R$4+Q423/V$28</f>
        <v>51.2751029203642</v>
      </c>
    </row>
    <row r="424" customFormat="false" ht="12.8" hidden="false" customHeight="false" outlineLevel="0" collapsed="false">
      <c r="A424" s="1" t="n">
        <v>420</v>
      </c>
      <c r="B424" s="37" t="n">
        <v>43965</v>
      </c>
      <c r="C424" s="38" t="n">
        <f aca="false">V$26-V$26*SIN(2*PI()/365*A424)</f>
        <v>2.6685315236879</v>
      </c>
      <c r="D424" s="2" t="n">
        <f aca="false">IF((E424+F424)&gt;C424,C424,E424+F424)</f>
        <v>2.6685315236879</v>
      </c>
      <c r="E424" s="38" t="n">
        <f aca="false">(V$23+V$24*SIN(2*PI()/365*A424))*V$25/100*V$7*V$8/100</f>
        <v>23.7340627851143</v>
      </c>
      <c r="F424" s="38" t="n">
        <f aca="false">(V$23+V$24*SIN(2*PI()/365*A424))*V$25/100*V$9*(1-V$14/100)*(1-V$16/100)</f>
        <v>5.02628744651376</v>
      </c>
      <c r="G424" s="38" t="n">
        <f aca="false">IF(C424&gt;E424,100,C424/E424*100)</f>
        <v>11.2434670281633</v>
      </c>
      <c r="H424" s="38" t="n">
        <f aca="false">L424/F424*100</f>
        <v>0</v>
      </c>
      <c r="I424" s="38" t="n">
        <f aca="false">(V$23+V$24*SIN(2*PI()/365*A424))*V$25/100*V$7*V$8/100*(1-V$15/100)</f>
        <v>21.1233158787517</v>
      </c>
      <c r="J424" s="38" t="n">
        <f aca="false">(V$23+V$24*SIN(2*PI()/365*A424))*V$25/100*V$9*(1-V$14/100)</f>
        <v>5.64751398484692</v>
      </c>
      <c r="K424" s="39" t="n">
        <f aca="false">IF(E424/C424*100&lt;100,E424/C424*100,100)</f>
        <v>100</v>
      </c>
      <c r="L424" s="2" t="n">
        <f aca="false">IF(((C424-E424)&gt;0)AND(F424&gt;(C424-E424)),(C424-E424),IF(C424&lt;E424,0,F424))</f>
        <v>0</v>
      </c>
      <c r="M424" s="2" t="n">
        <f aca="false">IF(C424&lt;(E424+F424),0,C424-E424-F424)</f>
        <v>0</v>
      </c>
      <c r="N424" s="2" t="n">
        <f aca="false">IF(C424&lt;(E424+F424),0,(C424-E424-F424)/(1-V$16/100))</f>
        <v>0</v>
      </c>
      <c r="O424" s="2" t="n">
        <f aca="false">L424+M424</f>
        <v>0</v>
      </c>
      <c r="P424" s="2" t="n">
        <f aca="false">IF( N424=0,I424*(1-G424/100)+J424*(1-H424/100),-N424)</f>
        <v>24.3958368075164</v>
      </c>
      <c r="Q424" s="47" t="n">
        <f aca="false">IF(P423&gt;0,Q423+P423*(1-V$20/100),Q423+P423)</f>
        <v>975.655268707171</v>
      </c>
      <c r="R424" s="48" t="n">
        <f aca="false">R$4+Q424/V$28</f>
        <v>51.540557133179</v>
      </c>
    </row>
    <row r="425" customFormat="false" ht="12.8" hidden="false" customHeight="false" outlineLevel="0" collapsed="false">
      <c r="A425" s="1" t="n">
        <v>421</v>
      </c>
      <c r="B425" s="37" t="n">
        <v>43966</v>
      </c>
      <c r="C425" s="38" t="n">
        <f aca="false">V$26-V$26*SIN(2*PI()/365*A425)</f>
        <v>2.52782058033199</v>
      </c>
      <c r="D425" s="2" t="n">
        <f aca="false">IF((E425+F425)&gt;C425,C425,E425+F425)</f>
        <v>2.52782058033199</v>
      </c>
      <c r="E425" s="38" t="n">
        <f aca="false">(V$23+V$24*SIN(2*PI()/365*A425))*V$25/100*V$7*V$8/100</f>
        <v>23.8522364541542</v>
      </c>
      <c r="F425" s="38" t="n">
        <f aca="false">(V$23+V$24*SIN(2*PI()/365*A425))*V$25/100*V$9*(1-V$14/100)*(1-V$16/100)</f>
        <v>5.05131370664383</v>
      </c>
      <c r="G425" s="38" t="n">
        <f aca="false">IF(C425&gt;E425,100,C425/E425*100)</f>
        <v>10.5978346524891</v>
      </c>
      <c r="H425" s="38" t="n">
        <f aca="false">L425/F425*100</f>
        <v>0</v>
      </c>
      <c r="I425" s="38" t="n">
        <f aca="false">(V$23+V$24*SIN(2*PI()/365*A425))*V$25/100*V$7*V$8/100*(1-V$15/100)</f>
        <v>21.2284904441972</v>
      </c>
      <c r="J425" s="38" t="n">
        <f aca="false">(V$23+V$24*SIN(2*PI()/365*A425))*V$25/100*V$9*(1-V$14/100)</f>
        <v>5.67563337825149</v>
      </c>
      <c r="K425" s="39" t="n">
        <f aca="false">IF(E425/C425*100&lt;100,E425/C425*100,100)</f>
        <v>100</v>
      </c>
      <c r="L425" s="2" t="n">
        <f aca="false">IF(((C425-E425)&gt;0)AND(F425&gt;(C425-E425)),(C425-E425),IF(C425&lt;E425,0,F425))</f>
        <v>0</v>
      </c>
      <c r="M425" s="2" t="n">
        <f aca="false">IF(C425&lt;(E425+F425),0,C425-E425-F425)</f>
        <v>0</v>
      </c>
      <c r="N425" s="2" t="n">
        <f aca="false">IF(C425&lt;(E425+F425),0,(C425-E425-F425)/(1-V$16/100))</f>
        <v>0</v>
      </c>
      <c r="O425" s="2" t="n">
        <f aca="false">L425+M425</f>
        <v>0</v>
      </c>
      <c r="P425" s="2" t="n">
        <f aca="false">IF( N425=0,I425*(1-G425/100)+J425*(1-H425/100),-N425)</f>
        <v>24.6543635059532</v>
      </c>
      <c r="Q425" s="47" t="n">
        <f aca="false">IF(P424&gt;0,Q424+P424*(1-V$20/100),Q424+P424)</f>
        <v>998.343396938161</v>
      </c>
      <c r="R425" s="48" t="n">
        <f aca="false">R$4+Q425/V$28</f>
        <v>51.8089240948433</v>
      </c>
    </row>
    <row r="426" customFormat="false" ht="12.8" hidden="false" customHeight="false" outlineLevel="0" collapsed="false">
      <c r="A426" s="1" t="n">
        <v>422</v>
      </c>
      <c r="B426" s="37" t="n">
        <v>43967</v>
      </c>
      <c r="C426" s="38" t="n">
        <f aca="false">V$26-V$26*SIN(2*PI()/365*A426)</f>
        <v>2.3905563842267</v>
      </c>
      <c r="D426" s="2" t="n">
        <f aca="false">IF((E426+F426)&gt;C426,C426,E426+F426)</f>
        <v>2.3905563842267</v>
      </c>
      <c r="E426" s="38" t="n">
        <f aca="false">(V$23+V$24*SIN(2*PI()/365*A426))*V$25/100*V$7*V$8/100</f>
        <v>23.9675154317142</v>
      </c>
      <c r="F426" s="38" t="n">
        <f aca="false">(V$23+V$24*SIN(2*PI()/365*A426))*V$25/100*V$9*(1-V$14/100)*(1-V$16/100)</f>
        <v>5.07572694271735</v>
      </c>
      <c r="G426" s="38" t="n">
        <f aca="false">IF(C426&gt;E426,100,C426/E426*100)</f>
        <v>9.97415185164951</v>
      </c>
      <c r="H426" s="38" t="n">
        <f aca="false">L426/F426*100</f>
        <v>0</v>
      </c>
      <c r="I426" s="38" t="n">
        <f aca="false">(V$23+V$24*SIN(2*PI()/365*A426))*V$25/100*V$7*V$8/100*(1-V$15/100)</f>
        <v>21.3310887342256</v>
      </c>
      <c r="J426" s="38" t="n">
        <f aca="false">(V$23+V$24*SIN(2*PI()/365*A426))*V$25/100*V$9*(1-V$14/100)</f>
        <v>5.70306398058129</v>
      </c>
      <c r="K426" s="39" t="n">
        <f aca="false">IF(E426/C426*100&lt;100,E426/C426*100,100)</f>
        <v>100</v>
      </c>
      <c r="L426" s="2" t="n">
        <f aca="false">IF(((C426-E426)&gt;0)AND(F426&gt;(C426-E426)),(C426-E426),IF(C426&lt;E426,0,F426))</f>
        <v>0</v>
      </c>
      <c r="M426" s="2" t="n">
        <f aca="false">IF(C426&lt;(E426+F426),0,C426-E426-F426)</f>
        <v>0</v>
      </c>
      <c r="N426" s="2" t="n">
        <f aca="false">IF(C426&lt;(E426+F426),0,(C426-E426-F426)/(1-V$16/100))</f>
        <v>0</v>
      </c>
      <c r="O426" s="2" t="n">
        <f aca="false">L426+M426</f>
        <v>0</v>
      </c>
      <c r="P426" s="2" t="n">
        <f aca="false">IF( N426=0,I426*(1-G426/100)+J426*(1-H426/100),-N426)</f>
        <v>24.9065575328451</v>
      </c>
      <c r="Q426" s="47" t="n">
        <f aca="false">IF(P425&gt;0,Q425+P425*(1-V$20/100),Q425+P425)</f>
        <v>1021.2719549987</v>
      </c>
      <c r="R426" s="48" t="n">
        <f aca="false">R$4+Q426/V$28</f>
        <v>52.080134985376</v>
      </c>
    </row>
    <row r="427" customFormat="false" ht="12.8" hidden="false" customHeight="false" outlineLevel="0" collapsed="false">
      <c r="A427" s="1" t="n">
        <v>423</v>
      </c>
      <c r="B427" s="37" t="n">
        <v>43968</v>
      </c>
      <c r="C427" s="38" t="n">
        <f aca="false">V$26-V$26*SIN(2*PI()/365*A427)</f>
        <v>2.25677960971577</v>
      </c>
      <c r="D427" s="2" t="n">
        <f aca="false">IF((E427+F427)&gt;C427,C427,E427+F427)</f>
        <v>2.25677960971577</v>
      </c>
      <c r="E427" s="38" t="n">
        <f aca="false">(V$23+V$24*SIN(2*PI()/365*A427))*V$25/100*V$7*V$8/100</f>
        <v>24.0798655581453</v>
      </c>
      <c r="F427" s="38" t="n">
        <f aca="false">(V$23+V$24*SIN(2*PI()/365*A427))*V$25/100*V$9*(1-V$14/100)*(1-V$16/100)</f>
        <v>5.09951992056559</v>
      </c>
      <c r="G427" s="38" t="n">
        <f aca="false">IF(C427&gt;E427,100,C427/E427*100)</f>
        <v>9.37206067146163</v>
      </c>
      <c r="H427" s="38" t="n">
        <f aca="false">L427/F427*100</f>
        <v>0</v>
      </c>
      <c r="I427" s="38" t="n">
        <f aca="false">(V$23+V$24*SIN(2*PI()/365*A427))*V$25/100*V$7*V$8/100*(1-V$15/100)</f>
        <v>21.4310803467493</v>
      </c>
      <c r="J427" s="38" t="n">
        <f aca="false">(V$23+V$24*SIN(2*PI()/365*A427))*V$25/100*V$9*(1-V$14/100)</f>
        <v>5.72979766355684</v>
      </c>
      <c r="K427" s="39" t="n">
        <f aca="false">IF(E427/C427*100&lt;100,E427/C427*100,100)</f>
        <v>100</v>
      </c>
      <c r="L427" s="2" t="n">
        <f aca="false">IF(((C427-E427)&gt;0)AND(F427&gt;(C427-E427)),(C427-E427),IF(C427&lt;E427,0,F427))</f>
        <v>0</v>
      </c>
      <c r="M427" s="2" t="n">
        <f aca="false">IF(C427&lt;(E427+F427),0,C427-E427-F427)</f>
        <v>0</v>
      </c>
      <c r="N427" s="2" t="n">
        <f aca="false">IF(C427&lt;(E427+F427),0,(C427-E427-F427)/(1-V$16/100))</f>
        <v>0</v>
      </c>
      <c r="O427" s="2" t="n">
        <f aca="false">L427+M427</f>
        <v>0</v>
      </c>
      <c r="P427" s="2" t="n">
        <f aca="false">IF( N427=0,I427*(1-G427/100)+J427*(1-H427/100),-N427)</f>
        <v>25.1523441576591</v>
      </c>
      <c r="Q427" s="47" t="n">
        <f aca="false">IF(P426&gt;0,Q426+P426*(1-V$20/100),Q426+P426)</f>
        <v>1044.43505350424</v>
      </c>
      <c r="R427" s="48" t="n">
        <f aca="false">R$4+Q427/V$28</f>
        <v>52.3541201420789</v>
      </c>
    </row>
    <row r="428" customFormat="false" ht="12.8" hidden="false" customHeight="false" outlineLevel="0" collapsed="false">
      <c r="A428" s="1" t="n">
        <v>424</v>
      </c>
      <c r="B428" s="37" t="n">
        <v>43969</v>
      </c>
      <c r="C428" s="38" t="n">
        <f aca="false">V$26-V$26*SIN(2*PI()/365*A428)</f>
        <v>2.1265298977446</v>
      </c>
      <c r="D428" s="2" t="n">
        <f aca="false">IF((E428+F428)&gt;C428,C428,E428+F428)</f>
        <v>2.1265298977446</v>
      </c>
      <c r="E428" s="38" t="n">
        <f aca="false">(V$23+V$24*SIN(2*PI()/365*A428))*V$25/100*V$7*V$8/100</f>
        <v>24.1892535416804</v>
      </c>
      <c r="F428" s="38" t="n">
        <f aca="false">(V$23+V$24*SIN(2*PI()/365*A428))*V$25/100*V$9*(1-V$14/100)*(1-V$16/100)</f>
        <v>5.12268558981572</v>
      </c>
      <c r="G428" s="38" t="n">
        <f aca="false">IF(C428&gt;E428,100,C428/E428*100)</f>
        <v>8.79121753005063</v>
      </c>
      <c r="H428" s="38" t="n">
        <f aca="false">L428/F428*100</f>
        <v>0</v>
      </c>
      <c r="I428" s="38" t="n">
        <f aca="false">(V$23+V$24*SIN(2*PI()/365*A428))*V$25/100*V$7*V$8/100*(1-V$15/100)</f>
        <v>21.5284356520955</v>
      </c>
      <c r="J428" s="38" t="n">
        <f aca="false">(V$23+V$24*SIN(2*PI()/365*A428))*V$25/100*V$9*(1-V$14/100)</f>
        <v>5.75582650541092</v>
      </c>
      <c r="K428" s="39" t="n">
        <f aca="false">IF(E428/C428*100&lt;100,E428/C428*100,100)</f>
        <v>100</v>
      </c>
      <c r="L428" s="2" t="n">
        <f aca="false">IF(((C428-E428)&gt;0)AND(F428&gt;(C428-E428)),(C428-E428),IF(C428&lt;E428,0,F428))</f>
        <v>0</v>
      </c>
      <c r="M428" s="2" t="n">
        <f aca="false">IF(C428&lt;(E428+F428),0,C428-E428-F428)</f>
        <v>0</v>
      </c>
      <c r="N428" s="2" t="n">
        <f aca="false">IF(C428&lt;(E428+F428),0,(C428-E428-F428)/(1-V$16/100))</f>
        <v>0</v>
      </c>
      <c r="O428" s="2" t="n">
        <f aca="false">L428+M428</f>
        <v>0</v>
      </c>
      <c r="P428" s="2" t="n">
        <f aca="false">IF( N428=0,I428*(1-G428/100)+J428*(1-H428/100),-N428)</f>
        <v>25.3916505485138</v>
      </c>
      <c r="Q428" s="47" t="n">
        <f aca="false">IF(P427&gt;0,Q427+P427*(1-V$20/100),Q427+P427)</f>
        <v>1067.82673357087</v>
      </c>
      <c r="R428" s="48" t="n">
        <f aca="false">R$4+Q428/V$28</f>
        <v>52.6308090801785</v>
      </c>
    </row>
    <row r="429" customFormat="false" ht="12.8" hidden="false" customHeight="false" outlineLevel="0" collapsed="false">
      <c r="A429" s="1" t="n">
        <v>425</v>
      </c>
      <c r="B429" s="37" t="n">
        <v>43970</v>
      </c>
      <c r="C429" s="38" t="n">
        <f aca="false">V$26-V$26*SIN(2*PI()/365*A429)</f>
        <v>1.99984584411388</v>
      </c>
      <c r="D429" s="2" t="n">
        <f aca="false">IF((E429+F429)&gt;C429,C429,E429+F429)</f>
        <v>1.99984584411388</v>
      </c>
      <c r="E429" s="38" t="n">
        <f aca="false">(V$23+V$24*SIN(2*PI()/365*A429))*V$25/100*V$7*V$8/100</f>
        <v>24.2956469682991</v>
      </c>
      <c r="F429" s="38" t="n">
        <f aca="false">(V$23+V$24*SIN(2*PI()/365*A429))*V$25/100*V$9*(1-V$14/100)*(1-V$16/100)</f>
        <v>5.14521708597999</v>
      </c>
      <c r="G429" s="38" t="n">
        <f aca="false">IF(C429&gt;E429,100,C429/E429*100)</f>
        <v>8.23129281851713</v>
      </c>
      <c r="H429" s="38" t="n">
        <f aca="false">L429/F429*100</f>
        <v>0</v>
      </c>
      <c r="I429" s="38" t="n">
        <f aca="false">(V$23+V$24*SIN(2*PI()/365*A429))*V$25/100*V$7*V$8/100*(1-V$15/100)</f>
        <v>21.6231258017862</v>
      </c>
      <c r="J429" s="38" t="n">
        <f aca="false">(V$23+V$24*SIN(2*PI()/365*A429))*V$25/100*V$9*(1-V$14/100)</f>
        <v>5.78114279323594</v>
      </c>
      <c r="K429" s="39" t="n">
        <f aca="false">IF(E429/C429*100&lt;100,E429/C429*100,100)</f>
        <v>100</v>
      </c>
      <c r="L429" s="2" t="n">
        <f aca="false">IF(((C429-E429)&gt;0)AND(F429&gt;(C429-E429)),(C429-E429),IF(C429&lt;E429,0,F429))</f>
        <v>0</v>
      </c>
      <c r="M429" s="2" t="n">
        <f aca="false">IF(C429&lt;(E429+F429),0,C429-E429-F429)</f>
        <v>0</v>
      </c>
      <c r="N429" s="2" t="n">
        <f aca="false">IF(C429&lt;(E429+F429),0,(C429-E429-F429)/(1-V$16/100))</f>
        <v>0</v>
      </c>
      <c r="O429" s="2" t="n">
        <f aca="false">L429+M429</f>
        <v>0</v>
      </c>
      <c r="P429" s="2" t="n">
        <f aca="false">IF( N429=0,I429*(1-G429/100)+J429*(1-H429/100),-N429)</f>
        <v>25.6244057937608</v>
      </c>
      <c r="Q429" s="47" t="n">
        <f aca="false">IF(P428&gt;0,Q428+P428*(1-V$20/100),Q428+P428)</f>
        <v>1091.44096858098</v>
      </c>
      <c r="R429" s="48" t="n">
        <f aca="false">R$4+Q429/V$28</f>
        <v>52.9101305137128</v>
      </c>
    </row>
    <row r="430" customFormat="false" ht="12.8" hidden="false" customHeight="false" outlineLevel="0" collapsed="false">
      <c r="A430" s="1" t="n">
        <v>426</v>
      </c>
      <c r="B430" s="37" t="n">
        <v>43971</v>
      </c>
      <c r="C430" s="38" t="n">
        <f aca="false">V$26-V$26*SIN(2*PI()/365*A430)</f>
        <v>1.87676498804277</v>
      </c>
      <c r="D430" s="2" t="n">
        <f aca="false">IF((E430+F430)&gt;C430,C430,E430+F430)</f>
        <v>1.87676498804277</v>
      </c>
      <c r="E430" s="38" t="n">
        <f aca="false">(V$23+V$24*SIN(2*PI()/365*A430))*V$25/100*V$7*V$8/100</f>
        <v>24.399014311333</v>
      </c>
      <c r="F430" s="38" t="n">
        <f aca="false">(V$23+V$24*SIN(2*PI()/365*A430))*V$25/100*V$9*(1-V$14/100)*(1-V$16/100)</f>
        <v>5.1671077324898</v>
      </c>
      <c r="G430" s="38" t="n">
        <f aca="false">IF(C430&gt;E430,100,C430/E430*100)</f>
        <v>7.69197052018219</v>
      </c>
      <c r="H430" s="38" t="n">
        <f aca="false">L430/F430*100</f>
        <v>0</v>
      </c>
      <c r="I430" s="38" t="n">
        <f aca="false">(V$23+V$24*SIN(2*PI()/365*A430))*V$25/100*V$7*V$8/100*(1-V$15/100)</f>
        <v>21.7151227370864</v>
      </c>
      <c r="J430" s="38" t="n">
        <f aca="false">(V$23+V$24*SIN(2*PI()/365*A430))*V$25/100*V$9*(1-V$14/100)</f>
        <v>5.80573902526944</v>
      </c>
      <c r="K430" s="39" t="n">
        <f aca="false">IF(E430/C430*100&lt;100,E430/C430*100,100)</f>
        <v>100</v>
      </c>
      <c r="L430" s="2" t="n">
        <f aca="false">IF(((C430-E430)&gt;0)AND(F430&gt;(C430-E430)),(C430-E430),IF(C430&lt;E430,0,F430))</f>
        <v>0</v>
      </c>
      <c r="M430" s="2" t="n">
        <f aca="false">IF(C430&lt;(E430+F430),0,C430-E430-F430)</f>
        <v>0</v>
      </c>
      <c r="N430" s="2" t="n">
        <f aca="false">IF(C430&lt;(E430+F430),0,(C430-E430-F430)/(1-V$16/100))</f>
        <v>0</v>
      </c>
      <c r="O430" s="2" t="n">
        <f aca="false">L430+M430</f>
        <v>0</v>
      </c>
      <c r="P430" s="2" t="n">
        <f aca="false">IF( N430=0,I430*(1-G430/100)+J430*(1-H430/100),-N430)</f>
        <v>25.8505409229977</v>
      </c>
      <c r="Q430" s="47" t="n">
        <f aca="false">IF(P429&gt;0,Q429+P429*(1-V$20/100),Q429+P429)</f>
        <v>1115.27166596918</v>
      </c>
      <c r="R430" s="48" t="n">
        <f aca="false">R$4+Q430/V$28</f>
        <v>53.1920123766544</v>
      </c>
    </row>
    <row r="431" customFormat="false" ht="12.8" hidden="false" customHeight="false" outlineLevel="0" collapsed="false">
      <c r="A431" s="1" t="n">
        <v>427</v>
      </c>
      <c r="B431" s="37" t="n">
        <v>43972</v>
      </c>
      <c r="C431" s="38" t="n">
        <f aca="false">V$26-V$26*SIN(2*PI()/365*A431)</f>
        <v>1.75732380104521</v>
      </c>
      <c r="D431" s="2" t="n">
        <f aca="false">IF((E431+F431)&gt;C431,C431,E431+F431)</f>
        <v>1.75732380104521</v>
      </c>
      <c r="E431" s="38" t="n">
        <f aca="false">(V$23+V$24*SIN(2*PI()/365*A431))*V$25/100*V$7*V$8/100</f>
        <v>24.4993249408075</v>
      </c>
      <c r="F431" s="38" t="n">
        <f aca="false">(V$23+V$24*SIN(2*PI()/365*A431))*V$25/100*V$9*(1-V$14/100)*(1-V$16/100)</f>
        <v>5.18835104267417</v>
      </c>
      <c r="G431" s="38" t="n">
        <f aca="false">IF(C431&gt;E431,100,C431/E431*100)</f>
        <v>7.17294784771033</v>
      </c>
      <c r="H431" s="38" t="n">
        <f aca="false">L431/F431*100</f>
        <v>0</v>
      </c>
      <c r="I431" s="38" t="n">
        <f aca="false">(V$23+V$24*SIN(2*PI()/365*A431))*V$25/100*V$7*V$8/100*(1-V$15/100)</f>
        <v>21.8043991973187</v>
      </c>
      <c r="J431" s="38" t="n">
        <f aca="false">(V$23+V$24*SIN(2*PI()/365*A431))*V$25/100*V$9*(1-V$14/100)</f>
        <v>5.82960791311705</v>
      </c>
      <c r="K431" s="39" t="n">
        <f aca="false">IF(E431/C431*100&lt;100,E431/C431*100,100)</f>
        <v>100</v>
      </c>
      <c r="L431" s="2" t="n">
        <f aca="false">IF(((C431-E431)&gt;0)AND(F431&gt;(C431-E431)),(C431-E431),IF(C431&lt;E431,0,F431))</f>
        <v>0</v>
      </c>
      <c r="M431" s="2" t="n">
        <f aca="false">IF(C431&lt;(E431+F431),0,C431-E431-F431)</f>
        <v>0</v>
      </c>
      <c r="N431" s="2" t="n">
        <f aca="false">IF(C431&lt;(E431+F431),0,(C431-E431-F431)/(1-V$16/100))</f>
        <v>0</v>
      </c>
      <c r="O431" s="2" t="n">
        <f aca="false">L431+M431</f>
        <v>0</v>
      </c>
      <c r="P431" s="2" t="n">
        <f aca="false">IF( N431=0,I431*(1-G431/100)+J431*(1-H431/100),-N431)</f>
        <v>26.0699889275055</v>
      </c>
      <c r="Q431" s="47" t="n">
        <f aca="false">IF(P430&gt;0,Q430+P430*(1-V$20/100),Q430+P430)</f>
        <v>1139.31266902757</v>
      </c>
      <c r="R431" s="48" t="n">
        <f aca="false">R$4+Q431/V$28</f>
        <v>53.4763818442656</v>
      </c>
    </row>
    <row r="432" customFormat="false" ht="12.8" hidden="false" customHeight="false" outlineLevel="0" collapsed="false">
      <c r="A432" s="1" t="n">
        <v>428</v>
      </c>
      <c r="B432" s="37" t="n">
        <v>43973</v>
      </c>
      <c r="C432" s="38" t="n">
        <f aca="false">V$26-V$26*SIN(2*PI()/365*A432)</f>
        <v>1.64155767612268</v>
      </c>
      <c r="D432" s="2" t="n">
        <f aca="false">IF((E432+F432)&gt;C432,C432,E432+F432)</f>
        <v>1.64155767612268</v>
      </c>
      <c r="E432" s="38" t="n">
        <f aca="false">(V$23+V$24*SIN(2*PI()/365*A432))*V$25/100*V$7*V$8/100</f>
        <v>24.5965491325182</v>
      </c>
      <c r="F432" s="38" t="n">
        <f aca="false">(V$23+V$24*SIN(2*PI()/365*A432))*V$25/100*V$9*(1-V$14/100)*(1-V$16/100)</f>
        <v>5.20894072168182</v>
      </c>
      <c r="G432" s="38" t="n">
        <f aca="false">IF(C432&gt;E432,100,C432/E432*100)</f>
        <v>6.6739348974464</v>
      </c>
      <c r="H432" s="38" t="n">
        <f aca="false">L432/F432*100</f>
        <v>0</v>
      </c>
      <c r="I432" s="38" t="n">
        <f aca="false">(V$23+V$24*SIN(2*PI()/365*A432))*V$25/100*V$7*V$8/100*(1-V$15/100)</f>
        <v>21.8909287279412</v>
      </c>
      <c r="J432" s="38" t="n">
        <f aca="false">(V$23+V$24*SIN(2*PI()/365*A432))*V$25/100*V$9*(1-V$14/100)</f>
        <v>5.85274238391216</v>
      </c>
      <c r="K432" s="39" t="n">
        <f aca="false">IF(E432/C432*100&lt;100,E432/C432*100,100)</f>
        <v>100</v>
      </c>
      <c r="L432" s="2" t="n">
        <f aca="false">IF(((C432-E432)&gt;0)AND(F432&gt;(C432-E432)),(C432-E432),IF(C432&lt;E432,0,F432))</f>
        <v>0</v>
      </c>
      <c r="M432" s="2" t="n">
        <f aca="false">IF(C432&lt;(E432+F432),0,C432-E432-F432)</f>
        <v>0</v>
      </c>
      <c r="N432" s="2" t="n">
        <f aca="false">IF(C432&lt;(E432+F432),0,(C432-E432-F432)/(1-V$16/100))</f>
        <v>0</v>
      </c>
      <c r="O432" s="2" t="n">
        <f aca="false">L432+M432</f>
        <v>0</v>
      </c>
      <c r="P432" s="2" t="n">
        <f aca="false">IF( N432=0,I432*(1-G432/100)+J432*(1-H432/100),-N432)</f>
        <v>26.2826847801041</v>
      </c>
      <c r="Q432" s="47" t="n">
        <f aca="false">IF(P431&gt;0,Q431+P431*(1-V$20/100),Q431+P431)</f>
        <v>1163.55775873015</v>
      </c>
      <c r="R432" s="48" t="n">
        <f aca="false">R$4+Q432/V$28</f>
        <v>53.7631653546775</v>
      </c>
    </row>
    <row r="433" customFormat="false" ht="12.8" hidden="false" customHeight="false" outlineLevel="0" collapsed="false">
      <c r="A433" s="1" t="n">
        <v>429</v>
      </c>
      <c r="B433" s="37" t="n">
        <v>43974</v>
      </c>
      <c r="C433" s="38" t="n">
        <f aca="false">V$26-V$26*SIN(2*PI()/365*A433)</f>
        <v>1.52950091727641</v>
      </c>
      <c r="D433" s="2" t="n">
        <f aca="false">IF((E433+F433)&gt;C433,C433,E433+F433)</f>
        <v>1.52950091727641</v>
      </c>
      <c r="E433" s="38" t="n">
        <f aca="false">(V$23+V$24*SIN(2*PI()/365*A433))*V$25/100*V$7*V$8/100</f>
        <v>24.6906580768388</v>
      </c>
      <c r="F433" s="38" t="n">
        <f aca="false">(V$23+V$24*SIN(2*PI()/365*A433))*V$25/100*V$9*(1-V$14/100)*(1-V$16/100)</f>
        <v>5.22887066834649</v>
      </c>
      <c r="G433" s="38" t="n">
        <f aca="false">IF(C433&gt;E433,100,C433/E433*100)</f>
        <v>6.19465432033653</v>
      </c>
      <c r="H433" s="38" t="n">
        <f aca="false">L433/F433*100</f>
        <v>0</v>
      </c>
      <c r="I433" s="38" t="n">
        <f aca="false">(V$23+V$24*SIN(2*PI()/365*A433))*V$25/100*V$7*V$8/100*(1-V$15/100)</f>
        <v>21.9746856883865</v>
      </c>
      <c r="J433" s="38" t="n">
        <f aca="false">(V$23+V$24*SIN(2*PI()/365*A433))*V$25/100*V$9*(1-V$14/100)</f>
        <v>5.87513558241179</v>
      </c>
      <c r="K433" s="39" t="n">
        <f aca="false">IF(E433/C433*100&lt;100,E433/C433*100,100)</f>
        <v>100</v>
      </c>
      <c r="L433" s="2" t="n">
        <f aca="false">IF(((C433-E433)&gt;0)AND(F433&gt;(C433-E433)),(C433-E433),IF(C433&lt;E433,0,F433))</f>
        <v>0</v>
      </c>
      <c r="M433" s="2" t="n">
        <f aca="false">IF(C433&lt;(E433+F433),0,C433-E433-F433)</f>
        <v>0</v>
      </c>
      <c r="N433" s="2" t="n">
        <f aca="false">IF(C433&lt;(E433+F433),0,(C433-E433-F433)/(1-V$16/100))</f>
        <v>0</v>
      </c>
      <c r="O433" s="2" t="n">
        <f aca="false">L433+M433</f>
        <v>0</v>
      </c>
      <c r="P433" s="2" t="n">
        <f aca="false">IF( N433=0,I433*(1-G433/100)+J433*(1-H433/100),-N433)</f>
        <v>26.4885654544223</v>
      </c>
      <c r="Q433" s="47" t="n">
        <f aca="false">IF(P432&gt;0,Q432+P432*(1-V$20/100),Q432+P432)</f>
        <v>1188.00065557565</v>
      </c>
      <c r="R433" s="48" t="n">
        <f aca="false">R$4+Q433/V$28</f>
        <v>54.0522886306883</v>
      </c>
    </row>
    <row r="434" customFormat="false" ht="12.8" hidden="false" customHeight="false" outlineLevel="0" collapsed="false">
      <c r="A434" s="1" t="n">
        <v>430</v>
      </c>
      <c r="B434" s="37" t="n">
        <v>43975</v>
      </c>
      <c r="C434" s="38" t="n">
        <f aca="false">V$26-V$26*SIN(2*PI()/365*A434)</f>
        <v>1.42118672934245</v>
      </c>
      <c r="D434" s="2" t="n">
        <f aca="false">IF((E434+F434)&gt;C434,C434,E434+F434)</f>
        <v>1.42118672934245</v>
      </c>
      <c r="E434" s="38" t="n">
        <f aca="false">(V$23+V$24*SIN(2*PI()/365*A434))*V$25/100*V$7*V$8/100</f>
        <v>24.781623887258</v>
      </c>
      <c r="F434" s="38" t="n">
        <f aca="false">(V$23+V$24*SIN(2*PI()/365*A434))*V$25/100*V$9*(1-V$14/100)*(1-V$16/100)</f>
        <v>5.24813497699487</v>
      </c>
      <c r="G434" s="38" t="n">
        <f aca="false">IF(C434&gt;E434,100,C434/E434*100)</f>
        <v>5.73484100883793</v>
      </c>
      <c r="H434" s="38" t="n">
        <f aca="false">L434/F434*100</f>
        <v>0</v>
      </c>
      <c r="I434" s="38" t="n">
        <f aca="false">(V$23+V$24*SIN(2*PI()/365*A434))*V$25/100*V$7*V$8/100*(1-V$15/100)</f>
        <v>22.0556452596597</v>
      </c>
      <c r="J434" s="38" t="n">
        <f aca="false">(V$23+V$24*SIN(2*PI()/365*A434))*V$25/100*V$9*(1-V$14/100)</f>
        <v>5.89678087302794</v>
      </c>
      <c r="K434" s="39" t="n">
        <f aca="false">IF(E434/C434*100&lt;100,E434/C434*100,100)</f>
        <v>100</v>
      </c>
      <c r="L434" s="2" t="n">
        <f aca="false">IF(((C434-E434)&gt;0)AND(F434&gt;(C434-E434)),(C434-E434),IF(C434&lt;E434,0,F434))</f>
        <v>0</v>
      </c>
      <c r="M434" s="2" t="n">
        <f aca="false">IF(C434&lt;(E434+F434),0,C434-E434-F434)</f>
        <v>0</v>
      </c>
      <c r="N434" s="2" t="n">
        <f aca="false">IF(C434&lt;(E434+F434),0,(C434-E434-F434)/(1-V$16/100))</f>
        <v>0</v>
      </c>
      <c r="O434" s="2" t="n">
        <f aca="false">L434+M434</f>
        <v>0</v>
      </c>
      <c r="P434" s="2" t="n">
        <f aca="false">IF( N434=0,I434*(1-G434/100)+J434*(1-H434/100),-N434)</f>
        <v>26.6875699435728</v>
      </c>
      <c r="Q434" s="47" t="n">
        <f aca="false">IF(P433&gt;0,Q433+P433*(1-V$20/100),Q433+P433)</f>
        <v>1212.63502144826</v>
      </c>
      <c r="R434" s="48" t="n">
        <f aca="false">R$4+Q434/V$28</f>
        <v>54.3436767017733</v>
      </c>
    </row>
    <row r="435" customFormat="false" ht="12.8" hidden="false" customHeight="false" outlineLevel="0" collapsed="false">
      <c r="A435" s="1" t="n">
        <v>431</v>
      </c>
      <c r="B435" s="37" t="n">
        <v>43976</v>
      </c>
      <c r="C435" s="38" t="n">
        <f aca="false">V$26-V$26*SIN(2*PI()/365*A435)</f>
        <v>1.31664720815229</v>
      </c>
      <c r="D435" s="2" t="n">
        <f aca="false">IF((E435+F435)&gt;C435,C435,E435+F435)</f>
        <v>1.31664720815229</v>
      </c>
      <c r="E435" s="38" t="n">
        <f aca="false">(V$23+V$24*SIN(2*PI()/365*A435))*V$25/100*V$7*V$8/100</f>
        <v>24.8694196086432</v>
      </c>
      <c r="F435" s="38" t="n">
        <f aca="false">(V$23+V$24*SIN(2*PI()/365*A435))*V$25/100*V$9*(1-V$14/100)*(1-V$16/100)</f>
        <v>5.26672793919654</v>
      </c>
      <c r="G435" s="38" t="n">
        <f aca="false">IF(C435&gt;E435,100,C435/E435*100)</f>
        <v>5.29424179925252</v>
      </c>
      <c r="H435" s="38" t="n">
        <f aca="false">L435/F435*100</f>
        <v>0</v>
      </c>
      <c r="I435" s="38" t="n">
        <f aca="false">(V$23+V$24*SIN(2*PI()/365*A435))*V$25/100*V$7*V$8/100*(1-V$15/100)</f>
        <v>22.1337834516924</v>
      </c>
      <c r="J435" s="38" t="n">
        <f aca="false">(V$23+V$24*SIN(2*PI()/365*A435))*V$25/100*V$9*(1-V$14/100)</f>
        <v>5.91767184179386</v>
      </c>
      <c r="K435" s="39" t="n">
        <f aca="false">IF(E435/C435*100&lt;100,E435/C435*100,100)</f>
        <v>100</v>
      </c>
      <c r="L435" s="2" t="n">
        <f aca="false">IF(((C435-E435)&gt;0)AND(F435&gt;(C435-E435)),(C435-E435),IF(C435&lt;E435,0,F435))</f>
        <v>0</v>
      </c>
      <c r="M435" s="2" t="n">
        <f aca="false">IF(C435&lt;(E435+F435),0,C435-E435-F435)</f>
        <v>0</v>
      </c>
      <c r="N435" s="2" t="n">
        <f aca="false">IF(C435&lt;(E435+F435),0,(C435-E435-F435)/(1-V$16/100))</f>
        <v>0</v>
      </c>
      <c r="O435" s="2" t="n">
        <f aca="false">L435+M435</f>
        <v>0</v>
      </c>
      <c r="P435" s="2" t="n">
        <f aca="false">IF( N435=0,I435*(1-G435/100)+J435*(1-H435/100),-N435)</f>
        <v>26.8796392782308</v>
      </c>
      <c r="Q435" s="47" t="n">
        <f aca="false">IF(P434&gt;0,Q434+P434*(1-V$20/100),Q434+P434)</f>
        <v>1237.45446149578</v>
      </c>
      <c r="R435" s="48" t="n">
        <f aca="false">R$4+Q435/V$28</f>
        <v>54.6372539263001</v>
      </c>
    </row>
    <row r="436" customFormat="false" ht="12.8" hidden="false" customHeight="false" outlineLevel="0" collapsed="false">
      <c r="A436" s="1" t="n">
        <v>432</v>
      </c>
      <c r="B436" s="37" t="n">
        <v>43977</v>
      </c>
      <c r="C436" s="38" t="n">
        <f aca="false">V$26-V$26*SIN(2*PI()/365*A436)</f>
        <v>1.2159133310222</v>
      </c>
      <c r="D436" s="2" t="n">
        <f aca="false">IF((E436+F436)&gt;C436,C436,E436+F436)</f>
        <v>1.2159133310222</v>
      </c>
      <c r="E436" s="38" t="n">
        <f aca="false">(V$23+V$24*SIN(2*PI()/365*A436))*V$25/100*V$7*V$8/100</f>
        <v>24.9540192252271</v>
      </c>
      <c r="F436" s="38" t="n">
        <f aca="false">(V$23+V$24*SIN(2*PI()/365*A436))*V$25/100*V$9*(1-V$14/100)*(1-V$16/100)</f>
        <v>5.28464404545553</v>
      </c>
      <c r="G436" s="38" t="n">
        <f aca="false">IF(C436&gt;E436,100,C436/E436*100)</f>
        <v>4.87261518895111</v>
      </c>
      <c r="H436" s="38" t="n">
        <f aca="false">L436/F436*100</f>
        <v>0</v>
      </c>
      <c r="I436" s="38" t="n">
        <f aca="false">(V$23+V$24*SIN(2*PI()/365*A436))*V$25/100*V$7*V$8/100*(1-V$15/100)</f>
        <v>22.2090771104521</v>
      </c>
      <c r="J436" s="38" t="n">
        <f aca="false">(V$23+V$24*SIN(2*PI()/365*A436))*V$25/100*V$9*(1-V$14/100)</f>
        <v>5.93780229826464</v>
      </c>
      <c r="K436" s="39" t="n">
        <f aca="false">IF(E436/C436*100&lt;100,E436/C436*100,100)</f>
        <v>100</v>
      </c>
      <c r="L436" s="2" t="n">
        <f aca="false">IF(((C436-E436)&gt;0)AND(F436&gt;(C436-E436)),(C436-E436),IF(C436&lt;E436,0,F436))</f>
        <v>0</v>
      </c>
      <c r="M436" s="2" t="n">
        <f aca="false">IF(C436&lt;(E436+F436),0,C436-E436-F436)</f>
        <v>0</v>
      </c>
      <c r="N436" s="2" t="n">
        <f aca="false">IF(C436&lt;(E436+F436),0,(C436-E436-F436)/(1-V$16/100))</f>
        <v>0</v>
      </c>
      <c r="O436" s="2" t="n">
        <f aca="false">L436+M436</f>
        <v>0</v>
      </c>
      <c r="P436" s="2" t="n">
        <f aca="false">IF( N436=0,I436*(1-G436/100)+J436*(1-H436/100),-N436)</f>
        <v>27.064716544107</v>
      </c>
      <c r="Q436" s="47" t="n">
        <f aca="false">IF(P435&gt;0,Q435+P435*(1-V$20/100),Q435+P435)</f>
        <v>1262.45252602454</v>
      </c>
      <c r="R436" s="48" t="n">
        <f aca="false">R$4+Q436/V$28</f>
        <v>54.9329440139427</v>
      </c>
    </row>
    <row r="437" customFormat="false" ht="12.8" hidden="false" customHeight="false" outlineLevel="0" collapsed="false">
      <c r="A437" s="1" t="n">
        <v>433</v>
      </c>
      <c r="B437" s="37" t="n">
        <v>43978</v>
      </c>
      <c r="C437" s="38" t="n">
        <f aca="false">V$26-V$26*SIN(2*PI()/365*A437)</f>
        <v>1.11901494757399</v>
      </c>
      <c r="D437" s="2" t="n">
        <f aca="false">IF((E437+F437)&gt;C437,C437,E437+F437)</f>
        <v>1.11901494757399</v>
      </c>
      <c r="E437" s="38" t="n">
        <f aca="false">(V$23+V$24*SIN(2*PI()/365*A437))*V$25/100*V$7*V$8/100</f>
        <v>25.0353976683177</v>
      </c>
      <c r="F437" s="38" t="n">
        <f aca="false">(V$23+V$24*SIN(2*PI()/365*A437))*V$25/100*V$9*(1-V$14/100)*(1-V$16/100)</f>
        <v>5.30187798684291</v>
      </c>
      <c r="G437" s="38" t="n">
        <f aca="false">IF(C437&gt;E437,100,C437/E437*100)</f>
        <v>4.46973106798342</v>
      </c>
      <c r="H437" s="38" t="n">
        <f aca="false">L437/F437*100</f>
        <v>0</v>
      </c>
      <c r="I437" s="38" t="n">
        <f aca="false">(V$23+V$24*SIN(2*PI()/365*A437))*V$25/100*V$7*V$8/100*(1-V$15/100)</f>
        <v>22.2815039248027</v>
      </c>
      <c r="J437" s="38" t="n">
        <f aca="false">(V$23+V$24*SIN(2*PI()/365*A437))*V$25/100*V$9*(1-V$14/100)</f>
        <v>5.95716627735158</v>
      </c>
      <c r="K437" s="39" t="n">
        <f aca="false">IF(E437/C437*100&lt;100,E437/C437*100,100)</f>
        <v>100</v>
      </c>
      <c r="L437" s="2" t="n">
        <f aca="false">IF(((C437-E437)&gt;0)AND(F437&gt;(C437-E437)),(C437-E437),IF(C437&lt;E437,0,F437))</f>
        <v>0</v>
      </c>
      <c r="M437" s="2" t="n">
        <f aca="false">IF(C437&lt;(E437+F437),0,C437-E437-F437)</f>
        <v>0</v>
      </c>
      <c r="N437" s="2" t="n">
        <f aca="false">IF(C437&lt;(E437+F437),0,(C437-E437-F437)/(1-V$16/100))</f>
        <v>0</v>
      </c>
      <c r="O437" s="2" t="n">
        <f aca="false">L437+M437</f>
        <v>0</v>
      </c>
      <c r="P437" s="2" t="n">
        <f aca="false">IF( N437=0,I437*(1-G437/100)+J437*(1-H437/100),-N437)</f>
        <v>27.2427468988135</v>
      </c>
      <c r="Q437" s="47" t="n">
        <f aca="false">IF(P436&gt;0,Q436+P436*(1-V$20/100),Q436+P436)</f>
        <v>1287.62271241056</v>
      </c>
      <c r="R437" s="48" t="n">
        <f aca="false">R$4+Q437/V$28</f>
        <v>55.2306700482883</v>
      </c>
    </row>
    <row r="438" customFormat="false" ht="12.8" hidden="false" customHeight="false" outlineLevel="0" collapsed="false">
      <c r="A438" s="1" t="n">
        <v>434</v>
      </c>
      <c r="B438" s="37" t="n">
        <v>43979</v>
      </c>
      <c r="C438" s="38" t="n">
        <f aca="false">V$26-V$26*SIN(2*PI()/365*A438)</f>
        <v>1.02598077088992</v>
      </c>
      <c r="D438" s="2" t="n">
        <f aca="false">IF((E438+F438)&gt;C438,C438,E438+F438)</f>
        <v>1.02598077088992</v>
      </c>
      <c r="E438" s="38" t="n">
        <f aca="false">(V$23+V$24*SIN(2*PI()/365*A438))*V$25/100*V$7*V$8/100</f>
        <v>25.1135308237259</v>
      </c>
      <c r="F438" s="38" t="n">
        <f aca="false">(V$23+V$24*SIN(2*PI()/365*A438))*V$25/100*V$9*(1-V$14/100)*(1-V$16/100)</f>
        <v>5.31842465656989</v>
      </c>
      <c r="G438" s="38" t="n">
        <f aca="false">IF(C438&gt;E438,100,C438/E438*100)</f>
        <v>4.08537046459684</v>
      </c>
      <c r="H438" s="38" t="n">
        <f aca="false">L438/F438*100</f>
        <v>0</v>
      </c>
      <c r="I438" s="38" t="n">
        <f aca="false">(V$23+V$24*SIN(2*PI()/365*A438))*V$25/100*V$7*V$8/100*(1-V$15/100)</f>
        <v>22.351042433116</v>
      </c>
      <c r="J438" s="38" t="n">
        <f aca="false">(V$23+V$24*SIN(2*PI()/365*A438))*V$25/100*V$9*(1-V$14/100)</f>
        <v>5.97575804108977</v>
      </c>
      <c r="K438" s="39" t="n">
        <f aca="false">IF(E438/C438*100&lt;100,E438/C438*100,100)</f>
        <v>100</v>
      </c>
      <c r="L438" s="2" t="n">
        <f aca="false">IF(((C438-E438)&gt;0)AND(F438&gt;(C438-E438)),(C438-E438),IF(C438&lt;E438,0,F438))</f>
        <v>0</v>
      </c>
      <c r="M438" s="2" t="n">
        <f aca="false">IF(C438&lt;(E438+F438),0,C438-E438-F438)</f>
        <v>0</v>
      </c>
      <c r="N438" s="2" t="n">
        <f aca="false">IF(C438&lt;(E438+F438),0,(C438-E438-F438)/(1-V$16/100))</f>
        <v>0</v>
      </c>
      <c r="O438" s="2" t="n">
        <f aca="false">L438+M438</f>
        <v>0</v>
      </c>
      <c r="P438" s="2" t="n">
        <f aca="false">IF( N438=0,I438*(1-G438/100)+J438*(1-H438/100),-N438)</f>
        <v>27.4136775881138</v>
      </c>
      <c r="Q438" s="47" t="n">
        <f aca="false">IF(P437&gt;0,Q437+P437*(1-V$20/100),Q437+P437)</f>
        <v>1312.95846702645</v>
      </c>
      <c r="R438" s="48" t="n">
        <f aca="false">R$4+Q438/V$28</f>
        <v>55.5303545096293</v>
      </c>
    </row>
    <row r="439" customFormat="false" ht="12.8" hidden="false" customHeight="false" outlineLevel="0" collapsed="false">
      <c r="A439" s="1" t="n">
        <v>435</v>
      </c>
      <c r="B439" s="37" t="n">
        <v>43980</v>
      </c>
      <c r="C439" s="38" t="n">
        <f aca="false">V$26-V$26*SIN(2*PI()/365*A439)</f>
        <v>0.936838369004375</v>
      </c>
      <c r="D439" s="2" t="n">
        <f aca="false">IF((E439+F439)&gt;C439,C439,E439+F439)</f>
        <v>0.936838369004375</v>
      </c>
      <c r="E439" s="38" t="n">
        <f aca="false">(V$23+V$24*SIN(2*PI()/365*A439))*V$25/100*V$7*V$8/100</f>
        <v>25.1883955389115</v>
      </c>
      <c r="F439" s="38" t="n">
        <f aca="false">(V$23+V$24*SIN(2*PI()/365*A439))*V$25/100*V$9*(1-V$14/100)*(1-V$16/100)</f>
        <v>5.33427915150114</v>
      </c>
      <c r="G439" s="38" t="n">
        <f aca="false">IF(C439&gt;E439,100,C439/E439*100)</f>
        <v>3.71932530421451</v>
      </c>
      <c r="H439" s="38" t="n">
        <f aca="false">L439/F439*100</f>
        <v>0</v>
      </c>
      <c r="I439" s="38" t="n">
        <f aca="false">(V$23+V$24*SIN(2*PI()/365*A439))*V$25/100*V$7*V$8/100*(1-V$15/100)</f>
        <v>22.4176720296313</v>
      </c>
      <c r="J439" s="38" t="n">
        <f aca="false">(V$23+V$24*SIN(2*PI()/365*A439))*V$25/100*V$9*(1-V$14/100)</f>
        <v>5.99357208033835</v>
      </c>
      <c r="K439" s="39" t="n">
        <f aca="false">IF(E439/C439*100&lt;100,E439/C439*100,100)</f>
        <v>100</v>
      </c>
      <c r="L439" s="2" t="n">
        <f aca="false">IF(((C439-E439)&gt;0)AND(F439&gt;(C439-E439)),(C439-E439),IF(C439&lt;E439,0,F439))</f>
        <v>0</v>
      </c>
      <c r="M439" s="2" t="n">
        <f aca="false">IF(C439&lt;(E439+F439),0,C439-E439-F439)</f>
        <v>0</v>
      </c>
      <c r="N439" s="2" t="n">
        <f aca="false">IF(C439&lt;(E439+F439),0,(C439-E439-F439)/(1-V$16/100))</f>
        <v>0</v>
      </c>
      <c r="O439" s="2" t="n">
        <f aca="false">L439+M439</f>
        <v>0</v>
      </c>
      <c r="P439" s="2" t="n">
        <f aca="false">IF( N439=0,I439*(1-G439/100)+J439*(1-H439/100),-N439)</f>
        <v>27.5774579615557</v>
      </c>
      <c r="Q439" s="47" t="n">
        <f aca="false">IF(P438&gt;0,Q438+P438*(1-V$20/100),Q438+P438)</f>
        <v>1338.4531871834</v>
      </c>
      <c r="R439" s="48" t="n">
        <f aca="false">R$4+Q439/V$28</f>
        <v>55.8319192979335</v>
      </c>
    </row>
    <row r="440" customFormat="false" ht="12.8" hidden="false" customHeight="false" outlineLevel="0" collapsed="false">
      <c r="A440" s="1" t="n">
        <v>436</v>
      </c>
      <c r="B440" s="37" t="n">
        <v>43981</v>
      </c>
      <c r="C440" s="38" t="n">
        <f aca="false">V$26-V$26*SIN(2*PI()/365*A440)</f>
        <v>0.851614156734897</v>
      </c>
      <c r="D440" s="2" t="n">
        <f aca="false">IF((E440+F440)&gt;C440,C440,E440+F440)</f>
        <v>0.851614156734897</v>
      </c>
      <c r="E440" s="38" t="n">
        <f aca="false">(V$23+V$24*SIN(2*PI()/365*A440))*V$25/100*V$7*V$8/100</f>
        <v>25.2599696298438</v>
      </c>
      <c r="F440" s="38" t="n">
        <f aca="false">(V$23+V$24*SIN(2*PI()/365*A440))*V$25/100*V$9*(1-V$14/100)*(1-V$16/100)</f>
        <v>5.34943677360762</v>
      </c>
      <c r="G440" s="38" t="n">
        <f aca="false">IF(C440&gt;E440,100,C440/E440*100)</f>
        <v>3.37139818144811</v>
      </c>
      <c r="H440" s="38" t="n">
        <f aca="false">L440/F440*100</f>
        <v>0</v>
      </c>
      <c r="I440" s="38" t="n">
        <f aca="false">(V$23+V$24*SIN(2*PI()/365*A440))*V$25/100*V$7*V$8/100*(1-V$15/100)</f>
        <v>22.4813729705609</v>
      </c>
      <c r="J440" s="38" t="n">
        <f aca="false">(V$23+V$24*SIN(2*PI()/365*A440))*V$25/100*V$9*(1-V$14/100)</f>
        <v>6.01060311641306</v>
      </c>
      <c r="K440" s="39" t="n">
        <f aca="false">IF(E440/C440*100&lt;100,E440/C440*100,100)</f>
        <v>100</v>
      </c>
      <c r="L440" s="2" t="n">
        <f aca="false">IF(((C440-E440)&gt;0)AND(F440&gt;(C440-E440)),(C440-E440),IF(C440&lt;E440,0,F440))</f>
        <v>0</v>
      </c>
      <c r="M440" s="2" t="n">
        <f aca="false">IF(C440&lt;(E440+F440),0,C440-E440-F440)</f>
        <v>0</v>
      </c>
      <c r="N440" s="2" t="n">
        <f aca="false">IF(C440&lt;(E440+F440),0,(C440-E440-F440)/(1-V$16/100))</f>
        <v>0</v>
      </c>
      <c r="O440" s="2" t="n">
        <f aca="false">L440+M440</f>
        <v>0</v>
      </c>
      <c r="P440" s="2" t="n">
        <f aca="false">IF( N440=0,I440*(1-G440/100)+J440*(1-H440/100),-N440)</f>
        <v>27.7340394874799</v>
      </c>
      <c r="Q440" s="47" t="n">
        <f aca="false">IF(P439&gt;0,Q439+P439*(1-V$20/100),Q439+P439)</f>
        <v>1364.10022308765</v>
      </c>
      <c r="R440" s="48" t="n">
        <f aca="false">R$4+Q440/V$28</f>
        <v>56.1352857559878</v>
      </c>
    </row>
    <row r="441" customFormat="false" ht="12.8" hidden="false" customHeight="false" outlineLevel="0" collapsed="false">
      <c r="A441" s="1" t="n">
        <v>437</v>
      </c>
      <c r="B441" s="37" t="n">
        <v>43982</v>
      </c>
      <c r="C441" s="38" t="n">
        <f aca="false">V$26-V$26*SIN(2*PI()/365*A441)</f>
        <v>0.770333387854857</v>
      </c>
      <c r="D441" s="2" t="n">
        <f aca="false">IF((E441+F441)&gt;C441,C441,E441+F441)</f>
        <v>0.770333387854857</v>
      </c>
      <c r="E441" s="38" t="n">
        <f aca="false">(V$23+V$24*SIN(2*PI()/365*A441))*V$25/100*V$7*V$8/100</f>
        <v>25.3282318875748</v>
      </c>
      <c r="F441" s="38" t="n">
        <f aca="false">(V$23+V$24*SIN(2*PI()/365*A441))*V$25/100*V$9*(1-V$14/100)*(1-V$16/100)</f>
        <v>5.3638930313588</v>
      </c>
      <c r="G441" s="38" t="n">
        <f aca="false">IF(C441&gt;E441,100,C441/E441*100)</f>
        <v>3.04140214474567</v>
      </c>
      <c r="H441" s="38" t="n">
        <f aca="false">L441/F441*100</f>
        <v>0</v>
      </c>
      <c r="I441" s="38" t="n">
        <f aca="false">(V$23+V$24*SIN(2*PI()/365*A441))*V$25/100*V$7*V$8/100*(1-V$15/100)</f>
        <v>22.5421263799416</v>
      </c>
      <c r="J441" s="38" t="n">
        <f aca="false">(V$23+V$24*SIN(2*PI()/365*A441))*V$25/100*V$9*(1-V$14/100)</f>
        <v>6.02684610265033</v>
      </c>
      <c r="K441" s="39" t="n">
        <f aca="false">IF(E441/C441*100&lt;100,E441/C441*100,100)</f>
        <v>100</v>
      </c>
      <c r="L441" s="2" t="n">
        <f aca="false">IF(((C441-E441)&gt;0)AND(F441&gt;(C441-E441)),(C441-E441),IF(C441&lt;E441,0,F441))</f>
        <v>0</v>
      </c>
      <c r="M441" s="2" t="n">
        <f aca="false">IF(C441&lt;(E441+F441),0,C441-E441-F441)</f>
        <v>0</v>
      </c>
      <c r="N441" s="2" t="n">
        <f aca="false">IF(C441&lt;(E441+F441),0,(C441-E441-F441)/(1-V$16/100))</f>
        <v>0</v>
      </c>
      <c r="O441" s="2" t="n">
        <f aca="false">L441+M441</f>
        <v>0</v>
      </c>
      <c r="P441" s="2" t="n">
        <f aca="false">IF( N441=0,I441*(1-G441/100)+J441*(1-H441/100),-N441)</f>
        <v>27.8833757674011</v>
      </c>
      <c r="Q441" s="47" t="n">
        <f aca="false">IF(P440&gt;0,Q440+P440*(1-V$20/100),Q440+P440)</f>
        <v>1389.892879811</v>
      </c>
      <c r="R441" s="48" t="n">
        <f aca="false">R$4+Q441/V$28</f>
        <v>56.440374692705</v>
      </c>
    </row>
    <row r="442" customFormat="false" ht="12.8" hidden="false" customHeight="false" outlineLevel="0" collapsed="false">
      <c r="A442" s="1" t="n">
        <v>438</v>
      </c>
      <c r="B442" s="37" t="n">
        <v>43983</v>
      </c>
      <c r="C442" s="38" t="n">
        <f aca="false">V$26-V$26*SIN(2*PI()/365*A442)</f>
        <v>0.693020147610268</v>
      </c>
      <c r="D442" s="2" t="n">
        <f aca="false">IF((E442+F442)&gt;C442,C442,E442+F442)</f>
        <v>0.693020147610268</v>
      </c>
      <c r="E442" s="38" t="n">
        <f aca="false">(V$23+V$24*SIN(2*PI()/365*A442))*V$25/100*V$7*V$8/100</f>
        <v>25.3931620845244</v>
      </c>
      <c r="F442" s="38" t="n">
        <f aca="false">(V$23+V$24*SIN(2*PI()/365*A442))*V$25/100*V$9*(1-V$14/100)*(1-V$16/100)</f>
        <v>5.37764364105349</v>
      </c>
      <c r="G442" s="38" t="n">
        <f aca="false">IF(C442&gt;E442,100,C442/E442*100)</f>
        <v>2.72916049329918</v>
      </c>
      <c r="H442" s="38" t="n">
        <f aca="false">L442/F442*100</f>
        <v>0</v>
      </c>
      <c r="I442" s="38" t="n">
        <f aca="false">(V$23+V$24*SIN(2*PI()/365*A442))*V$25/100*V$7*V$8/100*(1-V$15/100)</f>
        <v>22.5999142552267</v>
      </c>
      <c r="J442" s="38" t="n">
        <f aca="false">(V$23+V$24*SIN(2*PI()/365*A442))*V$25/100*V$9*(1-V$14/100)</f>
        <v>6.0422962259028</v>
      </c>
      <c r="K442" s="39" t="n">
        <f aca="false">IF(E442/C442*100&lt;100,E442/C442*100,100)</f>
        <v>100</v>
      </c>
      <c r="L442" s="2" t="n">
        <f aca="false">IF(((C442-E442)&gt;0)AND(F442&gt;(C442-E442)),(C442-E442),IF(C442&lt;E442,0,F442))</f>
        <v>0</v>
      </c>
      <c r="M442" s="2" t="n">
        <f aca="false">IF(C442&lt;(E442+F442),0,C442-E442-F442)</f>
        <v>0</v>
      </c>
      <c r="N442" s="2" t="n">
        <f aca="false">IF(C442&lt;(E442+F442),0,(C442-E442-F442)/(1-V$16/100))</f>
        <v>0</v>
      </c>
      <c r="O442" s="2" t="n">
        <f aca="false">L442+M442</f>
        <v>0</v>
      </c>
      <c r="P442" s="2" t="n">
        <f aca="false">IF( N442=0,I442*(1-G442/100)+J442*(1-H442/100),-N442)</f>
        <v>28.0254225497564</v>
      </c>
      <c r="Q442" s="47" t="n">
        <f aca="false">IF(P441&gt;0,Q441+P441*(1-V$20/100),Q441+P441)</f>
        <v>1415.82441927468</v>
      </c>
      <c r="R442" s="48" t="n">
        <f aca="false">R$4+Q442/V$28</f>
        <v>56.7471064065904</v>
      </c>
    </row>
    <row r="443" customFormat="false" ht="12.8" hidden="false" customHeight="false" outlineLevel="0" collapsed="false">
      <c r="A443" s="1" t="n">
        <v>439</v>
      </c>
      <c r="B443" s="37" t="n">
        <v>43984</v>
      </c>
      <c r="C443" s="38" t="n">
        <f aca="false">V$26-V$26*SIN(2*PI()/365*A443)</f>
        <v>0.619697345582761</v>
      </c>
      <c r="D443" s="2" t="n">
        <f aca="false">IF((E443+F443)&gt;C443,C443,E443+F443)</f>
        <v>0.619697345582761</v>
      </c>
      <c r="E443" s="38" t="n">
        <f aca="false">(V$23+V$24*SIN(2*PI()/365*A443))*V$25/100*V$7*V$8/100</f>
        <v>25.4547409804739</v>
      </c>
      <c r="F443" s="38" t="n">
        <f aca="false">(V$23+V$24*SIN(2*PI()/365*A443))*V$25/100*V$9*(1-V$14/100)*(1-V$16/100)</f>
        <v>5.39068452808929</v>
      </c>
      <c r="G443" s="38" t="n">
        <f aca="false">IF(C443&gt;E443,100,C443/E443*100)</f>
        <v>2.43450658585811</v>
      </c>
      <c r="H443" s="38" t="n">
        <f aca="false">L443/F443*100</f>
        <v>0</v>
      </c>
      <c r="I443" s="38" t="n">
        <f aca="false">(V$23+V$24*SIN(2*PI()/365*A443))*V$25/100*V$7*V$8/100*(1-V$15/100)</f>
        <v>22.6547194726218</v>
      </c>
      <c r="J443" s="38" t="n">
        <f aca="false">(V$23+V$24*SIN(2*PI()/365*A443))*V$25/100*V$9*(1-V$14/100)</f>
        <v>6.0569489079655</v>
      </c>
      <c r="K443" s="39" t="n">
        <f aca="false">IF(E443/C443*100&lt;100,E443/C443*100,100)</f>
        <v>100</v>
      </c>
      <c r="L443" s="2" t="n">
        <f aca="false">IF(((C443-E443)&gt;0)AND(F443&gt;(C443-E443)),(C443-E443),IF(C443&lt;E443,0,F443))</f>
        <v>0</v>
      </c>
      <c r="M443" s="2" t="n">
        <f aca="false">IF(C443&lt;(E443+F443),0,C443-E443-F443)</f>
        <v>0</v>
      </c>
      <c r="N443" s="2" t="n">
        <f aca="false">IF(C443&lt;(E443+F443),0,(C443-E443-F443)/(1-V$16/100))</f>
        <v>0</v>
      </c>
      <c r="O443" s="2" t="n">
        <f aca="false">L443+M443</f>
        <v>0</v>
      </c>
      <c r="P443" s="2" t="n">
        <f aca="false">IF( N443=0,I443*(1-G443/100)+J443*(1-H443/100),-N443)</f>
        <v>28.1601377430187</v>
      </c>
      <c r="Q443" s="47" t="n">
        <f aca="false">IF(P442&gt;0,Q442+P442*(1-V$20/100),Q442+P442)</f>
        <v>1441.88806224596</v>
      </c>
      <c r="R443" s="48" t="n">
        <f aca="false">R$4+Q443/V$28</f>
        <v>57.0554007093592</v>
      </c>
    </row>
    <row r="444" customFormat="false" ht="12.8" hidden="false" customHeight="false" outlineLevel="0" collapsed="false">
      <c r="A444" s="1" t="n">
        <v>440</v>
      </c>
      <c r="B444" s="37" t="n">
        <v>43985</v>
      </c>
      <c r="C444" s="38" t="n">
        <f aca="false">V$26-V$26*SIN(2*PI()/365*A444)</f>
        <v>0.550386708901018</v>
      </c>
      <c r="D444" s="2" t="n">
        <f aca="false">IF((E444+F444)&gt;C444,C444,E444+F444)</f>
        <v>0.550386708901018</v>
      </c>
      <c r="E444" s="38" t="n">
        <f aca="false">(V$23+V$24*SIN(2*PI()/365*A444))*V$25/100*V$7*V$8/100</f>
        <v>25.5129503282676</v>
      </c>
      <c r="F444" s="38" t="n">
        <f aca="false">(V$23+V$24*SIN(2*PI()/365*A444))*V$25/100*V$9*(1-V$14/100)*(1-V$16/100)</f>
        <v>5.40301182816993</v>
      </c>
      <c r="G444" s="38" t="n">
        <f aca="false">IF(C444&gt;E444,100,C444/E444*100)</f>
        <v>2.15728366111859</v>
      </c>
      <c r="H444" s="38" t="n">
        <f aca="false">L444/F444*100</f>
        <v>0</v>
      </c>
      <c r="I444" s="38" t="n">
        <f aca="false">(V$23+V$24*SIN(2*PI()/365*A444))*V$25/100*V$7*V$8/100*(1-V$15/100)</f>
        <v>22.7065257921581</v>
      </c>
      <c r="J444" s="38" t="n">
        <f aca="false">(V$23+V$24*SIN(2*PI()/365*A444))*V$25/100*V$9*(1-V$14/100)</f>
        <v>6.07079980693251</v>
      </c>
      <c r="K444" s="39" t="n">
        <f aca="false">IF(E444/C444*100&lt;100,E444/C444*100,100)</f>
        <v>100</v>
      </c>
      <c r="L444" s="2" t="n">
        <f aca="false">IF(((C444-E444)&gt;0)AND(F444&gt;(C444-E444)),(C444-E444),IF(C444&lt;E444,0,F444))</f>
        <v>0</v>
      </c>
      <c r="M444" s="2" t="n">
        <f aca="false">IF(C444&lt;(E444+F444),0,C444-E444-F444)</f>
        <v>0</v>
      </c>
      <c r="N444" s="2" t="n">
        <f aca="false">IF(C444&lt;(E444+F444),0,(C444-E444-F444)/(1-V$16/100))</f>
        <v>0</v>
      </c>
      <c r="O444" s="2" t="n">
        <f aca="false">L444+M444</f>
        <v>0</v>
      </c>
      <c r="P444" s="2" t="n">
        <f aca="false">IF( N444=0,I444*(1-G444/100)+J444*(1-H444/100),-N444)</f>
        <v>28.2874814281687</v>
      </c>
      <c r="Q444" s="47" t="n">
        <f aca="false">IF(P443&gt;0,Q443+P443*(1-V$20/100),Q443+P443)</f>
        <v>1468.07699034697</v>
      </c>
      <c r="R444" s="48" t="n">
        <f aca="false">R$4+Q444/V$28</f>
        <v>57.3651769496975</v>
      </c>
    </row>
    <row r="445" customFormat="false" ht="12.8" hidden="false" customHeight="false" outlineLevel="0" collapsed="false">
      <c r="A445" s="1" t="n">
        <v>441</v>
      </c>
      <c r="B445" s="37" t="n">
        <v>43986</v>
      </c>
      <c r="C445" s="38" t="n">
        <f aca="false">V$26-V$26*SIN(2*PI()/365*A445)</f>
        <v>0.485108775802535</v>
      </c>
      <c r="D445" s="2" t="n">
        <f aca="false">IF((E445+F445)&gt;C445,C445,E445+F445)</f>
        <v>0.485108775802535</v>
      </c>
      <c r="E445" s="38" t="n">
        <f aca="false">(V$23+V$24*SIN(2*PI()/365*A445))*V$25/100*V$7*V$8/100</f>
        <v>25.5677728792192</v>
      </c>
      <c r="F445" s="38" t="n">
        <f aca="false">(V$23+V$24*SIN(2*PI()/365*A445))*V$25/100*V$9*(1-V$14/100)*(1-V$16/100)</f>
        <v>5.41462188845035</v>
      </c>
      <c r="G445" s="38" t="n">
        <f aca="false">IF(C445&gt;E445,100,C445/E445*100)</f>
        <v>1.89734466937798</v>
      </c>
      <c r="H445" s="38" t="n">
        <f aca="false">L445/F445*100</f>
        <v>0</v>
      </c>
      <c r="I445" s="38" t="n">
        <f aca="false">(V$23+V$24*SIN(2*PI()/365*A445))*V$25/100*V$7*V$8/100*(1-V$15/100)</f>
        <v>22.7553178625051</v>
      </c>
      <c r="J445" s="38" t="n">
        <f aca="false">(V$23+V$24*SIN(2*PI()/365*A445))*V$25/100*V$9*(1-V$14/100)</f>
        <v>6.08384481848353</v>
      </c>
      <c r="K445" s="39" t="n">
        <f aca="false">IF(E445/C445*100&lt;100,E445/C445*100,100)</f>
        <v>100</v>
      </c>
      <c r="L445" s="2" t="n">
        <f aca="false">IF(((C445-E445)&gt;0)AND(F445&gt;(C445-E445)),(C445-E445),IF(C445&lt;E445,0,F445))</f>
        <v>0</v>
      </c>
      <c r="M445" s="2" t="n">
        <f aca="false">IF(C445&lt;(E445+F445),0,C445-E445-F445)</f>
        <v>0</v>
      </c>
      <c r="N445" s="2" t="n">
        <f aca="false">IF(C445&lt;(E445+F445),0,(C445-E445-F445)/(1-V$16/100))</f>
        <v>0</v>
      </c>
      <c r="O445" s="2" t="n">
        <f aca="false">L445+M445</f>
        <v>0</v>
      </c>
      <c r="P445" s="2" t="n">
        <f aca="false">IF( N445=0,I445*(1-G445/100)+J445*(1-H445/100),-N445)</f>
        <v>28.4074158705244</v>
      </c>
      <c r="Q445" s="47" t="n">
        <f aca="false">IF(P444&gt;0,Q444+P444*(1-V$20/100),Q444+P444)</f>
        <v>1494.38434807516</v>
      </c>
      <c r="R445" s="48" t="n">
        <f aca="false">R$4+Q445/V$28</f>
        <v>57.6763540371615</v>
      </c>
    </row>
    <row r="446" customFormat="false" ht="12.8" hidden="false" customHeight="false" outlineLevel="0" collapsed="false">
      <c r="A446" s="1" t="n">
        <v>442</v>
      </c>
      <c r="B446" s="37" t="n">
        <v>43987</v>
      </c>
      <c r="C446" s="38" t="n">
        <f aca="false">V$26-V$26*SIN(2*PI()/365*A446)</f>
        <v>0.4238828895477</v>
      </c>
      <c r="D446" s="2" t="n">
        <f aca="false">IF((E446+F446)&gt;C446,C446,E446+F446)</f>
        <v>0.4238828895477</v>
      </c>
      <c r="E446" s="38" t="n">
        <f aca="false">(V$23+V$24*SIN(2*PI()/365*A446))*V$25/100*V$7*V$8/100</f>
        <v>25.619192388224</v>
      </c>
      <c r="F446" s="38" t="n">
        <f aca="false">(V$23+V$24*SIN(2*PI()/365*A446))*V$25/100*V$9*(1-V$14/100)*(1-V$16/100)</f>
        <v>5.42551126861911</v>
      </c>
      <c r="G446" s="38" t="n">
        <f aca="false">IF(C446&gt;E446,100,C446/E446*100)</f>
        <v>1.65455211516559</v>
      </c>
      <c r="H446" s="38" t="n">
        <f aca="false">L446/F446*100</f>
        <v>0</v>
      </c>
      <c r="I446" s="38" t="n">
        <f aca="false">(V$23+V$24*SIN(2*PI()/365*A446))*V$25/100*V$7*V$8/100*(1-V$15/100)</f>
        <v>22.8010812255193</v>
      </c>
      <c r="J446" s="38" t="n">
        <f aca="false">(V$23+V$24*SIN(2*PI()/365*A446))*V$25/100*V$9*(1-V$14/100)</f>
        <v>6.09608007710012</v>
      </c>
      <c r="K446" s="39" t="n">
        <f aca="false">IF(E446/C446*100&lt;100,E446/C446*100,100)</f>
        <v>100</v>
      </c>
      <c r="L446" s="2" t="n">
        <f aca="false">IF(((C446-E446)&gt;0)AND(F446&gt;(C446-E446)),(C446-E446),IF(C446&lt;E446,0,F446))</f>
        <v>0</v>
      </c>
      <c r="M446" s="2" t="n">
        <f aca="false">IF(C446&lt;(E446+F446),0,C446-E446-F446)</f>
        <v>0</v>
      </c>
      <c r="N446" s="2" t="n">
        <f aca="false">IF(C446&lt;(E446+F446),0,(C446-E446-F446)/(1-V$16/100))</f>
        <v>0</v>
      </c>
      <c r="O446" s="2" t="n">
        <f aca="false">L446+M446</f>
        <v>0</v>
      </c>
      <c r="P446" s="2" t="n">
        <f aca="false">IF( N446=0,I446*(1-G446/100)+J446*(1-H446/100),-N446)</f>
        <v>28.519905530922</v>
      </c>
      <c r="Q446" s="47" t="n">
        <f aca="false">IF(P445&gt;0,Q445+P445*(1-V$20/100),Q445+P445)</f>
        <v>1520.80324483475</v>
      </c>
      <c r="R446" s="48" t="n">
        <f aca="false">R$4+Q446/V$28</f>
        <v>57.9888504662062</v>
      </c>
    </row>
    <row r="447" customFormat="false" ht="12.8" hidden="false" customHeight="false" outlineLevel="0" collapsed="false">
      <c r="A447" s="1" t="n">
        <v>443</v>
      </c>
      <c r="B447" s="37" t="n">
        <v>43988</v>
      </c>
      <c r="C447" s="38" t="n">
        <f aca="false">V$26-V$26*SIN(2*PI()/365*A447)</f>
        <v>0.366727192687973</v>
      </c>
      <c r="D447" s="2" t="n">
        <f aca="false">IF((E447+F447)&gt;C447,C447,E447+F447)</f>
        <v>0.366727192687973</v>
      </c>
      <c r="E447" s="38" t="n">
        <f aca="false">(V$23+V$24*SIN(2*PI()/365*A447))*V$25/100*V$7*V$8/100</f>
        <v>25.6671936185715</v>
      </c>
      <c r="F447" s="38" t="n">
        <f aca="false">(V$23+V$24*SIN(2*PI()/365*A447))*V$25/100*V$9*(1-V$14/100)*(1-V$16/100)</f>
        <v>5.43567674191786</v>
      </c>
      <c r="G447" s="38" t="n">
        <f aca="false">IF(C447&gt;E447,100,C447/E447*100)</f>
        <v>1.42877791058009</v>
      </c>
      <c r="H447" s="38" t="n">
        <f aca="false">L447/F447*100</f>
        <v>0</v>
      </c>
      <c r="I447" s="38" t="n">
        <f aca="false">(V$23+V$24*SIN(2*PI()/365*A447))*V$25/100*V$7*V$8/100*(1-V$15/100)</f>
        <v>22.8438023205286</v>
      </c>
      <c r="J447" s="38" t="n">
        <f aca="false">(V$23+V$24*SIN(2*PI()/365*A447))*V$25/100*V$9*(1-V$14/100)</f>
        <v>6.10750195721108</v>
      </c>
      <c r="K447" s="39" t="n">
        <f aca="false">IF(E447/C447*100&lt;100,E447/C447*100,100)</f>
        <v>100</v>
      </c>
      <c r="L447" s="2" t="n">
        <f aca="false">IF(((C447-E447)&gt;0)AND(F447&gt;(C447-E447)),(C447-E447),IF(C447&lt;E447,0,F447))</f>
        <v>0</v>
      </c>
      <c r="M447" s="2" t="n">
        <f aca="false">IF(C447&lt;(E447+F447),0,C447-E447-F447)</f>
        <v>0</v>
      </c>
      <c r="N447" s="2" t="n">
        <f aca="false">IF(C447&lt;(E447+F447),0,(C447-E447-F447)/(1-V$16/100))</f>
        <v>0</v>
      </c>
      <c r="O447" s="2" t="n">
        <f aca="false">L447+M447</f>
        <v>0</v>
      </c>
      <c r="P447" s="2" t="n">
        <f aca="false">IF( N447=0,I447*(1-G447/100)+J447*(1-H447/100),-N447)</f>
        <v>28.6249170762474</v>
      </c>
      <c r="Q447" s="47" t="n">
        <f aca="false">IF(P446&gt;0,Q446+P446*(1-V$20/100),Q446+P446)</f>
        <v>1547.32675697851</v>
      </c>
      <c r="R447" s="48" t="n">
        <f aca="false">R$4+Q447/V$28</f>
        <v>58.302584340337</v>
      </c>
    </row>
    <row r="448" customFormat="false" ht="12.8" hidden="false" customHeight="false" outlineLevel="0" collapsed="false">
      <c r="A448" s="1" t="n">
        <v>444</v>
      </c>
      <c r="B448" s="37" t="n">
        <v>43989</v>
      </c>
      <c r="C448" s="38" t="n">
        <f aca="false">V$26-V$26*SIN(2*PI()/365*A448)</f>
        <v>0.313658621689854</v>
      </c>
      <c r="D448" s="2" t="n">
        <f aca="false">IF((E448+F448)&gt;C448,C448,E448+F448)</f>
        <v>0.313658621689854</v>
      </c>
      <c r="E448" s="38" t="n">
        <f aca="false">(V$23+V$24*SIN(2*PI()/365*A448))*V$25/100*V$7*V$8/100</f>
        <v>25.7117623464613</v>
      </c>
      <c r="F448" s="38" t="n">
        <f aca="false">(V$23+V$24*SIN(2*PI()/365*A448))*V$25/100*V$9*(1-V$14/100)*(1-V$16/100)</f>
        <v>5.44511529609748</v>
      </c>
      <c r="G448" s="38" t="n">
        <f aca="false">IF(C448&gt;E448,100,C448/E448*100)</f>
        <v>1.21990323908319</v>
      </c>
      <c r="H448" s="38" t="n">
        <f aca="false">L448/F448*100</f>
        <v>0</v>
      </c>
      <c r="I448" s="38" t="n">
        <f aca="false">(V$23+V$24*SIN(2*PI()/365*A448))*V$25/100*V$7*V$8/100*(1-V$15/100)</f>
        <v>22.8834684883506</v>
      </c>
      <c r="J448" s="38" t="n">
        <f aca="false">(V$23+V$24*SIN(2*PI()/365*A448))*V$25/100*V$9*(1-V$14/100)</f>
        <v>6.11810707426683</v>
      </c>
      <c r="K448" s="39" t="n">
        <f aca="false">IF(E448/C448*100&lt;100,E448/C448*100,100)</f>
        <v>100</v>
      </c>
      <c r="L448" s="2" t="n">
        <f aca="false">IF(((C448-E448)&gt;0)AND(F448&gt;(C448-E448)),(C448-E448),IF(C448&lt;E448,0,F448))</f>
        <v>0</v>
      </c>
      <c r="M448" s="2" t="n">
        <f aca="false">IF(C448&lt;(E448+F448),0,C448-E448-F448)</f>
        <v>0</v>
      </c>
      <c r="N448" s="2" t="n">
        <f aca="false">IF(C448&lt;(E448+F448),0,(C448-E448-F448)/(1-V$16/100))</f>
        <v>0</v>
      </c>
      <c r="O448" s="2" t="n">
        <f aca="false">L448+M448</f>
        <v>0</v>
      </c>
      <c r="P448" s="2" t="n">
        <f aca="false">IF( N448=0,I448*(1-G448/100)+J448*(1-H448/100),-N448)</f>
        <v>28.7224193893134</v>
      </c>
      <c r="Q448" s="47" t="n">
        <f aca="false">IF(P447&gt;0,Q447+P447*(1-V$20/100),Q447+P447)</f>
        <v>1573.94792985942</v>
      </c>
      <c r="R448" s="48" t="n">
        <f aca="false">R$4+Q448/V$28</f>
        <v>58.6174733963777</v>
      </c>
    </row>
    <row r="449" customFormat="false" ht="12.8" hidden="false" customHeight="false" outlineLevel="0" collapsed="false">
      <c r="A449" s="1" t="n">
        <v>445</v>
      </c>
      <c r="B449" s="37" t="n">
        <v>43990</v>
      </c>
      <c r="C449" s="38" t="n">
        <f aca="false">V$26-V$26*SIN(2*PI()/365*A449)</f>
        <v>0.264692901916245</v>
      </c>
      <c r="D449" s="2" t="n">
        <f aca="false">IF((E449+F449)&gt;C449,C449,E449+F449)</f>
        <v>0.264692901916245</v>
      </c>
      <c r="E449" s="38" t="n">
        <f aca="false">(V$23+V$24*SIN(2*PI()/365*A449))*V$25/100*V$7*V$8/100</f>
        <v>25.7528853652175</v>
      </c>
      <c r="F449" s="38" t="n">
        <f aca="false">(V$23+V$24*SIN(2*PI()/365*A449))*V$25/100*V$9*(1-V$14/100)*(1-V$16/100)</f>
        <v>5.45382413431066</v>
      </c>
      <c r="G449" s="38" t="n">
        <f aca="false">IF(C449&gt;E449,100,C449/E449*100)</f>
        <v>1.02781842951759</v>
      </c>
      <c r="H449" s="38" t="n">
        <f aca="false">L449/F449*100</f>
        <v>0</v>
      </c>
      <c r="I449" s="38" t="n">
        <f aca="false">(V$23+V$24*SIN(2*PI()/365*A449))*V$25/100*V$7*V$8/100*(1-V$15/100)</f>
        <v>22.9200679750436</v>
      </c>
      <c r="J449" s="38" t="n">
        <f aca="false">(V$23+V$24*SIN(2*PI()/365*A449))*V$25/100*V$9*(1-V$14/100)</f>
        <v>6.12789228574231</v>
      </c>
      <c r="K449" s="39" t="n">
        <f aca="false">IF(E449/C449*100&lt;100,E449/C449*100,100)</f>
        <v>100</v>
      </c>
      <c r="L449" s="2" t="n">
        <f aca="false">IF(((C449-E449)&gt;0)AND(F449&gt;(C449-E449)),(C449-E449),IF(C449&lt;E449,0,F449))</f>
        <v>0</v>
      </c>
      <c r="M449" s="2" t="n">
        <f aca="false">IF(C449&lt;(E449+F449),0,C449-E449-F449)</f>
        <v>0</v>
      </c>
      <c r="N449" s="2" t="n">
        <f aca="false">IF(C449&lt;(E449+F449),0,(C449-E449-F449)/(1-V$16/100))</f>
        <v>0</v>
      </c>
      <c r="O449" s="2" t="n">
        <f aca="false">L449+M449</f>
        <v>0</v>
      </c>
      <c r="P449" s="2" t="n">
        <f aca="false">IF( N449=0,I449*(1-G449/100)+J449*(1-H449/100),-N449)</f>
        <v>28.8123835780804</v>
      </c>
      <c r="Q449" s="47" t="n">
        <f aca="false">IF(P448&gt;0,Q448+P448*(1-V$20/100),Q448+P448)</f>
        <v>1600.65977989148</v>
      </c>
      <c r="R449" s="48" t="n">
        <f aca="false">R$4+Q449/V$28</f>
        <v>58.9334350288469</v>
      </c>
    </row>
    <row r="450" customFormat="false" ht="12.8" hidden="false" customHeight="false" outlineLevel="0" collapsed="false">
      <c r="A450" s="1" t="n">
        <v>446</v>
      </c>
      <c r="B450" s="37" t="n">
        <v>43991</v>
      </c>
      <c r="C450" s="38" t="n">
        <f aca="false">V$26-V$26*SIN(2*PI()/365*A450)</f>
        <v>0.21984454296668</v>
      </c>
      <c r="D450" s="2" t="n">
        <f aca="false">IF((E450+F450)&gt;C450,C450,E450+F450)</f>
        <v>0.21984454296668</v>
      </c>
      <c r="E450" s="38" t="n">
        <f aca="false">(V$23+V$24*SIN(2*PI()/365*A450))*V$25/100*V$7*V$8/100</f>
        <v>25.7905504892021</v>
      </c>
      <c r="F450" s="38" t="n">
        <f aca="false">(V$23+V$24*SIN(2*PI()/365*A450))*V$25/100*V$9*(1-V$14/100)*(1-V$16/100)</f>
        <v>5.46180067594068</v>
      </c>
      <c r="G450" s="38" t="n">
        <f aca="false">IF(C450&gt;E450,100,C450/E450*100)</f>
        <v>0.852422840135667</v>
      </c>
      <c r="H450" s="38" t="n">
        <f aca="false">L450/F450*100</f>
        <v>0</v>
      </c>
      <c r="I450" s="38" t="n">
        <f aca="false">(V$23+V$24*SIN(2*PI()/365*A450))*V$25/100*V$7*V$8/100*(1-V$15/100)</f>
        <v>22.9535899353899</v>
      </c>
      <c r="J450" s="38" t="n">
        <f aca="false">(V$23+V$24*SIN(2*PI()/365*A450))*V$25/100*V$9*(1-V$14/100)</f>
        <v>6.13685469206818</v>
      </c>
      <c r="K450" s="39" t="n">
        <f aca="false">IF(E450/C450*100&lt;100,E450/C450*100,100)</f>
        <v>100</v>
      </c>
      <c r="L450" s="2" t="n">
        <f aca="false">IF(((C450-E450)&gt;0)AND(F450&gt;(C450-E450)),(C450-E450),IF(C450&lt;E450,0,F450))</f>
        <v>0</v>
      </c>
      <c r="M450" s="2" t="n">
        <f aca="false">IF(C450&lt;(E450+F450),0,C450-E450-F450)</f>
        <v>0</v>
      </c>
      <c r="N450" s="2" t="n">
        <f aca="false">IF(C450&lt;(E450+F450),0,(C450-E450-F450)/(1-V$16/100))</f>
        <v>0</v>
      </c>
      <c r="O450" s="2" t="n">
        <f aca="false">L450+M450</f>
        <v>0</v>
      </c>
      <c r="P450" s="2" t="n">
        <f aca="false">IF( N450=0,I450*(1-G450/100)+J450*(1-H450/100),-N450)</f>
        <v>28.8947829842177</v>
      </c>
      <c r="Q450" s="47" t="n">
        <f aca="false">IF(P449&gt;0,Q449+P449*(1-V$20/100),Q449+P449)</f>
        <v>1627.45529661909</v>
      </c>
      <c r="R450" s="48" t="n">
        <f aca="false">R$4+Q450/V$28</f>
        <v>59.2503863144356</v>
      </c>
    </row>
    <row r="451" customFormat="false" ht="12.8" hidden="false" customHeight="false" outlineLevel="0" collapsed="false">
      <c r="A451" s="1" t="n">
        <v>447</v>
      </c>
      <c r="B451" s="37" t="n">
        <v>43992</v>
      </c>
      <c r="C451" s="38" t="n">
        <f aca="false">V$26-V$26*SIN(2*PI()/365*A451)</f>
        <v>0.179126834377824</v>
      </c>
      <c r="D451" s="2" t="n">
        <f aca="false">IF((E451+F451)&gt;C451,C451,E451+F451)</f>
        <v>0.179126834377824</v>
      </c>
      <c r="E451" s="38" t="n">
        <f aca="false">(V$23+V$24*SIN(2*PI()/365*A451))*V$25/100*V$7*V$8/100</f>
        <v>25.824746557426</v>
      </c>
      <c r="F451" s="38" t="n">
        <f aca="false">(V$23+V$24*SIN(2*PI()/365*A451))*V$25/100*V$9*(1-V$14/100)*(1-V$16/100)</f>
        <v>5.46904255736612</v>
      </c>
      <c r="G451" s="38" t="n">
        <f aca="false">IF(C451&gt;E451,100,C451/E451*100)</f>
        <v>0.693624752442403</v>
      </c>
      <c r="H451" s="38" t="n">
        <f aca="false">L451/F451*100</f>
        <v>0</v>
      </c>
      <c r="I451" s="38" t="n">
        <f aca="false">(V$23+V$24*SIN(2*PI()/365*A451))*V$25/100*V$7*V$8/100*(1-V$15/100)</f>
        <v>22.9840244361091</v>
      </c>
      <c r="J451" s="38" t="n">
        <f aca="false">(V$23+V$24*SIN(2*PI()/365*A451))*V$25/100*V$9*(1-V$14/100)</f>
        <v>6.14499163749002</v>
      </c>
      <c r="K451" s="39" t="n">
        <f aca="false">IF(E451/C451*100&lt;100,E451/C451*100,100)</f>
        <v>100</v>
      </c>
      <c r="L451" s="2" t="n">
        <f aca="false">IF(((C451-E451)&gt;0)AND(F451&gt;(C451-E451)),(C451-E451),IF(C451&lt;E451,0,F451))</f>
        <v>0</v>
      </c>
      <c r="M451" s="2" t="n">
        <f aca="false">IF(C451&lt;(E451+F451),0,C451-E451-F451)</f>
        <v>0</v>
      </c>
      <c r="N451" s="2" t="n">
        <f aca="false">IF(C451&lt;(E451+F451),0,(C451-E451-F451)/(1-V$16/100))</f>
        <v>0</v>
      </c>
      <c r="O451" s="2" t="n">
        <f aca="false">L451+M451</f>
        <v>0</v>
      </c>
      <c r="P451" s="2" t="n">
        <f aca="false">IF( N451=0,I451*(1-G451/100)+J451*(1-H451/100),-N451)</f>
        <v>28.9695931910029</v>
      </c>
      <c r="Q451" s="47" t="n">
        <f aca="false">IF(P450&gt;0,Q450+P450*(1-V$20/100),Q450+P450)</f>
        <v>1654.32744479442</v>
      </c>
      <c r="R451" s="48" t="n">
        <f aca="false">R$4+Q451/V$28</f>
        <v>59.5682440365791</v>
      </c>
    </row>
    <row r="452" customFormat="false" ht="12.8" hidden="false" customHeight="false" outlineLevel="0" collapsed="false">
      <c r="A452" s="1" t="n">
        <v>448</v>
      </c>
      <c r="B452" s="37" t="n">
        <v>43993</v>
      </c>
      <c r="C452" s="38" t="n">
        <f aca="false">V$26-V$26*SIN(2*PI()/365*A452)</f>
        <v>0.14255184168549</v>
      </c>
      <c r="D452" s="2" t="n">
        <f aca="false">IF((E452+F452)&gt;C452,C452,E452+F452)</f>
        <v>0.14255184168549</v>
      </c>
      <c r="E452" s="38" t="n">
        <f aca="false">(V$23+V$24*SIN(2*PI()/365*A452))*V$25/100*V$7*V$8/100</f>
        <v>25.8554634368561</v>
      </c>
      <c r="F452" s="38" t="n">
        <f aca="false">(V$23+V$24*SIN(2*PI()/365*A452))*V$25/100*V$9*(1-V$14/100)*(1-V$16/100)</f>
        <v>5.47554763266121</v>
      </c>
      <c r="G452" s="38" t="n">
        <f aca="false">IF(C452&gt;E452,100,C452/E452*100)</f>
        <v>0.551341274673451</v>
      </c>
      <c r="H452" s="38" t="n">
        <f aca="false">L452/F452*100</f>
        <v>0</v>
      </c>
      <c r="I452" s="38" t="n">
        <f aca="false">(V$23+V$24*SIN(2*PI()/365*A452))*V$25/100*V$7*V$8/100*(1-V$15/100)</f>
        <v>23.0113624588019</v>
      </c>
      <c r="J452" s="38" t="n">
        <f aca="false">(V$23+V$24*SIN(2*PI()/365*A452))*V$25/100*V$9*(1-V$14/100)</f>
        <v>6.15230071085529</v>
      </c>
      <c r="K452" s="39" t="n">
        <f aca="false">IF(E452/C452*100&lt;100,E452/C452*100,100)</f>
        <v>100</v>
      </c>
      <c r="L452" s="2" t="n">
        <f aca="false">IF(((C452-E452)&gt;0)AND(F452&gt;(C452-E452)),(C452-E452),IF(C452&lt;E452,0,F452))</f>
        <v>0</v>
      </c>
      <c r="M452" s="2" t="n">
        <f aca="false">IF(C452&lt;(E452+F452),0,C452-E452-F452)</f>
        <v>0</v>
      </c>
      <c r="N452" s="2" t="n">
        <f aca="false">IF(C452&lt;(E452+F452),0,(C452-E452-F452)/(1-V$16/100))</f>
        <v>0</v>
      </c>
      <c r="O452" s="2" t="n">
        <f aca="false">L452+M452</f>
        <v>0</v>
      </c>
      <c r="P452" s="2" t="n">
        <f aca="false">IF( N452=0,I452*(1-G452/100)+J452*(1-H452/100),-N452)</f>
        <v>29.0367920305571</v>
      </c>
      <c r="Q452" s="47" t="n">
        <f aca="false">IF(P451&gt;0,Q451+P451*(1-V$20/100),Q451+P451)</f>
        <v>1681.26916646205</v>
      </c>
      <c r="R452" s="48" t="n">
        <f aca="false">R$4+Q452/V$28</f>
        <v>59.8869247101161</v>
      </c>
    </row>
    <row r="453" customFormat="false" ht="12.8" hidden="false" customHeight="false" outlineLevel="0" collapsed="false">
      <c r="A453" s="1" t="n">
        <v>449</v>
      </c>
      <c r="B453" s="37" t="n">
        <v>43994</v>
      </c>
      <c r="C453" s="38" t="n">
        <f aca="false">V$26-V$26*SIN(2*PI()/365*A453)</f>
        <v>0.110130402849371</v>
      </c>
      <c r="D453" s="2" t="n">
        <f aca="false">IF((E453+F453)&gt;C453,C453,E453+F453)</f>
        <v>0.110130402849371</v>
      </c>
      <c r="E453" s="38" t="n">
        <f aca="false">(V$23+V$24*SIN(2*PI()/365*A453))*V$25/100*V$7*V$8/100</f>
        <v>25.8826920254181</v>
      </c>
      <c r="F453" s="38" t="n">
        <f aca="false">(V$23+V$24*SIN(2*PI()/365*A453))*V$25/100*V$9*(1-V$14/100)*(1-V$16/100)</f>
        <v>5.48131397423176</v>
      </c>
      <c r="G453" s="38" t="n">
        <f aca="false">IF(C453&gt;E453,100,C453/E453*100)</f>
        <v>0.42549825474575</v>
      </c>
      <c r="H453" s="38" t="n">
        <f aca="false">L453/F453*100</f>
        <v>0</v>
      </c>
      <c r="I453" s="38" t="n">
        <f aca="false">(V$23+V$24*SIN(2*PI()/365*A453))*V$25/100*V$7*V$8/100*(1-V$15/100)</f>
        <v>23.0355959026221</v>
      </c>
      <c r="J453" s="38" t="n">
        <f aca="false">(V$23+V$24*SIN(2*PI()/365*A453))*V$25/100*V$9*(1-V$14/100)</f>
        <v>6.15877974632782</v>
      </c>
      <c r="K453" s="39" t="n">
        <f aca="false">IF(E453/C453*100&lt;100,E453/C453*100,100)</f>
        <v>100</v>
      </c>
      <c r="L453" s="2" t="n">
        <f aca="false">IF(((C453-E453)&gt;0)AND(F453&gt;(C453-E453)),(C453-E453),IF(C453&lt;E453,0,F453))</f>
        <v>0</v>
      </c>
      <c r="M453" s="2" t="n">
        <f aca="false">IF(C453&lt;(E453+F453),0,C453-E453-F453)</f>
        <v>0</v>
      </c>
      <c r="N453" s="2" t="n">
        <f aca="false">IF(C453&lt;(E453+F453),0,(C453-E453-F453)/(1-V$16/100))</f>
        <v>0</v>
      </c>
      <c r="O453" s="2" t="n">
        <f aca="false">L453+M453</f>
        <v>0</v>
      </c>
      <c r="P453" s="2" t="n">
        <f aca="false">IF( N453=0,I453*(1-G453/100)+J453*(1-H453/100),-N453)</f>
        <v>29.096359590414</v>
      </c>
      <c r="Q453" s="47" t="n">
        <f aca="false">IF(P452&gt;0,Q452+P452*(1-V$20/100),Q452+P452)</f>
        <v>1708.27338305047</v>
      </c>
      <c r="R453" s="48" t="n">
        <f aca="false">R$4+Q453/V$28</f>
        <v>60.206344606027</v>
      </c>
    </row>
    <row r="454" customFormat="false" ht="12.8" hidden="false" customHeight="false" outlineLevel="0" collapsed="false">
      <c r="A454" s="1" t="n">
        <v>450</v>
      </c>
      <c r="B454" s="37" t="n">
        <v>43995</v>
      </c>
      <c r="C454" s="38" t="n">
        <f aca="false">V$26-V$26*SIN(2*PI()/365*A454)</f>
        <v>0.0818721250414995</v>
      </c>
      <c r="D454" s="2" t="n">
        <f aca="false">IF((E454+F454)&gt;C454,C454,E454+F454)</f>
        <v>0.0818721250414995</v>
      </c>
      <c r="E454" s="38" t="n">
        <f aca="false">(V$23+V$24*SIN(2*PI()/365*A454))*V$25/100*V$7*V$8/100</f>
        <v>25.9064242546937</v>
      </c>
      <c r="F454" s="38" t="n">
        <f aca="false">(V$23+V$24*SIN(2*PI()/365*A454))*V$25/100*V$9*(1-V$14/100)*(1-V$16/100)</f>
        <v>5.4863398733863</v>
      </c>
      <c r="G454" s="38" t="n">
        <f aca="false">IF(C454&gt;E454,100,C454/E454*100)</f>
        <v>0.316030202534285</v>
      </c>
      <c r="H454" s="38" t="n">
        <f aca="false">L454/F454*100</f>
        <v>0</v>
      </c>
      <c r="I454" s="38" t="n">
        <f aca="false">(V$23+V$24*SIN(2*PI()/365*A454))*V$25/100*V$7*V$8/100*(1-V$15/100)</f>
        <v>23.0567175866774</v>
      </c>
      <c r="J454" s="38" t="n">
        <f aca="false">(V$23+V$24*SIN(2*PI()/365*A454))*V$25/100*V$9*(1-V$14/100)</f>
        <v>6.16442682402955</v>
      </c>
      <c r="K454" s="39" t="n">
        <f aca="false">IF(E454/C454*100&lt;100,E454/C454*100,100)</f>
        <v>100</v>
      </c>
      <c r="L454" s="2" t="n">
        <f aca="false">IF(((C454-E454)&gt;0)AND(F454&gt;(C454-E454)),(C454-E454),IF(C454&lt;E454,0,F454))</f>
        <v>0</v>
      </c>
      <c r="M454" s="2" t="n">
        <f aca="false">IF(C454&lt;(E454+F454),0,C454-E454-F454)</f>
        <v>0</v>
      </c>
      <c r="N454" s="2" t="n">
        <f aca="false">IF(C454&lt;(E454+F454),0,(C454-E454-F454)/(1-V$16/100))</f>
        <v>0</v>
      </c>
      <c r="O454" s="2" t="n">
        <f aca="false">L454+M454</f>
        <v>0</v>
      </c>
      <c r="P454" s="2" t="n">
        <f aca="false">IF( N454=0,I454*(1-G454/100)+J454*(1-H454/100),-N454)</f>
        <v>29.14827821942</v>
      </c>
      <c r="Q454" s="47" t="n">
        <f aca="false">IF(P453&gt;0,Q453+P453*(1-V$20/100),Q453+P453)</f>
        <v>1735.33299746955</v>
      </c>
      <c r="R454" s="48" t="n">
        <f aca="false">R$4+Q454/V$28</f>
        <v>60.5264197762447</v>
      </c>
    </row>
    <row r="455" customFormat="false" ht="12.8" hidden="false" customHeight="false" outlineLevel="0" collapsed="false">
      <c r="A455" s="1" t="n">
        <v>451</v>
      </c>
      <c r="B455" s="37" t="n">
        <v>43996</v>
      </c>
      <c r="C455" s="38" t="n">
        <f aca="false">V$26-V$26*SIN(2*PI()/365*A455)</f>
        <v>0.0577853817994587</v>
      </c>
      <c r="D455" s="2" t="n">
        <f aca="false">IF((E455+F455)&gt;C455,C455,E455+F455)</f>
        <v>0.0577853817994587</v>
      </c>
      <c r="E455" s="38" t="n">
        <f aca="false">(V$23+V$24*SIN(2*PI()/365*A455))*V$25/100*V$7*V$8/100</f>
        <v>25.9266530923111</v>
      </c>
      <c r="F455" s="38" t="n">
        <f aca="false">(V$23+V$24*SIN(2*PI()/365*A455))*V$25/100*V$9*(1-V$14/100)*(1-V$16/100)</f>
        <v>5.49062384084245</v>
      </c>
      <c r="G455" s="38" t="n">
        <f aca="false">IF(C455&gt;E455,100,C455/E455*100)</f>
        <v>0.222880221344867</v>
      </c>
      <c r="H455" s="38" t="n">
        <f aca="false">L455/F455*100</f>
        <v>0</v>
      </c>
      <c r="I455" s="38" t="n">
        <f aca="false">(V$23+V$24*SIN(2*PI()/365*A455))*V$25/100*V$7*V$8/100*(1-V$15/100)</f>
        <v>23.0747212521568</v>
      </c>
      <c r="J455" s="38" t="n">
        <f aca="false">(V$23+V$24*SIN(2*PI()/365*A455))*V$25/100*V$9*(1-V$14/100)</f>
        <v>6.1692402706095</v>
      </c>
      <c r="K455" s="39" t="n">
        <f aca="false">IF(E455/C455*100&lt;100,E455/C455*100,100)</f>
        <v>100</v>
      </c>
      <c r="L455" s="2" t="n">
        <f aca="false">IF(((C455-E455)&gt;0)AND(F455&gt;(C455-E455)),(C455-E455),IF(C455&lt;E455,0,F455))</f>
        <v>0</v>
      </c>
      <c r="M455" s="2" t="n">
        <f aca="false">IF(C455&lt;(E455+F455),0,C455-E455-F455)</f>
        <v>0</v>
      </c>
      <c r="N455" s="2" t="n">
        <f aca="false">IF(C455&lt;(E455+F455),0,(C455-E455-F455)/(1-V$16/100))</f>
        <v>0</v>
      </c>
      <c r="O455" s="2" t="n">
        <f aca="false">L455+M455</f>
        <v>0</v>
      </c>
      <c r="P455" s="2" t="n">
        <f aca="false">IF( N455=0,I455*(1-G455/100)+J455*(1-H455/100),-N455)</f>
        <v>29.1925325329648</v>
      </c>
      <c r="Q455" s="47" t="n">
        <f aca="false">IF(P454&gt;0,Q454+P454*(1-V$20/100),Q454+P454)</f>
        <v>1762.44089621361</v>
      </c>
      <c r="R455" s="48" t="n">
        <f aca="false">R$4+Q455/V$28</f>
        <v>60.8470660785301</v>
      </c>
    </row>
    <row r="456" customFormat="false" ht="12.8" hidden="false" customHeight="false" outlineLevel="0" collapsed="false">
      <c r="A456" s="1" t="n">
        <v>452</v>
      </c>
      <c r="B456" s="37" t="n">
        <v>43997</v>
      </c>
      <c r="C456" s="38" t="n">
        <f aca="false">V$26-V$26*SIN(2*PI()/365*A456)</f>
        <v>0.0378773105451007</v>
      </c>
      <c r="D456" s="2" t="n">
        <f aca="false">IF((E456+F456)&gt;C456,C456,E456+F456)</f>
        <v>0.0378773105451007</v>
      </c>
      <c r="E456" s="38" t="n">
        <f aca="false">(V$23+V$24*SIN(2*PI()/365*A456))*V$25/100*V$7*V$8/100</f>
        <v>25.9433725440291</v>
      </c>
      <c r="F456" s="38" t="n">
        <f aca="false">(V$23+V$24*SIN(2*PI()/365*A456))*V$25/100*V$9*(1-V$14/100)*(1-V$16/100)</f>
        <v>5.49416460716821</v>
      </c>
      <c r="G456" s="38" t="n">
        <f aca="false">IF(C456&gt;E456,100,C456/E456*100)</f>
        <v>0.145999948467834</v>
      </c>
      <c r="H456" s="38" t="n">
        <f aca="false">L456/F456*100</f>
        <v>0</v>
      </c>
      <c r="I456" s="38" t="n">
        <f aca="false">(V$23+V$24*SIN(2*PI()/365*A456))*V$25/100*V$7*V$8/100*(1-V$15/100)</f>
        <v>23.0896015641859</v>
      </c>
      <c r="J456" s="38" t="n">
        <f aca="false">(V$23+V$24*SIN(2*PI()/365*A456))*V$25/100*V$9*(1-V$14/100)</f>
        <v>6.17321865973956</v>
      </c>
      <c r="K456" s="39" t="n">
        <f aca="false">IF(E456/C456*100&lt;100,E456/C456*100,100)</f>
        <v>100</v>
      </c>
      <c r="L456" s="2" t="n">
        <f aca="false">IF(((C456-E456)&gt;0)AND(F456&gt;(C456-E456)),(C456-E456),IF(C456&lt;E456,0,F456))</f>
        <v>0</v>
      </c>
      <c r="M456" s="2" t="n">
        <f aca="false">IF(C456&lt;(E456+F456),0,C456-E456-F456)</f>
        <v>0</v>
      </c>
      <c r="N456" s="2" t="n">
        <f aca="false">IF(C456&lt;(E456+F456),0,(C456-E456-F456)/(1-V$16/100))</f>
        <v>0</v>
      </c>
      <c r="O456" s="2" t="n">
        <f aca="false">L456+M456</f>
        <v>0</v>
      </c>
      <c r="P456" s="2" t="n">
        <f aca="false">IF( N456=0,I456*(1-G456/100)+J456*(1-H456/100),-N456)</f>
        <v>29.2291094175403</v>
      </c>
      <c r="Q456" s="47" t="n">
        <f aca="false">IF(P455&gt;0,Q455+P455*(1-V$20/100),Q455+P455)</f>
        <v>1789.58995146927</v>
      </c>
      <c r="R456" s="48" t="n">
        <f aca="false">R$4+Q456/V$28</f>
        <v>61.1681992014055</v>
      </c>
    </row>
    <row r="457" customFormat="false" ht="12.8" hidden="false" customHeight="false" outlineLevel="0" collapsed="false">
      <c r="A457" s="1" t="n">
        <v>453</v>
      </c>
      <c r="B457" s="37" t="n">
        <v>43998</v>
      </c>
      <c r="C457" s="38" t="n">
        <f aca="false">V$26-V$26*SIN(2*PI()/365*A457)</f>
        <v>0.0221538104695931</v>
      </c>
      <c r="D457" s="2" t="n">
        <f aca="false">IF((E457+F457)&gt;C457,C457,E457+F457)</f>
        <v>0.0221538104695931</v>
      </c>
      <c r="E457" s="38" t="n">
        <f aca="false">(V$23+V$24*SIN(2*PI()/365*A457))*V$25/100*V$7*V$8/100</f>
        <v>25.9565776555133</v>
      </c>
      <c r="F457" s="38" t="n">
        <f aca="false">(V$23+V$24*SIN(2*PI()/365*A457))*V$25/100*V$9*(1-V$14/100)*(1-V$16/100)</f>
        <v>5.49696112315808</v>
      </c>
      <c r="G457" s="38" t="n">
        <f aca="false">IF(C457&gt;E457,100,C457/E457*100)</f>
        <v>0.0853495047136442</v>
      </c>
      <c r="H457" s="38" t="n">
        <f aca="false">L457/F457*100</f>
        <v>0</v>
      </c>
      <c r="I457" s="38" t="n">
        <f aca="false">(V$23+V$24*SIN(2*PI()/365*A457))*V$25/100*V$7*V$8/100*(1-V$15/100)</f>
        <v>23.1013541134069</v>
      </c>
      <c r="J457" s="38" t="n">
        <f aca="false">(V$23+V$24*SIN(2*PI()/365*A457))*V$25/100*V$9*(1-V$14/100)</f>
        <v>6.17636081253717</v>
      </c>
      <c r="K457" s="39" t="n">
        <f aca="false">IF(E457/C457*100&lt;100,E457/C457*100,100)</f>
        <v>100</v>
      </c>
      <c r="L457" s="2" t="n">
        <f aca="false">IF(((C457-E457)&gt;0)AND(F457&gt;(C457-E457)),(C457-E457),IF(C457&lt;E457,0,F457))</f>
        <v>0</v>
      </c>
      <c r="M457" s="2" t="n">
        <f aca="false">IF(C457&lt;(E457+F457),0,C457-E457-F457)</f>
        <v>0</v>
      </c>
      <c r="N457" s="2" t="n">
        <f aca="false">IF(C457&lt;(E457+F457),0,(C457-E457-F457)/(1-V$16/100))</f>
        <v>0</v>
      </c>
      <c r="O457" s="2" t="n">
        <f aca="false">L457+M457</f>
        <v>0</v>
      </c>
      <c r="P457" s="2" t="n">
        <f aca="false">IF( N457=0,I457*(1-G457/100)+J457*(1-H457/100),-N457)</f>
        <v>29.2579980346261</v>
      </c>
      <c r="Q457" s="47" t="n">
        <f aca="false">IF(P456&gt;0,Q456+P456*(1-V$20/100),Q456+P456)</f>
        <v>1816.77302322758</v>
      </c>
      <c r="R457" s="48" t="n">
        <f aca="false">R$4+Q457/V$28</f>
        <v>61.4897346891376</v>
      </c>
    </row>
    <row r="458" customFormat="false" ht="12.8" hidden="false" customHeight="false" outlineLevel="0" collapsed="false">
      <c r="A458" s="1" t="n">
        <v>454</v>
      </c>
      <c r="B458" s="37" t="n">
        <v>43999</v>
      </c>
      <c r="C458" s="38" t="n">
        <f aca="false">V$26-V$26*SIN(2*PI()/365*A458)</f>
        <v>0.0106195407853473</v>
      </c>
      <c r="D458" s="2" t="n">
        <f aca="false">IF((E458+F458)&gt;C458,C458,E458+F458)</f>
        <v>0.0106195407853473</v>
      </c>
      <c r="E458" s="38" t="n">
        <f aca="false">(V$23+V$24*SIN(2*PI()/365*A458))*V$25/100*V$7*V$8/100</f>
        <v>25.9662645138043</v>
      </c>
      <c r="F458" s="38" t="n">
        <f aca="false">(V$23+V$24*SIN(2*PI()/365*A458))*V$25/100*V$9*(1-V$14/100)*(1-V$16/100)</f>
        <v>5.49901256014403</v>
      </c>
      <c r="G458" s="38" t="n">
        <f aca="false">IF(C458&gt;E458,100,C458/E458*100)</f>
        <v>0.0408974528457942</v>
      </c>
      <c r="H458" s="38" t="n">
        <f aca="false">L458/F458*100</f>
        <v>0</v>
      </c>
      <c r="I458" s="38" t="n">
        <f aca="false">(V$23+V$24*SIN(2*PI()/365*A458))*V$25/100*V$7*V$8/100*(1-V$15/100)</f>
        <v>23.1099754172859</v>
      </c>
      <c r="J458" s="38" t="n">
        <f aca="false">(V$23+V$24*SIN(2*PI()/365*A458))*V$25/100*V$9*(1-V$14/100)</f>
        <v>6.17866579791464</v>
      </c>
      <c r="K458" s="39" t="n">
        <f aca="false">IF(E458/C458*100&lt;100,E458/C458*100,100)</f>
        <v>100</v>
      </c>
      <c r="L458" s="2" t="n">
        <f aca="false">IF(((C458-E458)&gt;0)AND(F458&gt;(C458-E458)),(C458-E458),IF(C458&lt;E458,0,F458))</f>
        <v>0</v>
      </c>
      <c r="M458" s="2" t="n">
        <f aca="false">IF(C458&lt;(E458+F458),0,C458-E458-F458)</f>
        <v>0</v>
      </c>
      <c r="N458" s="2" t="n">
        <f aca="false">IF(C458&lt;(E458+F458),0,(C458-E458-F458)/(1-V$16/100))</f>
        <v>0</v>
      </c>
      <c r="O458" s="2" t="n">
        <f aca="false">L458+M458</f>
        <v>0</v>
      </c>
      <c r="P458" s="2" t="n">
        <f aca="false">IF( N458=0,I458*(1-G458/100)+J458*(1-H458/100),-N458)</f>
        <v>29.2791898239015</v>
      </c>
      <c r="Q458" s="47" t="n">
        <f aca="false">IF(P457&gt;0,Q457+P457*(1-V$20/100),Q457+P457)</f>
        <v>1843.98296139978</v>
      </c>
      <c r="R458" s="48" t="n">
        <f aca="false">R$4+Q458/V$28</f>
        <v>61.8115879667637</v>
      </c>
    </row>
    <row r="459" customFormat="false" ht="12.8" hidden="false" customHeight="false" outlineLevel="0" collapsed="false">
      <c r="A459" s="1" t="n">
        <v>455</v>
      </c>
      <c r="B459" s="37" t="n">
        <v>44000</v>
      </c>
      <c r="C459" s="38" t="n">
        <f aca="false">V$26-V$26*SIN(2*PI()/365*A459)</f>
        <v>0.00327791934540222</v>
      </c>
      <c r="D459" s="2" t="n">
        <f aca="false">IF((E459+F459)&gt;C459,C459,E459+F459)</f>
        <v>0.00327791934540222</v>
      </c>
      <c r="E459" s="38" t="n">
        <f aca="false">(V$23+V$24*SIN(2*PI()/365*A459))*V$25/100*V$7*V$8/100</f>
        <v>25.9724302484769</v>
      </c>
      <c r="F459" s="38" t="n">
        <f aca="false">(V$23+V$24*SIN(2*PI()/365*A459))*V$25/100*V$9*(1-V$14/100)*(1-V$16/100)</f>
        <v>5.500318310241</v>
      </c>
      <c r="G459" s="38" t="n">
        <f aca="false">IF(C459&gt;E459,100,C459/E459*100)</f>
        <v>0.0126207648419595</v>
      </c>
      <c r="H459" s="38" t="n">
        <f aca="false">L459/F459*100</f>
        <v>0</v>
      </c>
      <c r="I459" s="38" t="n">
        <f aca="false">(V$23+V$24*SIN(2*PI()/365*A459))*V$25/100*V$7*V$8/100*(1-V$15/100)</f>
        <v>23.1154629211445</v>
      </c>
      <c r="J459" s="38" t="n">
        <f aca="false">(V$23+V$24*SIN(2*PI()/365*A459))*V$25/100*V$9*(1-V$14/100)</f>
        <v>6.18013293285506</v>
      </c>
      <c r="K459" s="39" t="n">
        <f aca="false">IF(E459/C459*100&lt;100,E459/C459*100,100)</f>
        <v>100</v>
      </c>
      <c r="L459" s="2" t="n">
        <f aca="false">IF(((C459-E459)&gt;0)AND(F459&gt;(C459-E459)),(C459-E459),IF(C459&lt;E459,0,F459))</f>
        <v>0</v>
      </c>
      <c r="M459" s="2" t="n">
        <f aca="false">IF(C459&lt;(E459+F459),0,C459-E459-F459)</f>
        <v>0</v>
      </c>
      <c r="N459" s="2" t="n">
        <f aca="false">IF(C459&lt;(E459+F459),0,(C459-E459-F459)/(1-V$16/100))</f>
        <v>0</v>
      </c>
      <c r="O459" s="2" t="n">
        <f aca="false">L459+M459</f>
        <v>0</v>
      </c>
      <c r="P459" s="2" t="n">
        <f aca="false">IF( N459=0,I459*(1-G459/100)+J459*(1-H459/100),-N459)</f>
        <v>29.2926785057821</v>
      </c>
      <c r="Q459" s="47" t="n">
        <f aca="false">IF(P458&gt;0,Q458+P458*(1-V$20/100),Q458+P458)</f>
        <v>1871.21260793601</v>
      </c>
      <c r="R459" s="48" t="n">
        <f aca="false">R$4+Q459/V$28</f>
        <v>62.1336743651532</v>
      </c>
    </row>
    <row r="460" customFormat="false" ht="12.8" hidden="false" customHeight="false" outlineLevel="0" collapsed="false">
      <c r="A460" s="1" t="n">
        <v>456</v>
      </c>
      <c r="B460" s="37" t="n">
        <v>44001</v>
      </c>
      <c r="C460" s="38" t="n">
        <f aca="false">V$26-V$26*SIN(2*PI()/365*A460)</f>
        <v>0.000131121630637665</v>
      </c>
      <c r="D460" s="2" t="n">
        <f aca="false">IF((E460+F460)&gt;C460,C460,E460+F460)</f>
        <v>0.000131121630637665</v>
      </c>
      <c r="E460" s="38" t="n">
        <f aca="false">(V$23+V$24*SIN(2*PI()/365*A460))*V$25/100*V$7*V$8/100</f>
        <v>25.9750730324908</v>
      </c>
      <c r="F460" s="38" t="n">
        <f aca="false">(V$23+V$24*SIN(2*PI()/365*A460))*V$25/100*V$9*(1-V$14/100)*(1-V$16/100)</f>
        <v>5.50087798652707</v>
      </c>
      <c r="G460" s="38" t="n">
        <f aca="false">IF(C460&gt;E460,100,C460/E460*100)</f>
        <v>0.000504797928666657</v>
      </c>
      <c r="H460" s="38" t="n">
        <f aca="false">L460/F460*100</f>
        <v>0</v>
      </c>
      <c r="I460" s="38" t="n">
        <f aca="false">(V$23+V$24*SIN(2*PI()/365*A460))*V$25/100*V$7*V$8/100*(1-V$15/100)</f>
        <v>23.1178149989168</v>
      </c>
      <c r="J460" s="38" t="n">
        <f aca="false">(V$23+V$24*SIN(2*PI()/365*A460))*V$25/100*V$9*(1-V$14/100)</f>
        <v>6.18076178261469</v>
      </c>
      <c r="K460" s="39" t="n">
        <f aca="false">IF(E460/C460*100&lt;100,E460/C460*100,100)</f>
        <v>100</v>
      </c>
      <c r="L460" s="2" t="n">
        <f aca="false">IF(((C460-E460)&gt;0)AND(F460&gt;(C460-E460)),(C460-E460),IF(C460&lt;E460,0,F460))</f>
        <v>0</v>
      </c>
      <c r="M460" s="2" t="n">
        <f aca="false">IF(C460&lt;(E460+F460),0,C460-E460-F460)</f>
        <v>0</v>
      </c>
      <c r="N460" s="2" t="n">
        <f aca="false">IF(C460&lt;(E460+F460),0,(C460-E460-F460)/(1-V$16/100))</f>
        <v>0</v>
      </c>
      <c r="O460" s="2" t="n">
        <f aca="false">L460+M460</f>
        <v>0</v>
      </c>
      <c r="P460" s="2" t="n">
        <f aca="false">IF( N460=0,I460*(1-G460/100)+J460*(1-H460/100),-N460)</f>
        <v>29.2984600832802</v>
      </c>
      <c r="Q460" s="47" t="n">
        <f aca="false">IF(P459&gt;0,Q459+P459*(1-V$20/100),Q459+P459)</f>
        <v>1898.45479894639</v>
      </c>
      <c r="R460" s="48" t="n">
        <f aca="false">R$4+Q460/V$28</f>
        <v>62.4559091460967</v>
      </c>
    </row>
    <row r="461" customFormat="false" ht="12.8" hidden="false" customHeight="false" outlineLevel="0" collapsed="false">
      <c r="A461" s="1" t="n">
        <v>457</v>
      </c>
      <c r="B461" s="37" t="n">
        <v>44002</v>
      </c>
      <c r="C461" s="38" t="n">
        <f aca="false">V$26-V$26*SIN(2*PI()/365*A461)</f>
        <v>0.00118008010512405</v>
      </c>
      <c r="D461" s="2" t="n">
        <f aca="false">IF((E461+F461)&gt;C461,C461,E461+F461)</f>
        <v>0.00118008010512405</v>
      </c>
      <c r="E461" s="38" t="n">
        <f aca="false">(V$23+V$24*SIN(2*PI()/365*A461))*V$25/100*V$7*V$8/100</f>
        <v>25.9741920827321</v>
      </c>
      <c r="F461" s="38" t="n">
        <f aca="false">(V$23+V$24*SIN(2*PI()/365*A461))*V$25/100*V$9*(1-V$14/100)*(1-V$16/100)</f>
        <v>5.50069142315807</v>
      </c>
      <c r="G461" s="38" t="n">
        <f aca="false">IF(C461&gt;E461,100,C461/E461*100)</f>
        <v>0.0045432793496148</v>
      </c>
      <c r="H461" s="38" t="n">
        <f aca="false">L461/F461*100</f>
        <v>0</v>
      </c>
      <c r="I461" s="38" t="n">
        <f aca="false">(V$23+V$24*SIN(2*PI()/365*A461))*V$25/100*V$7*V$8/100*(1-V$15/100)</f>
        <v>23.1170309536315</v>
      </c>
      <c r="J461" s="38" t="n">
        <f aca="false">(V$23+V$24*SIN(2*PI()/365*A461))*V$25/100*V$9*(1-V$14/100)</f>
        <v>6.18055216085176</v>
      </c>
      <c r="K461" s="39" t="n">
        <f aca="false">IF(E461/C461*100&lt;100,E461/C461*100,100)</f>
        <v>100</v>
      </c>
      <c r="L461" s="2" t="n">
        <f aca="false">IF(((C461-E461)&gt;0)AND(F461&gt;(C461-E461)),(C461-E461),IF(C461&lt;E461,0,F461))</f>
        <v>0</v>
      </c>
      <c r="M461" s="2" t="n">
        <f aca="false">IF(C461&lt;(E461+F461),0,C461-E461-F461)</f>
        <v>0</v>
      </c>
      <c r="N461" s="2" t="n">
        <f aca="false">IF(C461&lt;(E461+F461),0,(C461-E461-F461)/(1-V$16/100))</f>
        <v>0</v>
      </c>
      <c r="O461" s="2" t="n">
        <f aca="false">L461+M461</f>
        <v>0</v>
      </c>
      <c r="P461" s="2" t="n">
        <f aca="false">IF( N461=0,I461*(1-G461/100)+J461*(1-H461/100),-N461)</f>
        <v>29.2965328431897</v>
      </c>
      <c r="Q461" s="47" t="n">
        <f aca="false">IF(P460&gt;0,Q460+P460*(1-V$20/100),Q460+P460)</f>
        <v>1925.70236682384</v>
      </c>
      <c r="R461" s="48" t="n">
        <f aca="false">R$4+Q461/V$28</f>
        <v>62.7782075274159</v>
      </c>
    </row>
    <row r="462" customFormat="false" ht="12.8" hidden="false" customHeight="false" outlineLevel="0" collapsed="false">
      <c r="A462" s="1" t="n">
        <v>458</v>
      </c>
      <c r="B462" s="37" t="n">
        <v>44003</v>
      </c>
      <c r="C462" s="38" t="n">
        <f aca="false">V$26-V$26*SIN(2*PI()/365*A462)</f>
        <v>0.00642448393983308</v>
      </c>
      <c r="D462" s="2" t="n">
        <f aca="false">IF((E462+F462)&gt;C462,C462,E462+F462)</f>
        <v>0.00642448393983308</v>
      </c>
      <c r="E462" s="38" t="n">
        <f aca="false">(V$23+V$24*SIN(2*PI()/365*A462))*V$25/100*V$7*V$8/100</f>
        <v>25.9697876602451</v>
      </c>
      <c r="F462" s="38" t="n">
        <f aca="false">(V$23+V$24*SIN(2*PI()/365*A462))*V$25/100*V$9*(1-V$14/100)*(1-V$16/100)</f>
        <v>5.49975867541675</v>
      </c>
      <c r="G462" s="38" t="n">
        <f aca="false">IF(C462&gt;E462,100,C462/E462*100)</f>
        <v>0.0247382998424271</v>
      </c>
      <c r="H462" s="38" t="n">
        <f aca="false">L462/F462*100</f>
        <v>0</v>
      </c>
      <c r="I462" s="38" t="n">
        <f aca="false">(V$23+V$24*SIN(2*PI()/365*A462))*V$25/100*V$7*V$8/100*(1-V$15/100)</f>
        <v>23.1131110176182</v>
      </c>
      <c r="J462" s="38" t="n">
        <f aca="false">(V$23+V$24*SIN(2*PI()/365*A462))*V$25/100*V$9*(1-V$14/100)</f>
        <v>6.17950412968174</v>
      </c>
      <c r="K462" s="39" t="n">
        <f aca="false">IF(E462/C462*100&lt;100,E462/C462*100,100)</f>
        <v>100</v>
      </c>
      <c r="L462" s="2" t="n">
        <f aca="false">IF(((C462-E462)&gt;0)AND(F462&gt;(C462-E462)),(C462-E462),IF(C462&lt;E462,0,F462))</f>
        <v>0</v>
      </c>
      <c r="M462" s="2" t="n">
        <f aca="false">IF(C462&lt;(E462+F462),0,C462-E462-F462)</f>
        <v>0</v>
      </c>
      <c r="N462" s="2" t="n">
        <f aca="false">IF(C462&lt;(E462+F462),0,(C462-E462-F462)/(1-V$16/100))</f>
        <v>0</v>
      </c>
      <c r="O462" s="2" t="n">
        <f aca="false">L462+M462</f>
        <v>0</v>
      </c>
      <c r="P462" s="2" t="n">
        <f aca="false">IF( N462=0,I462*(1-G462/100)+J462*(1-H462/100),-N462)</f>
        <v>29.2868973565935</v>
      </c>
      <c r="Q462" s="47" t="n">
        <f aca="false">IF(P461&gt;0,Q461+P461*(1-V$20/100),Q461+P461)</f>
        <v>1952.94814236801</v>
      </c>
      <c r="R462" s="48" t="n">
        <f aca="false">R$4+Q462/V$28</f>
        <v>63.1004847080863</v>
      </c>
    </row>
    <row r="463" customFormat="false" ht="12.8" hidden="false" customHeight="false" outlineLevel="0" collapsed="false">
      <c r="A463" s="1" t="n">
        <v>459</v>
      </c>
      <c r="B463" s="37" t="n">
        <v>44004</v>
      </c>
      <c r="C463" s="38" t="n">
        <f aca="false">V$26-V$26*SIN(2*PI()/365*A463)</f>
        <v>0.0158627791047206</v>
      </c>
      <c r="D463" s="2" t="n">
        <f aca="false">IF((E463+F463)&gt;C463,C463,E463+F463)</f>
        <v>0.0158627791047206</v>
      </c>
      <c r="E463" s="38" t="n">
        <f aca="false">(V$23+V$24*SIN(2*PI()/365*A463))*V$25/100*V$7*V$8/100</f>
        <v>25.9618610701555</v>
      </c>
      <c r="F463" s="38" t="n">
        <f aca="false">(V$23+V$24*SIN(2*PI()/365*A463))*V$25/100*V$9*(1-V$14/100)*(1-V$16/100)</f>
        <v>5.49808001969639</v>
      </c>
      <c r="G463" s="38" t="n">
        <f aca="false">IF(C463&gt;E463,100,C463/E463*100)</f>
        <v>0.0611003158127045</v>
      </c>
      <c r="H463" s="38" t="n">
        <f aca="false">L463/F463*100</f>
        <v>0</v>
      </c>
      <c r="I463" s="38" t="n">
        <f aca="false">(V$23+V$24*SIN(2*PI()/365*A463))*V$25/100*V$7*V$8/100*(1-V$15/100)</f>
        <v>23.1060563524383</v>
      </c>
      <c r="J463" s="38" t="n">
        <f aca="false">(V$23+V$24*SIN(2*PI()/365*A463))*V$25/100*V$9*(1-V$14/100)</f>
        <v>6.17761799965887</v>
      </c>
      <c r="K463" s="39" t="n">
        <f aca="false">IF(E463/C463*100&lt;100,E463/C463*100,100)</f>
        <v>100</v>
      </c>
      <c r="L463" s="2" t="n">
        <f aca="false">IF(((C463-E463)&gt;0)AND(F463&gt;(C463-E463)),(C463-E463),IF(C463&lt;E463,0,F463))</f>
        <v>0</v>
      </c>
      <c r="M463" s="2" t="n">
        <f aca="false">IF(C463&lt;(E463+F463),0,C463-E463-F463)</f>
        <v>0</v>
      </c>
      <c r="N463" s="2" t="n">
        <f aca="false">IF(C463&lt;(E463+F463),0,(C463-E463-F463)/(1-V$16/100))</f>
        <v>0</v>
      </c>
      <c r="O463" s="2" t="n">
        <f aca="false">L463+M463</f>
        <v>0</v>
      </c>
      <c r="P463" s="2" t="n">
        <f aca="false">IF( N463=0,I463*(1-G463/100)+J463*(1-H463/100),-N463)</f>
        <v>29.269556478694</v>
      </c>
      <c r="Q463" s="47" t="n">
        <f aca="false">IF(P462&gt;0,Q462+P462*(1-V$20/100),Q462+P462)</f>
        <v>1980.18495690964</v>
      </c>
      <c r="R463" s="48" t="n">
        <f aca="false">R$4+Q463/V$28</f>
        <v>63.4226558933658</v>
      </c>
    </row>
    <row r="464" customFormat="false" ht="12.8" hidden="false" customHeight="false" outlineLevel="0" collapsed="false">
      <c r="A464" s="1" t="n">
        <v>460</v>
      </c>
      <c r="B464" s="37" t="n">
        <v>44005</v>
      </c>
      <c r="C464" s="38" t="n">
        <f aca="false">V$26-V$26*SIN(2*PI()/365*A464)</f>
        <v>0.029492168829238</v>
      </c>
      <c r="D464" s="2" t="n">
        <f aca="false">IF((E464+F464)&gt;C464,C464,E464+F464)</f>
        <v>0.029492168829238</v>
      </c>
      <c r="E464" s="38" t="n">
        <f aca="false">(V$23+V$24*SIN(2*PI()/365*A464))*V$25/100*V$7*V$8/100</f>
        <v>25.9504146612827</v>
      </c>
      <c r="F464" s="38" t="n">
        <f aca="false">(V$23+V$24*SIN(2*PI()/365*A464))*V$25/100*V$9*(1-V$14/100)*(1-V$16/100)</f>
        <v>5.49565595341892</v>
      </c>
      <c r="G464" s="38" t="n">
        <f aca="false">IF(C464&gt;E464,100,C464/E464*100)</f>
        <v>0.113648160209322</v>
      </c>
      <c r="H464" s="38" t="n">
        <f aca="false">L464/F464*100</f>
        <v>0</v>
      </c>
      <c r="I464" s="38" t="n">
        <f aca="false">(V$23+V$24*SIN(2*PI()/365*A464))*V$25/100*V$7*V$8/100*(1-V$15/100)</f>
        <v>23.0958690485416</v>
      </c>
      <c r="J464" s="38" t="n">
        <f aca="false">(V$23+V$24*SIN(2*PI()/365*A464))*V$25/100*V$9*(1-V$14/100)</f>
        <v>6.17489432968418</v>
      </c>
      <c r="K464" s="39" t="n">
        <f aca="false">IF(E464/C464*100&lt;100,E464/C464*100,100)</f>
        <v>100</v>
      </c>
      <c r="L464" s="2" t="n">
        <f aca="false">IF(((C464-E464)&gt;0)AND(F464&gt;(C464-E464)),(C464-E464),IF(C464&lt;E464,0,F464))</f>
        <v>0</v>
      </c>
      <c r="M464" s="2" t="n">
        <f aca="false">IF(C464&lt;(E464+F464),0,C464-E464-F464)</f>
        <v>0</v>
      </c>
      <c r="N464" s="2" t="n">
        <f aca="false">IF(C464&lt;(E464+F464),0,(C464-E464-F464)/(1-V$16/100))</f>
        <v>0</v>
      </c>
      <c r="O464" s="2" t="n">
        <f aca="false">L464+M464</f>
        <v>0</v>
      </c>
      <c r="P464" s="2" t="n">
        <f aca="false">IF( N464=0,I464*(1-G464/100)+J464*(1-H464/100),-N464)</f>
        <v>29.2445153479678</v>
      </c>
      <c r="Q464" s="47" t="n">
        <f aca="false">IF(P463&gt;0,Q463+P463*(1-V$20/100),Q463+P463)</f>
        <v>2007.40564443482</v>
      </c>
      <c r="R464" s="48" t="n">
        <f aca="false">R$4+Q464/V$28</f>
        <v>63.7446363199206</v>
      </c>
    </row>
    <row r="465" customFormat="false" ht="12.8" hidden="false" customHeight="false" outlineLevel="0" collapsed="false">
      <c r="A465" s="1" t="n">
        <v>461</v>
      </c>
      <c r="B465" s="37" t="n">
        <v>44006</v>
      </c>
      <c r="C465" s="38" t="n">
        <f aca="false">V$26-V$26*SIN(2*PI()/365*A465)</f>
        <v>0.0473086144310582</v>
      </c>
      <c r="D465" s="2" t="n">
        <f aca="false">IF((E465+F465)&gt;C465,C465,E465+F465)</f>
        <v>0.0473086144310582</v>
      </c>
      <c r="E465" s="38" t="n">
        <f aca="false">(V$23+V$24*SIN(2*PI()/365*A465))*V$25/100*V$7*V$8/100</f>
        <v>25.9354518254449</v>
      </c>
      <c r="F465" s="38" t="n">
        <f aca="false">(V$23+V$24*SIN(2*PI()/365*A465))*V$25/100*V$9*(1-V$14/100)*(1-V$16/100)</f>
        <v>5.4924871948875</v>
      </c>
      <c r="G465" s="38" t="n">
        <f aca="false">IF(C465&gt;E465,100,C465/E465*100)</f>
        <v>0.182409062118765</v>
      </c>
      <c r="H465" s="38" t="n">
        <f aca="false">L465/F465*100</f>
        <v>0</v>
      </c>
      <c r="I465" s="38" t="n">
        <f aca="false">(V$23+V$24*SIN(2*PI()/365*A465))*V$25/100*V$7*V$8/100*(1-V$15/100)</f>
        <v>23.082552124646</v>
      </c>
      <c r="J465" s="38" t="n">
        <f aca="false">(V$23+V$24*SIN(2*PI()/365*A465))*V$25/100*V$9*(1-V$14/100)</f>
        <v>6.17133392683988</v>
      </c>
      <c r="K465" s="39" t="n">
        <f aca="false">IF(E465/C465*100&lt;100,E465/C465*100,100)</f>
        <v>100</v>
      </c>
      <c r="L465" s="2" t="n">
        <f aca="false">IF(((C465-E465)&gt;0)AND(F465&gt;(C465-E465)),(C465-E465),IF(C465&lt;E465,0,F465))</f>
        <v>0</v>
      </c>
      <c r="M465" s="2" t="n">
        <f aca="false">IF(C465&lt;(E465+F465),0,C465-E465-F465)</f>
        <v>0</v>
      </c>
      <c r="N465" s="2" t="n">
        <f aca="false">IF(C465&lt;(E465+F465),0,(C465-E465-F465)/(1-V$16/100))</f>
        <v>0</v>
      </c>
      <c r="O465" s="2" t="n">
        <f aca="false">L465+M465</f>
        <v>0</v>
      </c>
      <c r="P465" s="2" t="n">
        <f aca="false">IF( N465=0,I465*(1-G465/100)+J465*(1-H465/100),-N465)</f>
        <v>29.2117813846422</v>
      </c>
      <c r="Q465" s="47" t="n">
        <f aca="false">IF(P464&gt;0,Q464+P464*(1-V$20/100),Q464+P464)</f>
        <v>2034.60304370843</v>
      </c>
      <c r="R465" s="48" t="n">
        <f aca="false">R$4+Q465/V$28</f>
        <v>64.0663412809433</v>
      </c>
    </row>
    <row r="466" customFormat="false" ht="12.8" hidden="false" customHeight="false" outlineLevel="0" collapsed="false">
      <c r="A466" s="1" t="n">
        <v>462</v>
      </c>
      <c r="B466" s="37" t="n">
        <v>44007</v>
      </c>
      <c r="C466" s="38" t="n">
        <f aca="false">V$26-V$26*SIN(2*PI()/365*A466)</f>
        <v>0.069306836512844</v>
      </c>
      <c r="D466" s="2" t="n">
        <f aca="false">IF((E466+F466)&gt;C466,C466,E466+F466)</f>
        <v>0.069306836512844</v>
      </c>
      <c r="E466" s="38" t="n">
        <f aca="false">(V$23+V$24*SIN(2*PI()/365*A466))*V$25/100*V$7*V$8/100</f>
        <v>25.9169769964532</v>
      </c>
      <c r="F466" s="38" t="n">
        <f aca="false">(V$23+V$24*SIN(2*PI()/365*A466))*V$25/100*V$9*(1-V$14/100)*(1-V$16/100)</f>
        <v>5.48857468307365</v>
      </c>
      <c r="G466" s="38" t="n">
        <f aca="false">IF(C466&gt;E466,100,C466/E466*100)</f>
        <v>0.267418675111409</v>
      </c>
      <c r="H466" s="38" t="n">
        <f aca="false">L466/F466*100</f>
        <v>0</v>
      </c>
      <c r="I466" s="38" t="n">
        <f aca="false">(V$23+V$24*SIN(2*PI()/365*A466))*V$25/100*V$7*V$8/100*(1-V$15/100)</f>
        <v>23.0661095268434</v>
      </c>
      <c r="J466" s="38" t="n">
        <f aca="false">(V$23+V$24*SIN(2*PI()/365*A466))*V$25/100*V$9*(1-V$14/100)</f>
        <v>6.16693784615017</v>
      </c>
      <c r="K466" s="39" t="n">
        <f aca="false">IF(E466/C466*100&lt;100,E466/C466*100,100)</f>
        <v>100</v>
      </c>
      <c r="L466" s="2" t="n">
        <f aca="false">IF(((C466-E466)&gt;0)AND(F466&gt;(C466-E466)),(C466-E466),IF(C466&lt;E466,0,F466))</f>
        <v>0</v>
      </c>
      <c r="M466" s="2" t="n">
        <f aca="false">IF(C466&lt;(E466+F466),0,C466-E466-F466)</f>
        <v>0</v>
      </c>
      <c r="N466" s="2" t="n">
        <f aca="false">IF(C466&lt;(E466+F466),0,(C466-E466-F466)/(1-V$16/100))</f>
        <v>0</v>
      </c>
      <c r="O466" s="2" t="n">
        <f aca="false">L466+M466</f>
        <v>0</v>
      </c>
      <c r="P466" s="2" t="n">
        <f aca="false">IF( N466=0,I466*(1-G466/100)+J466*(1-H466/100),-N466)</f>
        <v>29.1713642884971</v>
      </c>
      <c r="Q466" s="47" t="n">
        <f aca="false">IF(P465&gt;0,Q465+P465*(1-V$20/100),Q465+P465)</f>
        <v>2061.77000039615</v>
      </c>
      <c r="R466" s="48" t="n">
        <f aca="false">R$4+Q466/V$28</f>
        <v>64.3876861512525</v>
      </c>
    </row>
    <row r="467" customFormat="false" ht="12.8" hidden="false" customHeight="false" outlineLevel="0" collapsed="false">
      <c r="A467" s="1" t="n">
        <v>463</v>
      </c>
      <c r="B467" s="37" t="n">
        <v>44008</v>
      </c>
      <c r="C467" s="38" t="n">
        <f aca="false">V$26-V$26*SIN(2*PI()/365*A467)</f>
        <v>0.0954803165266327</v>
      </c>
      <c r="D467" s="2" t="n">
        <f aca="false">IF((E467+F467)&gt;C467,C467,E467+F467)</f>
        <v>0.0954803165266327</v>
      </c>
      <c r="E467" s="38" t="n">
        <f aca="false">(V$23+V$24*SIN(2*PI()/365*A467))*V$25/100*V$7*V$8/100</f>
        <v>25.8949956487982</v>
      </c>
      <c r="F467" s="38" t="n">
        <f aca="false">(V$23+V$24*SIN(2*PI()/365*A467))*V$25/100*V$9*(1-V$14/100)*(1-V$16/100)</f>
        <v>5.48391957733907</v>
      </c>
      <c r="G467" s="38" t="n">
        <f aca="false">IF(C467&gt;E467,100,C467/E467*100)</f>
        <v>0.368721114386686</v>
      </c>
      <c r="H467" s="38" t="n">
        <f aca="false">L467/F467*100</f>
        <v>0</v>
      </c>
      <c r="I467" s="38" t="n">
        <f aca="false">(V$23+V$24*SIN(2*PI()/365*A467))*V$25/100*V$7*V$8/100*(1-V$15/100)</f>
        <v>23.0465461274304</v>
      </c>
      <c r="J467" s="38" t="n">
        <f aca="false">(V$23+V$24*SIN(2*PI()/365*A467))*V$25/100*V$9*(1-V$14/100)</f>
        <v>6.16170739026862</v>
      </c>
      <c r="K467" s="39" t="n">
        <f aca="false">IF(E467/C467*100&lt;100,E467/C467*100,100)</f>
        <v>100</v>
      </c>
      <c r="L467" s="2" t="n">
        <f aca="false">IF(((C467-E467)&gt;0)AND(F467&gt;(C467-E467)),(C467-E467),IF(C467&lt;E467,0,F467))</f>
        <v>0</v>
      </c>
      <c r="M467" s="2" t="n">
        <f aca="false">IF(C467&lt;(E467+F467),0,C467-E467-F467)</f>
        <v>0</v>
      </c>
      <c r="N467" s="2" t="n">
        <f aca="false">IF(C467&lt;(E467+F467),0,(C467-E467-F467)/(1-V$16/100))</f>
        <v>0</v>
      </c>
      <c r="O467" s="2" t="n">
        <f aca="false">L467+M467</f>
        <v>0</v>
      </c>
      <c r="P467" s="2" t="n">
        <f aca="false">IF( N467=0,I467*(1-G467/100)+J467*(1-H467/100),-N467)</f>
        <v>29.1232760359903</v>
      </c>
      <c r="Q467" s="47" t="n">
        <f aca="false">IF(P466&gt;0,Q466+P466*(1-V$20/100),Q466+P466)</f>
        <v>2088.89936918445</v>
      </c>
      <c r="R467" s="48" t="n">
        <f aca="false">R$4+Q467/V$28</f>
        <v>64.7085864123696</v>
      </c>
    </row>
    <row r="468" customFormat="false" ht="12.8" hidden="false" customHeight="false" outlineLevel="0" collapsed="false">
      <c r="A468" s="1" t="n">
        <v>464</v>
      </c>
      <c r="B468" s="37" t="n">
        <v>44009</v>
      </c>
      <c r="C468" s="38" t="n">
        <f aca="false">V$26-V$26*SIN(2*PI()/365*A468)</f>
        <v>0.12582129870542</v>
      </c>
      <c r="D468" s="2" t="n">
        <f aca="false">IF((E468+F468)&gt;C468,C468,E468+F468)</f>
        <v>0.12582129870542</v>
      </c>
      <c r="E468" s="38" t="n">
        <f aca="false">(V$23+V$24*SIN(2*PI()/365*A468))*V$25/100*V$7*V$8/100</f>
        <v>25.8695142960276</v>
      </c>
      <c r="F468" s="38" t="n">
        <f aca="false">(V$23+V$24*SIN(2*PI()/365*A468))*V$25/100*V$9*(1-V$14/100)*(1-V$16/100)</f>
        <v>5.47852325709205</v>
      </c>
      <c r="G468" s="38" t="n">
        <f aca="false">IF(C468&gt;E468,100,C468/E468*100)</f>
        <v>0.48636900277923</v>
      </c>
      <c r="H468" s="38" t="n">
        <f aca="false">L468/F468*100</f>
        <v>0</v>
      </c>
      <c r="I468" s="38" t="n">
        <f aca="false">(V$23+V$24*SIN(2*PI()/365*A468))*V$25/100*V$7*V$8/100*(1-V$15/100)</f>
        <v>23.0238677234645</v>
      </c>
      <c r="J468" s="38" t="n">
        <f aca="false">(V$23+V$24*SIN(2*PI()/365*A468))*V$25/100*V$9*(1-V$14/100)</f>
        <v>6.15564410909219</v>
      </c>
      <c r="K468" s="39" t="n">
        <f aca="false">IF(E468/C468*100&lt;100,E468/C468*100,100)</f>
        <v>100</v>
      </c>
      <c r="L468" s="2" t="n">
        <f aca="false">IF(((C468-E468)&gt;0)AND(F468&gt;(C468-E468)),(C468-E468),IF(C468&lt;E468,0,F468))</f>
        <v>0</v>
      </c>
      <c r="M468" s="2" t="n">
        <f aca="false">IF(C468&lt;(E468+F468),0,C468-E468-F468)</f>
        <v>0</v>
      </c>
      <c r="N468" s="2" t="n">
        <f aca="false">IF(C468&lt;(E468+F468),0,(C468-E468-F468)/(1-V$16/100))</f>
        <v>0</v>
      </c>
      <c r="O468" s="2" t="n">
        <f aca="false">L468+M468</f>
        <v>0</v>
      </c>
      <c r="P468" s="2" t="n">
        <f aca="false">IF( N468=0,I468*(1-G468/100)+J468*(1-H468/100),-N468)</f>
        <v>29.0675308767089</v>
      </c>
      <c r="Q468" s="47" t="n">
        <f aca="false">IF(P467&gt;0,Q467+P467*(1-V$20/100),Q467+P467)</f>
        <v>2115.98401589793</v>
      </c>
      <c r="R468" s="48" t="n">
        <f aca="false">R$4+Q468/V$28</f>
        <v>65.0289576775635</v>
      </c>
    </row>
    <row r="469" customFormat="false" ht="12.8" hidden="false" customHeight="false" outlineLevel="0" collapsed="false">
      <c r="A469" s="1" t="n">
        <v>465</v>
      </c>
      <c r="B469" s="37" t="n">
        <v>44010</v>
      </c>
      <c r="C469" s="38" t="n">
        <f aca="false">V$26-V$26*SIN(2*PI()/365*A469)</f>
        <v>0.160320792361381</v>
      </c>
      <c r="D469" s="2" t="n">
        <f aca="false">IF((E469+F469)&gt;C469,C469,E469+F469)</f>
        <v>0.160320792361381</v>
      </c>
      <c r="E469" s="38" t="n">
        <f aca="false">(V$23+V$24*SIN(2*PI()/365*A469))*V$25/100*V$7*V$8/100</f>
        <v>25.8405404888161</v>
      </c>
      <c r="F469" s="38" t="n">
        <f aca="false">(V$23+V$24*SIN(2*PI()/365*A469))*V$25/100*V$9*(1-V$14/100)*(1-V$16/100)</f>
        <v>5.47238732137875</v>
      </c>
      <c r="G469" s="38" t="n">
        <f aca="false">IF(C469&gt;E469,100,C469/E469*100)</f>
        <v>0.620423525702832</v>
      </c>
      <c r="H469" s="38" t="n">
        <f aca="false">L469/F469*100</f>
        <v>0</v>
      </c>
      <c r="I469" s="38" t="n">
        <f aca="false">(V$23+V$24*SIN(2*PI()/365*A469))*V$25/100*V$7*V$8/100*(1-V$15/100)</f>
        <v>22.9980810350463</v>
      </c>
      <c r="J469" s="38" t="n">
        <f aca="false">(V$23+V$24*SIN(2*PI()/365*A469))*V$25/100*V$9*(1-V$14/100)</f>
        <v>6.14874979930197</v>
      </c>
      <c r="K469" s="39" t="n">
        <f aca="false">IF(E469/C469*100&lt;100,E469/C469*100,100)</f>
        <v>100</v>
      </c>
      <c r="L469" s="2" t="n">
        <f aca="false">IF(((C469-E469)&gt;0)AND(F469&gt;(C469-E469)),(C469-E469),IF(C469&lt;E469,0,F469))</f>
        <v>0</v>
      </c>
      <c r="M469" s="2" t="n">
        <f aca="false">IF(C469&lt;(E469+F469),0,C469-E469-F469)</f>
        <v>0</v>
      </c>
      <c r="N469" s="2" t="n">
        <f aca="false">IF(C469&lt;(E469+F469),0,(C469-E469-F469)/(1-V$16/100))</f>
        <v>0</v>
      </c>
      <c r="O469" s="2" t="n">
        <f aca="false">L469+M469</f>
        <v>0</v>
      </c>
      <c r="P469" s="2" t="n">
        <f aca="false">IF( N469=0,I469*(1-G469/100)+J469*(1-H469/100),-N469)</f>
        <v>29.0041453291466</v>
      </c>
      <c r="Q469" s="47" t="n">
        <f aca="false">IF(P468&gt;0,Q468+P468*(1-V$20/100),Q468+P468)</f>
        <v>2143.01681961326</v>
      </c>
      <c r="R469" s="48" t="n">
        <f aca="false">R$4+Q469/V$28</f>
        <v>65.3487157168557</v>
      </c>
    </row>
    <row r="470" customFormat="false" ht="12.8" hidden="false" customHeight="false" outlineLevel="0" collapsed="false">
      <c r="A470" s="1" t="n">
        <v>466</v>
      </c>
      <c r="B470" s="37" t="n">
        <v>44011</v>
      </c>
      <c r="C470" s="38" t="n">
        <f aca="false">V$26-V$26*SIN(2*PI()/365*A470)</f>
        <v>0.19896857454998</v>
      </c>
      <c r="D470" s="2" t="n">
        <f aca="false">IF((E470+F470)&gt;C470,C470,E470+F470)</f>
        <v>0.19896857454998</v>
      </c>
      <c r="E470" s="38" t="n">
        <f aca="false">(V$23+V$24*SIN(2*PI()/365*A470))*V$25/100*V$7*V$8/100</f>
        <v>25.8080828127281</v>
      </c>
      <c r="F470" s="38" t="n">
        <f aca="false">(V$23+V$24*SIN(2*PI()/365*A470))*V$25/100*V$9*(1-V$14/100)*(1-V$16/100)</f>
        <v>5.46551358840934</v>
      </c>
      <c r="G470" s="38" t="n">
        <f aca="false">IF(C470&gt;E470,100,C470/E470*100)</f>
        <v>0.770954495123722</v>
      </c>
      <c r="H470" s="38" t="n">
        <f aca="false">L470/F470*100</f>
        <v>0</v>
      </c>
      <c r="I470" s="38" t="n">
        <f aca="false">(V$23+V$24*SIN(2*PI()/365*A470))*V$25/100*V$7*V$8/100*(1-V$15/100)</f>
        <v>22.969193703328</v>
      </c>
      <c r="J470" s="38" t="n">
        <f aca="false">(V$23+V$24*SIN(2*PI()/365*A470))*V$25/100*V$9*(1-V$14/100)</f>
        <v>6.14102650383072</v>
      </c>
      <c r="K470" s="39" t="n">
        <f aca="false">IF(E470/C470*100&lt;100,E470/C470*100,100)</f>
        <v>100</v>
      </c>
      <c r="L470" s="2" t="n">
        <f aca="false">IF(((C470-E470)&gt;0)AND(F470&gt;(C470-E470)),(C470-E470),IF(C470&lt;E470,0,F470))</f>
        <v>0</v>
      </c>
      <c r="M470" s="2" t="n">
        <f aca="false">IF(C470&lt;(E470+F470),0,C470-E470-F470)</f>
        <v>0</v>
      </c>
      <c r="N470" s="2" t="n">
        <f aca="false">IF(C470&lt;(E470+F470),0,(C470-E470-F470)/(1-V$16/100))</f>
        <v>0</v>
      </c>
      <c r="O470" s="2" t="n">
        <f aca="false">L470+M470</f>
        <v>0</v>
      </c>
      <c r="P470" s="2" t="n">
        <f aca="false">IF( N470=0,I470*(1-G470/100)+J470*(1-H470/100),-N470)</f>
        <v>28.9331381758092</v>
      </c>
      <c r="Q470" s="47" t="n">
        <f aca="false">IF(P469&gt;0,Q469+P469*(1-V$20/100),Q469+P469)</f>
        <v>2169.99067476937</v>
      </c>
      <c r="R470" s="48" t="n">
        <f aca="false">R$4+Q470/V$28</f>
        <v>65.6677764819799</v>
      </c>
    </row>
    <row r="471" customFormat="false" ht="12.8" hidden="false" customHeight="false" outlineLevel="0" collapsed="false">
      <c r="A471" s="1" t="n">
        <v>467</v>
      </c>
      <c r="B471" s="37" t="n">
        <v>44012</v>
      </c>
      <c r="C471" s="38" t="n">
        <f aca="false">V$26-V$26*SIN(2*PI()/365*A471)</f>
        <v>0.241753193099269</v>
      </c>
      <c r="D471" s="2" t="n">
        <f aca="false">IF((E471+F471)&gt;C471,C471,E471+F471)</f>
        <v>0.241753193099269</v>
      </c>
      <c r="E471" s="38" t="n">
        <f aca="false">(V$23+V$24*SIN(2*PI()/365*A471))*V$25/100*V$7*V$8/100</f>
        <v>25.7721508856735</v>
      </c>
      <c r="F471" s="38" t="n">
        <f aca="false">(V$23+V$24*SIN(2*PI()/365*A471))*V$25/100*V$9*(1-V$14/100)*(1-V$16/100)</f>
        <v>5.45790409501925</v>
      </c>
      <c r="G471" s="38" t="n">
        <f aca="false">IF(C471&gt;E471,100,C471/E471*100)</f>
        <v>0.93804042267057</v>
      </c>
      <c r="H471" s="38" t="n">
        <f aca="false">L471/F471*100</f>
        <v>0</v>
      </c>
      <c r="I471" s="38" t="n">
        <f aca="false">(V$23+V$24*SIN(2*PI()/365*A471))*V$25/100*V$7*V$8/100*(1-V$15/100)</f>
        <v>22.9372142882494</v>
      </c>
      <c r="J471" s="38" t="n">
        <f aca="false">(V$23+V$24*SIN(2*PI()/365*A471))*V$25/100*V$9*(1-V$14/100)</f>
        <v>6.13247651125759</v>
      </c>
      <c r="K471" s="39" t="n">
        <f aca="false">IF(E471/C471*100&lt;100,E471/C471*100,100)</f>
        <v>100</v>
      </c>
      <c r="L471" s="2" t="n">
        <f aca="false">IF(((C471-E471)&gt;0)AND(F471&gt;(C471-E471)),(C471-E471),IF(C471&lt;E471,0,F471))</f>
        <v>0</v>
      </c>
      <c r="M471" s="2" t="n">
        <f aca="false">IF(C471&lt;(E471+F471),0,C471-E471-F471)</f>
        <v>0</v>
      </c>
      <c r="N471" s="2" t="n">
        <f aca="false">IF(C471&lt;(E471+F471),0,(C471-E471-F471)/(1-V$16/100))</f>
        <v>0</v>
      </c>
      <c r="O471" s="2" t="n">
        <f aca="false">L471+M471</f>
        <v>0</v>
      </c>
      <c r="P471" s="2" t="n">
        <f aca="false">IF( N471=0,I471*(1-G471/100)+J471*(1-H471/100),-N471)</f>
        <v>28.8545304576487</v>
      </c>
      <c r="Q471" s="47" t="n">
        <f aca="false">IF(P470&gt;0,Q470+P470*(1-V$20/100),Q470+P470)</f>
        <v>2196.89849327287</v>
      </c>
      <c r="R471" s="48" t="n">
        <f aca="false">R$4+Q471/V$28</f>
        <v>65.9860561312871</v>
      </c>
    </row>
    <row r="472" customFormat="false" ht="12.8" hidden="false" customHeight="false" outlineLevel="0" collapsed="false">
      <c r="A472" s="1" t="n">
        <v>468</v>
      </c>
      <c r="B472" s="37" t="n">
        <v>44013</v>
      </c>
      <c r="C472" s="38" t="n">
        <f aca="false">V$26-V$26*SIN(2*PI()/365*A472)</f>
        <v>0.28866197000341</v>
      </c>
      <c r="D472" s="2" t="n">
        <f aca="false">IF((E472+F472)&gt;C472,C472,E472+F472)</f>
        <v>0.28866197000341</v>
      </c>
      <c r="E472" s="38" t="n">
        <f aca="false">(V$23+V$24*SIN(2*PI()/365*A472))*V$25/100*V$7*V$8/100</f>
        <v>25.7327553550579</v>
      </c>
      <c r="F472" s="38" t="n">
        <f aca="false">(V$23+V$24*SIN(2*PI()/365*A472))*V$25/100*V$9*(1-V$14/100)*(1-V$16/100)</f>
        <v>5.4495610960656</v>
      </c>
      <c r="G472" s="38" t="n">
        <f aca="false">IF(C472&gt;E472,100,C472/E472*100)</f>
        <v>1.12176860200349</v>
      </c>
      <c r="H472" s="38" t="n">
        <f aca="false">L472/F472*100</f>
        <v>0</v>
      </c>
      <c r="I472" s="38" t="n">
        <f aca="false">(V$23+V$24*SIN(2*PI()/365*A472))*V$25/100*V$7*V$8/100*(1-V$15/100)</f>
        <v>22.9021522660015</v>
      </c>
      <c r="J472" s="38" t="n">
        <f aca="false">(V$23+V$24*SIN(2*PI()/365*A472))*V$25/100*V$9*(1-V$14/100)</f>
        <v>6.12310235512988</v>
      </c>
      <c r="K472" s="39" t="n">
        <f aca="false">IF(E472/C472*100&lt;100,E472/C472*100,100)</f>
        <v>100</v>
      </c>
      <c r="L472" s="2" t="n">
        <f aca="false">IF(((C472-E472)&gt;0)AND(F472&gt;(C472-E472)),(C472-E472),IF(C472&lt;E472,0,F472))</f>
        <v>0</v>
      </c>
      <c r="M472" s="2" t="n">
        <f aca="false">IF(C472&lt;(E472+F472),0,C472-E472-F472)</f>
        <v>0</v>
      </c>
      <c r="N472" s="2" t="n">
        <f aca="false">IF(C472&lt;(E472+F472),0,(C472-E472-F472)/(1-V$16/100))</f>
        <v>0</v>
      </c>
      <c r="O472" s="2" t="n">
        <f aca="false">L472+M472</f>
        <v>0</v>
      </c>
      <c r="P472" s="2" t="n">
        <f aca="false">IF( N472=0,I472*(1-G472/100)+J472*(1-H472/100),-N472)</f>
        <v>28.7683454678284</v>
      </c>
      <c r="Q472" s="47" t="n">
        <f aca="false">IF(P471&gt;0,Q471+P471*(1-V$20/100),Q471+P471)</f>
        <v>2223.73320659849</v>
      </c>
      <c r="R472" s="48" t="n">
        <f aca="false">R$4+Q472/V$28</f>
        <v>66.30347105459</v>
      </c>
    </row>
    <row r="473" customFormat="false" ht="12.8" hidden="false" customHeight="false" outlineLevel="0" collapsed="false">
      <c r="A473" s="1" t="n">
        <v>469</v>
      </c>
      <c r="B473" s="37" t="n">
        <v>44014</v>
      </c>
      <c r="C473" s="38" t="n">
        <f aca="false">V$26-V$26*SIN(2*PI()/365*A473)</f>
        <v>0.339681005179422</v>
      </c>
      <c r="D473" s="2" t="n">
        <f aca="false">IF((E473+F473)&gt;C473,C473,E473+F473)</f>
        <v>0.339681005179422</v>
      </c>
      <c r="E473" s="38" t="n">
        <f aca="false">(V$23+V$24*SIN(2*PI()/365*A473))*V$25/100*V$7*V$8/100</f>
        <v>25.6899078946271</v>
      </c>
      <c r="F473" s="38" t="n">
        <f aca="false">(V$23+V$24*SIN(2*PI()/365*A473))*V$25/100*V$9*(1-V$14/100)*(1-V$16/100)</f>
        <v>5.44048706375902</v>
      </c>
      <c r="G473" s="38" t="n">
        <f aca="false">IF(C473&gt;E473,100,C473/E473*100)</f>
        <v>1.32223520058032</v>
      </c>
      <c r="H473" s="38" t="n">
        <f aca="false">L473/F473*100</f>
        <v>0</v>
      </c>
      <c r="I473" s="38" t="n">
        <f aca="false">(V$23+V$24*SIN(2*PI()/365*A473))*V$25/100*V$7*V$8/100*(1-V$15/100)</f>
        <v>22.8640180262181</v>
      </c>
      <c r="J473" s="38" t="n">
        <f aca="false">(V$23+V$24*SIN(2*PI()/365*A473))*V$25/100*V$9*(1-V$14/100)</f>
        <v>6.11290681321238</v>
      </c>
      <c r="K473" s="39" t="n">
        <f aca="false">IF(E473/C473*100&lt;100,E473/C473*100,100)</f>
        <v>100</v>
      </c>
      <c r="L473" s="2" t="n">
        <f aca="false">IF(((C473-E473)&gt;0)AND(F473&gt;(C473-E473)),(C473-E473),IF(C473&lt;E473,0,F473))</f>
        <v>0</v>
      </c>
      <c r="M473" s="2" t="n">
        <f aca="false">IF(C473&lt;(E473+F473),0,C473-E473-F473)</f>
        <v>0</v>
      </c>
      <c r="N473" s="2" t="n">
        <f aca="false">IF(C473&lt;(E473+F473),0,(C473-E473-F473)/(1-V$16/100))</f>
        <v>0</v>
      </c>
      <c r="O473" s="2" t="n">
        <f aca="false">L473+M473</f>
        <v>0</v>
      </c>
      <c r="P473" s="2" t="n">
        <f aca="false">IF( N473=0,I473*(1-G473/100)+J473*(1-H473/100),-N473)</f>
        <v>28.6746087448208</v>
      </c>
      <c r="Q473" s="47" t="n">
        <f aca="false">IF(P472&gt;0,Q472+P472*(1-V$20/100),Q472+P472)</f>
        <v>2250.48776788357</v>
      </c>
      <c r="R473" s="48" t="n">
        <f aca="false">R$4+Q473/V$28</f>
        <v>66.619937897938</v>
      </c>
    </row>
    <row r="474" customFormat="false" ht="12.8" hidden="false" customHeight="false" outlineLevel="0" collapsed="false">
      <c r="A474" s="1" t="n">
        <v>470</v>
      </c>
      <c r="B474" s="37" t="n">
        <v>44015</v>
      </c>
      <c r="C474" s="38" t="n">
        <f aca="false">V$26-V$26*SIN(2*PI()/365*A474)</f>
        <v>0.394795180586106</v>
      </c>
      <c r="D474" s="2" t="n">
        <f aca="false">IF((E474+F474)&gt;C474,C474,E474+F474)</f>
        <v>0.394795180586106</v>
      </c>
      <c r="E474" s="38" t="n">
        <f aca="false">(V$23+V$24*SIN(2*PI()/365*A474))*V$25/100*V$7*V$8/100</f>
        <v>25.6436212010083</v>
      </c>
      <c r="F474" s="38" t="n">
        <f aca="false">(V$23+V$24*SIN(2*PI()/365*A474))*V$25/100*V$9*(1-V$14/100)*(1-V$16/100)</f>
        <v>5.43068468693114</v>
      </c>
      <c r="G474" s="38" t="n">
        <f aca="false">IF(C474&gt;E474,100,C474/E474*100)</f>
        <v>1.53954536097492</v>
      </c>
      <c r="H474" s="38" t="n">
        <f aca="false">L474/F474*100</f>
        <v>0</v>
      </c>
      <c r="I474" s="38" t="n">
        <f aca="false">(V$23+V$24*SIN(2*PI()/365*A474))*V$25/100*V$7*V$8/100*(1-V$15/100)</f>
        <v>22.8228228688974</v>
      </c>
      <c r="J474" s="38" t="n">
        <f aca="false">(V$23+V$24*SIN(2*PI()/365*A474))*V$25/100*V$9*(1-V$14/100)</f>
        <v>6.1018929066642</v>
      </c>
      <c r="K474" s="39" t="n">
        <f aca="false">IF(E474/C474*100&lt;100,E474/C474*100,100)</f>
        <v>100</v>
      </c>
      <c r="L474" s="2" t="n">
        <f aca="false">IF(((C474-E474)&gt;0)AND(F474&gt;(C474-E474)),(C474-E474),IF(C474&lt;E474,0,F474))</f>
        <v>0</v>
      </c>
      <c r="M474" s="2" t="n">
        <f aca="false">IF(C474&lt;(E474+F474),0,C474-E474-F474)</f>
        <v>0</v>
      </c>
      <c r="N474" s="2" t="n">
        <f aca="false">IF(C474&lt;(E474+F474),0,(C474-E474-F474)/(1-V$16/100))</f>
        <v>0</v>
      </c>
      <c r="O474" s="2" t="n">
        <f aca="false">L474+M474</f>
        <v>0</v>
      </c>
      <c r="P474" s="2" t="n">
        <f aca="false">IF( N474=0,I474*(1-G474/100)+J474*(1-H474/100),-N474)</f>
        <v>28.57334806484</v>
      </c>
      <c r="Q474" s="47" t="n">
        <f aca="false">IF(P473&gt;0,Q473+P473*(1-V$20/100),Q473+P473)</f>
        <v>2277.15515401625</v>
      </c>
      <c r="R474" s="48" t="n">
        <f aca="false">R$4+Q474/V$28</f>
        <v>66.9353735883172</v>
      </c>
    </row>
    <row r="475" customFormat="false" ht="12.8" hidden="false" customHeight="false" outlineLevel="0" collapsed="false">
      <c r="A475" s="1" t="n">
        <v>471</v>
      </c>
      <c r="B475" s="37" t="n">
        <v>44016</v>
      </c>
      <c r="C475" s="38" t="n">
        <f aca="false">V$26-V$26*SIN(2*PI()/365*A475)</f>
        <v>0.453988164703834</v>
      </c>
      <c r="D475" s="2" t="n">
        <f aca="false">IF((E475+F475)&gt;C475,C475,E475+F475)</f>
        <v>0.453988164703834</v>
      </c>
      <c r="E475" s="38" t="n">
        <f aca="false">(V$23+V$24*SIN(2*PI()/365*A475))*V$25/100*V$7*V$8/100</f>
        <v>25.593908989948</v>
      </c>
      <c r="F475" s="38" t="n">
        <f aca="false">(V$23+V$24*SIN(2*PI()/365*A475))*V$25/100*V$9*(1-V$14/100)*(1-V$16/100)</f>
        <v>5.42015687023775</v>
      </c>
      <c r="G475" s="38" t="n">
        <f aca="false">IF(C475&gt;E475,100,C475/E475*100)</f>
        <v>1.77381331191784</v>
      </c>
      <c r="H475" s="38" t="n">
        <f aca="false">L475/F475*100</f>
        <v>0</v>
      </c>
      <c r="I475" s="38" t="n">
        <f aca="false">(V$23+V$24*SIN(2*PI()/365*A475))*V$25/100*V$7*V$8/100*(1-V$15/100)</f>
        <v>22.7785790010537</v>
      </c>
      <c r="J475" s="38" t="n">
        <f aca="false">(V$23+V$24*SIN(2*PI()/365*A475))*V$25/100*V$9*(1-V$14/100)</f>
        <v>6.09006389914353</v>
      </c>
      <c r="K475" s="39" t="n">
        <f aca="false">IF(E475/C475*100&lt;100,E475/C475*100,100)</f>
        <v>100</v>
      </c>
      <c r="L475" s="2" t="n">
        <f aca="false">IF(((C475-E475)&gt;0)AND(F475&gt;(C475-E475)),(C475-E475),IF(C475&lt;E475,0,F475))</f>
        <v>0</v>
      </c>
      <c r="M475" s="2" t="n">
        <f aca="false">IF(C475&lt;(E475+F475),0,C475-E475-F475)</f>
        <v>0</v>
      </c>
      <c r="N475" s="2" t="n">
        <f aca="false">IF(C475&lt;(E475+F475),0,(C475-E475-F475)/(1-V$16/100))</f>
        <v>0</v>
      </c>
      <c r="O475" s="2" t="n">
        <f aca="false">L475+M475</f>
        <v>0</v>
      </c>
      <c r="P475" s="2" t="n">
        <f aca="false">IF( N475=0,I475*(1-G475/100)+J475*(1-H475/100),-N475)</f>
        <v>28.4645934336108</v>
      </c>
      <c r="Q475" s="47" t="n">
        <f aca="false">IF(P474&gt;0,Q474+P474*(1-V$20/100),Q474+P474)</f>
        <v>2303.72836771655</v>
      </c>
      <c r="R475" s="48" t="n">
        <f aca="false">R$4+Q475/V$28</f>
        <v>67.2496953582666</v>
      </c>
    </row>
    <row r="476" customFormat="false" ht="12.8" hidden="false" customHeight="false" outlineLevel="0" collapsed="false">
      <c r="A476" s="1" t="n">
        <v>472</v>
      </c>
      <c r="B476" s="37" t="n">
        <v>44017</v>
      </c>
      <c r="C476" s="38" t="n">
        <f aca="false">V$26-V$26*SIN(2*PI()/365*A476)</f>
        <v>0.517242417373911</v>
      </c>
      <c r="D476" s="2" t="n">
        <f aca="false">IF((E476+F476)&gt;C476,C476,E476+F476)</f>
        <v>0.517242417373911</v>
      </c>
      <c r="E476" s="38" t="n">
        <f aca="false">(V$23+V$24*SIN(2*PI()/365*A476))*V$25/100*V$7*V$8/100</f>
        <v>25.540785992247</v>
      </c>
      <c r="F476" s="38" t="n">
        <f aca="false">(V$23+V$24*SIN(2*PI()/365*A476))*V$25/100*V$9*(1-V$14/100)*(1-V$16/100)</f>
        <v>5.40890673329814</v>
      </c>
      <c r="G476" s="38" t="n">
        <f aca="false">IF(C476&gt;E476,100,C476/E476*100)</f>
        <v>2.02516248924728</v>
      </c>
      <c r="H476" s="38" t="n">
        <f aca="false">L476/F476*100</f>
        <v>0</v>
      </c>
      <c r="I476" s="38" t="n">
        <f aca="false">(V$23+V$24*SIN(2*PI()/365*A476))*V$25/100*V$7*V$8/100*(1-V$15/100)</f>
        <v>22.7312995330998</v>
      </c>
      <c r="J476" s="38" t="n">
        <f aca="false">(V$23+V$24*SIN(2*PI()/365*A476))*V$25/100*V$9*(1-V$14/100)</f>
        <v>6.07742329584061</v>
      </c>
      <c r="K476" s="39" t="n">
        <f aca="false">IF(E476/C476*100&lt;100,E476/C476*100,100)</f>
        <v>100</v>
      </c>
      <c r="L476" s="2" t="n">
        <f aca="false">IF(((C476-E476)&gt;0)AND(F476&gt;(C476-E476)),(C476-E476),IF(C476&lt;E476,0,F476))</f>
        <v>0</v>
      </c>
      <c r="M476" s="2" t="n">
        <f aca="false">IF(C476&lt;(E476+F476),0,C476-E476-F476)</f>
        <v>0</v>
      </c>
      <c r="N476" s="2" t="n">
        <f aca="false">IF(C476&lt;(E476+F476),0,(C476-E476-F476)/(1-V$16/100))</f>
        <v>0</v>
      </c>
      <c r="O476" s="2" t="n">
        <f aca="false">L476+M476</f>
        <v>0</v>
      </c>
      <c r="P476" s="2" t="n">
        <f aca="false">IF( N476=0,I476*(1-G476/100)+J476*(1-H476/100),-N476)</f>
        <v>28.3483770774777</v>
      </c>
      <c r="Q476" s="47" t="n">
        <f aca="false">IF(P475&gt;0,Q475+P475*(1-V$20/100),Q475+P475)</f>
        <v>2330.20043960981</v>
      </c>
      <c r="R476" s="48" t="n">
        <f aca="false">R$4+Q476/V$28</f>
        <v>67.5628207704038</v>
      </c>
    </row>
    <row r="477" customFormat="false" ht="12.8" hidden="false" customHeight="false" outlineLevel="0" collapsed="false">
      <c r="A477" s="1" t="n">
        <v>473</v>
      </c>
      <c r="B477" s="37" t="n">
        <v>44018</v>
      </c>
      <c r="C477" s="38" t="n">
        <f aca="false">V$26-V$26*SIN(2*PI()/365*A477)</f>
        <v>0.584539194996138</v>
      </c>
      <c r="D477" s="2" t="n">
        <f aca="false">IF((E477+F477)&gt;C477,C477,E477+F477)</f>
        <v>0.584539194996138</v>
      </c>
      <c r="E477" s="38" t="n">
        <f aca="false">(V$23+V$24*SIN(2*PI()/365*A477))*V$25/100*V$7*V$8/100</f>
        <v>25.4842679493961</v>
      </c>
      <c r="F477" s="38" t="n">
        <f aca="false">(V$23+V$24*SIN(2*PI()/365*A477))*V$25/100*V$9*(1-V$14/100)*(1-V$16/100)</f>
        <v>5.39693760977071</v>
      </c>
      <c r="G477" s="38" t="n">
        <f aca="false">IF(C477&gt;E477,100,C477/E477*100)</f>
        <v>2.29372566697561</v>
      </c>
      <c r="H477" s="38" t="n">
        <f aca="false">L477/F477*100</f>
        <v>0</v>
      </c>
      <c r="I477" s="38" t="n">
        <f aca="false">(V$23+V$24*SIN(2*PI()/365*A477))*V$25/100*V$7*V$8/100*(1-V$15/100)</f>
        <v>22.6809984749625</v>
      </c>
      <c r="J477" s="38" t="n">
        <f aca="false">(V$23+V$24*SIN(2*PI()/365*A477))*V$25/100*V$9*(1-V$14/100)</f>
        <v>6.063974842439</v>
      </c>
      <c r="K477" s="39" t="n">
        <f aca="false">IF(E477/C477*100&lt;100,E477/C477*100,100)</f>
        <v>100</v>
      </c>
      <c r="L477" s="2" t="n">
        <f aca="false">IF(((C477-E477)&gt;0)AND(F477&gt;(C477-E477)),(C477-E477),IF(C477&lt;E477,0,F477))</f>
        <v>0</v>
      </c>
      <c r="M477" s="2" t="n">
        <f aca="false">IF(C477&lt;(E477+F477),0,C477-E477-F477)</f>
        <v>0</v>
      </c>
      <c r="N477" s="2" t="n">
        <f aca="false">IF(C477&lt;(E477+F477),0,(C477-E477-F477)/(1-V$16/100))</f>
        <v>0</v>
      </c>
      <c r="O477" s="2" t="n">
        <f aca="false">L477+M477</f>
        <v>0</v>
      </c>
      <c r="P477" s="2" t="n">
        <f aca="false">IF( N477=0,I477*(1-G477/100)+J477*(1-H477/100),-N477)</f>
        <v>28.224733433855</v>
      </c>
      <c r="Q477" s="47" t="n">
        <f aca="false">IF(P476&gt;0,Q476+P476*(1-V$20/100),Q476+P476)</f>
        <v>2356.56443029186</v>
      </c>
      <c r="R477" s="48" t="n">
        <f aca="false">R$4+Q477/V$28</f>
        <v>67.8746677418531</v>
      </c>
    </row>
    <row r="478" customFormat="false" ht="12.8" hidden="false" customHeight="false" outlineLevel="0" collapsed="false">
      <c r="A478" s="1" t="n">
        <v>474</v>
      </c>
      <c r="B478" s="37" t="n">
        <v>44019</v>
      </c>
      <c r="C478" s="38" t="n">
        <f aca="false">V$26-V$26*SIN(2*PI()/365*A478)</f>
        <v>0.655858556082928</v>
      </c>
      <c r="D478" s="2" t="n">
        <f aca="false">IF((E478+F478)&gt;C478,C478,E478+F478)</f>
        <v>0.655858556082928</v>
      </c>
      <c r="E478" s="38" t="n">
        <f aca="false">(V$23+V$24*SIN(2*PI()/365*A478))*V$25/100*V$7*V$8/100</f>
        <v>25.4243716089111</v>
      </c>
      <c r="F478" s="38" t="n">
        <f aca="false">(V$23+V$24*SIN(2*PI()/365*A478))*V$25/100*V$9*(1-V$14/100)*(1-V$16/100)</f>
        <v>5.38425304636505</v>
      </c>
      <c r="G478" s="38" t="n">
        <f aca="false">IF(C478&gt;E478,100,C478/E478*100)</f>
        <v>2.57964509869362</v>
      </c>
      <c r="H478" s="38" t="n">
        <f aca="false">L478/F478*100</f>
        <v>0</v>
      </c>
      <c r="I478" s="38" t="n">
        <f aca="false">(V$23+V$24*SIN(2*PI()/365*A478))*V$25/100*V$7*V$8/100*(1-V$15/100)</f>
        <v>22.6276907319309</v>
      </c>
      <c r="J478" s="38" t="n">
        <f aca="false">(V$23+V$24*SIN(2*PI()/365*A478))*V$25/100*V$9*(1-V$14/100)</f>
        <v>6.04972252400567</v>
      </c>
      <c r="K478" s="39" t="n">
        <f aca="false">IF(E478/C478*100&lt;100,E478/C478*100,100)</f>
        <v>100</v>
      </c>
      <c r="L478" s="2" t="n">
        <f aca="false">IF(((C478-E478)&gt;0)AND(F478&gt;(C478-E478)),(C478-E478),IF(C478&lt;E478,0,F478))</f>
        <v>0</v>
      </c>
      <c r="M478" s="2" t="n">
        <f aca="false">IF(C478&lt;(E478+F478),0,C478-E478-F478)</f>
        <v>0</v>
      </c>
      <c r="N478" s="2" t="n">
        <f aca="false">IF(C478&lt;(E478+F478),0,(C478-E478-F478)/(1-V$16/100))</f>
        <v>0</v>
      </c>
      <c r="O478" s="2" t="n">
        <f aca="false">L478+M478</f>
        <v>0</v>
      </c>
      <c r="P478" s="2" t="n">
        <f aca="false">IF( N478=0,I478*(1-G478/100)+J478*(1-H478/100),-N478)</f>
        <v>28.0936991410228</v>
      </c>
      <c r="Q478" s="47" t="n">
        <f aca="false">IF(P477&gt;0,Q477+P477*(1-V$20/100),Q477+P477)</f>
        <v>2382.81343238535</v>
      </c>
      <c r="R478" s="48" t="n">
        <f aca="false">R$4+Q478/V$28</f>
        <v>68.1851545685682</v>
      </c>
    </row>
    <row r="479" customFormat="false" ht="12.8" hidden="false" customHeight="false" outlineLevel="0" collapsed="false">
      <c r="A479" s="1" t="n">
        <v>475</v>
      </c>
      <c r="B479" s="37" t="n">
        <v>44020</v>
      </c>
      <c r="C479" s="38" t="n">
        <f aca="false">V$26-V$26*SIN(2*PI()/365*A479)</f>
        <v>0.731179367168378</v>
      </c>
      <c r="D479" s="2" t="n">
        <f aca="false">IF((E479+F479)&gt;C479,C479,E479+F479)</f>
        <v>0.731179367168378</v>
      </c>
      <c r="E479" s="38" t="n">
        <f aca="false">(V$23+V$24*SIN(2*PI()/365*A479))*V$25/100*V$7*V$8/100</f>
        <v>25.3611147193705</v>
      </c>
      <c r="F479" s="38" t="n">
        <f aca="false">(V$23+V$24*SIN(2*PI()/365*A479))*V$25/100*V$9*(1-V$14/100)*(1-V$16/100)</f>
        <v>5.37085680179106</v>
      </c>
      <c r="G479" s="38" t="n">
        <f aca="false">IF(C479&gt;E479,100,C479/E479*100)</f>
        <v>2.88307266955389</v>
      </c>
      <c r="H479" s="38" t="n">
        <f aca="false">L479/F479*100</f>
        <v>0</v>
      </c>
      <c r="I479" s="38" t="n">
        <f aca="false">(V$23+V$24*SIN(2*PI()/365*A479))*V$25/100*V$7*V$8/100*(1-V$15/100)</f>
        <v>22.5713921002397</v>
      </c>
      <c r="J479" s="38" t="n">
        <f aca="false">(V$23+V$24*SIN(2*PI()/365*A479))*V$25/100*V$9*(1-V$14/100)</f>
        <v>6.03467056381018</v>
      </c>
      <c r="K479" s="39" t="n">
        <f aca="false">IF(E479/C479*100&lt;100,E479/C479*100,100)</f>
        <v>100</v>
      </c>
      <c r="L479" s="2" t="n">
        <f aca="false">IF(((C479-E479)&gt;0)AND(F479&gt;(C479-E479)),(C479-E479),IF(C479&lt;E479,0,F479))</f>
        <v>0</v>
      </c>
      <c r="M479" s="2" t="n">
        <f aca="false">IF(C479&lt;(E479+F479),0,C479-E479-F479)</f>
        <v>0</v>
      </c>
      <c r="N479" s="2" t="n">
        <f aca="false">IF(C479&lt;(E479+F479),0,(C479-E479-F479)/(1-V$16/100))</f>
        <v>0</v>
      </c>
      <c r="O479" s="2" t="n">
        <f aca="false">L479+M479</f>
        <v>0</v>
      </c>
      <c r="P479" s="2" t="n">
        <f aca="false">IF( N479=0,I479*(1-G479/100)+J479*(1-H479/100),-N479)</f>
        <v>27.95531302727</v>
      </c>
      <c r="Q479" s="47" t="n">
        <f aca="false">IF(P478&gt;0,Q478+P478*(1-V$20/100),Q478+P478)</f>
        <v>2408.9405725865</v>
      </c>
      <c r="R479" s="48" t="n">
        <f aca="false">R$4+Q479/V$28</f>
        <v>68.4941999495433</v>
      </c>
    </row>
    <row r="480" customFormat="false" ht="12.8" hidden="false" customHeight="false" outlineLevel="0" collapsed="false">
      <c r="A480" s="1" t="n">
        <v>476</v>
      </c>
      <c r="B480" s="37" t="n">
        <v>44021</v>
      </c>
      <c r="C480" s="38" t="n">
        <f aca="false">V$26-V$26*SIN(2*PI()/365*A480)</f>
        <v>0.810479309070621</v>
      </c>
      <c r="D480" s="2" t="n">
        <f aca="false">IF((E480+F480)&gt;C480,C480,E480+F480)</f>
        <v>0.810479309070621</v>
      </c>
      <c r="E480" s="38" t="n">
        <f aca="false">(V$23+V$24*SIN(2*PI()/365*A480))*V$25/100*V$7*V$8/100</f>
        <v>25.2945160251557</v>
      </c>
      <c r="F480" s="38" t="n">
        <f aca="false">(V$23+V$24*SIN(2*PI()/365*A480))*V$25/100*V$9*(1-V$14/100)*(1-V$16/100)</f>
        <v>5.35675284564512</v>
      </c>
      <c r="G480" s="38" t="n">
        <f aca="false">IF(C480&gt;E480,100,C480/E480*100)</f>
        <v>3.2041700590934</v>
      </c>
      <c r="H480" s="38" t="n">
        <f aca="false">L480/F480*100</f>
        <v>0</v>
      </c>
      <c r="I480" s="38" t="n">
        <f aca="false">(V$23+V$24*SIN(2*PI()/365*A480))*V$25/100*V$7*V$8/100*(1-V$15/100)</f>
        <v>22.5121192623885</v>
      </c>
      <c r="J480" s="38" t="n">
        <f aca="false">(V$23+V$24*SIN(2*PI()/365*A480))*V$25/100*V$9*(1-V$14/100)</f>
        <v>6.01882342207317</v>
      </c>
      <c r="K480" s="39" t="n">
        <f aca="false">IF(E480/C480*100&lt;100,E480/C480*100,100)</f>
        <v>100</v>
      </c>
      <c r="L480" s="2" t="n">
        <f aca="false">IF(((C480-E480)&gt;0)AND(F480&gt;(C480-E480)),(C480-E480),IF(C480&lt;E480,0,F480))</f>
        <v>0</v>
      </c>
      <c r="M480" s="2" t="n">
        <f aca="false">IF(C480&lt;(E480+F480),0,C480-E480-F480)</f>
        <v>0</v>
      </c>
      <c r="N480" s="2" t="n">
        <f aca="false">IF(C480&lt;(E480+F480),0,(C480-E480-F480)/(1-V$16/100))</f>
        <v>0</v>
      </c>
      <c r="O480" s="2" t="n">
        <f aca="false">L480+M480</f>
        <v>0</v>
      </c>
      <c r="P480" s="2" t="n">
        <f aca="false">IF( N480=0,I480*(1-G480/100)+J480*(1-H480/100),-N480)</f>
        <v>27.8096160993889</v>
      </c>
      <c r="Q480" s="47" t="n">
        <f aca="false">IF(P479&gt;0,Q479+P479*(1-V$20/100),Q479+P479)</f>
        <v>2434.93901370186</v>
      </c>
      <c r="R480" s="48" t="n">
        <f aca="false">R$4+Q480/V$28</f>
        <v>68.8017230109039</v>
      </c>
    </row>
    <row r="481" customFormat="false" ht="12.8" hidden="false" customHeight="false" outlineLevel="0" collapsed="false">
      <c r="A481" s="1" t="n">
        <v>477</v>
      </c>
      <c r="B481" s="37" t="n">
        <v>44022</v>
      </c>
      <c r="C481" s="38" t="n">
        <f aca="false">V$26-V$26*SIN(2*PI()/365*A481)</f>
        <v>0.893734883505427</v>
      </c>
      <c r="D481" s="2" t="n">
        <f aca="false">IF((E481+F481)&gt;C481,C481,E481+F481)</f>
        <v>0.893734883505427</v>
      </c>
      <c r="E481" s="38" t="n">
        <f aca="false">(V$23+V$24*SIN(2*PI()/365*A481))*V$25/100*V$7*V$8/100</f>
        <v>25.2245952608971</v>
      </c>
      <c r="F481" s="38" t="n">
        <f aca="false">(V$23+V$24*SIN(2*PI()/365*A481))*V$25/100*V$9*(1-V$14/100)*(1-V$16/100)</f>
        <v>5.34194535723384</v>
      </c>
      <c r="G481" s="38" t="n">
        <f aca="false">IF(C481&gt;E481,100,C481/E481*100)</f>
        <v>3.54310891517409</v>
      </c>
      <c r="H481" s="38" t="n">
        <f aca="false">L481/F481*100</f>
        <v>0</v>
      </c>
      <c r="I481" s="38" t="n">
        <f aca="false">(V$23+V$24*SIN(2*PI()/365*A481))*V$25/100*V$7*V$8/100*(1-V$15/100)</f>
        <v>22.4498897821984</v>
      </c>
      <c r="J481" s="38" t="n">
        <f aca="false">(V$23+V$24*SIN(2*PI()/365*A481))*V$25/100*V$9*(1-V$14/100)</f>
        <v>6.00218579464476</v>
      </c>
      <c r="K481" s="39" t="n">
        <f aca="false">IF(E481/C481*100&lt;100,E481/C481*100,100)</f>
        <v>100</v>
      </c>
      <c r="L481" s="2" t="n">
        <f aca="false">IF(((C481-E481)&gt;0)AND(F481&gt;(C481-E481)),(C481-E481),IF(C481&lt;E481,0,F481))</f>
        <v>0</v>
      </c>
      <c r="M481" s="2" t="n">
        <f aca="false">IF(C481&lt;(E481+F481),0,C481-E481-F481)</f>
        <v>0</v>
      </c>
      <c r="N481" s="2" t="n">
        <f aca="false">IF(C481&lt;(E481+F481),0,(C481-E481-F481)/(1-V$16/100))</f>
        <v>0</v>
      </c>
      <c r="O481" s="2" t="n">
        <f aca="false">L481+M481</f>
        <v>0</v>
      </c>
      <c r="P481" s="2" t="n">
        <f aca="false">IF( N481=0,I481*(1-G481/100)+J481*(1-H481/100),-N481)</f>
        <v>27.6566515305234</v>
      </c>
      <c r="Q481" s="47" t="n">
        <f aca="false">IF(P480&gt;0,Q480+P480*(1-V$20/100),Q480+P480)</f>
        <v>2460.80195667429</v>
      </c>
      <c r="R481" s="48" t="n">
        <f aca="false">R$4+Q481/V$28</f>
        <v>69.1076433298717</v>
      </c>
    </row>
    <row r="482" customFormat="false" ht="12.8" hidden="false" customHeight="false" outlineLevel="0" collapsed="false">
      <c r="A482" s="1" t="n">
        <v>478</v>
      </c>
      <c r="B482" s="37" t="n">
        <v>44023</v>
      </c>
      <c r="C482" s="38" t="n">
        <f aca="false">V$26-V$26*SIN(2*PI()/365*A482)</f>
        <v>0.98092142004931</v>
      </c>
      <c r="D482" s="2" t="n">
        <f aca="false">IF((E482+F482)&gt;C482,C482,E482+F482)</f>
        <v>0.98092142004931</v>
      </c>
      <c r="E482" s="38" t="n">
        <f aca="false">(V$23+V$24*SIN(2*PI()/365*A482))*V$25/100*V$7*V$8/100</f>
        <v>25.1513731456263</v>
      </c>
      <c r="F482" s="38" t="n">
        <f aca="false">(V$23+V$24*SIN(2*PI()/365*A482))*V$25/100*V$9*(1-V$14/100)*(1-V$16/100)</f>
        <v>5.32643872433559</v>
      </c>
      <c r="G482" s="38" t="n">
        <f aca="false">IF(C482&gt;E482,100,C482/E482*100)</f>
        <v>3.90007103934159</v>
      </c>
      <c r="H482" s="38" t="n">
        <f aca="false">L482/F482*100</f>
        <v>0</v>
      </c>
      <c r="I482" s="38" t="n">
        <f aca="false">(V$23+V$24*SIN(2*PI()/365*A482))*V$25/100*V$7*V$8/100*(1-V$15/100)</f>
        <v>22.3847220996074</v>
      </c>
      <c r="J482" s="38" t="n">
        <f aca="false">(V$23+V$24*SIN(2*PI()/365*A482))*V$25/100*V$9*(1-V$14/100)</f>
        <v>5.98476261161302</v>
      </c>
      <c r="K482" s="39" t="n">
        <f aca="false">IF(E482/C482*100&lt;100,E482/C482*100,100)</f>
        <v>100</v>
      </c>
      <c r="L482" s="2" t="n">
        <f aca="false">IF(((C482-E482)&gt;0)AND(F482&gt;(C482-E482)),(C482-E482),IF(C482&lt;E482,0,F482))</f>
        <v>0</v>
      </c>
      <c r="M482" s="2" t="n">
        <f aca="false">IF(C482&lt;(E482+F482),0,C482-E482-F482)</f>
        <v>0</v>
      </c>
      <c r="N482" s="2" t="n">
        <f aca="false">IF(C482&lt;(E482+F482),0,(C482-E482-F482)/(1-V$16/100))</f>
        <v>0</v>
      </c>
      <c r="O482" s="2" t="n">
        <f aca="false">L482+M482</f>
        <v>0</v>
      </c>
      <c r="P482" s="2" t="n">
        <f aca="false">IF( N482=0,I482*(1-G482/100)+J482*(1-H482/100),-N482)</f>
        <v>27.4964646473766</v>
      </c>
      <c r="Q482" s="47" t="n">
        <f aca="false">IF(P481&gt;0,Q481+P481*(1-V$20/100),Q481+P481)</f>
        <v>2486.52264259768</v>
      </c>
      <c r="R482" s="48" t="n">
        <f aca="false">R$4+Q482/V$28</f>
        <v>69.4118809585955</v>
      </c>
    </row>
    <row r="483" customFormat="false" ht="12.8" hidden="false" customHeight="false" outlineLevel="0" collapsed="false">
      <c r="A483" s="1" t="n">
        <v>479</v>
      </c>
      <c r="B483" s="37" t="n">
        <v>44024</v>
      </c>
      <c r="C483" s="38" t="n">
        <f aca="false">V$26-V$26*SIN(2*PI()/365*A483)</f>
        <v>1.07201308344983</v>
      </c>
      <c r="D483" s="2" t="n">
        <f aca="false">IF((E483+F483)&gt;C483,C483,E483+F483)</f>
        <v>1.07201308344983</v>
      </c>
      <c r="E483" s="38" t="n">
        <f aca="false">(V$23+V$24*SIN(2*PI()/365*A483))*V$25/100*V$7*V$8/100</f>
        <v>25.0748713766363</v>
      </c>
      <c r="F483" s="38" t="n">
        <f aca="false">(V$23+V$24*SIN(2*PI()/365*A483))*V$25/100*V$9*(1-V$14/100)*(1-V$16/100)</f>
        <v>5.31023754190036</v>
      </c>
      <c r="G483" s="38" t="n">
        <f aca="false">IF(C483&gt;E483,100,C483/E483*100)</f>
        <v>4.27524858392168</v>
      </c>
      <c r="H483" s="38" t="n">
        <f aca="false">L483/F483*100</f>
        <v>0</v>
      </c>
      <c r="I483" s="38" t="n">
        <f aca="false">(V$23+V$24*SIN(2*PI()/365*A483))*V$25/100*V$7*V$8/100*(1-V$15/100)</f>
        <v>22.3166355252063</v>
      </c>
      <c r="J483" s="38" t="n">
        <f aca="false">(V$23+V$24*SIN(2*PI()/365*A483))*V$25/100*V$9*(1-V$14/100)</f>
        <v>5.9665590358431</v>
      </c>
      <c r="K483" s="39" t="n">
        <f aca="false">IF(E483/C483*100&lt;100,E483/C483*100,100)</f>
        <v>100</v>
      </c>
      <c r="L483" s="2" t="n">
        <f aca="false">IF(((C483-E483)&gt;0)AND(F483&gt;(C483-E483)),(C483-E483),IF(C483&lt;E483,0,F483))</f>
        <v>0</v>
      </c>
      <c r="M483" s="2" t="n">
        <f aca="false">IF(C483&lt;(E483+F483),0,C483-E483-F483)</f>
        <v>0</v>
      </c>
      <c r="N483" s="2" t="n">
        <f aca="false">IF(C483&lt;(E483+F483),0,(C483-E483-F483)/(1-V$16/100))</f>
        <v>0</v>
      </c>
      <c r="O483" s="2" t="n">
        <f aca="false">L483+M483</f>
        <v>0</v>
      </c>
      <c r="P483" s="2" t="n">
        <f aca="false">IF( N483=0,I483*(1-G483/100)+J483*(1-H483/100),-N483)</f>
        <v>27.3291029167791</v>
      </c>
      <c r="Q483" s="47" t="n">
        <f aca="false">IF(P482&gt;0,Q482+P482*(1-V$20/100),Q482+P482)</f>
        <v>2512.09435471974</v>
      </c>
      <c r="R483" s="48" t="n">
        <f aca="false">R$4+Q483/V$28</f>
        <v>69.7143564478418</v>
      </c>
    </row>
    <row r="484" customFormat="false" ht="12.8" hidden="false" customHeight="false" outlineLevel="0" collapsed="false">
      <c r="A484" s="1" t="n">
        <v>480</v>
      </c>
      <c r="B484" s="37" t="n">
        <v>44025</v>
      </c>
      <c r="C484" s="38" t="n">
        <f aca="false">V$26-V$26*SIN(2*PI()/365*A484)</f>
        <v>1.1669828812812</v>
      </c>
      <c r="D484" s="2" t="n">
        <f aca="false">IF((E484+F484)&gt;C484,C484,E484+F484)</f>
        <v>1.1669828812812</v>
      </c>
      <c r="E484" s="38" t="n">
        <f aca="false">(V$23+V$24*SIN(2*PI()/365*A484))*V$25/100*V$7*V$8/100</f>
        <v>24.9951126230522</v>
      </c>
      <c r="F484" s="38" t="n">
        <f aca="false">(V$23+V$24*SIN(2*PI()/365*A484))*V$25/100*V$9*(1-V$14/100)*(1-V$16/100)</f>
        <v>5.29334661068816</v>
      </c>
      <c r="G484" s="38" t="n">
        <f aca="false">IF(C484&gt;E484,100,C484/E484*100)</f>
        <v>4.6688442611974</v>
      </c>
      <c r="H484" s="38" t="n">
        <f aca="false">L484/F484*100</f>
        <v>0</v>
      </c>
      <c r="I484" s="38" t="n">
        <f aca="false">(V$23+V$24*SIN(2*PI()/365*A484))*V$25/100*V$7*V$8/100*(1-V$15/100)</f>
        <v>22.2456502345164</v>
      </c>
      <c r="J484" s="38" t="n">
        <f aca="false">(V$23+V$24*SIN(2*PI()/365*A484))*V$25/100*V$9*(1-V$14/100)</f>
        <v>5.94758046144737</v>
      </c>
      <c r="K484" s="39" t="n">
        <f aca="false">IF(E484/C484*100&lt;100,E484/C484*100,100)</f>
        <v>100</v>
      </c>
      <c r="L484" s="2" t="n">
        <f aca="false">IF(((C484-E484)&gt;0)AND(F484&gt;(C484-E484)),(C484-E484),IF(C484&lt;E484,0,F484))</f>
        <v>0</v>
      </c>
      <c r="M484" s="2" t="n">
        <f aca="false">IF(C484&lt;(E484+F484),0,C484-E484-F484)</f>
        <v>0</v>
      </c>
      <c r="N484" s="2" t="n">
        <f aca="false">IF(C484&lt;(E484+F484),0,(C484-E484-F484)/(1-V$16/100))</f>
        <v>0</v>
      </c>
      <c r="O484" s="2" t="n">
        <f aca="false">L484+M484</f>
        <v>0</v>
      </c>
      <c r="P484" s="2" t="n">
        <f aca="false">IF( N484=0,I484*(1-G484/100)+J484*(1-H484/100),-N484)</f>
        <v>27.1546159316236</v>
      </c>
      <c r="Q484" s="47" t="n">
        <f aca="false">IF(P483&gt;0,Q483+P483*(1-V$20/100),Q483+P483)</f>
        <v>2537.51042043234</v>
      </c>
      <c r="R484" s="48" t="n">
        <f aca="false">R$4+Q484/V$28</f>
        <v>70.0149908705366</v>
      </c>
    </row>
    <row r="485" customFormat="false" ht="12.8" hidden="false" customHeight="false" outlineLevel="0" collapsed="false">
      <c r="A485" s="1" t="n">
        <v>481</v>
      </c>
      <c r="B485" s="37" t="n">
        <v>44026</v>
      </c>
      <c r="C485" s="38" t="n">
        <f aca="false">V$26-V$26*SIN(2*PI()/365*A485)</f>
        <v>1.26580267194273</v>
      </c>
      <c r="D485" s="2" t="n">
        <f aca="false">IF((E485+F485)&gt;C485,C485,E485+F485)</f>
        <v>1.26580267194273</v>
      </c>
      <c r="E485" s="38" t="n">
        <f aca="false">(V$23+V$24*SIN(2*PI()/365*A485))*V$25/100*V$7*V$8/100</f>
        <v>24.912120519114</v>
      </c>
      <c r="F485" s="38" t="n">
        <f aca="false">(V$23+V$24*SIN(2*PI()/365*A485))*V$25/100*V$9*(1-V$14/100)*(1-V$16/100)</f>
        <v>5.27577093584645</v>
      </c>
      <c r="G485" s="38" t="n">
        <f aca="false">IF(C485&gt;E485,100,C485/E485*100)</f>
        <v>5.0810715650301</v>
      </c>
      <c r="H485" s="38" t="n">
        <f aca="false">L485/F485*100</f>
        <v>0</v>
      </c>
      <c r="I485" s="38" t="n">
        <f aca="false">(V$23+V$24*SIN(2*PI()/365*A485))*V$25/100*V$7*V$8/100*(1-V$15/100)</f>
        <v>22.1717872620115</v>
      </c>
      <c r="J485" s="38" t="n">
        <f aca="false">(V$23+V$24*SIN(2*PI()/365*A485))*V$25/100*V$9*(1-V$14/100)</f>
        <v>5.92783251218702</v>
      </c>
      <c r="K485" s="39" t="n">
        <f aca="false">IF(E485/C485*100&lt;100,E485/C485*100,100)</f>
        <v>100</v>
      </c>
      <c r="L485" s="2" t="n">
        <f aca="false">IF(((C485-E485)&gt;0)AND(F485&gt;(C485-E485)),(C485-E485),IF(C485&lt;E485,0,F485))</f>
        <v>0</v>
      </c>
      <c r="M485" s="2" t="n">
        <f aca="false">IF(C485&lt;(E485+F485),0,C485-E485-F485)</f>
        <v>0</v>
      </c>
      <c r="N485" s="2" t="n">
        <f aca="false">IF(C485&lt;(E485+F485),0,(C485-E485-F485)/(1-V$16/100))</f>
        <v>0</v>
      </c>
      <c r="O485" s="2" t="n">
        <f aca="false">L485+M485</f>
        <v>0</v>
      </c>
      <c r="P485" s="2" t="n">
        <f aca="false">IF( N485=0,I485*(1-G485/100)+J485*(1-H485/100),-N485)</f>
        <v>26.9730553961695</v>
      </c>
      <c r="Q485" s="47" t="n">
        <f aca="false">IF(P484&gt;0,Q484+P484*(1-V$20/100),Q484+P484)</f>
        <v>2562.76421324875</v>
      </c>
      <c r="R485" s="48" t="n">
        <f aca="false">R$4+Q485/V$28</f>
        <v>70.313705845154</v>
      </c>
    </row>
    <row r="486" customFormat="false" ht="12.8" hidden="false" customHeight="false" outlineLevel="0" collapsed="false">
      <c r="A486" s="1" t="n">
        <v>482</v>
      </c>
      <c r="B486" s="37" t="n">
        <v>44027</v>
      </c>
      <c r="C486" s="38" t="n">
        <f aca="false">V$26-V$26*SIN(2*PI()/365*A486)</f>
        <v>1.36844317299772</v>
      </c>
      <c r="D486" s="2" t="n">
        <f aca="false">IF((E486+F486)&gt;C486,C486,E486+F486)</f>
        <v>1.36844317299772</v>
      </c>
      <c r="E486" s="38" t="n">
        <f aca="false">(V$23+V$24*SIN(2*PI()/365*A486))*V$25/100*V$7*V$8/100</f>
        <v>24.8259196571734</v>
      </c>
      <c r="F486" s="38" t="n">
        <f aca="false">(V$23+V$24*SIN(2*PI()/365*A486))*V$25/100*V$9*(1-V$14/100)*(1-V$16/100)</f>
        <v>5.25751572542699</v>
      </c>
      <c r="G486" s="38" t="n">
        <f aca="false">IF(C486&gt;E486,100,C486/E486*100)</f>
        <v>5.51215500531241</v>
      </c>
      <c r="H486" s="38" t="n">
        <f aca="false">L486/F486*100</f>
        <v>0</v>
      </c>
      <c r="I486" s="38" t="n">
        <f aca="false">(V$23+V$24*SIN(2*PI()/365*A486))*V$25/100*V$7*V$8/100*(1-V$15/100)</f>
        <v>22.0950684948843</v>
      </c>
      <c r="J486" s="38" t="n">
        <f aca="false">(V$23+V$24*SIN(2*PI()/365*A486))*V$25/100*V$9*(1-V$14/100)</f>
        <v>5.90732103980561</v>
      </c>
      <c r="K486" s="39" t="n">
        <f aca="false">IF(E486/C486*100&lt;100,E486/C486*100,100)</f>
        <v>100</v>
      </c>
      <c r="L486" s="2" t="n">
        <f aca="false">IF(((C486-E486)&gt;0)AND(F486&gt;(C486-E486)),(C486-E486),IF(C486&lt;E486,0,F486))</f>
        <v>0</v>
      </c>
      <c r="M486" s="2" t="n">
        <f aca="false">IF(C486&lt;(E486+F486),0,C486-E486-F486)</f>
        <v>0</v>
      </c>
      <c r="N486" s="2" t="n">
        <f aca="false">IF(C486&lt;(E486+F486),0,(C486-E486-F486)/(1-V$16/100))</f>
        <v>0</v>
      </c>
      <c r="O486" s="2" t="n">
        <f aca="false">L486+M486</f>
        <v>0</v>
      </c>
      <c r="P486" s="2" t="n">
        <f aca="false">IF( N486=0,I486*(1-G486/100)+J486*(1-H486/100),-N486)</f>
        <v>26.784475110722</v>
      </c>
      <c r="Q486" s="47" t="n">
        <f aca="false">IF(P485&gt;0,Q485+P485*(1-V$20/100),Q485+P485)</f>
        <v>2587.84915476719</v>
      </c>
      <c r="R486" s="48" t="n">
        <f aca="false">R$4+Q486/V$28</f>
        <v>70.610423558942</v>
      </c>
    </row>
    <row r="487" customFormat="false" ht="12.8" hidden="false" customHeight="false" outlineLevel="0" collapsed="false">
      <c r="A487" s="1" t="n">
        <v>483</v>
      </c>
      <c r="B487" s="37" t="n">
        <v>44028</v>
      </c>
      <c r="C487" s="38" t="n">
        <f aca="false">V$26-V$26*SIN(2*PI()/365*A487)</f>
        <v>1.47487396985055</v>
      </c>
      <c r="D487" s="2" t="n">
        <f aca="false">IF((E487+F487)&gt;C487,C487,E487+F487)</f>
        <v>1.47487396985055</v>
      </c>
      <c r="E487" s="38" t="n">
        <f aca="false">(V$23+V$24*SIN(2*PI()/365*A487))*V$25/100*V$7*V$8/100</f>
        <v>24.736535580406</v>
      </c>
      <c r="F487" s="38" t="n">
        <f aca="false">(V$23+V$24*SIN(2*PI()/365*A487))*V$25/100*V$9*(1-V$14/100)*(1-V$16/100)</f>
        <v>5.23858638884261</v>
      </c>
      <c r="G487" s="38" t="n">
        <f aca="false">IF(C487&gt;E487,100,C487/E487*100)</f>
        <v>5.96233035566554</v>
      </c>
      <c r="H487" s="38" t="n">
        <f aca="false">L487/F487*100</f>
        <v>0</v>
      </c>
      <c r="I487" s="38" t="n">
        <f aca="false">(V$23+V$24*SIN(2*PI()/365*A487))*V$25/100*V$7*V$8/100*(1-V$15/100)</f>
        <v>22.0155166665614</v>
      </c>
      <c r="J487" s="38" t="n">
        <f aca="false">(V$23+V$24*SIN(2*PI()/365*A487))*V$25/100*V$9*(1-V$14/100)</f>
        <v>5.88605212229507</v>
      </c>
      <c r="K487" s="39" t="n">
        <f aca="false">IF(E487/C487*100&lt;100,E487/C487*100,100)</f>
        <v>100</v>
      </c>
      <c r="L487" s="2" t="n">
        <f aca="false">IF(((C487-E487)&gt;0)AND(F487&gt;(C487-E487)),(C487-E487),IF(C487&lt;E487,0,F487))</f>
        <v>0</v>
      </c>
      <c r="M487" s="2" t="n">
        <f aca="false">IF(C487&lt;(E487+F487),0,C487-E487-F487)</f>
        <v>0</v>
      </c>
      <c r="N487" s="2" t="n">
        <f aca="false">IF(C487&lt;(E487+F487),0,(C487-E487-F487)/(1-V$16/100))</f>
        <v>0</v>
      </c>
      <c r="O487" s="2" t="n">
        <f aca="false">L487+M487</f>
        <v>0</v>
      </c>
      <c r="P487" s="2" t="n">
        <f aca="false">IF( N487=0,I487*(1-G487/100)+J487*(1-H487/100),-N487)</f>
        <v>26.5889309556894</v>
      </c>
      <c r="Q487" s="47" t="n">
        <f aca="false">IF(P486&gt;0,Q486+P486*(1-V$20/100),Q486+P486)</f>
        <v>2612.75871662016</v>
      </c>
      <c r="R487" s="48" t="n">
        <f aca="false">R$4+Q487/V$28</f>
        <v>70.9050667909799</v>
      </c>
    </row>
    <row r="488" customFormat="false" ht="12.8" hidden="false" customHeight="false" outlineLevel="0" collapsed="false">
      <c r="A488" s="1" t="n">
        <v>484</v>
      </c>
      <c r="B488" s="37" t="n">
        <v>44029</v>
      </c>
      <c r="C488" s="38" t="n">
        <f aca="false">V$26-V$26*SIN(2*PI()/365*A488)</f>
        <v>1.58506352475917</v>
      </c>
      <c r="D488" s="2" t="n">
        <f aca="false">IF((E488+F488)&gt;C488,C488,E488+F488)</f>
        <v>1.58506352475917</v>
      </c>
      <c r="E488" s="38" t="n">
        <f aca="false">(V$23+V$24*SIN(2*PI()/365*A488))*V$25/100*V$7*V$8/100</f>
        <v>24.6439947752429</v>
      </c>
      <c r="F488" s="38" t="n">
        <f aca="false">(V$23+V$24*SIN(2*PI()/365*A488))*V$25/100*V$9*(1-V$14/100)*(1-V$16/100)</f>
        <v>5.21898853526427</v>
      </c>
      <c r="G488" s="38" t="n">
        <f aca="false">IF(C488&gt;E488,100,C488/E488*100)</f>
        <v>6.43184491481676</v>
      </c>
      <c r="H488" s="38" t="n">
        <f aca="false">L488/F488*100</f>
        <v>0</v>
      </c>
      <c r="I488" s="38" t="n">
        <f aca="false">(V$23+V$24*SIN(2*PI()/365*A488))*V$25/100*V$7*V$8/100*(1-V$15/100)</f>
        <v>21.9331553499661</v>
      </c>
      <c r="J488" s="38" t="n">
        <f aca="false">(V$23+V$24*SIN(2*PI()/365*A488))*V$25/100*V$9*(1-V$14/100)</f>
        <v>5.86403206209469</v>
      </c>
      <c r="K488" s="39" t="n">
        <f aca="false">IF(E488/C488*100&lt;100,E488/C488*100,100)</f>
        <v>100</v>
      </c>
      <c r="L488" s="2" t="n">
        <f aca="false">IF(((C488-E488)&gt;0)AND(F488&gt;(C488-E488)),(C488-E488),IF(C488&lt;E488,0,F488))</f>
        <v>0</v>
      </c>
      <c r="M488" s="2" t="n">
        <f aca="false">IF(C488&lt;(E488+F488),0,C488-E488-F488)</f>
        <v>0</v>
      </c>
      <c r="N488" s="2" t="n">
        <f aca="false">IF(C488&lt;(E488+F488),0,(C488-E488-F488)/(1-V$16/100))</f>
        <v>0</v>
      </c>
      <c r="O488" s="2" t="n">
        <f aca="false">L488+M488</f>
        <v>0</v>
      </c>
      <c r="P488" s="2" t="n">
        <f aca="false">IF( N488=0,I488*(1-G488/100)+J488*(1-H488/100),-N488)</f>
        <v>26.3864808750252</v>
      </c>
      <c r="Q488" s="47" t="n">
        <f aca="false">IF(P487&gt;0,Q487+P487*(1-V$20/100),Q487+P487)</f>
        <v>2637.48642240895</v>
      </c>
      <c r="R488" s="48" t="n">
        <f aca="false">R$4+Q488/V$28</f>
        <v>71.1975589350608</v>
      </c>
    </row>
    <row r="489" customFormat="false" ht="12.8" hidden="false" customHeight="false" outlineLevel="0" collapsed="false">
      <c r="A489" s="1" t="n">
        <v>485</v>
      </c>
      <c r="B489" s="37" t="n">
        <v>44030</v>
      </c>
      <c r="C489" s="38" t="n">
        <f aca="false">V$26-V$26*SIN(2*PI()/365*A489)</f>
        <v>1.69897918618033</v>
      </c>
      <c r="D489" s="2" t="n">
        <f aca="false">IF((E489+F489)&gt;C489,C489,E489+F489)</f>
        <v>1.69897918618033</v>
      </c>
      <c r="E489" s="38" t="n">
        <f aca="false">(V$23+V$24*SIN(2*PI()/365*A489))*V$25/100*V$7*V$8/100</f>
        <v>24.5483246635217</v>
      </c>
      <c r="F489" s="38" t="n">
        <f aca="false">(V$23+V$24*SIN(2*PI()/365*A489))*V$25/100*V$9*(1-V$14/100)*(1-V$16/100)</f>
        <v>5.19872797195894</v>
      </c>
      <c r="G489" s="38" t="n">
        <f aca="false">IF(C489&gt;E489,100,C489/E489*100)</f>
        <v>6.92095778212098</v>
      </c>
      <c r="H489" s="38" t="n">
        <f aca="false">L489/F489*100</f>
        <v>0</v>
      </c>
      <c r="I489" s="38" t="n">
        <f aca="false">(V$23+V$24*SIN(2*PI()/365*A489))*V$25/100*V$7*V$8/100*(1-V$15/100)</f>
        <v>21.8480089505343</v>
      </c>
      <c r="J489" s="38" t="n">
        <f aca="false">(V$23+V$24*SIN(2*PI()/365*A489))*V$25/100*V$9*(1-V$14/100)</f>
        <v>5.84126738422353</v>
      </c>
      <c r="K489" s="39" t="n">
        <f aca="false">IF(E489/C489*100&lt;100,E489/C489*100,100)</f>
        <v>100</v>
      </c>
      <c r="L489" s="2" t="n">
        <f aca="false">IF(((C489-E489)&gt;0)AND(F489&gt;(C489-E489)),(C489-E489),IF(C489&lt;E489,0,F489))</f>
        <v>0</v>
      </c>
      <c r="M489" s="2" t="n">
        <f aca="false">IF(C489&lt;(E489+F489),0,C489-E489-F489)</f>
        <v>0</v>
      </c>
      <c r="N489" s="2" t="n">
        <f aca="false">IF(C489&lt;(E489+F489),0,(C489-E489-F489)/(1-V$16/100))</f>
        <v>0</v>
      </c>
      <c r="O489" s="2" t="n">
        <f aca="false">L489+M489</f>
        <v>0</v>
      </c>
      <c r="P489" s="2" t="n">
        <f aca="false">IF( N489=0,I489*(1-G489/100)+J489*(1-H489/100),-N489)</f>
        <v>26.1771848590574</v>
      </c>
      <c r="Q489" s="47" t="n">
        <f aca="false">IF(P488&gt;0,Q488+P488*(1-V$20/100),Q488+P488)</f>
        <v>2662.02584962273</v>
      </c>
      <c r="R489" s="48" t="n">
        <f aca="false">R$4+Q489/V$28</f>
        <v>71.4878240223916</v>
      </c>
    </row>
    <row r="490" customFormat="false" ht="12.8" hidden="false" customHeight="false" outlineLevel="0" collapsed="false">
      <c r="A490" s="1" t="n">
        <v>486</v>
      </c>
      <c r="B490" s="37" t="n">
        <v>44031</v>
      </c>
      <c r="C490" s="38" t="n">
        <f aca="false">V$26-V$26*SIN(2*PI()/365*A490)</f>
        <v>1.81658719844508</v>
      </c>
      <c r="D490" s="2" t="n">
        <f aca="false">IF((E490+F490)&gt;C490,C490,E490+F490)</f>
        <v>1.81658719844508</v>
      </c>
      <c r="E490" s="38" t="n">
        <f aca="false">(V$23+V$24*SIN(2*PI()/365*A490))*V$25/100*V$7*V$8/100</f>
        <v>24.4495535943615</v>
      </c>
      <c r="F490" s="38" t="n">
        <f aca="false">(V$23+V$24*SIN(2*PI()/365*A490))*V$25/100*V$9*(1-V$14/100)*(1-V$16/100)</f>
        <v>5.17781070256879</v>
      </c>
      <c r="G490" s="38" t="n">
        <f aca="false">IF(C490&gt;E490,100,C490/E490*100)</f>
        <v>7.42994014771713</v>
      </c>
      <c r="H490" s="38" t="n">
        <f aca="false">L490/F490*100</f>
        <v>0</v>
      </c>
      <c r="I490" s="38" t="n">
        <f aca="false">(V$23+V$24*SIN(2*PI()/365*A490))*V$25/100*V$7*V$8/100*(1-V$15/100)</f>
        <v>21.7601026989817</v>
      </c>
      <c r="J490" s="38" t="n">
        <f aca="false">(V$23+V$24*SIN(2*PI()/365*A490))*V$25/100*V$9*(1-V$14/100)</f>
        <v>5.81776483434696</v>
      </c>
      <c r="K490" s="39" t="n">
        <f aca="false">IF(E490/C490*100&lt;100,E490/C490*100,100)</f>
        <v>100</v>
      </c>
      <c r="L490" s="2" t="n">
        <f aca="false">IF(((C490-E490)&gt;0)AND(F490&gt;(C490-E490)),(C490-E490),IF(C490&lt;E490,0,F490))</f>
        <v>0</v>
      </c>
      <c r="M490" s="2" t="n">
        <f aca="false">IF(C490&lt;(E490+F490),0,C490-E490-F490)</f>
        <v>0</v>
      </c>
      <c r="N490" s="2" t="n">
        <f aca="false">IF(C490&lt;(E490+F490),0,(C490-E490-F490)/(1-V$16/100))</f>
        <v>0</v>
      </c>
      <c r="O490" s="2" t="n">
        <f aca="false">L490+M490</f>
        <v>0</v>
      </c>
      <c r="P490" s="2" t="n">
        <f aca="false">IF( N490=0,I490*(1-G490/100)+J490*(1-H490/100),-N490)</f>
        <v>25.9611049267125</v>
      </c>
      <c r="Q490" s="47" t="n">
        <f aca="false">IF(P489&gt;0,Q489+P489*(1-V$20/100),Q489+P489)</f>
        <v>2686.37063154165</v>
      </c>
      <c r="R490" s="48" t="n">
        <f aca="false">R$4+Q490/V$28</f>
        <v>71.7757867441042</v>
      </c>
    </row>
    <row r="491" customFormat="false" ht="12.8" hidden="false" customHeight="false" outlineLevel="0" collapsed="false">
      <c r="A491" s="1" t="n">
        <v>487</v>
      </c>
      <c r="B491" s="37" t="n">
        <v>44032</v>
      </c>
      <c r="C491" s="38" t="n">
        <f aca="false">V$26-V$26*SIN(2*PI()/365*A491)</f>
        <v>1.93785271176119</v>
      </c>
      <c r="D491" s="2" t="n">
        <f aca="false">IF((E491+F491)&gt;C491,C491,E491+F491)</f>
        <v>1.93785271176119</v>
      </c>
      <c r="E491" s="38" t="n">
        <f aca="false">(V$23+V$24*SIN(2*PI()/365*A491))*V$25/100*V$7*V$8/100</f>
        <v>24.3477108357615</v>
      </c>
      <c r="F491" s="38" t="n">
        <f aca="false">(V$23+V$24*SIN(2*PI()/365*A491))*V$25/100*V$9*(1-V$14/100)*(1-V$16/100)</f>
        <v>5.15624292533217</v>
      </c>
      <c r="G491" s="38" t="n">
        <f aca="false">IF(C491&gt;E491,100,C491/E491*100)</f>
        <v>7.95907559783775</v>
      </c>
      <c r="H491" s="38" t="n">
        <f aca="false">L491/F491*100</f>
        <v>0</v>
      </c>
      <c r="I491" s="38" t="n">
        <f aca="false">(V$23+V$24*SIN(2*PI()/365*A491))*V$25/100*V$7*V$8/100*(1-V$15/100)</f>
        <v>21.6694626438277</v>
      </c>
      <c r="J491" s="38" t="n">
        <f aca="false">(V$23+V$24*SIN(2*PI()/365*A491))*V$25/100*V$9*(1-V$14/100)</f>
        <v>5.79353137677772</v>
      </c>
      <c r="K491" s="39" t="n">
        <f aca="false">IF(E491/C491*100&lt;100,E491/C491*100,100)</f>
        <v>100</v>
      </c>
      <c r="L491" s="2" t="n">
        <f aca="false">IF(((C491-E491)&gt;0)AND(F491&gt;(C491-E491)),(C491-E491),IF(C491&lt;E491,0,F491))</f>
        <v>0</v>
      </c>
      <c r="M491" s="2" t="n">
        <f aca="false">IF(C491&lt;(E491+F491),0,C491-E491-F491)</f>
        <v>0</v>
      </c>
      <c r="N491" s="2" t="n">
        <f aca="false">IF(C491&lt;(E491+F491),0,(C491-E491-F491)/(1-V$16/100))</f>
        <v>0</v>
      </c>
      <c r="O491" s="2" t="n">
        <f aca="false">L491+M491</f>
        <v>0</v>
      </c>
      <c r="P491" s="2" t="n">
        <f aca="false">IF( N491=0,I491*(1-G491/100)+J491*(1-H491/100),-N491)</f>
        <v>25.738305107138</v>
      </c>
      <c r="Q491" s="47" t="n">
        <f aca="false">IF(P490&gt;0,Q490+P490*(1-V$20/100),Q490+P490)</f>
        <v>2710.51445912349</v>
      </c>
      <c r="R491" s="48" t="n">
        <f aca="false">R$4+Q491/V$28</f>
        <v>72.061372473571</v>
      </c>
    </row>
    <row r="492" customFormat="false" ht="12.8" hidden="false" customHeight="false" outlineLevel="0" collapsed="false">
      <c r="A492" s="1" t="n">
        <v>488</v>
      </c>
      <c r="B492" s="37" t="n">
        <v>44033</v>
      </c>
      <c r="C492" s="38" t="n">
        <f aca="false">V$26-V$26*SIN(2*PI()/365*A492)</f>
        <v>2.06273979253995</v>
      </c>
      <c r="D492" s="2" t="n">
        <f aca="false">IF((E492+F492)&gt;C492,C492,E492+F492)</f>
        <v>2.06273979253995</v>
      </c>
      <c r="E492" s="38" t="n">
        <f aca="false">(V$23+V$24*SIN(2*PI()/365*A492))*V$25/100*V$7*V$8/100</f>
        <v>24.2428265659291</v>
      </c>
      <c r="F492" s="38" t="n">
        <f aca="false">(V$23+V$24*SIN(2*PI()/365*A492))*V$25/100*V$9*(1-V$14/100)*(1-V$16/100)</f>
        <v>5.13403103124694</v>
      </c>
      <c r="G492" s="38" t="n">
        <f aca="false">IF(C492&gt;E492,100,C492/E492*100)</f>
        <v>8.50866043582116</v>
      </c>
      <c r="H492" s="38" t="n">
        <f aca="false">L492/F492*100</f>
        <v>0</v>
      </c>
      <c r="I492" s="38" t="n">
        <f aca="false">(V$23+V$24*SIN(2*PI()/365*A492))*V$25/100*V$7*V$8/100*(1-V$15/100)</f>
        <v>21.5761156436769</v>
      </c>
      <c r="J492" s="38" t="n">
        <f aca="false">(V$23+V$24*SIN(2*PI()/365*A492))*V$25/100*V$9*(1-V$14/100)</f>
        <v>5.76857419241229</v>
      </c>
      <c r="K492" s="39" t="n">
        <f aca="false">IF(E492/C492*100&lt;100,E492/C492*100,100)</f>
        <v>100</v>
      </c>
      <c r="L492" s="2" t="n">
        <f aca="false">IF(((C492-E492)&gt;0)AND(F492&gt;(C492-E492)),(C492-E492),IF(C492&lt;E492,0,F492))</f>
        <v>0</v>
      </c>
      <c r="M492" s="2" t="n">
        <f aca="false">IF(C492&lt;(E492+F492),0,C492-E492-F492)</f>
        <v>0</v>
      </c>
      <c r="N492" s="2" t="n">
        <f aca="false">IF(C492&lt;(E492+F492),0,(C492-E492-F492)/(1-V$16/100))</f>
        <v>0</v>
      </c>
      <c r="O492" s="2" t="n">
        <f aca="false">L492+M492</f>
        <v>0</v>
      </c>
      <c r="P492" s="2" t="n">
        <f aca="false">IF( N492=0,I492*(1-G492/100)+J492*(1-H492/100),-N492)</f>
        <v>25.5088514207287</v>
      </c>
      <c r="Q492" s="47" t="n">
        <f aca="false">IF(P491&gt;0,Q491+P491*(1-V$20/100),Q491+P491)</f>
        <v>2734.45108287313</v>
      </c>
      <c r="R492" s="48" t="n">
        <f aca="false">R$4+Q492/V$28</f>
        <v>72.3445072885186</v>
      </c>
    </row>
    <row r="493" customFormat="false" ht="12.8" hidden="false" customHeight="false" outlineLevel="0" collapsed="false">
      <c r="A493" s="1" t="n">
        <v>489</v>
      </c>
      <c r="B493" s="37" t="n">
        <v>44034</v>
      </c>
      <c r="C493" s="38" t="n">
        <f aca="false">V$26-V$26*SIN(2*PI()/365*A493)</f>
        <v>2.19121143404403</v>
      </c>
      <c r="D493" s="2" t="n">
        <f aca="false">IF((E493+F493)&gt;C493,C493,E493+F493)</f>
        <v>2.19121143404403</v>
      </c>
      <c r="E493" s="38" t="n">
        <f aca="false">(V$23+V$24*SIN(2*PI()/365*A493))*V$25/100*V$7*V$8/100</f>
        <v>24.1349318643372</v>
      </c>
      <c r="F493" s="38" t="n">
        <f aca="false">(V$23+V$24*SIN(2*PI()/365*A493))*V$25/100*V$9*(1-V$14/100)*(1-V$16/100)</f>
        <v>5.11118160217669</v>
      </c>
      <c r="G493" s="38" t="n">
        <f aca="false">IF(C493&gt;E493,100,C493/E493*100)</f>
        <v>9.07900401940584</v>
      </c>
      <c r="H493" s="38" t="n">
        <f aca="false">L493/F493*100</f>
        <v>0</v>
      </c>
      <c r="I493" s="38" t="n">
        <f aca="false">(V$23+V$24*SIN(2*PI()/365*A493))*V$25/100*V$7*V$8/100*(1-V$15/100)</f>
        <v>21.4800893592601</v>
      </c>
      <c r="J493" s="38" t="n">
        <f aca="false">(V$23+V$24*SIN(2*PI()/365*A493))*V$25/100*V$9*(1-V$14/100)</f>
        <v>5.74290067660303</v>
      </c>
      <c r="K493" s="39" t="n">
        <f aca="false">IF(E493/C493*100&lt;100,E493/C493*100,100)</f>
        <v>100</v>
      </c>
      <c r="L493" s="2" t="n">
        <f aca="false">IF(((C493-E493)&gt;0)AND(F493&gt;(C493-E493)),(C493-E493),IF(C493&lt;E493,0,F493))</f>
        <v>0</v>
      </c>
      <c r="M493" s="2" t="n">
        <f aca="false">IF(C493&lt;(E493+F493),0,C493-E493-F493)</f>
        <v>0</v>
      </c>
      <c r="N493" s="2" t="n">
        <f aca="false">IF(C493&lt;(E493+F493),0,(C493-E493-F493)/(1-V$16/100))</f>
        <v>0</v>
      </c>
      <c r="O493" s="2" t="n">
        <f aca="false">L493+M493</f>
        <v>0</v>
      </c>
      <c r="P493" s="2" t="n">
        <f aca="false">IF( N493=0,I493*(1-G493/100)+J493*(1-H493/100),-N493)</f>
        <v>25.2728118595639</v>
      </c>
      <c r="Q493" s="47" t="n">
        <f aca="false">IF(P492&gt;0,Q492+P492*(1-V$20/100),Q492+P492)</f>
        <v>2758.17431469441</v>
      </c>
      <c r="R493" s="48" t="n">
        <f aca="false">R$4+Q493/V$28</f>
        <v>72.6251179929326</v>
      </c>
    </row>
    <row r="494" customFormat="false" ht="12.8" hidden="false" customHeight="false" outlineLevel="0" collapsed="false">
      <c r="A494" s="1" t="n">
        <v>490</v>
      </c>
      <c r="B494" s="37" t="n">
        <v>44035</v>
      </c>
      <c r="C494" s="38" t="n">
        <f aca="false">V$26-V$26*SIN(2*PI()/365*A494)</f>
        <v>2.3232295673534</v>
      </c>
      <c r="D494" s="2" t="n">
        <f aca="false">IF((E494+F494)&gt;C494,C494,E494+F494)</f>
        <v>2.3232295673534</v>
      </c>
      <c r="E494" s="38" t="n">
        <f aca="false">(V$23+V$24*SIN(2*PI()/365*A494))*V$25/100*V$7*V$8/100</f>
        <v>24.0240587025142</v>
      </c>
      <c r="F494" s="38" t="n">
        <f aca="false">(V$23+V$24*SIN(2*PI()/365*A494))*V$25/100*V$9*(1-V$14/100)*(1-V$16/100)</f>
        <v>5.0877014089004</v>
      </c>
      <c r="G494" s="38" t="n">
        <f aca="false">IF(C494&gt;E494,100,C494/E494*100)</f>
        <v>9.67042911492001</v>
      </c>
      <c r="H494" s="38" t="n">
        <f aca="false">L494/F494*100</f>
        <v>0</v>
      </c>
      <c r="I494" s="38" t="n">
        <f aca="false">(V$23+V$24*SIN(2*PI()/365*A494))*V$25/100*V$7*V$8/100*(1-V$15/100)</f>
        <v>21.3814122452376</v>
      </c>
      <c r="J494" s="38" t="n">
        <f aca="false">(V$23+V$24*SIN(2*PI()/365*A494))*V$25/100*V$9*(1-V$14/100)</f>
        <v>5.71651843696674</v>
      </c>
      <c r="K494" s="39" t="n">
        <f aca="false">IF(E494/C494*100&lt;100,E494/C494*100,100)</f>
        <v>100</v>
      </c>
      <c r="L494" s="2" t="n">
        <f aca="false">IF(((C494-E494)&gt;0)AND(F494&gt;(C494-E494)),(C494-E494),IF(C494&lt;E494,0,F494))</f>
        <v>0</v>
      </c>
      <c r="M494" s="2" t="n">
        <f aca="false">IF(C494&lt;(E494+F494),0,C494-E494-F494)</f>
        <v>0</v>
      </c>
      <c r="N494" s="2" t="n">
        <f aca="false">IF(C494&lt;(E494+F494),0,(C494-E494-F494)/(1-V$16/100))</f>
        <v>0</v>
      </c>
      <c r="O494" s="2" t="n">
        <f aca="false">L494+M494</f>
        <v>0</v>
      </c>
      <c r="P494" s="2" t="n">
        <f aca="false">IF( N494=0,I494*(1-G494/100)+J494*(1-H494/100),-N494)</f>
        <v>25.0302563672598</v>
      </c>
      <c r="Q494" s="47" t="n">
        <f aca="false">IF(P493&gt;0,Q493+P493*(1-V$20/100),Q493+P493)</f>
        <v>2781.6780297238</v>
      </c>
      <c r="R494" s="48" t="n">
        <f aca="false">R$4+Q494/V$28</f>
        <v>72.9031321387467</v>
      </c>
    </row>
    <row r="495" customFormat="false" ht="12.8" hidden="false" customHeight="false" outlineLevel="0" collapsed="false">
      <c r="A495" s="1" t="n">
        <v>491</v>
      </c>
      <c r="B495" s="37" t="n">
        <v>44036</v>
      </c>
      <c r="C495" s="38" t="n">
        <f aca="false">V$26-V$26*SIN(2*PI()/365*A495)</f>
        <v>2.45875507264601</v>
      </c>
      <c r="D495" s="2" t="n">
        <f aca="false">IF((E495+F495)&gt;C495,C495,E495+F495)</f>
        <v>2.45875507264601</v>
      </c>
      <c r="E495" s="38" t="n">
        <f aca="false">(V$23+V$24*SIN(2*PI()/365*A495))*V$25/100*V$7*V$8/100</f>
        <v>23.9102399345708</v>
      </c>
      <c r="F495" s="38" t="n">
        <f aca="false">(V$23+V$24*SIN(2*PI()/365*A495))*V$25/100*V$9*(1-V$14/100)*(1-V$16/100)</f>
        <v>5.06359740910606</v>
      </c>
      <c r="G495" s="38" t="n">
        <f aca="false">IF(C495&gt;E495,100,C495/E495*100)</f>
        <v>10.2832722690122</v>
      </c>
      <c r="H495" s="38" t="n">
        <f aca="false">L495/F495*100</f>
        <v>0</v>
      </c>
      <c r="I495" s="38" t="n">
        <f aca="false">(V$23+V$24*SIN(2*PI()/365*A495))*V$25/100*V$7*V$8/100*(1-V$15/100)</f>
        <v>21.280113541768</v>
      </c>
      <c r="J495" s="38" t="n">
        <f aca="false">(V$23+V$24*SIN(2*PI()/365*A495))*V$25/100*V$9*(1-V$14/100)</f>
        <v>5.68943529113041</v>
      </c>
      <c r="K495" s="39" t="n">
        <f aca="false">IF(E495/C495*100&lt;100,E495/C495*100,100)</f>
        <v>100</v>
      </c>
      <c r="L495" s="2" t="n">
        <f aca="false">IF(((C495-E495)&gt;0)AND(F495&gt;(C495-E495)),(C495-E495),IF(C495&lt;E495,0,F495))</f>
        <v>0</v>
      </c>
      <c r="M495" s="2" t="n">
        <f aca="false">IF(C495&lt;(E495+F495),0,C495-E495-F495)</f>
        <v>0</v>
      </c>
      <c r="N495" s="2" t="n">
        <f aca="false">IF(C495&lt;(E495+F495),0,(C495-E495-F495)/(1-V$16/100))</f>
        <v>0</v>
      </c>
      <c r="O495" s="2" t="n">
        <f aca="false">L495+M495</f>
        <v>0</v>
      </c>
      <c r="P495" s="2" t="n">
        <f aca="false">IF( N495=0,I495*(1-G495/100)+J495*(1-H495/100),-N495)</f>
        <v>24.7812568182435</v>
      </c>
      <c r="Q495" s="47" t="n">
        <f aca="false">IF(P494&gt;0,Q494+P494*(1-V$20/100),Q494+P494)</f>
        <v>2804.95616814536</v>
      </c>
      <c r="R495" s="48" t="n">
        <f aca="false">R$4+Q495/V$28</f>
        <v>73.1784780473113</v>
      </c>
    </row>
    <row r="496" customFormat="false" ht="12.8" hidden="false" customHeight="false" outlineLevel="0" collapsed="false">
      <c r="A496" s="1" t="n">
        <v>492</v>
      </c>
      <c r="B496" s="37" t="n">
        <v>44037</v>
      </c>
      <c r="C496" s="38" t="n">
        <f aca="false">V$26-V$26*SIN(2*PI()/365*A496)</f>
        <v>2.59774779078972</v>
      </c>
      <c r="D496" s="2" t="n">
        <f aca="false">IF((E496+F496)&gt;C496,C496,E496+F496)</f>
        <v>2.59774779078972</v>
      </c>
      <c r="E496" s="38" t="n">
        <f aca="false">(V$23+V$24*SIN(2*PI()/365*A496))*V$25/100*V$7*V$8/100</f>
        <v>23.7935092874646</v>
      </c>
      <c r="F496" s="38" t="n">
        <f aca="false">(V$23+V$24*SIN(2*PI()/365*A496))*V$25/100*V$9*(1-V$14/100)*(1-V$16/100)</f>
        <v>5.03887674532904</v>
      </c>
      <c r="G496" s="38" t="n">
        <f aca="false">IF(C496&gt;E496,100,C496/E496*100)</f>
        <v>10.917884198605</v>
      </c>
      <c r="H496" s="38" t="n">
        <f aca="false">L496/F496*100</f>
        <v>0</v>
      </c>
      <c r="I496" s="38" t="n">
        <f aca="false">(V$23+V$24*SIN(2*PI()/365*A496))*V$25/100*V$7*V$8/100*(1-V$15/100)</f>
        <v>21.1762232658435</v>
      </c>
      <c r="J496" s="38" t="n">
        <f aca="false">(V$23+V$24*SIN(2*PI()/365*A496))*V$25/100*V$9*(1-V$14/100)</f>
        <v>5.66165926441465</v>
      </c>
      <c r="K496" s="39" t="n">
        <f aca="false">IF(E496/C496*100&lt;100,E496/C496*100,100)</f>
        <v>100</v>
      </c>
      <c r="L496" s="2" t="n">
        <f aca="false">IF(((C496-E496)&gt;0)AND(F496&gt;(C496-E496)),(C496-E496),IF(C496&lt;E496,0,F496))</f>
        <v>0</v>
      </c>
      <c r="M496" s="2" t="n">
        <f aca="false">IF(C496&lt;(E496+F496),0,C496-E496-F496)</f>
        <v>0</v>
      </c>
      <c r="N496" s="2" t="n">
        <f aca="false">IF(C496&lt;(E496+F496),0,(C496-E496-F496)/(1-V$16/100))</f>
        <v>0</v>
      </c>
      <c r="O496" s="2" t="n">
        <f aca="false">L496+M496</f>
        <v>0</v>
      </c>
      <c r="P496" s="2" t="n">
        <f aca="false">IF( N496=0,I496*(1-G496/100)+J496*(1-H496/100),-N496)</f>
        <v>24.5258869964553</v>
      </c>
      <c r="Q496" s="47" t="n">
        <f aca="false">IF(P495&gt;0,Q495+P495*(1-V$20/100),Q495+P495)</f>
        <v>2828.00273698632</v>
      </c>
      <c r="R496" s="48" t="n">
        <f aca="false">R$4+Q496/V$28</f>
        <v>73.4510848306327</v>
      </c>
    </row>
    <row r="497" customFormat="false" ht="12.8" hidden="false" customHeight="false" outlineLevel="0" collapsed="false">
      <c r="A497" s="1" t="n">
        <v>493</v>
      </c>
      <c r="B497" s="37" t="n">
        <v>44038</v>
      </c>
      <c r="C497" s="38" t="n">
        <f aca="false">V$26-V$26*SIN(2*PI()/365*A497)</f>
        <v>2.74016653524245</v>
      </c>
      <c r="D497" s="2" t="n">
        <f aca="false">IF((E497+F497)&gt;C497,C497,E497+F497)</f>
        <v>2.74016653524245</v>
      </c>
      <c r="E497" s="38" t="n">
        <f aca="false">(V$23+V$24*SIN(2*PI()/365*A497))*V$25/100*V$7*V$8/100</f>
        <v>23.6739013510053</v>
      </c>
      <c r="F497" s="38" t="n">
        <f aca="false">(V$23+V$24*SIN(2*PI()/365*A497))*V$25/100*V$9*(1-V$14/100)*(1-V$16/100)</f>
        <v>5.01354674283551</v>
      </c>
      <c r="G497" s="38" t="n">
        <f aca="false">IF(C497&gt;E497,100,C497/E497*100)</f>
        <v>11.5746301997921</v>
      </c>
      <c r="H497" s="38" t="n">
        <f aca="false">L497/F497*100</f>
        <v>0</v>
      </c>
      <c r="I497" s="38" t="n">
        <f aca="false">(V$23+V$24*SIN(2*PI()/365*A497))*V$25/100*V$7*V$8/100*(1-V$15/100)</f>
        <v>21.0697722023948</v>
      </c>
      <c r="J497" s="38" t="n">
        <f aca="false">(V$23+V$24*SIN(2*PI()/365*A497))*V$25/100*V$9*(1-V$14/100)</f>
        <v>5.63319858745563</v>
      </c>
      <c r="K497" s="39" t="n">
        <f aca="false">IF(E497/C497*100&lt;100,E497/C497*100,100)</f>
        <v>100</v>
      </c>
      <c r="L497" s="2" t="n">
        <f aca="false">IF(((C497-E497)&gt;0)AND(F497&gt;(C497-E497)),(C497-E497),IF(C497&lt;E497,0,F497))</f>
        <v>0</v>
      </c>
      <c r="M497" s="2" t="n">
        <f aca="false">IF(C497&lt;(E497+F497),0,C497-E497-F497)</f>
        <v>0</v>
      </c>
      <c r="N497" s="2" t="n">
        <f aca="false">IF(C497&lt;(E497+F497),0,(C497-E497-F497)/(1-V$16/100))</f>
        <v>0</v>
      </c>
      <c r="O497" s="2" t="n">
        <f aca="false">L497+M497</f>
        <v>0</v>
      </c>
      <c r="P497" s="2" t="n">
        <f aca="false">IF( N497=0,I497*(1-G497/100)+J497*(1-H497/100),-N497)</f>
        <v>24.2642225734846</v>
      </c>
      <c r="Q497" s="47" t="n">
        <f aca="false">IF(P496&gt;0,Q496+P496*(1-V$20/100),Q496+P496)</f>
        <v>2850.81181189302</v>
      </c>
      <c r="R497" s="48" t="n">
        <f aca="false">R$4+Q497/V$28</f>
        <v>73.7208824123796</v>
      </c>
    </row>
    <row r="498" customFormat="false" ht="12.8" hidden="false" customHeight="false" outlineLevel="0" collapsed="false">
      <c r="A498" s="1" t="n">
        <v>494</v>
      </c>
      <c r="B498" s="37" t="n">
        <v>44039</v>
      </c>
      <c r="C498" s="38" t="n">
        <f aca="false">V$26-V$26*SIN(2*PI()/365*A498)</f>
        <v>2.88596910425659</v>
      </c>
      <c r="D498" s="2" t="n">
        <f aca="false">IF((E498+F498)&gt;C498,C498,E498+F498)</f>
        <v>2.88596910425659</v>
      </c>
      <c r="E498" s="38" t="n">
        <f aca="false">(V$23+V$24*SIN(2*PI()/365*A498))*V$25/100*V$7*V$8/100</f>
        <v>23.551451567606</v>
      </c>
      <c r="F498" s="38" t="n">
        <f aca="false">(V$23+V$24*SIN(2*PI()/365*A498))*V$25/100*V$9*(1-V$14/100)*(1-V$16/100)</f>
        <v>4.98761490745189</v>
      </c>
      <c r="G498" s="38" t="n">
        <f aca="false">IF(C498&gt;E498,100,C498/E498*100)</f>
        <v>12.2538905764353</v>
      </c>
      <c r="H498" s="38" t="n">
        <f aca="false">L498/F498*100</f>
        <v>0</v>
      </c>
      <c r="I498" s="38" t="n">
        <f aca="false">(V$23+V$24*SIN(2*PI()/365*A498))*V$25/100*V$7*V$8/100*(1-V$15/100)</f>
        <v>20.9607918951694</v>
      </c>
      <c r="J498" s="38" t="n">
        <f aca="false">(V$23+V$24*SIN(2*PI()/365*A498))*V$25/100*V$9*(1-V$14/100)</f>
        <v>5.60406169376616</v>
      </c>
      <c r="K498" s="39" t="n">
        <f aca="false">IF(E498/C498*100&lt;100,E498/C498*100,100)</f>
        <v>100</v>
      </c>
      <c r="L498" s="2" t="n">
        <f aca="false">IF(((C498-E498)&gt;0)AND(F498&gt;(C498-E498)),(C498-E498),IF(C498&lt;E498,0,F498))</f>
        <v>0</v>
      </c>
      <c r="M498" s="2" t="n">
        <f aca="false">IF(C498&lt;(E498+F498),0,C498-E498-F498)</f>
        <v>0</v>
      </c>
      <c r="N498" s="2" t="n">
        <f aca="false">IF(C498&lt;(E498+F498),0,(C498-E498-F498)/(1-V$16/100))</f>
        <v>0</v>
      </c>
      <c r="O498" s="2" t="n">
        <f aca="false">L498+M498</f>
        <v>0</v>
      </c>
      <c r="P498" s="2" t="n">
        <f aca="false">IF( N498=0,I498*(1-G498/100)+J498*(1-H498/100),-N498)</f>
        <v>23.9963410861472</v>
      </c>
      <c r="Q498" s="47" t="n">
        <f aca="false">IF(P497&gt;0,Q497+P497*(1-V$20/100),Q497+P497)</f>
        <v>2873.37753888637</v>
      </c>
      <c r="R498" s="48" t="n">
        <f aca="false">R$4+Q498/V$28</f>
        <v>73.9878015486473</v>
      </c>
    </row>
    <row r="499" customFormat="false" ht="12.8" hidden="false" customHeight="false" outlineLevel="0" collapsed="false">
      <c r="A499" s="1" t="n">
        <v>495</v>
      </c>
      <c r="B499" s="37" t="n">
        <v>44040</v>
      </c>
      <c r="C499" s="38" t="n">
        <f aca="false">V$26-V$26*SIN(2*PI()/365*A499)</f>
        <v>3.03511229338423</v>
      </c>
      <c r="D499" s="2" t="n">
        <f aca="false">IF((E499+F499)&gt;C499,C499,E499+F499)</f>
        <v>3.03511229338423</v>
      </c>
      <c r="E499" s="38" t="n">
        <f aca="false">(V$23+V$24*SIN(2*PI()/365*A499))*V$25/100*V$7*V$8/100</f>
        <v>23.4261962217802</v>
      </c>
      <c r="F499" s="38" t="n">
        <f aca="false">(V$23+V$24*SIN(2*PI()/365*A499))*V$25/100*V$9*(1-V$14/100)*(1-V$16/100)</f>
        <v>4.96108892334065</v>
      </c>
      <c r="G499" s="38" t="n">
        <f aca="false">IF(C499&gt;E499,100,C499/E499*100)</f>
        <v>12.956061089262</v>
      </c>
      <c r="H499" s="38" t="n">
        <f aca="false">L499/F499*100</f>
        <v>0</v>
      </c>
      <c r="I499" s="38" t="n">
        <f aca="false">(V$23+V$24*SIN(2*PI()/365*A499))*V$25/100*V$7*V$8/100*(1-V$15/100)</f>
        <v>20.8493146373844</v>
      </c>
      <c r="J499" s="38" t="n">
        <f aca="false">(V$23+V$24*SIN(2*PI()/365*A499))*V$25/100*V$9*(1-V$14/100)</f>
        <v>5.57425721723668</v>
      </c>
      <c r="K499" s="39" t="n">
        <f aca="false">IF(E499/C499*100&lt;100,E499/C499*100,100)</f>
        <v>100</v>
      </c>
      <c r="L499" s="2" t="n">
        <f aca="false">IF(((C499-E499)&gt;0)AND(F499&gt;(C499-E499)),(C499-E499),IF(C499&lt;E499,0,F499))</f>
        <v>0</v>
      </c>
      <c r="M499" s="2" t="n">
        <f aca="false">IF(C499&lt;(E499+F499),0,C499-E499-F499)</f>
        <v>0</v>
      </c>
      <c r="N499" s="2" t="n">
        <f aca="false">IF(C499&lt;(E499+F499),0,(C499-E499-F499)/(1-V$16/100))</f>
        <v>0</v>
      </c>
      <c r="O499" s="2" t="n">
        <f aca="false">L499+M499</f>
        <v>0</v>
      </c>
      <c r="P499" s="2" t="n">
        <f aca="false">IF( N499=0,I499*(1-G499/100)+J499*(1-H499/100),-N499)</f>
        <v>23.7223219135091</v>
      </c>
      <c r="Q499" s="47" t="n">
        <f aca="false">IF(P498&gt;0,Q498+P498*(1-V$20/100),Q498+P498)</f>
        <v>2895.69413609648</v>
      </c>
      <c r="R499" s="48" t="n">
        <f aca="false">R$4+Q499/V$28</f>
        <v>74.2517738484769</v>
      </c>
    </row>
    <row r="500" customFormat="false" ht="12.8" hidden="false" customHeight="false" outlineLevel="0" collapsed="false">
      <c r="A500" s="1" t="n">
        <v>496</v>
      </c>
      <c r="B500" s="37" t="n">
        <v>44041</v>
      </c>
      <c r="C500" s="38" t="n">
        <f aca="false">V$26-V$26*SIN(2*PI()/365*A500)</f>
        <v>3.18755190827968</v>
      </c>
      <c r="D500" s="2" t="n">
        <f aca="false">IF((E500+F500)&gt;C500,C500,E500+F500)</f>
        <v>3.18755190827968</v>
      </c>
      <c r="E500" s="38" t="n">
        <f aca="false">(V$23+V$24*SIN(2*PI()/365*A500))*V$25/100*V$7*V$8/100</f>
        <v>23.29817242939</v>
      </c>
      <c r="F500" s="38" t="n">
        <f aca="false">(V$23+V$24*SIN(2*PI()/365*A500))*V$25/100*V$9*(1-V$14/100)*(1-V$16/100)</f>
        <v>4.93397665072336</v>
      </c>
      <c r="G500" s="38" t="n">
        <f aca="false">IF(C500&gt;E500,100,C500/E500*100)</f>
        <v>13.6815534263051</v>
      </c>
      <c r="H500" s="38" t="n">
        <f aca="false">L500/F500*100</f>
        <v>0</v>
      </c>
      <c r="I500" s="38" t="n">
        <f aca="false">(V$23+V$24*SIN(2*PI()/365*A500))*V$25/100*V$7*V$8/100*(1-V$15/100)</f>
        <v>20.7353734621571</v>
      </c>
      <c r="J500" s="38" t="n">
        <f aca="false">(V$23+V$24*SIN(2*PI()/365*A500))*V$25/100*V$9*(1-V$14/100)</f>
        <v>5.54379398957681</v>
      </c>
      <c r="K500" s="39" t="n">
        <f aca="false">IF(E500/C500*100&lt;100,E500/C500*100,100)</f>
        <v>100</v>
      </c>
      <c r="L500" s="2" t="n">
        <f aca="false">IF(((C500-E500)&gt;0)AND(F500&gt;(C500-E500)),(C500-E500),IF(C500&lt;E500,0,F500))</f>
        <v>0</v>
      </c>
      <c r="M500" s="2" t="n">
        <f aca="false">IF(C500&lt;(E500+F500),0,C500-E500-F500)</f>
        <v>0</v>
      </c>
      <c r="N500" s="2" t="n">
        <f aca="false">IF(C500&lt;(E500+F500),0,(C500-E500-F500)/(1-V$16/100))</f>
        <v>0</v>
      </c>
      <c r="O500" s="2" t="n">
        <f aca="false">L500+M500</f>
        <v>0</v>
      </c>
      <c r="P500" s="2" t="n">
        <f aca="false">IF( N500=0,I500*(1-G500/100)+J500*(1-H500/100),-N500)</f>
        <v>23.442246253365</v>
      </c>
      <c r="Q500" s="47" t="n">
        <f aca="false">IF(P499&gt;0,Q499+P499*(1-V$20/100),Q499+P499)</f>
        <v>2917.75589547605</v>
      </c>
      <c r="R500" s="48" t="n">
        <f aca="false">R$4+Q500/V$28</f>
        <v>74.5127317941206</v>
      </c>
    </row>
    <row r="501" customFormat="false" ht="12.8" hidden="false" customHeight="false" outlineLevel="0" collapsed="false">
      <c r="A501" s="1" t="n">
        <v>497</v>
      </c>
      <c r="B501" s="37" t="n">
        <v>44042</v>
      </c>
      <c r="C501" s="38" t="n">
        <f aca="false">V$26-V$26*SIN(2*PI()/365*A501)</f>
        <v>3.34324277779513</v>
      </c>
      <c r="D501" s="2" t="n">
        <f aca="false">IF((E501+F501)&gt;C501,C501,E501+F501)</f>
        <v>3.34324277779513</v>
      </c>
      <c r="E501" s="38" t="n">
        <f aca="false">(V$23+V$24*SIN(2*PI()/365*A501))*V$25/100*V$7*V$8/100</f>
        <v>23.1674181266482</v>
      </c>
      <c r="F501" s="38" t="n">
        <f aca="false">(V$23+V$24*SIN(2*PI()/365*A501))*V$25/100*V$9*(1-V$14/100)*(1-V$16/100)</f>
        <v>4.90628612355153</v>
      </c>
      <c r="G501" s="38" t="n">
        <f aca="false">IF(C501&gt;E501,100,C501/E501*100)</f>
        <v>14.4307956955703</v>
      </c>
      <c r="H501" s="38" t="n">
        <f aca="false">L501/F501*100</f>
        <v>0</v>
      </c>
      <c r="I501" s="38" t="n">
        <f aca="false">(V$23+V$24*SIN(2*PI()/365*A501))*V$25/100*V$7*V$8/100*(1-V$15/100)</f>
        <v>20.6190021327169</v>
      </c>
      <c r="J501" s="38" t="n">
        <f aca="false">(V$23+V$24*SIN(2*PI()/365*A501))*V$25/100*V$9*(1-V$14/100)</f>
        <v>5.51268103769835</v>
      </c>
      <c r="K501" s="39" t="n">
        <f aca="false">IF(E501/C501*100&lt;100,E501/C501*100,100)</f>
        <v>100</v>
      </c>
      <c r="L501" s="2" t="n">
        <f aca="false">IF(((C501-E501)&gt;0)AND(F501&gt;(C501-E501)),(C501-E501),IF(C501&lt;E501,0,F501))</f>
        <v>0</v>
      </c>
      <c r="M501" s="2" t="n">
        <f aca="false">IF(C501&lt;(E501+F501),0,C501-E501-F501)</f>
        <v>0</v>
      </c>
      <c r="N501" s="2" t="n">
        <f aca="false">IF(C501&lt;(E501+F501),0,(C501-E501-F501)/(1-V$16/100))</f>
        <v>0</v>
      </c>
      <c r="O501" s="2" t="n">
        <f aca="false">L501+M501</f>
        <v>0</v>
      </c>
      <c r="P501" s="2" t="n">
        <f aca="false">IF( N501=0,I501*(1-G501/100)+J501*(1-H501/100),-N501)</f>
        <v>23.1561970981776</v>
      </c>
      <c r="Q501" s="47" t="n">
        <f aca="false">IF(P500&gt;0,Q500+P500*(1-V$20/100),Q500+P500)</f>
        <v>2939.55718449168</v>
      </c>
      <c r="R501" s="48" t="n">
        <f aca="false">R$4+Q501/V$28</f>
        <v>74.770608761049</v>
      </c>
    </row>
    <row r="502" customFormat="false" ht="12.8" hidden="false" customHeight="false" outlineLevel="0" collapsed="false">
      <c r="A502" s="1" t="n">
        <v>498</v>
      </c>
      <c r="B502" s="37" t="n">
        <v>44043</v>
      </c>
      <c r="C502" s="38" t="n">
        <f aca="false">V$26-V$26*SIN(2*PI()/365*A502)</f>
        <v>3.50213876736586</v>
      </c>
      <c r="D502" s="2" t="n">
        <f aca="false">IF((E502+F502)&gt;C502,C502,E502+F502)</f>
        <v>3.50213876736586</v>
      </c>
      <c r="E502" s="38" t="n">
        <f aca="false">(V$23+V$24*SIN(2*PI()/365*A502))*V$25/100*V$7*V$8/100</f>
        <v>23.0339720588765</v>
      </c>
      <c r="F502" s="38" t="n">
        <f aca="false">(V$23+V$24*SIN(2*PI()/365*A502))*V$25/100*V$9*(1-V$14/100)*(1-V$16/100)</f>
        <v>4.87802554712598</v>
      </c>
      <c r="G502" s="38" t="n">
        <f aca="false">IF(C502&gt;E502,100,C502/E502*100)</f>
        <v>15.2042329408673</v>
      </c>
      <c r="H502" s="38" t="n">
        <f aca="false">L502/F502*100</f>
        <v>0</v>
      </c>
      <c r="I502" s="38" t="n">
        <f aca="false">(V$23+V$24*SIN(2*PI()/365*A502))*V$25/100*V$7*V$8/100*(1-V$15/100)</f>
        <v>20.5002351324</v>
      </c>
      <c r="J502" s="38" t="n">
        <f aca="false">(V$23+V$24*SIN(2*PI()/365*A502))*V$25/100*V$9*(1-V$14/100)</f>
        <v>5.48092758104042</v>
      </c>
      <c r="K502" s="39" t="n">
        <f aca="false">IF(E502/C502*100&lt;100,E502/C502*100,100)</f>
        <v>100</v>
      </c>
      <c r="L502" s="2" t="n">
        <f aca="false">IF(((C502-E502)&gt;0)AND(F502&gt;(C502-E502)),(C502-E502),IF(C502&lt;E502,0,F502))</f>
        <v>0</v>
      </c>
      <c r="M502" s="2" t="n">
        <f aca="false">IF(C502&lt;(E502+F502),0,C502-E502-F502)</f>
        <v>0</v>
      </c>
      <c r="N502" s="2" t="n">
        <f aca="false">IF(C502&lt;(E502+F502),0,(C502-E502-F502)/(1-V$16/100))</f>
        <v>0</v>
      </c>
      <c r="O502" s="2" t="n">
        <f aca="false">L502+M502</f>
        <v>0</v>
      </c>
      <c r="P502" s="2" t="n">
        <f aca="false">IF( N502=0,I502*(1-G502/100)+J502*(1-H502/100),-N502)</f>
        <v>22.8642592104849</v>
      </c>
      <c r="Q502" s="47" t="n">
        <f aca="false">IF(P501&gt;0,Q501+P501*(1-V$20/100),Q501+P501)</f>
        <v>2961.09244779298</v>
      </c>
      <c r="R502" s="48" t="n">
        <f aca="false">R$4+Q502/V$28</f>
        <v>75.0253390376928</v>
      </c>
    </row>
    <row r="503" customFormat="false" ht="12.8" hidden="false" customHeight="false" outlineLevel="0" collapsed="false">
      <c r="A503" s="1" t="n">
        <v>499</v>
      </c>
      <c r="B503" s="37" t="n">
        <v>44044</v>
      </c>
      <c r="C503" s="38" t="n">
        <f aca="false">V$26-V$26*SIN(2*PI()/365*A503)</f>
        <v>3.66419279268089</v>
      </c>
      <c r="D503" s="2" t="n">
        <f aca="false">IF((E503+F503)&gt;C503,C503,E503+F503)</f>
        <v>3.66419279268089</v>
      </c>
      <c r="E503" s="38" t="n">
        <f aca="false">(V$23+V$24*SIN(2*PI()/365*A503))*V$25/100*V$7*V$8/100</f>
        <v>22.8978737690248</v>
      </c>
      <c r="F503" s="38" t="n">
        <f aca="false">(V$23+V$24*SIN(2*PI()/365*A503))*V$25/100*V$9*(1-V$14/100)*(1-V$16/100)</f>
        <v>4.8492032956654</v>
      </c>
      <c r="G503" s="38" t="n">
        <f aca="false">IF(C503&gt;E503,100,C503/E503*100)</f>
        <v>16.0023276817852</v>
      </c>
      <c r="H503" s="38" t="n">
        <f aca="false">L503/F503*100</f>
        <v>0</v>
      </c>
      <c r="I503" s="38" t="n">
        <f aca="false">(V$23+V$24*SIN(2*PI()/365*A503))*V$25/100*V$7*V$8/100*(1-V$15/100)</f>
        <v>20.379107654432</v>
      </c>
      <c r="J503" s="38" t="n">
        <f aca="false">(V$23+V$24*SIN(2*PI()/365*A503))*V$25/100*V$9*(1-V$14/100)</f>
        <v>5.44854302883753</v>
      </c>
      <c r="K503" s="39" t="n">
        <f aca="false">IF(E503/C503*100&lt;100,E503/C503*100,100)</f>
        <v>100</v>
      </c>
      <c r="L503" s="2" t="n">
        <f aca="false">IF(((C503-E503)&gt;0)AND(F503&gt;(C503-E503)),(C503-E503),IF(C503&lt;E503,0,F503))</f>
        <v>0</v>
      </c>
      <c r="M503" s="2" t="n">
        <f aca="false">IF(C503&lt;(E503+F503),0,C503-E503-F503)</f>
        <v>0</v>
      </c>
      <c r="N503" s="2" t="n">
        <f aca="false">IF(C503&lt;(E503+F503),0,(C503-E503-F503)/(1-V$16/100))</f>
        <v>0</v>
      </c>
      <c r="O503" s="2" t="n">
        <f aca="false">L503+M503</f>
        <v>0</v>
      </c>
      <c r="P503" s="2" t="n">
        <f aca="false">IF( N503=0,I503*(1-G503/100)+J503*(1-H503/100),-N503)</f>
        <v>22.5665190977836</v>
      </c>
      <c r="Q503" s="47" t="n">
        <f aca="false">IF(P502&gt;0,Q502+P502*(1-V$20/100),Q502+P502)</f>
        <v>2982.35620885873</v>
      </c>
      <c r="R503" s="48" t="n">
        <f aca="false">R$4+Q503/V$28</f>
        <v>75.2768578449152</v>
      </c>
    </row>
    <row r="504" customFormat="false" ht="12.8" hidden="false" customHeight="false" outlineLevel="0" collapsed="false">
      <c r="A504" s="1" t="n">
        <v>500</v>
      </c>
      <c r="B504" s="37" t="n">
        <v>44045</v>
      </c>
      <c r="C504" s="38" t="n">
        <f aca="false">V$26-V$26*SIN(2*PI()/365*A504)</f>
        <v>3.82935683363511</v>
      </c>
      <c r="D504" s="2" t="n">
        <f aca="false">IF((E504+F504)&gt;C504,C504,E504+F504)</f>
        <v>3.82935683363511</v>
      </c>
      <c r="E504" s="38" t="n">
        <f aca="false">(V$23+V$24*SIN(2*PI()/365*A504))*V$25/100*V$7*V$8/100</f>
        <v>22.7591635859536</v>
      </c>
      <c r="F504" s="38" t="n">
        <f aca="false">(V$23+V$24*SIN(2*PI()/365*A504))*V$25/100*V$9*(1-V$14/100)*(1-V$16/100)</f>
        <v>4.81982790982495</v>
      </c>
      <c r="G504" s="38" t="n">
        <f aca="false">IF(C504&gt;E504,100,C504/E504*100)</f>
        <v>16.8255604788503</v>
      </c>
      <c r="H504" s="38" t="n">
        <f aca="false">L504/F504*100</f>
        <v>0</v>
      </c>
      <c r="I504" s="38" t="n">
        <f aca="false">(V$23+V$24*SIN(2*PI()/365*A504))*V$25/100*V$7*V$8/100*(1-V$15/100)</f>
        <v>20.2556555914987</v>
      </c>
      <c r="J504" s="38" t="n">
        <f aca="false">(V$23+V$24*SIN(2*PI()/365*A504))*V$25/100*V$9*(1-V$14/100)</f>
        <v>5.41553697733141</v>
      </c>
      <c r="K504" s="39" t="n">
        <f aca="false">IF(E504/C504*100&lt;100,E504/C504*100,100)</f>
        <v>100</v>
      </c>
      <c r="L504" s="2" t="n">
        <f aca="false">IF(((C504-E504)&gt;0)AND(F504&gt;(C504-E504)),(C504-E504),IF(C504&lt;E504,0,F504))</f>
        <v>0</v>
      </c>
      <c r="M504" s="2" t="n">
        <f aca="false">IF(C504&lt;(E504+F504),0,C504-E504-F504)</f>
        <v>0</v>
      </c>
      <c r="N504" s="2" t="n">
        <f aca="false">IF(C504&lt;(E504+F504),0,(C504-E504-F504)/(1-V$16/100))</f>
        <v>0</v>
      </c>
      <c r="O504" s="2" t="n">
        <f aca="false">L504+M504</f>
        <v>0</v>
      </c>
      <c r="P504" s="2" t="n">
        <f aca="false">IF( N504=0,I504*(1-G504/100)+J504*(1-H504/100),-N504)</f>
        <v>22.2630649868949</v>
      </c>
      <c r="Q504" s="47" t="n">
        <f aca="false">IF(P503&gt;0,Q503+P503*(1-V$20/100),Q503+P503)</f>
        <v>3003.34307161967</v>
      </c>
      <c r="R504" s="48" t="n">
        <f aca="false">R$4+Q504/V$28</f>
        <v>75.5251013552073</v>
      </c>
    </row>
    <row r="505" customFormat="false" ht="12.8" hidden="false" customHeight="false" outlineLevel="0" collapsed="false">
      <c r="A505" s="1" t="n">
        <v>501</v>
      </c>
      <c r="B505" s="37" t="n">
        <v>44046</v>
      </c>
      <c r="C505" s="38" t="n">
        <f aca="false">V$26-V$26*SIN(2*PI()/365*A505)</f>
        <v>3.99758194855867</v>
      </c>
      <c r="D505" s="2" t="n">
        <f aca="false">IF((E505+F505)&gt;C505,C505,E505+F505)</f>
        <v>3.99758194855867</v>
      </c>
      <c r="E505" s="38" t="n">
        <f aca="false">(V$23+V$24*SIN(2*PI()/365*A505))*V$25/100*V$7*V$8/100</f>
        <v>22.6178826124838</v>
      </c>
      <c r="F505" s="38" t="n">
        <f aca="false">(V$23+V$24*SIN(2*PI()/365*A505))*V$25/100*V$9*(1-V$14/100)*(1-V$16/100)</f>
        <v>4.78990809416542</v>
      </c>
      <c r="G505" s="38" t="n">
        <f aca="false">IF(C505&gt;E505,100,C505/E505*100)</f>
        <v>17.6744305249521</v>
      </c>
      <c r="H505" s="38" t="n">
        <f aca="false">L505/F505*100</f>
        <v>0</v>
      </c>
      <c r="I505" s="38" t="n">
        <f aca="false">(V$23+V$24*SIN(2*PI()/365*A505))*V$25/100*V$7*V$8/100*(1-V$15/100)</f>
        <v>20.1299155251106</v>
      </c>
      <c r="J505" s="38" t="n">
        <f aca="false">(V$23+V$24*SIN(2*PI()/365*A505))*V$25/100*V$9*(1-V$14/100)</f>
        <v>5.38191920692744</v>
      </c>
      <c r="K505" s="39" t="n">
        <f aca="false">IF(E505/C505*100&lt;100,E505/C505*100,100)</f>
        <v>100</v>
      </c>
      <c r="L505" s="2" t="n">
        <f aca="false">IF(((C505-E505)&gt;0)AND(F505&gt;(C505-E505)),(C505-E505),IF(C505&lt;E505,0,F505))</f>
        <v>0</v>
      </c>
      <c r="M505" s="2" t="n">
        <f aca="false">IF(C505&lt;(E505+F505),0,C505-E505-F505)</f>
        <v>0</v>
      </c>
      <c r="N505" s="2" t="n">
        <f aca="false">IF(C505&lt;(E505+F505),0,(C505-E505-F505)/(1-V$16/100))</f>
        <v>0</v>
      </c>
      <c r="O505" s="2" t="n">
        <f aca="false">L505+M505</f>
        <v>0</v>
      </c>
      <c r="P505" s="2" t="n">
        <f aca="false">IF( N505=0,I505*(1-G505/100)+J505*(1-H505/100),-N505)</f>
        <v>21.9539867978208</v>
      </c>
      <c r="Q505" s="47" t="n">
        <f aca="false">IF(P504&gt;0,Q504+P504*(1-V$20/100),Q504+P504)</f>
        <v>3024.04772205748</v>
      </c>
      <c r="R505" s="48" t="n">
        <f aca="false">R$4+Q505/V$28</f>
        <v>75.770006711601</v>
      </c>
    </row>
    <row r="506" customFormat="false" ht="12.8" hidden="false" customHeight="false" outlineLevel="0" collapsed="false">
      <c r="A506" s="1" t="n">
        <v>502</v>
      </c>
      <c r="B506" s="37" t="n">
        <v>44047</v>
      </c>
      <c r="C506" s="38" t="n">
        <f aca="false">V$26-V$26*SIN(2*PI()/365*A506)</f>
        <v>4.1688182887194</v>
      </c>
      <c r="D506" s="2" t="n">
        <f aca="false">IF((E506+F506)&gt;C506,C506,E506+F506)</f>
        <v>4.1688182887194</v>
      </c>
      <c r="E506" s="38" t="n">
        <f aca="false">(V$23+V$24*SIN(2*PI()/365*A506))*V$25/100*V$7*V$8/100</f>
        <v>22.474072713217</v>
      </c>
      <c r="F506" s="38" t="n">
        <f aca="false">(V$23+V$24*SIN(2*PI()/365*A506))*V$25/100*V$9*(1-V$14/100)*(1-V$16/100)</f>
        <v>4.75945271457391</v>
      </c>
      <c r="G506" s="38" t="n">
        <f aca="false">IF(C506&gt;E506,100,C506/E506*100)</f>
        <v>18.5494562641854</v>
      </c>
      <c r="H506" s="38" t="n">
        <f aca="false">L506/F506*100</f>
        <v>0</v>
      </c>
      <c r="I506" s="38" t="n">
        <f aca="false">(V$23+V$24*SIN(2*PI()/365*A506))*V$25/100*V$7*V$8/100*(1-V$15/100)</f>
        <v>20.0019247147631</v>
      </c>
      <c r="J506" s="38" t="n">
        <f aca="false">(V$23+V$24*SIN(2*PI()/365*A506))*V$25/100*V$9*(1-V$14/100)</f>
        <v>5.34769967929653</v>
      </c>
      <c r="K506" s="39" t="n">
        <f aca="false">IF(E506/C506*100&lt;100,E506/C506*100,100)</f>
        <v>100</v>
      </c>
      <c r="L506" s="2" t="n">
        <f aca="false">IF(((C506-E506)&gt;0)AND(F506&gt;(C506-E506)),(C506-E506),IF(C506&lt;E506,0,F506))</f>
        <v>0</v>
      </c>
      <c r="M506" s="2" t="n">
        <f aca="false">IF(C506&lt;(E506+F506),0,C506-E506-F506)</f>
        <v>0</v>
      </c>
      <c r="N506" s="2" t="n">
        <f aca="false">IF(C506&lt;(E506+F506),0,(C506-E506-F506)/(1-V$16/100))</f>
        <v>0</v>
      </c>
      <c r="O506" s="2" t="n">
        <f aca="false">L506+M506</f>
        <v>0</v>
      </c>
      <c r="P506" s="2" t="n">
        <f aca="false">IF( N506=0,I506*(1-G506/100)+J506*(1-H506/100),-N506)</f>
        <v>21.6393761170994</v>
      </c>
      <c r="Q506" s="47" t="n">
        <f aca="false">IF(P505&gt;0,Q505+P505*(1-V$20/100),Q505+P505)</f>
        <v>3044.46492977946</v>
      </c>
      <c r="R506" s="48" t="n">
        <f aca="false">R$4+Q506/V$28</f>
        <v>76.0115120462953</v>
      </c>
    </row>
    <row r="507" customFormat="false" ht="12.8" hidden="false" customHeight="false" outlineLevel="0" collapsed="false">
      <c r="A507" s="1" t="n">
        <v>503</v>
      </c>
      <c r="B507" s="37" t="n">
        <v>44048</v>
      </c>
      <c r="C507" s="38" t="n">
        <f aca="false">V$26-V$26*SIN(2*PI()/365*A507)</f>
        <v>4.34301511309414</v>
      </c>
      <c r="D507" s="2" t="n">
        <f aca="false">IF((E507+F507)&gt;C507,C507,E507+F507)</f>
        <v>4.34301511309414</v>
      </c>
      <c r="E507" s="38" t="n">
        <f aca="false">(V$23+V$24*SIN(2*PI()/365*A507))*V$25/100*V$7*V$8/100</f>
        <v>22.3277765021299</v>
      </c>
      <c r="F507" s="38" t="n">
        <f aca="false">(V$23+V$24*SIN(2*PI()/365*A507))*V$25/100*V$9*(1-V$14/100)*(1-V$16/100)</f>
        <v>4.72847079563668</v>
      </c>
      <c r="G507" s="38" t="n">
        <f aca="false">IF(C507&gt;E507,100,C507/E507*100)</f>
        <v>19.4511760393152</v>
      </c>
      <c r="H507" s="38" t="n">
        <f aca="false">L507/F507*100</f>
        <v>0</v>
      </c>
      <c r="I507" s="38" t="n">
        <f aca="false">(V$23+V$24*SIN(2*PI()/365*A507))*V$25/100*V$7*V$8/100*(1-V$15/100)</f>
        <v>19.8717210868956</v>
      </c>
      <c r="J507" s="38" t="n">
        <f aca="false">(V$23+V$24*SIN(2*PI()/365*A507))*V$25/100*V$9*(1-V$14/100)</f>
        <v>5.31288853442324</v>
      </c>
      <c r="K507" s="39" t="n">
        <f aca="false">IF(E507/C507*100&lt;100,E507/C507*100,100)</f>
        <v>100</v>
      </c>
      <c r="L507" s="2" t="n">
        <f aca="false">IF(((C507-E507)&gt;0)AND(F507&gt;(C507-E507)),(C507-E507),IF(C507&lt;E507,0,F507))</f>
        <v>0</v>
      </c>
      <c r="M507" s="2" t="n">
        <f aca="false">IF(C507&lt;(E507+F507),0,C507-E507-F507)</f>
        <v>0</v>
      </c>
      <c r="N507" s="2" t="n">
        <f aca="false">IF(C507&lt;(E507+F507),0,(C507-E507-F507)/(1-V$16/100))</f>
        <v>0</v>
      </c>
      <c r="O507" s="2" t="n">
        <f aca="false">L507+M507</f>
        <v>0</v>
      </c>
      <c r="P507" s="2" t="n">
        <f aca="false">IF( N507=0,I507*(1-G507/100)+J507*(1-H507/100),-N507)</f>
        <v>21.3193261706651</v>
      </c>
      <c r="Q507" s="47" t="n">
        <f aca="false">IF(P506&gt;0,Q506+P506*(1-V$20/100),Q506+P506)</f>
        <v>3064.58954956836</v>
      </c>
      <c r="R507" s="48" t="n">
        <f aca="false">R$4+Q507/V$28</f>
        <v>76.2495564989892</v>
      </c>
    </row>
    <row r="508" customFormat="false" ht="12.8" hidden="false" customHeight="false" outlineLevel="0" collapsed="false">
      <c r="A508" s="1" t="n">
        <v>504</v>
      </c>
      <c r="B508" s="37" t="n">
        <v>44049</v>
      </c>
      <c r="C508" s="38" t="n">
        <f aca="false">V$26-V$26*SIN(2*PI()/365*A508)</f>
        <v>4.52012080340437</v>
      </c>
      <c r="D508" s="2" t="n">
        <f aca="false">IF((E508+F508)&gt;C508,C508,E508+F508)</f>
        <v>4.52012080340437</v>
      </c>
      <c r="E508" s="38" t="n">
        <f aca="false">(V$23+V$24*SIN(2*PI()/365*A508))*V$25/100*V$7*V$8/100</f>
        <v>22.1790373299472</v>
      </c>
      <c r="F508" s="38" t="n">
        <f aca="false">(V$23+V$24*SIN(2*PI()/365*A508))*V$25/100*V$9*(1-V$14/100)*(1-V$16/100)</f>
        <v>4.69697151796495</v>
      </c>
      <c r="G508" s="38" t="n">
        <f aca="false">IF(C508&gt;E508,100,C508/E508*100)</f>
        <v>20.3801487691311</v>
      </c>
      <c r="H508" s="38" t="n">
        <f aca="false">L508/F508*100</f>
        <v>0</v>
      </c>
      <c r="I508" s="38" t="n">
        <f aca="false">(V$23+V$24*SIN(2*PI()/365*A508))*V$25/100*V$7*V$8/100*(1-V$15/100)</f>
        <v>19.739343223653</v>
      </c>
      <c r="J508" s="38" t="n">
        <f aca="false">(V$23+V$24*SIN(2*PI()/365*A508))*V$25/100*V$9*(1-V$14/100)</f>
        <v>5.27749608760107</v>
      </c>
      <c r="K508" s="39" t="n">
        <f aca="false">IF(E508/C508*100&lt;100,E508/C508*100,100)</f>
        <v>100</v>
      </c>
      <c r="L508" s="2" t="n">
        <f aca="false">IF(((C508-E508)&gt;0)AND(F508&gt;(C508-E508)),(C508-E508),IF(C508&lt;E508,0,F508))</f>
        <v>0</v>
      </c>
      <c r="M508" s="2" t="n">
        <f aca="false">IF(C508&lt;(E508+F508),0,C508-E508-F508)</f>
        <v>0</v>
      </c>
      <c r="N508" s="2" t="n">
        <f aca="false">IF(C508&lt;(E508+F508),0,(C508-E508-F508)/(1-V$16/100))</f>
        <v>0</v>
      </c>
      <c r="O508" s="2" t="n">
        <f aca="false">L508+M508</f>
        <v>0</v>
      </c>
      <c r="P508" s="2" t="n">
        <f aca="false">IF( N508=0,I508*(1-G508/100)+J508*(1-H508/100),-N508)</f>
        <v>20.9939317962242</v>
      </c>
      <c r="Q508" s="47" t="n">
        <f aca="false">IF(P507&gt;0,Q507+P507*(1-V$20/100),Q507+P507)</f>
        <v>3084.41652290708</v>
      </c>
      <c r="R508" s="48" t="n">
        <f aca="false">R$4+Q508/V$28</f>
        <v>76.4840802349156</v>
      </c>
    </row>
    <row r="509" customFormat="false" ht="12.8" hidden="false" customHeight="false" outlineLevel="0" collapsed="false">
      <c r="A509" s="1" t="n">
        <v>505</v>
      </c>
      <c r="B509" s="37" t="n">
        <v>44050</v>
      </c>
      <c r="C509" s="38" t="n">
        <f aca="false">V$26-V$26*SIN(2*PI()/365*A509)</f>
        <v>4.70008287941176</v>
      </c>
      <c r="D509" s="2" t="n">
        <f aca="false">IF((E509+F509)&gt;C509,C509,E509+F509)</f>
        <v>4.70008287941176</v>
      </c>
      <c r="E509" s="38" t="n">
        <f aca="false">(V$23+V$24*SIN(2*PI()/365*A509))*V$25/100*V$7*V$8/100</f>
        <v>22.0278992712958</v>
      </c>
      <c r="F509" s="38" t="n">
        <f aca="false">(V$23+V$24*SIN(2*PI()/365*A509))*V$25/100*V$9*(1-V$14/100)*(1-V$16/100)</f>
        <v>4.66496421547451</v>
      </c>
      <c r="G509" s="38" t="n">
        <f aca="false">IF(C509&gt;E509,100,C509/E509*100)</f>
        <v>21.3369546570261</v>
      </c>
      <c r="H509" s="38" t="n">
        <f aca="false">L509/F509*100</f>
        <v>0</v>
      </c>
      <c r="I509" s="38" t="n">
        <f aca="false">(V$23+V$24*SIN(2*PI()/365*A509))*V$25/100*V$7*V$8/100*(1-V$15/100)</f>
        <v>19.6048303514532</v>
      </c>
      <c r="J509" s="38" t="n">
        <f aca="false">(V$23+V$24*SIN(2*PI()/365*A509))*V$25/100*V$9*(1-V$14/100)</f>
        <v>5.24153282637586</v>
      </c>
      <c r="K509" s="39" t="n">
        <f aca="false">IF(E509/C509*100&lt;100,E509/C509*100,100)</f>
        <v>100</v>
      </c>
      <c r="L509" s="2" t="n">
        <f aca="false">IF(((C509-E509)&gt;0)AND(F509&gt;(C509-E509)),(C509-E509),IF(C509&lt;E509,0,F509))</f>
        <v>0</v>
      </c>
      <c r="M509" s="2" t="n">
        <f aca="false">IF(C509&lt;(E509+F509),0,C509-E509-F509)</f>
        <v>0</v>
      </c>
      <c r="N509" s="2" t="n">
        <f aca="false">IF(C509&lt;(E509+F509),0,(C509-E509-F509)/(1-V$16/100))</f>
        <v>0</v>
      </c>
      <c r="O509" s="2" t="n">
        <f aca="false">L509+M509</f>
        <v>0</v>
      </c>
      <c r="P509" s="2" t="n">
        <f aca="false">IF( N509=0,I509*(1-G509/100)+J509*(1-H509/100),-N509)</f>
        <v>20.6632894151526</v>
      </c>
      <c r="Q509" s="47" t="n">
        <f aca="false">IF(P508&gt;0,Q508+P508*(1-V$20/100),Q508+P508)</f>
        <v>3103.94087947757</v>
      </c>
      <c r="R509" s="48" t="n">
        <f aca="false">R$4+Q509/V$28</f>
        <v>76.7150244625718</v>
      </c>
    </row>
    <row r="510" customFormat="false" ht="12.8" hidden="false" customHeight="false" outlineLevel="0" collapsed="false">
      <c r="A510" s="1" t="n">
        <v>506</v>
      </c>
      <c r="B510" s="37" t="n">
        <v>44051</v>
      </c>
      <c r="C510" s="38" t="n">
        <f aca="false">V$26-V$26*SIN(2*PI()/365*A510)</f>
        <v>4.8828480144693</v>
      </c>
      <c r="D510" s="2" t="n">
        <f aca="false">IF((E510+F510)&gt;C510,C510,E510+F510)</f>
        <v>4.8828480144693</v>
      </c>
      <c r="E510" s="38" t="n">
        <f aca="false">(V$23+V$24*SIN(2*PI()/365*A510))*V$25/100*V$7*V$8/100</f>
        <v>21.8744071116441</v>
      </c>
      <c r="F510" s="38" t="n">
        <f aca="false">(V$23+V$24*SIN(2*PI()/365*A510))*V$25/100*V$9*(1-V$14/100)*(1-V$16/100)</f>
        <v>4.63245837261986</v>
      </c>
      <c r="G510" s="38" t="n">
        <f aca="false">IF(C510&gt;E510,100,C510/E510*100)</f>
        <v>22.3221959322046</v>
      </c>
      <c r="H510" s="38" t="n">
        <f aca="false">L510/F510*100</f>
        <v>0</v>
      </c>
      <c r="I510" s="38" t="n">
        <f aca="false">(V$23+V$24*SIN(2*PI()/365*A510))*V$25/100*V$7*V$8/100*(1-V$15/100)</f>
        <v>19.4682223293633</v>
      </c>
      <c r="J510" s="38" t="n">
        <f aca="false">(V$23+V$24*SIN(2*PI()/365*A510))*V$25/100*V$9*(1-V$14/100)</f>
        <v>5.20500940743804</v>
      </c>
      <c r="K510" s="39" t="n">
        <f aca="false">IF(E510/C510*100&lt;100,E510/C510*100,100)</f>
        <v>100</v>
      </c>
      <c r="L510" s="2" t="n">
        <f aca="false">IF(((C510-E510)&gt;0)AND(F510&gt;(C510-E510)),(C510-E510),IF(C510&lt;E510,0,F510))</f>
        <v>0</v>
      </c>
      <c r="M510" s="2" t="n">
        <f aca="false">IF(C510&lt;(E510+F510),0,C510-E510-F510)</f>
        <v>0</v>
      </c>
      <c r="N510" s="2" t="n">
        <f aca="false">IF(C510&lt;(E510+F510),0,(C510-E510-F510)/(1-V$16/100))</f>
        <v>0</v>
      </c>
      <c r="O510" s="2" t="n">
        <f aca="false">L510+M510</f>
        <v>0</v>
      </c>
      <c r="P510" s="2" t="n">
        <f aca="false">IF( N510=0,I510*(1-G510/100)+J510*(1-H510/100),-N510)</f>
        <v>20.3274970039236</v>
      </c>
      <c r="Q510" s="47" t="n">
        <f aca="false">IF(P509&gt;0,Q509+P509*(1-V$20/100),Q509+P509)</f>
        <v>3123.15773863366</v>
      </c>
      <c r="R510" s="48" t="n">
        <f aca="false">R$4+Q510/V$28</f>
        <v>76.9423314511406</v>
      </c>
    </row>
    <row r="511" customFormat="false" ht="12.8" hidden="false" customHeight="false" outlineLevel="0" collapsed="false">
      <c r="A511" s="1" t="n">
        <v>507</v>
      </c>
      <c r="B511" s="37" t="n">
        <v>44052</v>
      </c>
      <c r="C511" s="38" t="n">
        <f aca="false">V$26-V$26*SIN(2*PI()/365*A511)</f>
        <v>5.06836205132309</v>
      </c>
      <c r="D511" s="2" t="n">
        <f aca="false">IF((E511+F511)&gt;C511,C511,E511+F511)</f>
        <v>5.06836205132309</v>
      </c>
      <c r="E511" s="38" t="n">
        <f aca="false">(V$23+V$24*SIN(2*PI()/365*A511))*V$25/100*V$7*V$8/100</f>
        <v>21.7186063340318</v>
      </c>
      <c r="F511" s="38" t="n">
        <f aca="false">(V$23+V$24*SIN(2*PI()/365*A511))*V$25/100*V$9*(1-V$14/100)*(1-V$16/100)</f>
        <v>4.59946362158377</v>
      </c>
      <c r="G511" s="38" t="n">
        <f aca="false">IF(C511&gt;E511,100,C511/E511*100)</f>
        <v>23.3364976249938</v>
      </c>
      <c r="H511" s="38" t="n">
        <f aca="false">L511/F511*100</f>
        <v>0</v>
      </c>
      <c r="I511" s="38" t="n">
        <f aca="false">(V$23+V$24*SIN(2*PI()/365*A511))*V$25/100*V$7*V$8/100*(1-V$15/100)</f>
        <v>19.3295596372883</v>
      </c>
      <c r="J511" s="38" t="n">
        <f aca="false">(V$23+V$24*SIN(2*PI()/365*A511))*V$25/100*V$9*(1-V$14/100)</f>
        <v>5.16793665346491</v>
      </c>
      <c r="K511" s="39" t="n">
        <f aca="false">IF(E511/C511*100&lt;100,E511/C511*100,100)</f>
        <v>100</v>
      </c>
      <c r="L511" s="2" t="n">
        <f aca="false">IF(((C511-E511)&gt;0)AND(F511&gt;(C511-E511)),(C511-E511),IF(C511&lt;E511,0,F511))</f>
        <v>0</v>
      </c>
      <c r="M511" s="2" t="n">
        <f aca="false">IF(C511&lt;(E511+F511),0,C511-E511-F511)</f>
        <v>0</v>
      </c>
      <c r="N511" s="2" t="n">
        <f aca="false">IF(C511&lt;(E511+F511),0,(C511-E511-F511)/(1-V$16/100))</f>
        <v>0</v>
      </c>
      <c r="O511" s="2" t="n">
        <f aca="false">L511+M511</f>
        <v>0</v>
      </c>
      <c r="P511" s="2" t="n">
        <f aca="false">IF( N511=0,I511*(1-G511/100)+J511*(1-H511/100),-N511)</f>
        <v>19.9866540650757</v>
      </c>
      <c r="Q511" s="47" t="n">
        <f aca="false">IF(P510&gt;0,Q510+P510*(1-V$20/100),Q510+P510)</f>
        <v>3142.06231084731</v>
      </c>
      <c r="R511" s="48" t="n">
        <f aca="false">R$4+Q511/V$28</f>
        <v>77.1659445475974</v>
      </c>
    </row>
    <row r="512" customFormat="false" ht="12.8" hidden="false" customHeight="false" outlineLevel="0" collapsed="false">
      <c r="A512" s="1" t="n">
        <v>508</v>
      </c>
      <c r="B512" s="37" t="n">
        <v>44053</v>
      </c>
      <c r="C512" s="38" t="n">
        <f aca="false">V$26-V$26*SIN(2*PI()/365*A512)</f>
        <v>5.2565700181603</v>
      </c>
      <c r="D512" s="2" t="n">
        <f aca="false">IF((E512+F512)&gt;C512,C512,E512+F512)</f>
        <v>5.2565700181603</v>
      </c>
      <c r="E512" s="38" t="n">
        <f aca="false">(V$23+V$24*SIN(2*PI()/365*A512))*V$25/100*V$7*V$8/100</f>
        <v>21.5605431055917</v>
      </c>
      <c r="F512" s="38" t="n">
        <f aca="false">(V$23+V$24*SIN(2*PI()/365*A512))*V$25/100*V$9*(1-V$14/100)*(1-V$16/100)</f>
        <v>4.56598973942305</v>
      </c>
      <c r="G512" s="38" t="n">
        <f aca="false">IF(C512&gt;E512,100,C512/E512*100)</f>
        <v>24.3805083778109</v>
      </c>
      <c r="H512" s="38" t="n">
        <f aca="false">L512/F512*100</f>
        <v>0</v>
      </c>
      <c r="I512" s="38" t="n">
        <f aca="false">(V$23+V$24*SIN(2*PI()/365*A512))*V$25/100*V$7*V$8/100*(1-V$15/100)</f>
        <v>19.1888833639766</v>
      </c>
      <c r="J512" s="38" t="n">
        <f aca="false">(V$23+V$24*SIN(2*PI()/365*A512))*V$25/100*V$9*(1-V$14/100)</f>
        <v>5.13032554991354</v>
      </c>
      <c r="K512" s="39" t="n">
        <f aca="false">IF(E512/C512*100&lt;100,E512/C512*100,100)</f>
        <v>100</v>
      </c>
      <c r="L512" s="2" t="n">
        <f aca="false">IF(((C512-E512)&gt;0)AND(F512&gt;(C512-E512)),(C512-E512),IF(C512&lt;E512,0,F512))</f>
        <v>0</v>
      </c>
      <c r="M512" s="2" t="n">
        <f aca="false">IF(C512&lt;(E512+F512),0,C512-E512-F512)</f>
        <v>0</v>
      </c>
      <c r="N512" s="2" t="n">
        <f aca="false">IF(C512&lt;(E512+F512),0,(C512-E512-F512)/(1-V$16/100))</f>
        <v>0</v>
      </c>
      <c r="O512" s="2" t="n">
        <f aca="false">L512+M512</f>
        <v>0</v>
      </c>
      <c r="P512" s="2" t="n">
        <f aca="false">IF( N512=0,I512*(1-G512/100)+J512*(1-H512/100),-N512)</f>
        <v>19.6408615977275</v>
      </c>
      <c r="Q512" s="47" t="n">
        <f aca="false">IF(P511&gt;0,Q511+P511*(1-V$20/100),Q511+P511)</f>
        <v>3160.64989912783</v>
      </c>
      <c r="R512" s="48" t="n">
        <f aca="false">R$4+Q512/V$28</f>
        <v>77.3858081934972</v>
      </c>
    </row>
    <row r="513" customFormat="false" ht="12.8" hidden="false" customHeight="false" outlineLevel="0" collapsed="false">
      <c r="A513" s="1" t="n">
        <v>509</v>
      </c>
      <c r="B513" s="37" t="n">
        <v>44054</v>
      </c>
      <c r="C513" s="38" t="n">
        <f aca="false">V$26-V$26*SIN(2*PI()/365*A513)</f>
        <v>5.44741614489847</v>
      </c>
      <c r="D513" s="2" t="n">
        <f aca="false">IF((E513+F513)&gt;C513,C513,E513+F513)</f>
        <v>5.44741614489847</v>
      </c>
      <c r="E513" s="38" t="n">
        <f aca="false">(V$23+V$24*SIN(2*PI()/365*A513))*V$25/100*V$7*V$8/100</f>
        <v>21.4002642638696</v>
      </c>
      <c r="F513" s="38" t="n">
        <f aca="false">(V$23+V$24*SIN(2*PI()/365*A513))*V$25/100*V$9*(1-V$14/100)*(1-V$16/100)</f>
        <v>4.53204664517142</v>
      </c>
      <c r="G513" s="38" t="n">
        <f aca="false">IF(C513&gt;E513,100,C513/E513*100)</f>
        <v>25.4549012934173</v>
      </c>
      <c r="H513" s="38" t="n">
        <f aca="false">L513/F513*100</f>
        <v>0</v>
      </c>
      <c r="I513" s="38" t="n">
        <f aca="false">(V$23+V$24*SIN(2*PI()/365*A513))*V$25/100*V$7*V$8/100*(1-V$15/100)</f>
        <v>19.046235194844</v>
      </c>
      <c r="J513" s="38" t="n">
        <f aca="false">(V$23+V$24*SIN(2*PI()/365*A513))*V$25/100*V$9*(1-V$14/100)</f>
        <v>5.09218724176564</v>
      </c>
      <c r="K513" s="39" t="n">
        <f aca="false">IF(E513/C513*100&lt;100,E513/C513*100,100)</f>
        <v>100</v>
      </c>
      <c r="L513" s="2" t="n">
        <f aca="false">IF(((C513-E513)&gt;0)AND(F513&gt;(C513-E513)),(C513-E513),IF(C513&lt;E513,0,F513))</f>
        <v>0</v>
      </c>
      <c r="M513" s="2" t="n">
        <f aca="false">IF(C513&lt;(E513+F513),0,C513-E513-F513)</f>
        <v>0</v>
      </c>
      <c r="N513" s="2" t="n">
        <f aca="false">IF(C513&lt;(E513+F513),0,(C513-E513-F513)/(1-V$16/100))</f>
        <v>0</v>
      </c>
      <c r="O513" s="2" t="n">
        <f aca="false">L513+M513</f>
        <v>0</v>
      </c>
      <c r="P513" s="2" t="n">
        <f aca="false">IF( N513=0,I513*(1-G513/100)+J513*(1-H513/100),-N513)</f>
        <v>19.29022206765</v>
      </c>
      <c r="Q513" s="47" t="n">
        <f aca="false">IF(P512&gt;0,Q512+P512*(1-V$20/100),Q512+P512)</f>
        <v>3178.91590041371</v>
      </c>
      <c r="R513" s="48" t="n">
        <f aca="false">R$4+Q513/V$28</f>
        <v>77.6018679414385</v>
      </c>
    </row>
    <row r="514" customFormat="false" ht="12.8" hidden="false" customHeight="false" outlineLevel="0" collapsed="false">
      <c r="A514" s="1" t="n">
        <v>510</v>
      </c>
      <c r="B514" s="37" t="n">
        <v>44055</v>
      </c>
      <c r="C514" s="38" t="n">
        <f aca="false">V$26-V$26*SIN(2*PI()/365*A514)</f>
        <v>5.64084387971145</v>
      </c>
      <c r="D514" s="2" t="n">
        <f aca="false">IF((E514+F514)&gt;C514,C514,E514+F514)</f>
        <v>5.64084387971145</v>
      </c>
      <c r="E514" s="38" t="n">
        <f aca="false">(V$23+V$24*SIN(2*PI()/365*A514))*V$25/100*V$7*V$8/100</f>
        <v>21.2378173029456</v>
      </c>
      <c r="F514" s="38" t="n">
        <f aca="false">(V$23+V$24*SIN(2*PI()/365*A514))*V$25/100*V$9*(1-V$14/100)*(1-V$16/100)</f>
        <v>4.49764439690026</v>
      </c>
      <c r="G514" s="38" t="n">
        <f aca="false">IF(C514&gt;E514,100,C514/E514*100)</f>
        <v>26.5603748221767</v>
      </c>
      <c r="H514" s="38" t="n">
        <f aca="false">L514/F514*100</f>
        <v>0</v>
      </c>
      <c r="I514" s="38" t="n">
        <f aca="false">(V$23+V$24*SIN(2*PI()/365*A514))*V$25/100*V$7*V$8/100*(1-V$15/100)</f>
        <v>18.9016573996216</v>
      </c>
      <c r="J514" s="38" t="n">
        <f aca="false">(V$23+V$24*SIN(2*PI()/365*A514))*V$25/100*V$9*(1-V$14/100)</f>
        <v>5.05353303022501</v>
      </c>
      <c r="K514" s="39" t="n">
        <f aca="false">IF(E514/C514*100&lt;100,E514/C514*100,100)</f>
        <v>100</v>
      </c>
      <c r="L514" s="2" t="n">
        <f aca="false">IF(((C514-E514)&gt;0)AND(F514&gt;(C514-E514)),(C514-E514),IF(C514&lt;E514,0,F514))</f>
        <v>0</v>
      </c>
      <c r="M514" s="2" t="n">
        <f aca="false">IF(C514&lt;(E514+F514),0,C514-E514-F514)</f>
        <v>0</v>
      </c>
      <c r="N514" s="2" t="n">
        <f aca="false">IF(C514&lt;(E514+F514),0,(C514-E514-F514)/(1-V$16/100))</f>
        <v>0</v>
      </c>
      <c r="O514" s="2" t="n">
        <f aca="false">L514+M514</f>
        <v>0</v>
      </c>
      <c r="P514" s="2" t="n">
        <f aca="false">IF( N514=0,I514*(1-G514/100)+J514*(1-H514/100),-N514)</f>
        <v>18.9348393769034</v>
      </c>
      <c r="Q514" s="47" t="n">
        <f aca="false">IF(P513&gt;0,Q513+P513*(1-V$20/100),Q513+P513)</f>
        <v>3196.85580693663</v>
      </c>
      <c r="R514" s="48" t="n">
        <f aca="false">R$4+Q514/V$28</f>
        <v>77.8140704711967</v>
      </c>
    </row>
    <row r="515" customFormat="false" ht="12.8" hidden="false" customHeight="false" outlineLevel="0" collapsed="false">
      <c r="A515" s="1" t="n">
        <v>511</v>
      </c>
      <c r="B515" s="37" t="n">
        <v>44056</v>
      </c>
      <c r="C515" s="38" t="n">
        <f aca="false">V$26-V$26*SIN(2*PI()/365*A515)</f>
        <v>5.83679590578694</v>
      </c>
      <c r="D515" s="2" t="n">
        <f aca="false">IF((E515+F515)&gt;C515,C515,E515+F515)</f>
        <v>5.83679590578694</v>
      </c>
      <c r="E515" s="38" t="n">
        <f aca="false">(V$23+V$24*SIN(2*PI()/365*A515))*V$25/100*V$7*V$8/100</f>
        <v>21.0732503593599</v>
      </c>
      <c r="F515" s="38" t="n">
        <f aca="false">(V$23+V$24*SIN(2*PI()/365*A515))*V$25/100*V$9*(1-V$14/100)*(1-V$16/100)</f>
        <v>4.46279318873818</v>
      </c>
      <c r="G515" s="38" t="n">
        <f aca="false">IF(C515&gt;E515,100,C515/E515*100)</f>
        <v>27.6976536901174</v>
      </c>
      <c r="H515" s="38" t="n">
        <f aca="false">L515/F515*100</f>
        <v>0</v>
      </c>
      <c r="I515" s="38" t="n">
        <f aca="false">(V$23+V$24*SIN(2*PI()/365*A515))*V$25/100*V$7*V$8/100*(1-V$15/100)</f>
        <v>18.7551928198303</v>
      </c>
      <c r="J515" s="38" t="n">
        <f aca="false">(V$23+V$24*SIN(2*PI()/365*A515))*V$25/100*V$9*(1-V$14/100)</f>
        <v>5.01437436936874</v>
      </c>
      <c r="K515" s="39" t="n">
        <f aca="false">IF(E515/C515*100&lt;100,E515/C515*100,100)</f>
        <v>100</v>
      </c>
      <c r="L515" s="2" t="n">
        <f aca="false">IF(((C515-E515)&gt;0)AND(F515&gt;(C515-E515)),(C515-E515),IF(C515&lt;E515,0,F515))</f>
        <v>0</v>
      </c>
      <c r="M515" s="2" t="n">
        <f aca="false">IF(C515&lt;(E515+F515),0,C515-E515-F515)</f>
        <v>0</v>
      </c>
      <c r="N515" s="2" t="n">
        <f aca="false">IF(C515&lt;(E515+F515),0,(C515-E515-F515)/(1-V$16/100))</f>
        <v>0</v>
      </c>
      <c r="O515" s="2" t="n">
        <f aca="false">L515+M515</f>
        <v>0</v>
      </c>
      <c r="P515" s="2" t="n">
        <f aca="false">IF( N515=0,I515*(1-G515/100)+J515*(1-H515/100),-N515)</f>
        <v>18.5748188330487</v>
      </c>
      <c r="Q515" s="47" t="n">
        <f aca="false">IF(P514&gt;0,Q514+P514*(1-V$20/100),Q514+P514)</f>
        <v>3214.46520755715</v>
      </c>
      <c r="R515" s="48" t="n">
        <f aca="false">R$4+Q515/V$28</f>
        <v>78.0223636055243</v>
      </c>
    </row>
    <row r="516" customFormat="false" ht="12.8" hidden="false" customHeight="false" outlineLevel="0" collapsed="false">
      <c r="A516" s="1" t="n">
        <v>512</v>
      </c>
      <c r="B516" s="37" t="n">
        <v>44057</v>
      </c>
      <c r="C516" s="38" t="n">
        <f aca="false">V$26-V$26*SIN(2*PI()/365*A516)</f>
        <v>6.03521415831057</v>
      </c>
      <c r="D516" s="2" t="n">
        <f aca="false">IF((E516+F516)&gt;C516,C516,E516+F516)</f>
        <v>6.03521415831057</v>
      </c>
      <c r="E516" s="38" t="n">
        <f aca="false">(V$23+V$24*SIN(2*PI()/365*A516))*V$25/100*V$7*V$8/100</f>
        <v>20.9066121978497</v>
      </c>
      <c r="F516" s="38" t="n">
        <f aca="false">(V$23+V$24*SIN(2*PI()/365*A516))*V$25/100*V$9*(1-V$14/100)*(1-V$16/100)</f>
        <v>4.42750334785032</v>
      </c>
      <c r="G516" s="38" t="n">
        <f aca="false">IF(C516&gt;E516,100,C516/E516*100)</f>
        <v>28.8674898696945</v>
      </c>
      <c r="H516" s="38" t="n">
        <f aca="false">L516/F516*100</f>
        <v>0</v>
      </c>
      <c r="I516" s="38" t="n">
        <f aca="false">(V$23+V$24*SIN(2*PI()/365*A516))*V$25/100*V$7*V$8/100*(1-V$15/100)</f>
        <v>18.6068848560862</v>
      </c>
      <c r="J516" s="38" t="n">
        <f aca="false">(V$23+V$24*SIN(2*PI()/365*A516))*V$25/100*V$9*(1-V$14/100)</f>
        <v>4.97472286275317</v>
      </c>
      <c r="K516" s="39" t="n">
        <f aca="false">IF(E516/C516*100&lt;100,E516/C516*100,100)</f>
        <v>100</v>
      </c>
      <c r="L516" s="2" t="n">
        <f aca="false">IF(((C516-E516)&gt;0)AND(F516&gt;(C516-E516)),(C516-E516),IF(C516&lt;E516,0,F516))</f>
        <v>0</v>
      </c>
      <c r="M516" s="2" t="n">
        <f aca="false">IF(C516&lt;(E516+F516),0,C516-E516-F516)</f>
        <v>0</v>
      </c>
      <c r="N516" s="2" t="n">
        <f aca="false">IF(C516&lt;(E516+F516),0,(C516-E516-F516)/(1-V$16/100))</f>
        <v>0</v>
      </c>
      <c r="O516" s="2" t="n">
        <f aca="false">L516+M516</f>
        <v>0</v>
      </c>
      <c r="P516" s="2" t="n">
        <f aca="false">IF( N516=0,I516*(1-G516/100)+J516*(1-H516/100),-N516)</f>
        <v>18.210267117943</v>
      </c>
      <c r="Q516" s="47" t="n">
        <f aca="false">IF(P515&gt;0,Q515+P515*(1-V$20/100),Q515+P515)</f>
        <v>3231.73978907188</v>
      </c>
      <c r="R516" s="48" t="n">
        <f aca="false">R$4+Q516/V$28</f>
        <v>78.2266963256117</v>
      </c>
    </row>
    <row r="517" customFormat="false" ht="12.8" hidden="false" customHeight="false" outlineLevel="0" collapsed="false">
      <c r="A517" s="1" t="n">
        <v>513</v>
      </c>
      <c r="B517" s="37" t="n">
        <v>44058</v>
      </c>
      <c r="C517" s="38" t="n">
        <f aca="false">V$26-V$26*SIN(2*PI()/365*A517)</f>
        <v>6.23603984167193</v>
      </c>
      <c r="D517" s="2" t="n">
        <f aca="false">IF((E517+F517)&gt;C517,C517,E517+F517)</f>
        <v>6.23603984167193</v>
      </c>
      <c r="E517" s="38" t="n">
        <f aca="false">(V$23+V$24*SIN(2*PI()/365*A517))*V$25/100*V$7*V$8/100</f>
        <v>20.7379521968985</v>
      </c>
      <c r="F517" s="38" t="n">
        <f aca="false">(V$23+V$24*SIN(2*PI()/365*A517))*V$25/100*V$9*(1-V$14/100)*(1-V$16/100)</f>
        <v>4.39178533137816</v>
      </c>
      <c r="G517" s="38" t="n">
        <f aca="false">IF(C517&gt;E517,100,C517/E517*100)</f>
        <v>30.0706635952444</v>
      </c>
      <c r="H517" s="38" t="n">
        <f aca="false">L517/F517*100</f>
        <v>0</v>
      </c>
      <c r="I517" s="38" t="n">
        <f aca="false">(V$23+V$24*SIN(2*PI()/365*A517))*V$25/100*V$7*V$8/100*(1-V$15/100)</f>
        <v>18.4567774552396</v>
      </c>
      <c r="J517" s="38" t="n">
        <f aca="false">(V$23+V$24*SIN(2*PI()/365*A517))*V$25/100*V$9*(1-V$14/100)</f>
        <v>4.93459025997546</v>
      </c>
      <c r="K517" s="39" t="n">
        <f aca="false">IF(E517/C517*100&lt;100,E517/C517*100,100)</f>
        <v>100</v>
      </c>
      <c r="L517" s="2" t="n">
        <f aca="false">IF(((C517-E517)&gt;0)AND(F517&gt;(C517-E517)),(C517-E517),IF(C517&lt;E517,0,F517))</f>
        <v>0</v>
      </c>
      <c r="M517" s="2" t="n">
        <f aca="false">IF(C517&lt;(E517+F517),0,C517-E517-F517)</f>
        <v>0</v>
      </c>
      <c r="N517" s="2" t="n">
        <f aca="false">IF(C517&lt;(E517+F517),0,(C517-E517-F517)/(1-V$16/100))</f>
        <v>0</v>
      </c>
      <c r="O517" s="2" t="n">
        <f aca="false">L517+M517</f>
        <v>0</v>
      </c>
      <c r="P517" s="2" t="n">
        <f aca="false">IF( N517=0,I517*(1-G517/100)+J517*(1-H517/100),-N517)</f>
        <v>17.8412922561271</v>
      </c>
      <c r="Q517" s="47" t="n">
        <f aca="false">IF(P516&gt;0,Q516+P516*(1-V$20/100),Q516+P516)</f>
        <v>3248.67533749157</v>
      </c>
      <c r="R517" s="48" t="n">
        <f aca="false">R$4+Q517/V$28</f>
        <v>78.4270187862059</v>
      </c>
    </row>
    <row r="518" customFormat="false" ht="12.8" hidden="false" customHeight="false" outlineLevel="0" collapsed="false">
      <c r="A518" s="1" t="n">
        <v>514</v>
      </c>
      <c r="B518" s="37" t="n">
        <v>44059</v>
      </c>
      <c r="C518" s="38" t="n">
        <f aca="false">V$26-V$26*SIN(2*PI()/365*A518)</f>
        <v>6.43921344688689</v>
      </c>
      <c r="D518" s="2" t="n">
        <f aca="false">IF((E518+F518)&gt;C518,C518,E518+F518)</f>
        <v>6.43921344688689</v>
      </c>
      <c r="E518" s="38" t="n">
        <f aca="false">(V$23+V$24*SIN(2*PI()/365*A518))*V$25/100*V$7*V$8/100</f>
        <v>20.5673203341045</v>
      </c>
      <c r="F518" s="38" t="n">
        <f aca="false">(V$23+V$24*SIN(2*PI()/365*A518))*V$25/100*V$9*(1-V$14/100)*(1-V$16/100)</f>
        <v>4.35564972334082</v>
      </c>
      <c r="G518" s="38" t="n">
        <f aca="false">IF(C518&gt;E518,100,C518/E518*100)</f>
        <v>31.3079844252216</v>
      </c>
      <c r="H518" s="38" t="n">
        <f aca="false">L518/F518*100</f>
        <v>0</v>
      </c>
      <c r="I518" s="38" t="n">
        <f aca="false">(V$23+V$24*SIN(2*PI()/365*A518))*V$25/100*V$7*V$8/100*(1-V$15/100)</f>
        <v>18.304915097353</v>
      </c>
      <c r="J518" s="38" t="n">
        <f aca="false">(V$23+V$24*SIN(2*PI()/365*A518))*V$25/100*V$9*(1-V$14/100)</f>
        <v>4.89398845319193</v>
      </c>
      <c r="K518" s="39" t="n">
        <f aca="false">IF(E518/C518*100&lt;100,E518/C518*100,100)</f>
        <v>100</v>
      </c>
      <c r="L518" s="2" t="n">
        <f aca="false">IF(((C518-E518)&gt;0)AND(F518&gt;(C518-E518)),(C518-E518),IF(C518&lt;E518,0,F518))</f>
        <v>0</v>
      </c>
      <c r="M518" s="2" t="n">
        <f aca="false">IF(C518&lt;(E518+F518),0,C518-E518-F518)</f>
        <v>0</v>
      </c>
      <c r="N518" s="2" t="n">
        <f aca="false">IF(C518&lt;(E518+F518),0,(C518-E518-F518)/(1-V$16/100))</f>
        <v>0</v>
      </c>
      <c r="O518" s="2" t="n">
        <f aca="false">L518+M518</f>
        <v>0</v>
      </c>
      <c r="P518" s="2" t="n">
        <f aca="false">IF( N518=0,I518*(1-G518/100)+J518*(1-H518/100),-N518)</f>
        <v>17.4680035828156</v>
      </c>
      <c r="Q518" s="47" t="n">
        <f aca="false">IF(P517&gt;0,Q517+P517*(1-V$20/100),Q517+P517)</f>
        <v>3265.26773928977</v>
      </c>
      <c r="R518" s="48" t="n">
        <f aca="false">R$4+Q518/V$28</f>
        <v>78.6232823303801</v>
      </c>
    </row>
    <row r="519" customFormat="false" ht="12.8" hidden="false" customHeight="false" outlineLevel="0" collapsed="false">
      <c r="A519" s="1" t="n">
        <v>515</v>
      </c>
      <c r="B519" s="37" t="n">
        <v>44060</v>
      </c>
      <c r="C519" s="38" t="n">
        <f aca="false">V$26-V$26*SIN(2*PI()/365*A519)</f>
        <v>6.64467476923132</v>
      </c>
      <c r="D519" s="2" t="n">
        <f aca="false">IF((E519+F519)&gt;C519,C519,E519+F519)</f>
        <v>6.64467476923132</v>
      </c>
      <c r="E519" s="38" t="n">
        <f aca="false">(V$23+V$24*SIN(2*PI()/365*A519))*V$25/100*V$7*V$8/100</f>
        <v>20.3947671713714</v>
      </c>
      <c r="F519" s="38" t="n">
        <f aca="false">(V$23+V$24*SIN(2*PI()/365*A519))*V$25/100*V$9*(1-V$14/100)*(1-V$16/100)</f>
        <v>4.31910723149885</v>
      </c>
      <c r="G519" s="38" t="n">
        <f aca="false">IF(C519&gt;E519,100,C519/E519*100)</f>
        <v>32.5802923534161</v>
      </c>
      <c r="H519" s="38" t="n">
        <f aca="false">L519/F519*100</f>
        <v>0</v>
      </c>
      <c r="I519" s="38" t="n">
        <f aca="false">(V$23+V$24*SIN(2*PI()/365*A519))*V$25/100*V$7*V$8/100*(1-V$15/100)</f>
        <v>18.1513427825205</v>
      </c>
      <c r="J519" s="38" t="n">
        <f aca="false">(V$23+V$24*SIN(2*PI()/365*A519))*V$25/100*V$9*(1-V$14/100)</f>
        <v>4.85292947359421</v>
      </c>
      <c r="K519" s="39" t="n">
        <f aca="false">IF(E519/C519*100&lt;100,E519/C519*100,100)</f>
        <v>100</v>
      </c>
      <c r="L519" s="2" t="n">
        <f aca="false">IF(((C519-E519)&gt;0)AND(F519&gt;(C519-E519)),(C519-E519),IF(C519&lt;E519,0,F519))</f>
        <v>0</v>
      </c>
      <c r="M519" s="2" t="n">
        <f aca="false">IF(C519&lt;(E519+F519),0,C519-E519-F519)</f>
        <v>0</v>
      </c>
      <c r="N519" s="2" t="n">
        <f aca="false">IF(C519&lt;(E519+F519),0,(C519-E519-F519)/(1-V$16/100))</f>
        <v>0</v>
      </c>
      <c r="O519" s="2" t="n">
        <f aca="false">L519+M519</f>
        <v>0</v>
      </c>
      <c r="P519" s="2" t="n">
        <f aca="false">IF( N519=0,I519*(1-G519/100)+J519*(1-H519/100),-N519)</f>
        <v>17.0905117114988</v>
      </c>
      <c r="Q519" s="47" t="n">
        <f aca="false">IF(P518&gt;0,Q518+P518*(1-V$20/100),Q518+P518)</f>
        <v>3281.51298262179</v>
      </c>
      <c r="R519" s="48" t="n">
        <f aca="false">R$4+Q519/V$28</f>
        <v>78.8154395039523</v>
      </c>
    </row>
    <row r="520" customFormat="false" ht="12.8" hidden="false" customHeight="false" outlineLevel="0" collapsed="false">
      <c r="A520" s="1" t="n">
        <v>516</v>
      </c>
      <c r="B520" s="37" t="n">
        <v>44061</v>
      </c>
      <c r="C520" s="38" t="n">
        <f aca="false">V$26-V$26*SIN(2*PI()/365*A520)</f>
        <v>6.85236292608123</v>
      </c>
      <c r="D520" s="2" t="n">
        <f aca="false">IF((E520+F520)&gt;C520,C520,E520+F520)</f>
        <v>6.85236292608123</v>
      </c>
      <c r="E520" s="38" t="n">
        <f aca="false">(V$23+V$24*SIN(2*PI()/365*A520))*V$25/100*V$7*V$8/100</f>
        <v>20.2203438399251</v>
      </c>
      <c r="F520" s="38" t="n">
        <f aca="false">(V$23+V$24*SIN(2*PI()/365*A520))*V$25/100*V$9*(1-V$14/100)*(1-V$16/100)</f>
        <v>4.28216868418122</v>
      </c>
      <c r="G520" s="38" t="n">
        <f aca="false">IF(C520&gt;E520,100,C520/E520*100)</f>
        <v>33.8884589714604</v>
      </c>
      <c r="H520" s="38" t="n">
        <f aca="false">L520/F520*100</f>
        <v>0</v>
      </c>
      <c r="I520" s="38" t="n">
        <f aca="false">(V$23+V$24*SIN(2*PI()/365*A520))*V$25/100*V$7*V$8/100*(1-V$15/100)</f>
        <v>17.9961060175333</v>
      </c>
      <c r="J520" s="38" t="n">
        <f aca="false">(V$23+V$24*SIN(2*PI()/365*A520))*V$25/100*V$9*(1-V$14/100)</f>
        <v>4.81142548784407</v>
      </c>
      <c r="K520" s="39" t="n">
        <f aca="false">IF(E520/C520*100&lt;100,E520/C520*100,100)</f>
        <v>100</v>
      </c>
      <c r="L520" s="2" t="n">
        <f aca="false">IF(((C520-E520)&gt;0)AND(F520&gt;(C520-E520)),(C520-E520),IF(C520&lt;E520,0,F520))</f>
        <v>0</v>
      </c>
      <c r="M520" s="2" t="n">
        <f aca="false">IF(C520&lt;(E520+F520),0,C520-E520-F520)</f>
        <v>0</v>
      </c>
      <c r="N520" s="2" t="n">
        <f aca="false">IF(C520&lt;(E520+F520),0,(C520-E520-F520)/(1-V$16/100))</f>
        <v>0</v>
      </c>
      <c r="O520" s="2" t="n">
        <f aca="false">L520+M520</f>
        <v>0</v>
      </c>
      <c r="P520" s="2" t="n">
        <f aca="false">IF( N520=0,I520*(1-G520/100)+J520*(1-H520/100),-N520)</f>
        <v>16.7089285011651</v>
      </c>
      <c r="Q520" s="47" t="n">
        <f aca="false">IF(P519&gt;0,Q519+P519*(1-V$20/100),Q519+P519)</f>
        <v>3297.40715851348</v>
      </c>
      <c r="R520" s="48" t="n">
        <f aca="false">R$4+Q520/V$28</f>
        <v>79.0034440695464</v>
      </c>
    </row>
    <row r="521" customFormat="false" ht="12.8" hidden="false" customHeight="false" outlineLevel="0" collapsed="false">
      <c r="A521" s="1" t="n">
        <v>517</v>
      </c>
      <c r="B521" s="37" t="n">
        <v>44062</v>
      </c>
      <c r="C521" s="38" t="n">
        <f aca="false">V$26-V$26*SIN(2*PI()/365*A521)</f>
        <v>7.06221637495349</v>
      </c>
      <c r="D521" s="2" t="n">
        <f aca="false">IF((E521+F521)&gt;C521,C521,E521+F521)</f>
        <v>7.06221637495349</v>
      </c>
      <c r="E521" s="38" t="n">
        <f aca="false">(V$23+V$24*SIN(2*PI()/365*A521))*V$25/100*V$7*V$8/100</f>
        <v>20.0441020251632</v>
      </c>
      <c r="F521" s="38" t="n">
        <f aca="false">(V$23+V$24*SIN(2*PI()/365*A521))*V$25/100*V$9*(1-V$14/100)*(1-V$16/100)</f>
        <v>4.2448450270767</v>
      </c>
      <c r="G521" s="38" t="n">
        <f aca="false">IF(C521&gt;E521,100,C521/E521*100)</f>
        <v>35.2333886850489</v>
      </c>
      <c r="H521" s="38" t="n">
        <f aca="false">L521/F521*100</f>
        <v>0</v>
      </c>
      <c r="I521" s="38" t="n">
        <f aca="false">(V$23+V$24*SIN(2*PI()/365*A521))*V$25/100*V$7*V$8/100*(1-V$15/100)</f>
        <v>17.8392508023952</v>
      </c>
      <c r="J521" s="38" t="n">
        <f aca="false">(V$23+V$24*SIN(2*PI()/365*A521))*V$25/100*V$9*(1-V$14/100)</f>
        <v>4.76948879446821</v>
      </c>
      <c r="K521" s="39" t="n">
        <f aca="false">IF(E521/C521*100&lt;100,E521/C521*100,100)</f>
        <v>100</v>
      </c>
      <c r="L521" s="2" t="n">
        <f aca="false">IF(((C521-E521)&gt;0)AND(F521&gt;(C521-E521)),(C521-E521),IF(C521&lt;E521,0,F521))</f>
        <v>0</v>
      </c>
      <c r="M521" s="2" t="n">
        <f aca="false">IF(C521&lt;(E521+F521),0,C521-E521-F521)</f>
        <v>0</v>
      </c>
      <c r="N521" s="2" t="n">
        <f aca="false">IF(C521&lt;(E521+F521),0,(C521-E521-F521)/(1-V$16/100))</f>
        <v>0</v>
      </c>
      <c r="O521" s="2" t="n">
        <f aca="false">L521+M521</f>
        <v>0</v>
      </c>
      <c r="P521" s="2" t="n">
        <f aca="false">IF( N521=0,I521*(1-G521/100)+J521*(1-H521/100),-N521)</f>
        <v>16.3233670231548</v>
      </c>
      <c r="Q521" s="47" t="n">
        <f aca="false">IF(P520&gt;0,Q520+P520*(1-V$20/100),Q520+P520)</f>
        <v>3312.94646201957</v>
      </c>
      <c r="R521" s="48" t="n">
        <f aca="false">R$4+Q521/V$28</f>
        <v>79.1872510202939</v>
      </c>
    </row>
    <row r="522" customFormat="false" ht="12.8" hidden="false" customHeight="false" outlineLevel="0" collapsed="false">
      <c r="A522" s="1" t="n">
        <v>518</v>
      </c>
      <c r="B522" s="37" t="n">
        <v>44063</v>
      </c>
      <c r="C522" s="38" t="n">
        <f aca="false">V$26-V$26*SIN(2*PI()/365*A522)</f>
        <v>7.27417293174213</v>
      </c>
      <c r="D522" s="2" t="n">
        <f aca="false">IF((E522+F522)&gt;C522,C522,E522+F522)</f>
        <v>7.27417293174213</v>
      </c>
      <c r="E522" s="38" t="n">
        <f aca="false">(V$23+V$24*SIN(2*PI()/365*A522))*V$25/100*V$7*V$8/100</f>
        <v>19.8660939513389</v>
      </c>
      <c r="F522" s="38" t="n">
        <f aca="false">(V$23+V$24*SIN(2*PI()/365*A522))*V$25/100*V$9*(1-V$14/100)*(1-V$16/100)</f>
        <v>4.20714731999042</v>
      </c>
      <c r="G522" s="38" t="n">
        <f aca="false">IF(C522&gt;E522,100,C522/E522*100)</f>
        <v>36.6160199864144</v>
      </c>
      <c r="H522" s="38" t="n">
        <f aca="false">L522/F522*100</f>
        <v>0</v>
      </c>
      <c r="I522" s="38" t="n">
        <f aca="false">(V$23+V$24*SIN(2*PI()/365*A522))*V$25/100*V$7*V$8/100*(1-V$15/100)</f>
        <v>17.6808236166917</v>
      </c>
      <c r="J522" s="38" t="n">
        <f aca="false">(V$23+V$24*SIN(2*PI()/365*A522))*V$25/100*V$9*(1-V$14/100)</f>
        <v>4.72713182021395</v>
      </c>
      <c r="K522" s="39" t="n">
        <f aca="false">IF(E522/C522*100&lt;100,E522/C522*100,100)</f>
        <v>100</v>
      </c>
      <c r="L522" s="2" t="n">
        <f aca="false">IF(((C522-E522)&gt;0)AND(F522&gt;(C522-E522)),(C522-E522),IF(C522&lt;E522,0,F522))</f>
        <v>0</v>
      </c>
      <c r="M522" s="2" t="n">
        <f aca="false">IF(C522&lt;(E522+F522),0,C522-E522-F522)</f>
        <v>0</v>
      </c>
      <c r="N522" s="2" t="n">
        <f aca="false">IF(C522&lt;(E522+F522),0,(C522-E522-F522)/(1-V$16/100))</f>
        <v>0</v>
      </c>
      <c r="O522" s="2" t="n">
        <f aca="false">L522+M522</f>
        <v>0</v>
      </c>
      <c r="P522" s="2" t="n">
        <f aca="false">IF( N522=0,I522*(1-G522/100)+J522*(1-H522/100),-N522)</f>
        <v>15.9339415276551</v>
      </c>
      <c r="Q522" s="47" t="n">
        <f aca="false">IF(P521&gt;0,Q521+P521*(1-V$20/100),Q521+P521)</f>
        <v>3328.1271933511</v>
      </c>
      <c r="R522" s="48" t="n">
        <f aca="false">R$4+Q522/V$28</f>
        <v>79.36681659317</v>
      </c>
    </row>
    <row r="523" customFormat="false" ht="12.8" hidden="false" customHeight="false" outlineLevel="0" collapsed="false">
      <c r="A523" s="1" t="n">
        <v>519</v>
      </c>
      <c r="B523" s="37" t="n">
        <v>44064</v>
      </c>
      <c r="C523" s="38" t="n">
        <f aca="false">V$26-V$26*SIN(2*PI()/365*A523)</f>
        <v>7.48816978914502</v>
      </c>
      <c r="D523" s="2" t="n">
        <f aca="false">IF((E523+F523)&gt;C523,C523,E523+F523)</f>
        <v>7.48816978914502</v>
      </c>
      <c r="E523" s="38" t="n">
        <f aca="false">(V$23+V$24*SIN(2*PI()/365*A523))*V$25/100*V$7*V$8/100</f>
        <v>19.6863723660864</v>
      </c>
      <c r="F523" s="38" t="n">
        <f aca="false">(V$23+V$24*SIN(2*PI()/365*A523))*V$25/100*V$9*(1-V$14/100)*(1-V$16/100)</f>
        <v>4.16908673356655</v>
      </c>
      <c r="G523" s="38" t="n">
        <f aca="false">IF(C523&gt;E523,100,C523/E523*100)</f>
        <v>38.0373267857355</v>
      </c>
      <c r="H523" s="38" t="n">
        <f aca="false">L523/F523*100</f>
        <v>0</v>
      </c>
      <c r="I523" s="38" t="n">
        <f aca="false">(V$23+V$24*SIN(2*PI()/365*A523))*V$25/100*V$7*V$8/100*(1-V$15/100)</f>
        <v>17.5208714058169</v>
      </c>
      <c r="J523" s="38" t="n">
        <f aca="false">(V$23+V$24*SIN(2*PI()/365*A523))*V$25/100*V$9*(1-V$14/100)</f>
        <v>4.68436711636691</v>
      </c>
      <c r="K523" s="39" t="n">
        <f aca="false">IF(E523/C523*100&lt;100,E523/C523*100,100)</f>
        <v>100</v>
      </c>
      <c r="L523" s="2" t="n">
        <f aca="false">IF(((C523-E523)&gt;0)AND(F523&gt;(C523-E523)),(C523-E523),IF(C523&lt;E523,0,F523))</f>
        <v>0</v>
      </c>
      <c r="M523" s="2" t="n">
        <f aca="false">IF(C523&lt;(E523+F523),0,C523-E523-F523)</f>
        <v>0</v>
      </c>
      <c r="N523" s="2" t="n">
        <f aca="false">IF(C523&lt;(E523+F523),0,(C523-E523-F523)/(1-V$16/100))</f>
        <v>0</v>
      </c>
      <c r="O523" s="2" t="n">
        <f aca="false">L523+M523</f>
        <v>0</v>
      </c>
      <c r="P523" s="2" t="n">
        <f aca="false">IF( N523=0,I523*(1-G523/100)+J523*(1-H523/100),-N523)</f>
        <v>15.5407674098448</v>
      </c>
      <c r="Q523" s="47" t="n">
        <f aca="false">IF(P522&gt;0,Q522+P522*(1-V$20/100),Q522+P522)</f>
        <v>3342.94575897182</v>
      </c>
      <c r="R523" s="48" t="n">
        <f aca="false">R$4+Q523/V$28</f>
        <v>79.5420982819619</v>
      </c>
    </row>
    <row r="524" customFormat="false" ht="12.8" hidden="false" customHeight="false" outlineLevel="0" collapsed="false">
      <c r="A524" s="1" t="n">
        <v>520</v>
      </c>
      <c r="B524" s="37" t="n">
        <v>44065</v>
      </c>
      <c r="C524" s="38" t="n">
        <f aca="false">V$26-V$26*SIN(2*PI()/365*A524)</f>
        <v>7.70414353527486</v>
      </c>
      <c r="D524" s="2" t="n">
        <f aca="false">IF((E524+F524)&gt;C524,C524,E524+F524)</f>
        <v>7.70414353527486</v>
      </c>
      <c r="E524" s="38" t="n">
        <f aca="false">(V$23+V$24*SIN(2*PI()/365*A524))*V$25/100*V$7*V$8/100</f>
        <v>19.50499052479</v>
      </c>
      <c r="F524" s="38" t="n">
        <f aca="false">(V$23+V$24*SIN(2*PI()/365*A524))*V$25/100*V$9*(1-V$14/100)*(1-V$16/100)</f>
        <v>4.13067454597827</v>
      </c>
      <c r="G524" s="38" t="n">
        <f aca="false">IF(C524&gt;E524,100,C524/E524*100)</f>
        <v>39.4983198042738</v>
      </c>
      <c r="H524" s="38" t="n">
        <f aca="false">L524/F524*100</f>
        <v>0</v>
      </c>
      <c r="I524" s="38" t="n">
        <f aca="false">(V$23+V$24*SIN(2*PI()/365*A524))*V$25/100*V$7*V$8/100*(1-V$15/100)</f>
        <v>17.3594415670631</v>
      </c>
      <c r="J524" s="38" t="n">
        <f aca="false">(V$23+V$24*SIN(2*PI()/365*A524))*V$25/100*V$9*(1-V$14/100)</f>
        <v>4.64120735503176</v>
      </c>
      <c r="K524" s="39" t="n">
        <f aca="false">IF(E524/C524*100&lt;100,E524/C524*100,100)</f>
        <v>100</v>
      </c>
      <c r="L524" s="2" t="n">
        <f aca="false">IF(((C524-E524)&gt;0)AND(F524&gt;(C524-E524)),(C524-E524),IF(C524&lt;E524,0,F524))</f>
        <v>0</v>
      </c>
      <c r="M524" s="2" t="n">
        <f aca="false">IF(C524&lt;(E524+F524),0,C524-E524-F524)</f>
        <v>0</v>
      </c>
      <c r="N524" s="2" t="n">
        <f aca="false">IF(C524&lt;(E524+F524),0,(C524-E524-F524)/(1-V$16/100))</f>
        <v>0</v>
      </c>
      <c r="O524" s="2" t="n">
        <f aca="false">L524+M524</f>
        <v>0</v>
      </c>
      <c r="P524" s="2" t="n">
        <f aca="false">IF( N524=0,I524*(1-G524/100)+J524*(1-H524/100),-N524)</f>
        <v>15.1439611757002</v>
      </c>
      <c r="Q524" s="47" t="n">
        <f aca="false">IF(P523&gt;0,Q523+P523*(1-V$20/100),Q523+P523)</f>
        <v>3357.39867266297</v>
      </c>
      <c r="R524" s="48" t="n">
        <f aca="false">R$4+Q524/V$28</f>
        <v>79.7130548498639</v>
      </c>
    </row>
    <row r="525" customFormat="false" ht="12.8" hidden="false" customHeight="false" outlineLevel="0" collapsed="false">
      <c r="A525" s="1" t="n">
        <v>521</v>
      </c>
      <c r="B525" s="37" t="n">
        <v>44066</v>
      </c>
      <c r="C525" s="38" t="n">
        <f aca="false">V$26-V$26*SIN(2*PI()/365*A525)</f>
        <v>7.92203017244961</v>
      </c>
      <c r="D525" s="2" t="n">
        <f aca="false">IF((E525+F525)&gt;C525,C525,E525+F525)</f>
        <v>7.92203017244961</v>
      </c>
      <c r="E525" s="38" t="n">
        <f aca="false">(V$23+V$24*SIN(2*PI()/365*A525))*V$25/100*V$7*V$8/100</f>
        <v>19.3220021748038</v>
      </c>
      <c r="F525" s="38" t="n">
        <f aca="false">(V$23+V$24*SIN(2*PI()/365*A525))*V$25/100*V$9*(1-V$14/100)*(1-V$16/100)</f>
        <v>4.09192213958576</v>
      </c>
      <c r="G525" s="38" t="n">
        <f aca="false">IF(C525&gt;E525,100,C525/E525*100)</f>
        <v>41.0000480321862</v>
      </c>
      <c r="H525" s="38" t="n">
        <f aca="false">L525/F525*100</f>
        <v>0</v>
      </c>
      <c r="I525" s="38" t="n">
        <f aca="false">(V$23+V$24*SIN(2*PI()/365*A525))*V$25/100*V$7*V$8/100*(1-V$15/100)</f>
        <v>17.1965819355754</v>
      </c>
      <c r="J525" s="38" t="n">
        <f aca="false">(V$23+V$24*SIN(2*PI()/365*A525))*V$25/100*V$9*(1-V$14/100)</f>
        <v>4.59766532537726</v>
      </c>
      <c r="K525" s="39" t="n">
        <f aca="false">IF(E525/C525*100&lt;100,E525/C525*100,100)</f>
        <v>100</v>
      </c>
      <c r="L525" s="2" t="n">
        <f aca="false">IF(((C525-E525)&gt;0)AND(F525&gt;(C525-E525)),(C525-E525),IF(C525&lt;E525,0,F525))</f>
        <v>0</v>
      </c>
      <c r="M525" s="2" t="n">
        <f aca="false">IF(C525&lt;(E525+F525),0,C525-E525-F525)</f>
        <v>0</v>
      </c>
      <c r="N525" s="2" t="n">
        <f aca="false">IF(C525&lt;(E525+F525),0,(C525-E525-F525)/(1-V$16/100))</f>
        <v>0</v>
      </c>
      <c r="O525" s="2" t="n">
        <f aca="false">L525+M525</f>
        <v>0</v>
      </c>
      <c r="P525" s="2" t="n">
        <f aca="false">IF( N525=0,I525*(1-G525/100)+J525*(1-H525/100),-N525)</f>
        <v>14.7436404074725</v>
      </c>
      <c r="Q525" s="47" t="n">
        <f aca="false">IF(P524&gt;0,Q524+P524*(1-V$20/100),Q524+P524)</f>
        <v>3371.48255655638</v>
      </c>
      <c r="R525" s="48" t="n">
        <f aca="false">R$4+Q525/V$28</f>
        <v>79.8796463416971</v>
      </c>
    </row>
    <row r="526" customFormat="false" ht="12.8" hidden="false" customHeight="false" outlineLevel="0" collapsed="false">
      <c r="A526" s="1" t="n">
        <v>522</v>
      </c>
      <c r="B526" s="37" t="n">
        <v>44067</v>
      </c>
      <c r="C526" s="38" t="n">
        <f aca="false">V$26-V$26*SIN(2*PI()/365*A526)</f>
        <v>8.14176513615625</v>
      </c>
      <c r="D526" s="2" t="n">
        <f aca="false">IF((E526+F526)&gt;C526,C526,E526+F526)</f>
        <v>8.14176513615625</v>
      </c>
      <c r="E526" s="38" t="n">
        <f aca="false">(V$23+V$24*SIN(2*PI()/365*A526))*V$25/100*V$7*V$8/100</f>
        <v>19.1374615395251</v>
      </c>
      <c r="F526" s="38" t="n">
        <f aca="false">(V$23+V$24*SIN(2*PI()/365*A526))*V$25/100*V$9*(1-V$14/100)*(1-V$16/100)</f>
        <v>4.0528409975634</v>
      </c>
      <c r="G526" s="38" t="n">
        <f aca="false">IF(C526&gt;E526,100,C526/E526*100)</f>
        <v>42.5436002540925</v>
      </c>
      <c r="H526" s="38" t="n">
        <f aca="false">L526/F526*100</f>
        <v>0</v>
      </c>
      <c r="I526" s="38" t="n">
        <f aca="false">(V$23+V$24*SIN(2*PI()/365*A526))*V$25/100*V$7*V$8/100*(1-V$15/100)</f>
        <v>17.0323407701773</v>
      </c>
      <c r="J526" s="38" t="n">
        <f aca="false">(V$23+V$24*SIN(2*PI()/365*A526))*V$25/100*V$9*(1-V$14/100)</f>
        <v>4.55375392984651</v>
      </c>
      <c r="K526" s="39" t="n">
        <f aca="false">IF(E526/C526*100&lt;100,E526/C526*100,100)</f>
        <v>100</v>
      </c>
      <c r="L526" s="2" t="n">
        <f aca="false">IF(((C526-E526)&gt;0)AND(F526&gt;(C526-E526)),(C526-E526),IF(C526&lt;E526,0,F526))</f>
        <v>0</v>
      </c>
      <c r="M526" s="2" t="n">
        <f aca="false">IF(C526&lt;(E526+F526),0,C526-E526-F526)</f>
        <v>0</v>
      </c>
      <c r="N526" s="2" t="n">
        <f aca="false">IF(C526&lt;(E526+F526),0,(C526-E526-F526)/(1-V$16/100))</f>
        <v>0</v>
      </c>
      <c r="O526" s="2" t="n">
        <f aca="false">L526+M526</f>
        <v>0</v>
      </c>
      <c r="P526" s="2" t="n">
        <f aca="false">IF( N526=0,I526*(1-G526/100)+J526*(1-H526/100),-N526)</f>
        <v>14.3399237288448</v>
      </c>
      <c r="Q526" s="47" t="n">
        <f aca="false">IF(P525&gt;0,Q525+P525*(1-V$20/100),Q525+P525)</f>
        <v>3385.19414213532</v>
      </c>
      <c r="R526" s="48" t="n">
        <f aca="false">R$4+Q526/V$28</f>
        <v>80.0418340957488</v>
      </c>
    </row>
    <row r="527" customFormat="false" ht="12.8" hidden="false" customHeight="false" outlineLevel="0" collapsed="false">
      <c r="A527" s="1" t="n">
        <v>523</v>
      </c>
      <c r="B527" s="37" t="n">
        <v>44068</v>
      </c>
      <c r="C527" s="38" t="n">
        <f aca="false">V$26-V$26*SIN(2*PI()/365*A527)</f>
        <v>8.36328331418279</v>
      </c>
      <c r="D527" s="2" t="n">
        <f aca="false">IF((E527+F527)&gt;C527,C527,E527+F527)</f>
        <v>8.36328331418279</v>
      </c>
      <c r="E527" s="38" t="n">
        <f aca="false">(V$23+V$24*SIN(2*PI()/365*A527))*V$25/100*V$7*V$8/100</f>
        <v>18.9514233023269</v>
      </c>
      <c r="F527" s="38" t="n">
        <f aca="false">(V$23+V$24*SIN(2*PI()/365*A527))*V$25/100*V$9*(1-V$14/100)*(1-V$16/100)</f>
        <v>4.01344270049699</v>
      </c>
      <c r="G527" s="38" t="n">
        <f aca="false">IF(C527&gt;E527,100,C527/E527*100)</f>
        <v>44.130106645636</v>
      </c>
      <c r="H527" s="38" t="n">
        <f aca="false">L527/F527*100</f>
        <v>0</v>
      </c>
      <c r="I527" s="38" t="n">
        <f aca="false">(V$23+V$24*SIN(2*PI()/365*A527))*V$25/100*V$7*V$8/100*(1-V$15/100)</f>
        <v>16.866766739071</v>
      </c>
      <c r="J527" s="38" t="n">
        <f aca="false">(V$23+V$24*SIN(2*PI()/365*A527))*V$25/100*V$9*(1-V$14/100)</f>
        <v>4.50948618033369</v>
      </c>
      <c r="K527" s="39" t="n">
        <f aca="false">IF(E527/C527*100&lt;100,E527/C527*100,100)</f>
        <v>100</v>
      </c>
      <c r="L527" s="2" t="n">
        <f aca="false">IF(((C527-E527)&gt;0)AND(F527&gt;(C527-E527)),(C527-E527),IF(C527&lt;E527,0,F527))</f>
        <v>0</v>
      </c>
      <c r="M527" s="2" t="n">
        <f aca="false">IF(C527&lt;(E527+F527),0,C527-E527-F527)</f>
        <v>0</v>
      </c>
      <c r="N527" s="2" t="n">
        <f aca="false">IF(C527&lt;(E527+F527),0,(C527-E527-F527)/(1-V$16/100))</f>
        <v>0</v>
      </c>
      <c r="O527" s="2" t="n">
        <f aca="false">L527+M527</f>
        <v>0</v>
      </c>
      <c r="P527" s="2" t="n">
        <f aca="false">IF( N527=0,I527*(1-G527/100)+J527*(1-H527/100),-N527)</f>
        <v>13.932930769782</v>
      </c>
      <c r="Q527" s="47" t="n">
        <f aca="false">IF(P526&gt;0,Q526+P526*(1-V$20/100),Q526+P526)</f>
        <v>3398.53027120315</v>
      </c>
      <c r="R527" s="48" t="n">
        <f aca="false">R$4+Q527/V$28</f>
        <v>80.1995807552289</v>
      </c>
    </row>
    <row r="528" customFormat="false" ht="12.8" hidden="false" customHeight="false" outlineLevel="0" collapsed="false">
      <c r="A528" s="1" t="n">
        <v>524</v>
      </c>
      <c r="B528" s="37" t="n">
        <v>44069</v>
      </c>
      <c r="C528" s="38" t="n">
        <f aca="false">V$26-V$26*SIN(2*PI()/365*A528)</f>
        <v>8.58651906591235</v>
      </c>
      <c r="D528" s="2" t="n">
        <f aca="false">IF((E528+F528)&gt;C528,C528,E528+F528)</f>
        <v>8.58651906591235</v>
      </c>
      <c r="E528" s="38" t="n">
        <f aca="false">(V$23+V$24*SIN(2*PI()/365*A528))*V$25/100*V$7*V$8/100</f>
        <v>18.7639425903539</v>
      </c>
      <c r="F528" s="38" t="n">
        <f aca="false">(V$23+V$24*SIN(2*PI()/365*A528))*V$25/100*V$9*(1-V$14/100)*(1-V$16/100)</f>
        <v>3.97373892295224</v>
      </c>
      <c r="G528" s="38" t="n">
        <f aca="false">IF(C528&gt;E528,100,C528/E528*100)</f>
        <v>45.7607404444227</v>
      </c>
      <c r="H528" s="38" t="n">
        <f aca="false">L528/F528*100</f>
        <v>0</v>
      </c>
      <c r="I528" s="38" t="n">
        <f aca="false">(V$23+V$24*SIN(2*PI()/365*A528))*V$25/100*V$7*V$8/100*(1-V$15/100)</f>
        <v>16.699908905415</v>
      </c>
      <c r="J528" s="38" t="n">
        <f aca="false">(V$23+V$24*SIN(2*PI()/365*A528))*V$25/100*V$9*(1-V$14/100)</f>
        <v>4.46487519432835</v>
      </c>
      <c r="K528" s="39" t="n">
        <f aca="false">IF(E528/C528*100&lt;100,E528/C528*100,100)</f>
        <v>100</v>
      </c>
      <c r="L528" s="2" t="n">
        <f aca="false">IF(((C528-E528)&gt;0)AND(F528&gt;(C528-E528)),(C528-E528),IF(C528&lt;E528,0,F528))</f>
        <v>0</v>
      </c>
      <c r="M528" s="2" t="n">
        <f aca="false">IF(C528&lt;(E528+F528),0,C528-E528-F528)</f>
        <v>0</v>
      </c>
      <c r="N528" s="2" t="n">
        <f aca="false">IF(C528&lt;(E528+F528),0,(C528-E528-F528)/(1-V$16/100))</f>
        <v>0</v>
      </c>
      <c r="O528" s="2" t="n">
        <f aca="false">L528+M528</f>
        <v>0</v>
      </c>
      <c r="P528" s="2" t="n">
        <f aca="false">IF( N528=0,I528*(1-G528/100)+J528*(1-H528/100),-N528)</f>
        <v>13.5227821310814</v>
      </c>
      <c r="Q528" s="47" t="n">
        <f aca="false">IF(P527&gt;0,Q527+P527*(1-V$20/100),Q527+P527)</f>
        <v>3411.48789681905</v>
      </c>
      <c r="R528" s="48" t="n">
        <f aca="false">R$4+Q528/V$28</f>
        <v>80.3528502793393</v>
      </c>
    </row>
    <row r="529" customFormat="false" ht="12.8" hidden="false" customHeight="false" outlineLevel="0" collapsed="false">
      <c r="A529" s="1" t="n">
        <v>525</v>
      </c>
      <c r="B529" s="37" t="n">
        <v>44070</v>
      </c>
      <c r="C529" s="38" t="n">
        <f aca="false">V$26-V$26*SIN(2*PI()/365*A529)</f>
        <v>8.81140624177381</v>
      </c>
      <c r="D529" s="2" t="n">
        <f aca="false">IF((E529+F529)&gt;C529,C529,E529+F529)</f>
        <v>8.81140624177381</v>
      </c>
      <c r="E529" s="38" t="n">
        <f aca="false">(V$23+V$24*SIN(2*PI()/365*A529))*V$25/100*V$7*V$8/100</f>
        <v>18.5750749581873</v>
      </c>
      <c r="F529" s="38" t="n">
        <f aca="false">(V$23+V$24*SIN(2*PI()/365*A529))*V$25/100*V$9*(1-V$14/100)*(1-V$16/100)</f>
        <v>3.93374143001531</v>
      </c>
      <c r="G529" s="38" t="n">
        <f aca="false">IF(C529&gt;E529,100,C529/E529*100)</f>
        <v>47.436719698889</v>
      </c>
      <c r="H529" s="38" t="n">
        <f aca="false">L529/F529*100</f>
        <v>0</v>
      </c>
      <c r="I529" s="38" t="n">
        <f aca="false">(V$23+V$24*SIN(2*PI()/365*A529))*V$25/100*V$7*V$8/100*(1-V$15/100)</f>
        <v>16.5318167127867</v>
      </c>
      <c r="J529" s="38" t="n">
        <f aca="false">(V$23+V$24*SIN(2*PI()/365*A529))*V$25/100*V$9*(1-V$14/100)</f>
        <v>4.41993419102844</v>
      </c>
      <c r="K529" s="39" t="n">
        <f aca="false">IF(E529/C529*100&lt;100,E529/C529*100,100)</f>
        <v>100</v>
      </c>
      <c r="L529" s="2" t="n">
        <f aca="false">IF(((C529-E529)&gt;0)AND(F529&gt;(C529-E529)),(C529-E529),IF(C529&lt;E529,0,F529))</f>
        <v>0</v>
      </c>
      <c r="M529" s="2" t="n">
        <f aca="false">IF(C529&lt;(E529+F529),0,C529-E529-F529)</f>
        <v>0</v>
      </c>
      <c r="N529" s="2" t="n">
        <f aca="false">IF(C529&lt;(E529+F529),0,(C529-E529-F529)/(1-V$16/100))</f>
        <v>0</v>
      </c>
      <c r="O529" s="2" t="n">
        <f aca="false">L529+M529</f>
        <v>0</v>
      </c>
      <c r="P529" s="2" t="n">
        <f aca="false">IF( N529=0,I529*(1-G529/100)+J529*(1-H529/100),-N529)</f>
        <v>13.1095993486364</v>
      </c>
      <c r="Q529" s="47" t="n">
        <f aca="false">IF(P528&gt;0,Q528+P528*(1-V$20/100),Q528+P528)</f>
        <v>3424.06408420095</v>
      </c>
      <c r="R529" s="48" t="n">
        <f aca="false">R$4+Q529/V$28</f>
        <v>80.501607953954</v>
      </c>
    </row>
    <row r="530" customFormat="false" ht="12.8" hidden="false" customHeight="false" outlineLevel="0" collapsed="false">
      <c r="A530" s="1" t="n">
        <v>526</v>
      </c>
      <c r="B530" s="37" t="n">
        <v>44071</v>
      </c>
      <c r="C530" s="38" t="n">
        <f aca="false">V$26-V$26*SIN(2*PI()/365*A530)</f>
        <v>9.03787820284354</v>
      </c>
      <c r="D530" s="2" t="n">
        <f aca="false">IF((E530+F530)&gt;C530,C530,E530+F530)</f>
        <v>9.03787820284354</v>
      </c>
      <c r="E530" s="38" t="n">
        <f aca="false">(V$23+V$24*SIN(2*PI()/365*A530))*V$25/100*V$7*V$8/100</f>
        <v>18.3848763713824</v>
      </c>
      <c r="F530" s="38" t="n">
        <f aca="false">(V$23+V$24*SIN(2*PI()/365*A530))*V$25/100*V$9*(1-V$14/100)*(1-V$16/100)</f>
        <v>3.89346207380659</v>
      </c>
      <c r="G530" s="38" t="n">
        <f aca="false">IF(C530&gt;E530,100,C530/E530*100)</f>
        <v>49.1593090988185</v>
      </c>
      <c r="H530" s="38" t="n">
        <f aca="false">L530/F530*100</f>
        <v>0</v>
      </c>
      <c r="I530" s="38" t="n">
        <f aca="false">(V$23+V$24*SIN(2*PI()/365*A530))*V$25/100*V$7*V$8/100*(1-V$15/100)</f>
        <v>16.3625399705304</v>
      </c>
      <c r="J530" s="38" t="n">
        <f aca="false">(V$23+V$24*SIN(2*PI()/365*A530))*V$25/100*V$9*(1-V$14/100)</f>
        <v>4.37467648742314</v>
      </c>
      <c r="K530" s="39" t="n">
        <f aca="false">IF(E530/C530*100&lt;100,E530/C530*100,100)</f>
        <v>100</v>
      </c>
      <c r="L530" s="2" t="n">
        <f aca="false">IF(((C530-E530)&gt;0)AND(F530&gt;(C530-E530)),(C530-E530),IF(C530&lt;E530,0,F530))</f>
        <v>0</v>
      </c>
      <c r="M530" s="2" t="n">
        <f aca="false">IF(C530&lt;(E530+F530),0,C530-E530-F530)</f>
        <v>0</v>
      </c>
      <c r="N530" s="2" t="n">
        <f aca="false">IF(C530&lt;(E530+F530),0,(C530-E530-F530)/(1-V$16/100))</f>
        <v>0</v>
      </c>
      <c r="O530" s="2" t="n">
        <f aca="false">L530+M530</f>
        <v>0</v>
      </c>
      <c r="P530" s="2" t="n">
        <f aca="false">IF( N530=0,I530*(1-G530/100)+J530*(1-H530/100),-N530)</f>
        <v>12.6935048574228</v>
      </c>
      <c r="Q530" s="47" t="n">
        <f aca="false">IF(P529&gt;0,Q529+P529*(1-V$20/100),Q529+P529)</f>
        <v>3436.25601159518</v>
      </c>
      <c r="R530" s="48" t="n">
        <f aca="false">R$4+Q530/V$28</f>
        <v>80.6458204019052</v>
      </c>
    </row>
    <row r="531" customFormat="false" ht="12.8" hidden="false" customHeight="false" outlineLevel="0" collapsed="false">
      <c r="A531" s="1" t="n">
        <v>527</v>
      </c>
      <c r="B531" s="37" t="n">
        <v>44072</v>
      </c>
      <c r="C531" s="38" t="n">
        <f aca="false">V$26-V$26*SIN(2*PI()/365*A531)</f>
        <v>9.26586784059183</v>
      </c>
      <c r="D531" s="2" t="n">
        <f aca="false">IF((E531+F531)&gt;C531,C531,E531+F531)</f>
        <v>9.26586784059183</v>
      </c>
      <c r="E531" s="38" t="n">
        <f aca="false">(V$23+V$24*SIN(2*PI()/365*A531))*V$25/100*V$7*V$8/100</f>
        <v>18.1934031898855</v>
      </c>
      <c r="F531" s="38" t="n">
        <f aca="false">(V$23+V$24*SIN(2*PI()/365*A531))*V$25/100*V$9*(1-V$14/100)*(1-V$16/100)</f>
        <v>3.85291278996861</v>
      </c>
      <c r="G531" s="38" t="n">
        <f aca="false">IF(C531&gt;E531,100,C531/E531*100)</f>
        <v>50.9298218913937</v>
      </c>
      <c r="H531" s="38" t="n">
        <f aca="false">L531/F531*100</f>
        <v>0</v>
      </c>
      <c r="I531" s="38" t="n">
        <f aca="false">(V$23+V$24*SIN(2*PI()/365*A531))*V$25/100*V$7*V$8/100*(1-V$15/100)</f>
        <v>16.1921288389981</v>
      </c>
      <c r="J531" s="38" t="n">
        <f aca="false">(V$23+V$24*SIN(2*PI()/365*A531))*V$25/100*V$9*(1-V$14/100)</f>
        <v>4.32911549434676</v>
      </c>
      <c r="K531" s="39" t="n">
        <f aca="false">IF(E531/C531*100&lt;100,E531/C531*100,100)</f>
        <v>100</v>
      </c>
      <c r="L531" s="2" t="n">
        <f aca="false">IF(((C531-E531)&gt;0)AND(F531&gt;(C531-E531)),(C531-E531),IF(C531&lt;E531,0,F531))</f>
        <v>0</v>
      </c>
      <c r="M531" s="2" t="n">
        <f aca="false">IF(C531&lt;(E531+F531),0,C531-E531-F531)</f>
        <v>0</v>
      </c>
      <c r="N531" s="2" t="n">
        <f aca="false">IF(C531&lt;(E531+F531),0,(C531-E531-F531)/(1-V$16/100))</f>
        <v>0</v>
      </c>
      <c r="O531" s="2" t="n">
        <f aca="false">L531+M531</f>
        <v>0</v>
      </c>
      <c r="P531" s="2" t="n">
        <f aca="false">IF( N531=0,I531*(1-G531/100)+J531*(1-H531/100),-N531)</f>
        <v>12.2746219552181</v>
      </c>
      <c r="Q531" s="47" t="n">
        <f aca="false">IF(P530&gt;0,Q530+P530*(1-V$20/100),Q530+P530)</f>
        <v>3448.06097111259</v>
      </c>
      <c r="R531" s="48" t="n">
        <f aca="false">R$4+Q531/V$28</f>
        <v>80.7854555928738</v>
      </c>
    </row>
    <row r="532" customFormat="false" ht="12.8" hidden="false" customHeight="false" outlineLevel="0" collapsed="false">
      <c r="A532" s="1" t="n">
        <v>528</v>
      </c>
      <c r="B532" s="37" t="n">
        <v>44073</v>
      </c>
      <c r="C532" s="38" t="n">
        <f aca="false">V$26-V$26*SIN(2*PI()/365*A532)</f>
        <v>9.49530759676855</v>
      </c>
      <c r="D532" s="2" t="n">
        <f aca="false">IF((E532+F532)&gt;C532,C532,E532+F532)</f>
        <v>9.49530759676855</v>
      </c>
      <c r="E532" s="38" t="n">
        <f aca="false">(V$23+V$24*SIN(2*PI()/365*A532))*V$25/100*V$7*V$8/100</f>
        <v>18.0007121513325</v>
      </c>
      <c r="F532" s="38" t="n">
        <f aca="false">(V$23+V$24*SIN(2*PI()/365*A532))*V$25/100*V$9*(1-V$14/100)*(1-V$16/100)</f>
        <v>3.81210559412931</v>
      </c>
      <c r="G532" s="38" t="n">
        <f aca="false">IF(C532&gt;E532,100,C532/E532*100)</f>
        <v>52.7496218868521</v>
      </c>
      <c r="H532" s="38" t="n">
        <f aca="false">L532/F532*100</f>
        <v>0</v>
      </c>
      <c r="I532" s="38" t="n">
        <f aca="false">(V$23+V$24*SIN(2*PI()/365*A532))*V$25/100*V$7*V$8/100*(1-V$15/100)</f>
        <v>16.020633814686</v>
      </c>
      <c r="J532" s="38" t="n">
        <f aca="false">(V$23+V$24*SIN(2*PI()/365*A532))*V$25/100*V$9*(1-V$14/100)</f>
        <v>4.28326471250484</v>
      </c>
      <c r="K532" s="39" t="n">
        <f aca="false">IF(E532/C532*100&lt;100,E532/C532*100,100)</f>
        <v>100</v>
      </c>
      <c r="L532" s="2" t="n">
        <f aca="false">IF(((C532-E532)&gt;0)AND(F532&gt;(C532-E532)),(C532-E532),IF(C532&lt;E532,0,F532))</f>
        <v>0</v>
      </c>
      <c r="M532" s="2" t="n">
        <f aca="false">IF(C532&lt;(E532+F532),0,C532-E532-F532)</f>
        <v>0</v>
      </c>
      <c r="N532" s="2" t="n">
        <f aca="false">IF(C532&lt;(E532+F532),0,(C532-E532-F532)/(1-V$16/100))</f>
        <v>0</v>
      </c>
      <c r="O532" s="2" t="n">
        <f aca="false">L532+M532</f>
        <v>0</v>
      </c>
      <c r="P532" s="2" t="n">
        <f aca="false">IF( N532=0,I532*(1-G532/100)+J532*(1-H532/100),-N532)</f>
        <v>11.8530747660668</v>
      </c>
      <c r="Q532" s="47" t="n">
        <f aca="false">IF(P531&gt;0,Q531+P531*(1-V$20/100),Q531+P531)</f>
        <v>3459.47636953094</v>
      </c>
      <c r="R532" s="48" t="n">
        <f aca="false">R$4+Q532/V$28</f>
        <v>80.9204828528808</v>
      </c>
    </row>
    <row r="533" customFormat="false" ht="12.8" hidden="false" customHeight="false" outlineLevel="0" collapsed="false">
      <c r="A533" s="1" t="n">
        <v>529</v>
      </c>
      <c r="B533" s="37" t="n">
        <v>44074</v>
      </c>
      <c r="C533" s="38" t="n">
        <f aca="false">V$26-V$26*SIN(2*PI()/365*A533)</f>
        <v>9.72612948342225</v>
      </c>
      <c r="D533" s="2" t="n">
        <f aca="false">IF((E533+F533)&gt;C533,C533,E533+F533)</f>
        <v>9.72612948342225</v>
      </c>
      <c r="E533" s="38" t="n">
        <f aca="false">(V$23+V$24*SIN(2*PI()/365*A533))*V$25/100*V$7*V$8/100</f>
        <v>17.8068603542368</v>
      </c>
      <c r="F533" s="38" t="n">
        <f aca="false">(V$23+V$24*SIN(2*PI()/365*A533))*V$25/100*V$9*(1-V$14/100)*(1-V$16/100)</f>
        <v>3.77105257834149</v>
      </c>
      <c r="G533" s="38" t="n">
        <f aca="false">IF(C533&gt;E533,100,C533/E533*100)</f>
        <v>54.620125558002</v>
      </c>
      <c r="H533" s="38" t="n">
        <f aca="false">L533/F533*100</f>
        <v>0</v>
      </c>
      <c r="I533" s="38" t="n">
        <f aca="false">(V$23+V$24*SIN(2*PI()/365*A533))*V$25/100*V$7*V$8/100*(1-V$15/100)</f>
        <v>15.8481057152708</v>
      </c>
      <c r="J533" s="38" t="n">
        <f aca="false">(V$23+V$24*SIN(2*PI()/365*A533))*V$25/100*V$9*(1-V$14/100)</f>
        <v>4.23713772847359</v>
      </c>
      <c r="K533" s="39" t="n">
        <f aca="false">IF(E533/C533*100&lt;100,E533/C533*100,100)</f>
        <v>100</v>
      </c>
      <c r="L533" s="2" t="n">
        <f aca="false">IF(((C533-E533)&gt;0)AND(F533&gt;(C533-E533)),(C533-E533),IF(C533&lt;E533,0,F533))</f>
        <v>0</v>
      </c>
      <c r="M533" s="2" t="n">
        <f aca="false">IF(C533&lt;(E533+F533),0,C533-E533-F533)</f>
        <v>0</v>
      </c>
      <c r="N533" s="2" t="n">
        <f aca="false">IF(C533&lt;(E533+F533),0,(C533-E533-F533)/(1-V$16/100))</f>
        <v>0</v>
      </c>
      <c r="O533" s="2" t="n">
        <f aca="false">L533+M533</f>
        <v>0</v>
      </c>
      <c r="P533" s="2" t="n">
        <f aca="false">IF( N533=0,I533*(1-G533/100)+J533*(1-H533/100),-N533)</f>
        <v>11.4289882034986</v>
      </c>
      <c r="Q533" s="47" t="n">
        <f aca="false">IF(P532&gt;0,Q532+P532*(1-V$20/100),Q532+P532)</f>
        <v>3470.49972906338</v>
      </c>
      <c r="R533" s="48" t="n">
        <f aca="false">R$4+Q533/V$28</f>
        <v>81.0508728733768</v>
      </c>
    </row>
    <row r="534" customFormat="false" ht="12.8" hidden="false" customHeight="false" outlineLevel="0" collapsed="false">
      <c r="A534" s="1" t="n">
        <v>530</v>
      </c>
      <c r="B534" s="37" t="n">
        <v>44075</v>
      </c>
      <c r="C534" s="38" t="n">
        <f aca="false">V$26-V$26*SIN(2*PI()/365*A534)</f>
        <v>9.95826510304636</v>
      </c>
      <c r="D534" s="2" t="n">
        <f aca="false">IF((E534+F534)&gt;C534,C534,E534+F534)</f>
        <v>9.95826510304636</v>
      </c>
      <c r="E534" s="38" t="n">
        <f aca="false">(V$23+V$24*SIN(2*PI()/365*A534))*V$25/100*V$7*V$8/100</f>
        <v>17.6119052410695</v>
      </c>
      <c r="F534" s="38" t="n">
        <f aca="false">(V$23+V$24*SIN(2*PI()/365*A534))*V$25/100*V$9*(1-V$14/100)*(1-V$16/100)</f>
        <v>3.72976590749974</v>
      </c>
      <c r="G534" s="38" t="n">
        <f aca="false">IF(C534&gt;E534,100,C534/E534*100)</f>
        <v>56.5428042380361</v>
      </c>
      <c r="H534" s="38" t="n">
        <f aca="false">L534/F534*100</f>
        <v>0</v>
      </c>
      <c r="I534" s="38" t="n">
        <f aca="false">(V$23+V$24*SIN(2*PI()/365*A534))*V$25/100*V$7*V$8/100*(1-V$15/100)</f>
        <v>15.6745956645519</v>
      </c>
      <c r="J534" s="38" t="n">
        <f aca="false">(V$23+V$24*SIN(2*PI()/365*A534))*V$25/100*V$9*(1-V$14/100)</f>
        <v>4.19074821067387</v>
      </c>
      <c r="K534" s="39" t="n">
        <f aca="false">IF(E534/C534*100&lt;100,E534/C534*100,100)</f>
        <v>100</v>
      </c>
      <c r="L534" s="2" t="n">
        <f aca="false">IF(((C534-E534)&gt;0)AND(F534&gt;(C534-E534)),(C534-E534),IF(C534&lt;E534,0,F534))</f>
        <v>0</v>
      </c>
      <c r="M534" s="2" t="n">
        <f aca="false">IF(C534&lt;(E534+F534),0,C534-E534-F534)</f>
        <v>0</v>
      </c>
      <c r="N534" s="2" t="n">
        <f aca="false">IF(C534&lt;(E534+F534),0,(C534-E534-F534)/(1-V$16/100))</f>
        <v>0</v>
      </c>
      <c r="O534" s="2" t="n">
        <f aca="false">L534+M534</f>
        <v>0</v>
      </c>
      <c r="P534" s="2" t="n">
        <f aca="false">IF( N534=0,I534*(1-G534/100)+J534*(1-H534/100),-N534)</f>
        <v>11.0024879335145</v>
      </c>
      <c r="Q534" s="47" t="n">
        <f aca="false">IF(P533&gt;0,Q533+P533*(1-V$20/100),Q533+P533)</f>
        <v>3481.12868809264</v>
      </c>
      <c r="R534" s="48" t="n">
        <f aca="false">R$4+Q534/V$28</f>
        <v>81.1765977199262</v>
      </c>
    </row>
    <row r="535" customFormat="false" ht="12.8" hidden="false" customHeight="false" outlineLevel="0" collapsed="false">
      <c r="A535" s="1" t="n">
        <v>531</v>
      </c>
      <c r="B535" s="37" t="n">
        <v>44076</v>
      </c>
      <c r="C535" s="38" t="n">
        <f aca="false">V$26-V$26*SIN(2*PI()/365*A535)</f>
        <v>10.1916456688469</v>
      </c>
      <c r="D535" s="2" t="n">
        <f aca="false">IF((E535+F535)&gt;C535,C535,E535+F535)</f>
        <v>10.1916456688469</v>
      </c>
      <c r="E535" s="38" t="n">
        <f aca="false">(V$23+V$24*SIN(2*PI()/365*A535))*V$25/100*V$7*V$8/100</f>
        <v>17.4159045812381</v>
      </c>
      <c r="F535" s="38" t="n">
        <f aca="false">(V$23+V$24*SIN(2*PI()/365*A535))*V$25/100*V$9*(1-V$14/100)*(1-V$16/100)</f>
        <v>3.68825781573566</v>
      </c>
      <c r="G535" s="38" t="n">
        <f aca="false">IF(C535&gt;E535,100,C535/E535*100)</f>
        <v>58.5191864212797</v>
      </c>
      <c r="H535" s="38" t="n">
        <f aca="false">L535/F535*100</f>
        <v>0</v>
      </c>
      <c r="I535" s="38" t="n">
        <f aca="false">(V$23+V$24*SIN(2*PI()/365*A535))*V$25/100*V$7*V$8/100*(1-V$15/100)</f>
        <v>15.5001550773019</v>
      </c>
      <c r="J535" s="38" t="n">
        <f aca="false">(V$23+V$24*SIN(2*PI()/365*A535))*V$25/100*V$9*(1-V$14/100)</f>
        <v>4.14410990532097</v>
      </c>
      <c r="K535" s="39" t="n">
        <f aca="false">IF(E535/C535*100&lt;100,E535/C535*100,100)</f>
        <v>100</v>
      </c>
      <c r="L535" s="2" t="n">
        <f aca="false">IF(((C535-E535)&gt;0)AND(F535&gt;(C535-E535)),(C535-E535),IF(C535&lt;E535,0,F535))</f>
        <v>0</v>
      </c>
      <c r="M535" s="2" t="n">
        <f aca="false">IF(C535&lt;(E535+F535),0,C535-E535-F535)</f>
        <v>0</v>
      </c>
      <c r="N535" s="2" t="n">
        <f aca="false">IF(C535&lt;(E535+F535),0,(C535-E535-F535)/(1-V$16/100))</f>
        <v>0</v>
      </c>
      <c r="O535" s="2" t="n">
        <f aca="false">L535+M535</f>
        <v>0</v>
      </c>
      <c r="P535" s="2" t="n">
        <f aca="false">IF( N535=0,I535*(1-G535/100)+J535*(1-H535/100),-N535)</f>
        <v>10.5737003373491</v>
      </c>
      <c r="Q535" s="47" t="n">
        <f aca="false">IF(P534&gt;0,Q534+P534*(1-V$20/100),Q534+P534)</f>
        <v>3491.36100187081</v>
      </c>
      <c r="R535" s="48" t="n">
        <f aca="false">R$4+Q535/V$28</f>
        <v>81.2976308404853</v>
      </c>
    </row>
    <row r="536" customFormat="false" ht="12.8" hidden="false" customHeight="false" outlineLevel="0" collapsed="false">
      <c r="A536" s="1" t="n">
        <v>532</v>
      </c>
      <c r="B536" s="37" t="n">
        <v>44077</v>
      </c>
      <c r="C536" s="38" t="n">
        <f aca="false">V$26-V$26*SIN(2*PI()/365*A536)</f>
        <v>10.4262020251255</v>
      </c>
      <c r="D536" s="2" t="n">
        <f aca="false">IF((E536+F536)&gt;C536,C536,E536+F536)</f>
        <v>10.4262020251255</v>
      </c>
      <c r="E536" s="38" t="n">
        <f aca="false">(V$23+V$24*SIN(2*PI()/365*A536))*V$25/100*V$7*V$8/100</f>
        <v>17.2189164539682</v>
      </c>
      <c r="F536" s="38" t="n">
        <f aca="false">(V$23+V$24*SIN(2*PI()/365*A536))*V$25/100*V$9*(1-V$14/100)*(1-V$16/100)</f>
        <v>3.64654060279267</v>
      </c>
      <c r="G536" s="38" t="n">
        <f aca="false">IF(C536&gt;E536,100,C536/E536*100)</f>
        <v>60.5508601717078</v>
      </c>
      <c r="H536" s="38" t="n">
        <f aca="false">L536/F536*100</f>
        <v>0</v>
      </c>
      <c r="I536" s="38" t="n">
        <f aca="false">(V$23+V$24*SIN(2*PI()/365*A536))*V$25/100*V$7*V$8/100*(1-V$15/100)</f>
        <v>15.3248356440317</v>
      </c>
      <c r="J536" s="38" t="n">
        <f aca="false">(V$23+V$24*SIN(2*PI()/365*A536))*V$25/100*V$9*(1-V$14/100)</f>
        <v>4.09723663235131</v>
      </c>
      <c r="K536" s="39" t="n">
        <f aca="false">IF(E536/C536*100&lt;100,E536/C536*100,100)</f>
        <v>100</v>
      </c>
      <c r="L536" s="2" t="n">
        <f aca="false">IF(((C536-E536)&gt;0)AND(F536&gt;(C536-E536)),(C536-E536),IF(C536&lt;E536,0,F536))</f>
        <v>0</v>
      </c>
      <c r="M536" s="2" t="n">
        <f aca="false">IF(C536&lt;(E536+F536),0,C536-E536-F536)</f>
        <v>0</v>
      </c>
      <c r="N536" s="2" t="n">
        <f aca="false">IF(C536&lt;(E536+F536),0,(C536-E536-F536)/(1-V$16/100))</f>
        <v>0</v>
      </c>
      <c r="O536" s="2" t="n">
        <f aca="false">L536+M536</f>
        <v>0</v>
      </c>
      <c r="P536" s="2" t="n">
        <f aca="false">IF( N536=0,I536*(1-G536/100)+J536*(1-H536/100),-N536)</f>
        <v>10.1427524740213</v>
      </c>
      <c r="Q536" s="47" t="n">
        <f aca="false">IF(P535&gt;0,Q535+P535*(1-V$20/100),Q535+P535)</f>
        <v>3501.19454318454</v>
      </c>
      <c r="R536" s="48" t="n">
        <f aca="false">R$4+Q536/V$28</f>
        <v>81.4139470732701</v>
      </c>
    </row>
    <row r="537" customFormat="false" ht="12.8" hidden="false" customHeight="false" outlineLevel="0" collapsed="false">
      <c r="A537" s="1" t="n">
        <v>533</v>
      </c>
      <c r="B537" s="37" t="n">
        <v>44078</v>
      </c>
      <c r="C537" s="38" t="n">
        <f aca="false">V$26-V$26*SIN(2*PI()/365*A537)</f>
        <v>10.6618646677716</v>
      </c>
      <c r="D537" s="2" t="n">
        <f aca="false">IF((E537+F537)&gt;C537,C537,E537+F537)</f>
        <v>10.6618646677716</v>
      </c>
      <c r="E537" s="38" t="n">
        <f aca="false">(V$23+V$24*SIN(2*PI()/365*A537))*V$25/100*V$7*V$8/100</f>
        <v>17.0209992310932</v>
      </c>
      <c r="F537" s="38" t="n">
        <f aca="false">(V$23+V$24*SIN(2*PI()/365*A537))*V$25/100*V$9*(1-V$14/100)*(1-V$16/100)</f>
        <v>3.60462663038128</v>
      </c>
      <c r="G537" s="38" t="n">
        <f aca="false">IF(C537&gt;E537,100,C537/E537*100)</f>
        <v>62.6394756442672</v>
      </c>
      <c r="H537" s="38" t="n">
        <f aca="false">L537/F537*100</f>
        <v>0</v>
      </c>
      <c r="I537" s="38" t="n">
        <f aca="false">(V$23+V$24*SIN(2*PI()/365*A537))*V$25/100*V$7*V$8/100*(1-V$15/100)</f>
        <v>15.148689315673</v>
      </c>
      <c r="J537" s="38" t="n">
        <f aca="false">(V$23+V$24*SIN(2*PI()/365*A537))*V$25/100*V$9*(1-V$14/100)</f>
        <v>4.05014228132728</v>
      </c>
      <c r="K537" s="39" t="n">
        <f aca="false">IF(E537/C537*100&lt;100,E537/C537*100,100)</f>
        <v>100</v>
      </c>
      <c r="L537" s="2" t="n">
        <f aca="false">IF(((C537-E537)&gt;0)AND(F537&gt;(C537-E537)),(C537-E537),IF(C537&lt;E537,0,F537))</f>
        <v>0</v>
      </c>
      <c r="M537" s="2" t="n">
        <f aca="false">IF(C537&lt;(E537+F537),0,C537-E537-F537)</f>
        <v>0</v>
      </c>
      <c r="N537" s="2" t="n">
        <f aca="false">IF(C537&lt;(E537+F537),0,(C537-E537-F537)/(1-V$16/100))</f>
        <v>0</v>
      </c>
      <c r="O537" s="2" t="n">
        <f aca="false">L537+M537</f>
        <v>0</v>
      </c>
      <c r="P537" s="2" t="n">
        <f aca="false">IF( N537=0,I537*(1-G537/100)+J537*(1-H537/100),-N537)</f>
        <v>9.70977204268358</v>
      </c>
      <c r="Q537" s="47" t="n">
        <f aca="false">IF(P536&gt;0,Q536+P536*(1-V$20/100),Q536+P536)</f>
        <v>3510.62730298538</v>
      </c>
      <c r="R537" s="48" t="n">
        <f aca="false">R$4+Q537/V$28</f>
        <v>81.5255226542121</v>
      </c>
    </row>
    <row r="538" customFormat="false" ht="12.8" hidden="false" customHeight="false" outlineLevel="0" collapsed="false">
      <c r="A538" s="1" t="n">
        <v>534</v>
      </c>
      <c r="B538" s="37" t="n">
        <v>44079</v>
      </c>
      <c r="C538" s="38" t="n">
        <f aca="false">V$26-V$26*SIN(2*PI()/365*A538)</f>
        <v>10.8985637648581</v>
      </c>
      <c r="D538" s="2" t="n">
        <f aca="false">IF((E538+F538)&gt;C538,C538,E538+F538)</f>
        <v>10.8985637648581</v>
      </c>
      <c r="E538" s="38" t="n">
        <f aca="false">(V$23+V$24*SIN(2*PI()/365*A538))*V$25/100*V$7*V$8/100</f>
        <v>16.8222115597577</v>
      </c>
      <c r="F538" s="38" t="n">
        <f aca="false">(V$23+V$24*SIN(2*PI()/365*A538))*V$25/100*V$9*(1-V$14/100)*(1-V$16/100)</f>
        <v>3.5625283185161</v>
      </c>
      <c r="G538" s="38" t="n">
        <f aca="false">IF(C538&gt;E538,100,C538/E538*100)</f>
        <v>64.7867477242398</v>
      </c>
      <c r="H538" s="38" t="n">
        <f aca="false">L538/F538*100</f>
        <v>0</v>
      </c>
      <c r="I538" s="38" t="n">
        <f aca="false">(V$23+V$24*SIN(2*PI()/365*A538))*V$25/100*V$7*V$8/100*(1-V$15/100)</f>
        <v>14.9717682881844</v>
      </c>
      <c r="J538" s="38" t="n">
        <f aca="false">(V$23+V$24*SIN(2*PI()/365*A538))*V$25/100*V$9*(1-V$14/100)</f>
        <v>4.00284080732146</v>
      </c>
      <c r="K538" s="39" t="n">
        <f aca="false">IF(E538/C538*100&lt;100,E538/C538*100,100)</f>
        <v>100</v>
      </c>
      <c r="L538" s="2" t="n">
        <f aca="false">IF(((C538-E538)&gt;0)AND(F538&gt;(C538-E538)),(C538-E538),IF(C538&lt;E538,0,F538))</f>
        <v>0</v>
      </c>
      <c r="M538" s="2" t="n">
        <f aca="false">IF(C538&lt;(E538+F538),0,C538-E538-F538)</f>
        <v>0</v>
      </c>
      <c r="N538" s="2" t="n">
        <f aca="false">IF(C538&lt;(E538+F538),0,(C538-E538-F538)/(1-V$16/100))</f>
        <v>0</v>
      </c>
      <c r="O538" s="2" t="n">
        <f aca="false">L538+M538</f>
        <v>0</v>
      </c>
      <c r="P538" s="2" t="n">
        <f aca="false">IF( N538=0,I538*(1-G538/100)+J538*(1-H538/100),-N538)</f>
        <v>9.27488734478208</v>
      </c>
      <c r="Q538" s="47" t="n">
        <f aca="false">IF(P537&gt;0,Q537+P537*(1-V$20/100),Q537+P537)</f>
        <v>3519.65739098508</v>
      </c>
      <c r="R538" s="48" t="n">
        <f aca="false">R$4+Q538/V$28</f>
        <v>81.6323352240004</v>
      </c>
    </row>
    <row r="539" customFormat="false" ht="12.8" hidden="false" customHeight="false" outlineLevel="0" collapsed="false">
      <c r="A539" s="1" t="n">
        <v>535</v>
      </c>
      <c r="B539" s="37" t="n">
        <v>44080</v>
      </c>
      <c r="C539" s="38" t="n">
        <f aca="false">V$26-V$26*SIN(2*PI()/365*A539)</f>
        <v>11.1362291773343</v>
      </c>
      <c r="D539" s="2" t="n">
        <f aca="false">IF((E539+F539)&gt;C539,C539,E539+F539)</f>
        <v>11.1362291773343</v>
      </c>
      <c r="E539" s="38" t="n">
        <f aca="false">(V$23+V$24*SIN(2*PI()/365*A539))*V$25/100*V$7*V$8/100</f>
        <v>16.6226123450389</v>
      </c>
      <c r="F539" s="38" t="n">
        <f aca="false">(V$23+V$24*SIN(2*PI()/365*A539))*V$25/100*V$9*(1-V$14/100)*(1-V$16/100)</f>
        <v>3.5202581418355</v>
      </c>
      <c r="G539" s="38" t="n">
        <f aca="false">IF(C539&gt;E539,100,C539/E539*100)</f>
        <v>66.994458790095</v>
      </c>
      <c r="H539" s="38" t="n">
        <f aca="false">L539/F539*100</f>
        <v>0</v>
      </c>
      <c r="I539" s="38" t="n">
        <f aca="false">(V$23+V$24*SIN(2*PI()/365*A539))*V$25/100*V$7*V$8/100*(1-V$15/100)</f>
        <v>14.7941249870846</v>
      </c>
      <c r="J539" s="38" t="n">
        <f aca="false">(V$23+V$24*SIN(2*PI()/365*A539))*V$25/100*V$9*(1-V$14/100)</f>
        <v>3.95534622678146</v>
      </c>
      <c r="K539" s="39" t="n">
        <f aca="false">IF(E539/C539*100&lt;100,E539/C539*100,100)</f>
        <v>100</v>
      </c>
      <c r="L539" s="2" t="n">
        <f aca="false">IF(((C539-E539)&gt;0)AND(F539&gt;(C539-E539)),(C539-E539),IF(C539&lt;E539,0,F539))</f>
        <v>0</v>
      </c>
      <c r="M539" s="2" t="n">
        <f aca="false">IF(C539&lt;(E539+F539),0,C539-E539-F539)</f>
        <v>0</v>
      </c>
      <c r="N539" s="2" t="n">
        <f aca="false">IF(C539&lt;(E539+F539),0,(C539-E539-F539)/(1-V$16/100))</f>
        <v>0</v>
      </c>
      <c r="O539" s="2" t="n">
        <f aca="false">L539+M539</f>
        <v>0</v>
      </c>
      <c r="P539" s="2" t="n">
        <f aca="false">IF( N539=0,I539*(1-G539/100)+J539*(1-H539/100),-N539)</f>
        <v>8.83822724603852</v>
      </c>
      <c r="Q539" s="47" t="n">
        <f aca="false">IF(P538&gt;0,Q538+P538*(1-V$20/100),Q538+P538)</f>
        <v>3528.28303621572</v>
      </c>
      <c r="R539" s="48" t="n">
        <f aca="false">R$4+Q539/V$28</f>
        <v>81.7343638347071</v>
      </c>
    </row>
    <row r="540" customFormat="false" ht="12.8" hidden="false" customHeight="false" outlineLevel="0" collapsed="false">
      <c r="A540" s="1" t="n">
        <v>536</v>
      </c>
      <c r="B540" s="37" t="n">
        <v>44081</v>
      </c>
      <c r="C540" s="38" t="n">
        <f aca="false">V$26-V$26*SIN(2*PI()/365*A540)</f>
        <v>11.3747904798091</v>
      </c>
      <c r="D540" s="2" t="n">
        <f aca="false">IF((E540+F540)&gt;C540,C540,E540+F540)</f>
        <v>11.3747904798091</v>
      </c>
      <c r="E540" s="38" t="n">
        <f aca="false">(V$23+V$24*SIN(2*PI()/365*A540))*V$25/100*V$7*V$8/100</f>
        <v>16.4222607324917</v>
      </c>
      <c r="F540" s="38" t="n">
        <f aca="false">(V$23+V$24*SIN(2*PI()/365*A540))*V$25/100*V$9*(1-V$14/100)*(1-V$16/100)</f>
        <v>3.47782862590508</v>
      </c>
      <c r="G540" s="38" t="n">
        <f aca="false">IF(C540&gt;E540,100,C540/E540*100)</f>
        <v>69.2644616054836</v>
      </c>
      <c r="H540" s="38" t="n">
        <f aca="false">L540/F540*100</f>
        <v>0</v>
      </c>
      <c r="I540" s="38" t="n">
        <f aca="false">(V$23+V$24*SIN(2*PI()/365*A540))*V$25/100*V$7*V$8/100*(1-V$15/100)</f>
        <v>14.6158120519176</v>
      </c>
      <c r="J540" s="38" t="n">
        <f aca="false">(V$23+V$24*SIN(2*PI()/365*A540))*V$25/100*V$9*(1-V$14/100)</f>
        <v>3.9076726133765</v>
      </c>
      <c r="K540" s="39" t="n">
        <f aca="false">IF(E540/C540*100&lt;100,E540/C540*100,100)</f>
        <v>100</v>
      </c>
      <c r="L540" s="2" t="n">
        <f aca="false">IF(((C540-E540)&gt;0)AND(F540&gt;(C540-E540)),(C540-E540),IF(C540&lt;E540,0,F540))</f>
        <v>0</v>
      </c>
      <c r="M540" s="2" t="n">
        <f aca="false">IF(C540&lt;(E540+F540),0,C540-E540-F540)</f>
        <v>0</v>
      </c>
      <c r="N540" s="2" t="n">
        <f aca="false">IF(C540&lt;(E540+F540),0,(C540-E540-F540)/(1-V$16/100))</f>
        <v>0</v>
      </c>
      <c r="O540" s="2" t="n">
        <f aca="false">L540+M540</f>
        <v>0</v>
      </c>
      <c r="P540" s="2" t="n">
        <f aca="false">IF( N540=0,I540*(1-G540/100)+J540*(1-H540/100),-N540)</f>
        <v>8.39992113826399</v>
      </c>
      <c r="Q540" s="47" t="n">
        <f aca="false">IF(P539&gt;0,Q539+P539*(1-V$20/100),Q539+P539)</f>
        <v>3536.50258755454</v>
      </c>
      <c r="R540" s="48" t="n">
        <f aca="false">R$4+Q540/V$28</f>
        <v>81.8315889559944</v>
      </c>
    </row>
    <row r="541" customFormat="false" ht="12.8" hidden="false" customHeight="false" outlineLevel="0" collapsed="false">
      <c r="A541" s="1" t="n">
        <v>537</v>
      </c>
      <c r="B541" s="37" t="n">
        <v>44082</v>
      </c>
      <c r="C541" s="38" t="n">
        <f aca="false">V$26-V$26*SIN(2*PI()/365*A541)</f>
        <v>11.6141769814202</v>
      </c>
      <c r="D541" s="2" t="n">
        <f aca="false">IF((E541+F541)&gt;C541,C541,E541+F541)</f>
        <v>11.6141769814202</v>
      </c>
      <c r="E541" s="38" t="n">
        <f aca="false">(V$23+V$24*SIN(2*PI()/365*A541))*V$25/100*V$7*V$8/100</f>
        <v>16.221216090623</v>
      </c>
      <c r="F541" s="38" t="n">
        <f aca="false">(V$23+V$24*SIN(2*PI()/365*A541))*V$25/100*V$9*(1-V$14/100)*(1-V$16/100)</f>
        <v>3.43525234350613</v>
      </c>
      <c r="G541" s="38" t="n">
        <f aca="false">IF(C541&gt;E541,100,C541/E541*100)</f>
        <v>71.5986823462267</v>
      </c>
      <c r="H541" s="38" t="n">
        <f aca="false">L541/F541*100</f>
        <v>0</v>
      </c>
      <c r="I541" s="38" t="n">
        <f aca="false">(V$23+V$24*SIN(2*PI()/365*A541))*V$25/100*V$7*V$8/100*(1-V$15/100)</f>
        <v>14.4368823206545</v>
      </c>
      <c r="J541" s="38" t="n">
        <f aca="false">(V$23+V$24*SIN(2*PI()/365*A541))*V$25/100*V$9*(1-V$14/100)</f>
        <v>3.85983409382711</v>
      </c>
      <c r="K541" s="39" t="n">
        <f aca="false">IF(E541/C541*100&lt;100,E541/C541*100,100)</f>
        <v>100</v>
      </c>
      <c r="L541" s="2" t="n">
        <f aca="false">IF(((C541-E541)&gt;0)AND(F541&gt;(C541-E541)),(C541-E541),IF(C541&lt;E541,0,F541))</f>
        <v>0</v>
      </c>
      <c r="M541" s="2" t="n">
        <f aca="false">IF(C541&lt;(E541+F541),0,C541-E541-F541)</f>
        <v>0</v>
      </c>
      <c r="N541" s="2" t="n">
        <f aca="false">IF(C541&lt;(E541+F541),0,(C541-E541-F541)/(1-V$16/100))</f>
        <v>0</v>
      </c>
      <c r="O541" s="2" t="n">
        <f aca="false">L541+M541</f>
        <v>0</v>
      </c>
      <c r="P541" s="2" t="n">
        <f aca="false">IF( N541=0,I541*(1-G541/100)+J541*(1-H541/100),-N541)</f>
        <v>7.96009890101762</v>
      </c>
      <c r="Q541" s="47" t="n">
        <f aca="false">IF(P540&gt;0,Q540+P540*(1-V$20/100),Q540+P540)</f>
        <v>3544.31451421312</v>
      </c>
      <c r="R541" s="48" t="n">
        <f aca="false">R$4+Q541/V$28</f>
        <v>81.9239924809025</v>
      </c>
    </row>
    <row r="542" customFormat="false" ht="12.8" hidden="false" customHeight="false" outlineLevel="0" collapsed="false">
      <c r="A542" s="1" t="n">
        <v>538</v>
      </c>
      <c r="B542" s="37" t="n">
        <v>44083</v>
      </c>
      <c r="C542" s="38" t="n">
        <f aca="false">V$26-V$26*SIN(2*PI()/365*A542)</f>
        <v>11.8543177467806</v>
      </c>
      <c r="D542" s="2" t="n">
        <f aca="false">IF((E542+F542)&gt;C542,C542,E542+F542)</f>
        <v>11.8543177467806</v>
      </c>
      <c r="E542" s="38" t="n">
        <f aca="false">(V$23+V$24*SIN(2*PI()/365*A542))*V$25/100*V$7*V$8/100</f>
        <v>16.019537993299</v>
      </c>
      <c r="F542" s="38" t="n">
        <f aca="false">(V$23+V$24*SIN(2*PI()/365*A542))*V$25/100*V$9*(1-V$14/100)*(1-V$16/100)</f>
        <v>3.39254191090998</v>
      </c>
      <c r="G542" s="38" t="n">
        <f aca="false">IF(C542&gt;E542,100,C542/E542*100)</f>
        <v>73.9991237683584</v>
      </c>
      <c r="H542" s="38" t="n">
        <f aca="false">L542/F542*100</f>
        <v>0</v>
      </c>
      <c r="I542" s="38" t="n">
        <f aca="false">(V$23+V$24*SIN(2*PI()/365*A542))*V$25/100*V$7*V$8/100*(1-V$15/100)</f>
        <v>14.2573888140361</v>
      </c>
      <c r="J542" s="38" t="n">
        <f aca="false">(V$23+V$24*SIN(2*PI()/365*A542))*V$25/100*V$9*(1-V$14/100)</f>
        <v>3.81184484371908</v>
      </c>
      <c r="K542" s="39" t="n">
        <f aca="false">IF(E542/C542*100&lt;100,E542/C542*100,100)</f>
        <v>100</v>
      </c>
      <c r="L542" s="2" t="n">
        <f aca="false">IF(((C542-E542)&gt;0)AND(F542&gt;(C542-E542)),(C542-E542),IF(C542&lt;E542,0,F542))</f>
        <v>0</v>
      </c>
      <c r="M542" s="2" t="n">
        <f aca="false">IF(C542&lt;(E542+F542),0,C542-E542-F542)</f>
        <v>0</v>
      </c>
      <c r="N542" s="2" t="n">
        <f aca="false">IF(C542&lt;(E542+F542),0,(C542-E542-F542)/(1-V$16/100))</f>
        <v>0</v>
      </c>
      <c r="O542" s="2" t="n">
        <f aca="false">L542+M542</f>
        <v>0</v>
      </c>
      <c r="P542" s="2" t="n">
        <f aca="false">IF( N542=0,I542*(1-G542/100)+J542*(1-H542/100),-N542)</f>
        <v>7.51889086312053</v>
      </c>
      <c r="Q542" s="47" t="n">
        <f aca="false">IF(P541&gt;0,Q541+P541*(1-V$20/100),Q541+P541)</f>
        <v>3551.71740619107</v>
      </c>
      <c r="R542" s="48" t="n">
        <f aca="false">R$4+Q542/V$28</f>
        <v>82.0115577312141</v>
      </c>
    </row>
    <row r="543" customFormat="false" ht="12.8" hidden="false" customHeight="false" outlineLevel="0" collapsed="false">
      <c r="A543" s="1" t="n">
        <v>539</v>
      </c>
      <c r="B543" s="37" t="n">
        <v>44084</v>
      </c>
      <c r="C543" s="38" t="n">
        <f aca="false">V$26-V$26*SIN(2*PI()/365*A543)</f>
        <v>12.0951416169988</v>
      </c>
      <c r="D543" s="2" t="n">
        <f aca="false">IF((E543+F543)&gt;C543,C543,E543+F543)</f>
        <v>12.0951416169988</v>
      </c>
      <c r="E543" s="38" t="n">
        <f aca="false">(V$23+V$24*SIN(2*PI()/365*A543))*V$25/100*V$7*V$8/100</f>
        <v>15.8172862020926</v>
      </c>
      <c r="F543" s="38" t="n">
        <f aca="false">(V$23+V$24*SIN(2*PI()/365*A543))*V$25/100*V$9*(1-V$14/100)*(1-V$16/100)</f>
        <v>3.34970998413959</v>
      </c>
      <c r="G543" s="38" t="n">
        <f aca="false">IF(C543&gt;E543,100,C543/E543*100)</f>
        <v>76.4678685234809</v>
      </c>
      <c r="H543" s="38" t="n">
        <f aca="false">L543/F543*100</f>
        <v>0</v>
      </c>
      <c r="I543" s="38" t="n">
        <f aca="false">(V$23+V$24*SIN(2*PI()/365*A543))*V$25/100*V$7*V$8/100*(1-V$15/100)</f>
        <v>14.0773847198624</v>
      </c>
      <c r="J543" s="38" t="n">
        <f aca="false">(V$23+V$24*SIN(2*PI()/365*A543))*V$25/100*V$9*(1-V$14/100)</f>
        <v>3.76371908330291</v>
      </c>
      <c r="K543" s="39" t="n">
        <f aca="false">IF(E543/C543*100&lt;100,E543/C543*100,100)</f>
        <v>100</v>
      </c>
      <c r="L543" s="2" t="n">
        <f aca="false">IF(((C543-E543)&gt;0)AND(F543&gt;(C543-E543)),(C543-E543),IF(C543&lt;E543,0,F543))</f>
        <v>0</v>
      </c>
      <c r="M543" s="2" t="n">
        <f aca="false">IF(C543&lt;(E543+F543),0,C543-E543-F543)</f>
        <v>0</v>
      </c>
      <c r="N543" s="2" t="n">
        <f aca="false">IF(C543&lt;(E543+F543),0,(C543-E543-F543)/(1-V$16/100))</f>
        <v>0</v>
      </c>
      <c r="O543" s="2" t="n">
        <f aca="false">L543+M543</f>
        <v>0</v>
      </c>
      <c r="P543" s="2" t="n">
        <f aca="false">IF( N543=0,I543*(1-G543/100)+J543*(1-H543/100),-N543)</f>
        <v>7.07642776403634</v>
      </c>
      <c r="Q543" s="47" t="n">
        <f aca="false">IF(P542&gt;0,Q542+P542*(1-V$20/100),Q542+P542)</f>
        <v>3558.70997469377</v>
      </c>
      <c r="R543" s="48" t="n">
        <f aca="false">R$4+Q543/V$28</f>
        <v>82.0942694623976</v>
      </c>
    </row>
    <row r="544" customFormat="false" ht="12.8" hidden="false" customHeight="false" outlineLevel="0" collapsed="false">
      <c r="A544" s="1" t="n">
        <v>540</v>
      </c>
      <c r="B544" s="37" t="n">
        <v>44085</v>
      </c>
      <c r="C544" s="38" t="n">
        <f aca="false">V$26-V$26*SIN(2*PI()/365*A544)</f>
        <v>12.3365772307649</v>
      </c>
      <c r="D544" s="2" t="n">
        <f aca="false">IF((E544+F544)&gt;C544,C544,E544+F544)</f>
        <v>12.3365772307649</v>
      </c>
      <c r="E544" s="38" t="n">
        <f aca="false">(V$23+V$24*SIN(2*PI()/365*A544))*V$25/100*V$7*V$8/100</f>
        <v>15.6145206485744</v>
      </c>
      <c r="F544" s="38" t="n">
        <f aca="false">(V$23+V$24*SIN(2*PI()/365*A544))*V$25/100*V$9*(1-V$14/100)*(1-V$16/100)</f>
        <v>3.30676925521924</v>
      </c>
      <c r="G544" s="38" t="n">
        <f aca="false">IF(C544&gt;E544,100,C544/E544*100)</f>
        <v>79.0070826278696</v>
      </c>
      <c r="H544" s="38" t="n">
        <f aca="false">L544/F544*100</f>
        <v>0</v>
      </c>
      <c r="I544" s="38" t="n">
        <f aca="false">(V$23+V$24*SIN(2*PI()/365*A544))*V$25/100*V$7*V$8/100*(1-V$15/100)</f>
        <v>13.8969233772312</v>
      </c>
      <c r="J544" s="38" t="n">
        <f aca="false">(V$23+V$24*SIN(2*PI()/365*A544))*V$25/100*V$9*(1-V$14/100)</f>
        <v>3.71547107328005</v>
      </c>
      <c r="K544" s="39" t="n">
        <f aca="false">IF(E544/C544*100&lt;100,E544/C544*100,100)</f>
        <v>100</v>
      </c>
      <c r="L544" s="2" t="n">
        <f aca="false">IF(((C544-E544)&gt;0)AND(F544&gt;(C544-E544)),(C544-E544),IF(C544&lt;E544,0,F544))</f>
        <v>0</v>
      </c>
      <c r="M544" s="2" t="n">
        <f aca="false">IF(C544&lt;(E544+F544),0,C544-E544-F544)</f>
        <v>0</v>
      </c>
      <c r="N544" s="2" t="n">
        <f aca="false">IF(C544&lt;(E544+F544),0,(C544-E544-F544)/(1-V$16/100))</f>
        <v>0</v>
      </c>
      <c r="O544" s="2" t="n">
        <f aca="false">L544+M544</f>
        <v>0</v>
      </c>
      <c r="P544" s="2" t="n">
        <f aca="false">IF( N544=0,I544*(1-G544/100)+J544*(1-H544/100),-N544)</f>
        <v>6.63284071513046</v>
      </c>
      <c r="Q544" s="47" t="n">
        <f aca="false">IF(P543&gt;0,Q543+P543*(1-V$20/100),Q543+P543)</f>
        <v>3565.29105251433</v>
      </c>
      <c r="R544" s="48" t="n">
        <f aca="false">R$4+Q544/V$28</f>
        <v>82.1721138681237</v>
      </c>
    </row>
    <row r="545" customFormat="false" ht="12.8" hidden="false" customHeight="false" outlineLevel="0" collapsed="false">
      <c r="A545" s="1" t="n">
        <v>541</v>
      </c>
      <c r="B545" s="37" t="n">
        <v>44086</v>
      </c>
      <c r="C545" s="38" t="n">
        <f aca="false">V$26-V$26*SIN(2*PI()/365*A545)</f>
        <v>12.5785530454958</v>
      </c>
      <c r="D545" s="2" t="n">
        <f aca="false">IF((E545+F545)&gt;C545,C545,E545+F545)</f>
        <v>12.5785530454958</v>
      </c>
      <c r="E545" s="38" t="n">
        <f aca="false">(V$23+V$24*SIN(2*PI()/365*A545))*V$25/100*V$7*V$8/100</f>
        <v>15.4113014165539</v>
      </c>
      <c r="F545" s="38" t="n">
        <f aca="false">(V$23+V$24*SIN(2*PI()/365*A545))*V$25/100*V$9*(1-V$14/100)*(1-V$16/100)</f>
        <v>3.26373244841365</v>
      </c>
      <c r="G545" s="38" t="n">
        <f aca="false">IF(C545&gt;E545,100,C545/E545*100)</f>
        <v>81.6190190919548</v>
      </c>
      <c r="H545" s="38" t="n">
        <f aca="false">L545/F545*100</f>
        <v>0</v>
      </c>
      <c r="I545" s="38" t="n">
        <f aca="false">(V$23+V$24*SIN(2*PI()/365*A545))*V$25/100*V$7*V$8/100*(1-V$15/100)</f>
        <v>13.716058260733</v>
      </c>
      <c r="J545" s="38" t="n">
        <f aca="false">(V$23+V$24*SIN(2*PI()/365*A545))*V$25/100*V$9*(1-V$14/100)</f>
        <v>3.66711511057714</v>
      </c>
      <c r="K545" s="39" t="n">
        <f aca="false">IF(E545/C545*100&lt;100,E545/C545*100,100)</f>
        <v>100</v>
      </c>
      <c r="L545" s="2" t="n">
        <f aca="false">IF(((C545-E545)&gt;0)AND(F545&gt;(C545-E545)),(C545-E545),IF(C545&lt;E545,0,F545))</f>
        <v>0</v>
      </c>
      <c r="M545" s="2" t="n">
        <f aca="false">IF(C545&lt;(E545+F545),0,C545-E545-F545)</f>
        <v>0</v>
      </c>
      <c r="N545" s="2" t="n">
        <f aca="false">IF(C545&lt;(E545+F545),0,(C545-E545-F545)/(1-V$16/100))</f>
        <v>0</v>
      </c>
      <c r="O545" s="2" t="n">
        <f aca="false">L545+M545</f>
        <v>0</v>
      </c>
      <c r="P545" s="2" t="n">
        <f aca="false">IF( N545=0,I545*(1-G545/100)+J545*(1-H545/100),-N545)</f>
        <v>6.18826116081882</v>
      </c>
      <c r="Q545" s="47" t="n">
        <f aca="false">IF(P544&gt;0,Q544+P544*(1-V$20/100),Q544+P544)</f>
        <v>3571.4595943794</v>
      </c>
      <c r="R545" s="48" t="n">
        <f aca="false">R$4+Q545/V$28</f>
        <v>82.2450785843565</v>
      </c>
    </row>
    <row r="546" customFormat="false" ht="12.8" hidden="false" customHeight="false" outlineLevel="0" collapsed="false">
      <c r="A546" s="1" t="n">
        <v>542</v>
      </c>
      <c r="B546" s="37" t="n">
        <v>44087</v>
      </c>
      <c r="C546" s="38" t="n">
        <f aca="false">V$26-V$26*SIN(2*PI()/365*A546)</f>
        <v>12.8209973585353</v>
      </c>
      <c r="D546" s="2" t="n">
        <f aca="false">IF((E546+F546)&gt;C546,C546,E546+F546)</f>
        <v>12.8209973585353</v>
      </c>
      <c r="E546" s="38" t="n">
        <f aca="false">(V$23+V$24*SIN(2*PI()/365*A546))*V$25/100*V$7*V$8/100</f>
        <v>15.2076887242755</v>
      </c>
      <c r="F546" s="38" t="n">
        <f aca="false">(V$23+V$24*SIN(2*PI()/365*A546))*V$25/100*V$9*(1-V$14/100)*(1-V$16/100)</f>
        <v>3.2206123164575</v>
      </c>
      <c r="G546" s="38" t="n">
        <f aca="false">IF(C546&gt;E546,100,C546/E546*100)</f>
        <v>84.3060217169598</v>
      </c>
      <c r="H546" s="38" t="n">
        <f aca="false">L546/F546*100</f>
        <v>0</v>
      </c>
      <c r="I546" s="38" t="n">
        <f aca="false">(V$23+V$24*SIN(2*PI()/365*A546))*V$25/100*V$7*V$8/100*(1-V$15/100)</f>
        <v>13.5348429646052</v>
      </c>
      <c r="J546" s="38" t="n">
        <f aca="false">(V$23+V$24*SIN(2*PI()/365*A546))*V$25/100*V$9*(1-V$14/100)</f>
        <v>3.61866552410955</v>
      </c>
      <c r="K546" s="39" t="n">
        <f aca="false">IF(E546/C546*100&lt;100,E546/C546*100,100)</f>
        <v>100</v>
      </c>
      <c r="L546" s="2" t="n">
        <f aca="false">IF(((C546-E546)&gt;0)AND(F546&gt;(C546-E546)),(C546-E546),IF(C546&lt;E546,0,F546))</f>
        <v>0</v>
      </c>
      <c r="M546" s="2" t="n">
        <f aca="false">IF(C546&lt;(E546+F546),0,C546-E546-F546)</f>
        <v>0</v>
      </c>
      <c r="N546" s="2" t="n">
        <f aca="false">IF(C546&lt;(E546+F546),0,(C546-E546-F546)/(1-V$16/100))</f>
        <v>0</v>
      </c>
      <c r="O546" s="2" t="n">
        <f aca="false">L546+M546</f>
        <v>0</v>
      </c>
      <c r="P546" s="2" t="n">
        <f aca="false">IF( N546=0,I546*(1-G546/100)+J546*(1-H546/100),-N546)</f>
        <v>5.74282083961828</v>
      </c>
      <c r="Q546" s="47" t="n">
        <f aca="false">IF(P545&gt;0,Q545+P545*(1-V$20/100),Q545+P545)</f>
        <v>3577.21467725896</v>
      </c>
      <c r="R546" s="48" t="n">
        <f aca="false">R$4+Q546/V$28</f>
        <v>82.3131526930176</v>
      </c>
    </row>
    <row r="547" customFormat="false" ht="12.8" hidden="false" customHeight="false" outlineLevel="0" collapsed="false">
      <c r="A547" s="1" t="n">
        <v>543</v>
      </c>
      <c r="B547" s="37" t="n">
        <v>44088</v>
      </c>
      <c r="C547" s="38" t="n">
        <f aca="false">V$26-V$26*SIN(2*PI()/365*A547)</f>
        <v>13.0638383284011</v>
      </c>
      <c r="D547" s="2" t="n">
        <f aca="false">IF((E547+F547)&gt;C547,C547,E547+F547)</f>
        <v>13.0638383284011</v>
      </c>
      <c r="E547" s="38" t="n">
        <f aca="false">(V$23+V$24*SIN(2*PI()/365*A547))*V$25/100*V$7*V$8/100</f>
        <v>15.0037429065741</v>
      </c>
      <c r="F547" s="38" t="n">
        <f aca="false">(V$23+V$24*SIN(2*PI()/365*A547))*V$25/100*V$9*(1-V$14/100)*(1-V$16/100)</f>
        <v>3.17742163677647</v>
      </c>
      <c r="G547" s="38" t="n">
        <f aca="false">IF(C547&gt;E547,100,C547/E547*100)</f>
        <v>87.0705290656307</v>
      </c>
      <c r="H547" s="38" t="n">
        <f aca="false">L547/F547*100</f>
        <v>0</v>
      </c>
      <c r="I547" s="38" t="n">
        <f aca="false">(V$23+V$24*SIN(2*PI()/365*A547))*V$25/100*V$7*V$8/100*(1-V$15/100)</f>
        <v>13.353331186851</v>
      </c>
      <c r="J547" s="38" t="n">
        <f aca="false">(V$23+V$24*SIN(2*PI()/365*A547))*V$25/100*V$9*(1-V$14/100)</f>
        <v>3.57013667053536</v>
      </c>
      <c r="K547" s="39" t="n">
        <f aca="false">IF(E547/C547*100&lt;100,E547/C547*100,100)</f>
        <v>100</v>
      </c>
      <c r="L547" s="2" t="n">
        <f aca="false">IF(((C547-E547)&gt;0)AND(F547&gt;(C547-E547)),(C547-E547),IF(C547&lt;E547,0,F547))</f>
        <v>0</v>
      </c>
      <c r="M547" s="2" t="n">
        <f aca="false">IF(C547&lt;(E547+F547),0,C547-E547-F547)</f>
        <v>0</v>
      </c>
      <c r="N547" s="2" t="n">
        <f aca="false">IF(C547&lt;(E547+F547),0,(C547-E547-F547)/(1-V$16/100))</f>
        <v>0</v>
      </c>
      <c r="O547" s="2" t="n">
        <f aca="false">L547+M547</f>
        <v>0</v>
      </c>
      <c r="P547" s="2" t="n">
        <f aca="false">IF( N547=0,I547*(1-G547/100)+J547*(1-H547/100),-N547)</f>
        <v>5.29665174510933</v>
      </c>
      <c r="Q547" s="47" t="n">
        <f aca="false">IF(P546&gt;0,Q546+P546*(1-V$20/100),Q546+P546)</f>
        <v>3582.5555006398</v>
      </c>
      <c r="R547" s="48" t="n">
        <f aca="false">R$4+Q547/V$28</f>
        <v>82.3763267252212</v>
      </c>
    </row>
    <row r="548" customFormat="false" ht="12.8" hidden="false" customHeight="false" outlineLevel="0" collapsed="false">
      <c r="A548" s="1" t="n">
        <v>544</v>
      </c>
      <c r="B548" s="37" t="n">
        <v>44089</v>
      </c>
      <c r="C548" s="38" t="n">
        <f aca="false">V$26-V$26*SIN(2*PI()/365*A548)</f>
        <v>13.307003996073</v>
      </c>
      <c r="D548" s="2" t="n">
        <f aca="false">IF((E548+F548)&gt;C548,C548,E548+F548)</f>
        <v>13.307003996073</v>
      </c>
      <c r="E548" s="38" t="n">
        <f aca="false">(V$23+V$24*SIN(2*PI()/365*A548))*V$25/100*V$7*V$8/100</f>
        <v>14.7995243969972</v>
      </c>
      <c r="F548" s="38" t="n">
        <f aca="false">(V$23+V$24*SIN(2*PI()/365*A548))*V$25/100*V$9*(1-V$14/100)*(1-V$16/100)</f>
        <v>3.1341732077011</v>
      </c>
      <c r="G548" s="38" t="n">
        <f aca="false">IF(C548&gt;E548,100,C548/E548*100)</f>
        <v>89.9150786141004</v>
      </c>
      <c r="H548" s="38" t="n">
        <f aca="false">L548/F548*100</f>
        <v>0</v>
      </c>
      <c r="I548" s="38" t="n">
        <f aca="false">(V$23+V$24*SIN(2*PI()/365*A548))*V$25/100*V$7*V$8/100*(1-V$15/100)</f>
        <v>13.1715767133275</v>
      </c>
      <c r="J548" s="38" t="n">
        <f aca="false">(V$23+V$24*SIN(2*PI()/365*A548))*V$25/100*V$9*(1-V$14/100)</f>
        <v>3.52154293000123</v>
      </c>
      <c r="K548" s="39" t="n">
        <f aca="false">IF(E548/C548*100&lt;100,E548/C548*100,100)</f>
        <v>100</v>
      </c>
      <c r="L548" s="2" t="n">
        <f aca="false">IF(((C548-E548)&gt;0)AND(F548&gt;(C548-E548)),(C548-E548),IF(C548&lt;E548,0,F548))</f>
        <v>0</v>
      </c>
      <c r="M548" s="2" t="n">
        <f aca="false">IF(C548&lt;(E548+F548),0,C548-E548-F548)</f>
        <v>0</v>
      </c>
      <c r="N548" s="2" t="n">
        <f aca="false">IF(C548&lt;(E548+F548),0,(C548-E548-F548)/(1-V$16/100))</f>
        <v>0</v>
      </c>
      <c r="O548" s="2" t="n">
        <f aca="false">L548+M548</f>
        <v>0</v>
      </c>
      <c r="P548" s="2" t="n">
        <f aca="false">IF( N548=0,I548*(1-G548/100)+J548*(1-H548/100),-N548)</f>
        <v>4.84988608682377</v>
      </c>
      <c r="Q548" s="47" t="n">
        <f aca="false">IF(P547&gt;0,Q547+P547*(1-V$20/100),Q547+P547)</f>
        <v>3587.48138676276</v>
      </c>
      <c r="R548" s="48" t="n">
        <f aca="false">R$4+Q548/V$28</f>
        <v>82.4345926640796</v>
      </c>
    </row>
    <row r="549" customFormat="false" ht="12.8" hidden="false" customHeight="false" outlineLevel="0" collapsed="false">
      <c r="A549" s="1" t="n">
        <v>545</v>
      </c>
      <c r="B549" s="37" t="n">
        <v>44090</v>
      </c>
      <c r="C549" s="38" t="n">
        <f aca="false">V$26-V$26*SIN(2*PI()/365*A549)</f>
        <v>13.5504223063155</v>
      </c>
      <c r="D549" s="2" t="n">
        <f aca="false">IF((E549+F549)&gt;C549,C549,E549+F549)</f>
        <v>13.5504223063155</v>
      </c>
      <c r="E549" s="38" t="n">
        <f aca="false">(V$23+V$24*SIN(2*PI()/365*A549))*V$25/100*V$7*V$8/100</f>
        <v>14.5950937098964</v>
      </c>
      <c r="F549" s="38" t="n">
        <f aca="false">(V$23+V$24*SIN(2*PI()/365*A549))*V$25/100*V$9*(1-V$14/100)*(1-V$16/100)</f>
        <v>3.0908798446743</v>
      </c>
      <c r="G549" s="38" t="n">
        <f aca="false">IF(C549&gt;E549,100,C549/E549*100)</f>
        <v>92.8423110920313</v>
      </c>
      <c r="H549" s="38" t="n">
        <f aca="false">L549/F549*100</f>
        <v>0</v>
      </c>
      <c r="I549" s="38" t="n">
        <f aca="false">(V$23+V$24*SIN(2*PI()/365*A549))*V$25/100*V$7*V$8/100*(1-V$15/100)</f>
        <v>12.9896334018078</v>
      </c>
      <c r="J549" s="38" t="n">
        <f aca="false">(V$23+V$24*SIN(2*PI()/365*A549))*V$25/100*V$9*(1-V$14/100)</f>
        <v>3.47289870188123</v>
      </c>
      <c r="K549" s="39" t="n">
        <f aca="false">IF(E549/C549*100&lt;100,E549/C549*100,100)</f>
        <v>100</v>
      </c>
      <c r="L549" s="2" t="n">
        <f aca="false">IF(((C549-E549)&gt;0)AND(F549&gt;(C549-E549)),(C549-E549),IF(C549&lt;E549,0,F549))</f>
        <v>0</v>
      </c>
      <c r="M549" s="2" t="n">
        <f aca="false">IF(C549&lt;(E549+F549),0,C549-E549-F549)</f>
        <v>0</v>
      </c>
      <c r="N549" s="2" t="n">
        <f aca="false">IF(C549&lt;(E549+F549),0,(C549-E549-F549)/(1-V$16/100))</f>
        <v>0</v>
      </c>
      <c r="O549" s="2" t="n">
        <f aca="false">L549+M549</f>
        <v>0</v>
      </c>
      <c r="P549" s="2" t="n">
        <f aca="false">IF( N549=0,I549*(1-G549/100)+J549*(1-H549/100),-N549)</f>
        <v>4.40265625106822</v>
      </c>
      <c r="Q549" s="47" t="n">
        <f aca="false">IF(P548&gt;0,Q548+P548*(1-V$20/100),Q548+P548)</f>
        <v>3591.9917808235</v>
      </c>
      <c r="R549" s="48" t="n">
        <f aca="false">R$4+Q549/V$28</f>
        <v>82.4879439470796</v>
      </c>
    </row>
    <row r="550" customFormat="false" ht="12.8" hidden="false" customHeight="false" outlineLevel="0" collapsed="false">
      <c r="A550" s="1" t="n">
        <v>546</v>
      </c>
      <c r="B550" s="37" t="n">
        <v>44091</v>
      </c>
      <c r="C550" s="38" t="n">
        <f aca="false">V$26-V$26*SIN(2*PI()/365*A550)</f>
        <v>13.79402112903</v>
      </c>
      <c r="D550" s="2" t="n">
        <f aca="false">IF((E550+F550)&gt;C550,C550,E550+F550)</f>
        <v>13.79402112903</v>
      </c>
      <c r="E550" s="38" t="n">
        <f aca="false">(V$23+V$24*SIN(2*PI()/365*A550))*V$25/100*V$7*V$8/100</f>
        <v>14.3905114224963</v>
      </c>
      <c r="F550" s="38" t="n">
        <f aca="false">(V$23+V$24*SIN(2*PI()/365*A550))*V$25/100*V$9*(1-V$14/100)*(1-V$16/100)</f>
        <v>3.04755437645387</v>
      </c>
      <c r="G550" s="38" t="n">
        <f aca="false">IF(C550&gt;E550,100,C550/E550*100)</f>
        <v>95.8549750182344</v>
      </c>
      <c r="H550" s="38" t="n">
        <f aca="false">L550/F550*100</f>
        <v>0</v>
      </c>
      <c r="I550" s="38" t="n">
        <f aca="false">(V$23+V$24*SIN(2*PI()/365*A550))*V$25/100*V$7*V$8/100*(1-V$15/100)</f>
        <v>12.8075551660217</v>
      </c>
      <c r="J550" s="38" t="n">
        <f aca="false">(V$23+V$24*SIN(2*PI()/365*A550))*V$25/100*V$9*(1-V$14/100)</f>
        <v>3.42421840050997</v>
      </c>
      <c r="K550" s="39" t="n">
        <f aca="false">IF(E550/C550*100&lt;100,E550/C550*100,100)</f>
        <v>100</v>
      </c>
      <c r="L550" s="2" t="n">
        <f aca="false">IF(((C550-E550)&gt;0)AND(F550&gt;(C550-E550)),(C550-E550),IF(C550&lt;E550,0,F550))</f>
        <v>0</v>
      </c>
      <c r="M550" s="2" t="n">
        <f aca="false">IF(C550&lt;(E550+F550),0,C550-E550-F550)</f>
        <v>0</v>
      </c>
      <c r="N550" s="2" t="n">
        <f aca="false">IF(C550&lt;(E550+F550),0,(C550-E550-F550)/(1-V$16/100))</f>
        <v>0</v>
      </c>
      <c r="O550" s="2" t="n">
        <f aca="false">L550+M550</f>
        <v>0</v>
      </c>
      <c r="P550" s="2" t="n">
        <f aca="false">IF( N550=0,I550*(1-G550/100)+J550*(1-H550/100),-N550)</f>
        <v>3.95509476169498</v>
      </c>
      <c r="Q550" s="47" t="n">
        <f aca="false">IF(P549&gt;0,Q549+P549*(1-V$20/100),Q549+P549)</f>
        <v>3596.08625113699</v>
      </c>
      <c r="R550" s="48" t="n">
        <f aca="false">R$4+Q550/V$28</f>
        <v>82.5363754680261</v>
      </c>
    </row>
    <row r="551" customFormat="false" ht="12.8" hidden="false" customHeight="false" outlineLevel="0" collapsed="false">
      <c r="A551" s="1" t="n">
        <v>547</v>
      </c>
      <c r="B551" s="37" t="n">
        <v>44092</v>
      </c>
      <c r="C551" s="38" t="n">
        <f aca="false">V$26-V$26*SIN(2*PI()/365*A551)</f>
        <v>14.0377282806281</v>
      </c>
      <c r="D551" s="2" t="n">
        <f aca="false">IF((E551+F551)&gt;C551,C551,E551+F551)</f>
        <v>14.0377282806281</v>
      </c>
      <c r="E551" s="38" t="n">
        <f aca="false">(V$23+V$24*SIN(2*PI()/365*A551))*V$25/100*V$7*V$8/100</f>
        <v>14.185838156944</v>
      </c>
      <c r="F551" s="38" t="n">
        <f aca="false">(V$23+V$24*SIN(2*PI()/365*A551))*V$25/100*V$9*(1-V$14/100)*(1-V$16/100)</f>
        <v>3.0042096413111</v>
      </c>
      <c r="G551" s="38" t="n">
        <f aca="false">IF(C551&gt;E551,100,C551/E551*100)</f>
        <v>98.9559314389655</v>
      </c>
      <c r="H551" s="38" t="n">
        <f aca="false">L551/F551*100</f>
        <v>0</v>
      </c>
      <c r="I551" s="38" t="n">
        <f aca="false">(V$23+V$24*SIN(2*PI()/365*A551))*V$25/100*V$7*V$8/100*(1-V$15/100)</f>
        <v>12.6253959596801</v>
      </c>
      <c r="J551" s="38" t="n">
        <f aca="false">(V$23+V$24*SIN(2*PI()/365*A551))*V$25/100*V$9*(1-V$14/100)</f>
        <v>3.37551645091135</v>
      </c>
      <c r="K551" s="39" t="n">
        <f aca="false">IF(E551/C551*100&lt;100,E551/C551*100,100)</f>
        <v>100</v>
      </c>
      <c r="L551" s="2" t="n">
        <f aca="false">IF(((C551-E551)&gt;0)AND(F551&gt;(C551-E551)),(C551-E551),IF(C551&lt;E551,0,F551))</f>
        <v>0</v>
      </c>
      <c r="M551" s="2" t="n">
        <f aca="false">IF(C551&lt;(E551+F551),0,C551-E551-F551)</f>
        <v>0</v>
      </c>
      <c r="N551" s="2" t="n">
        <f aca="false">IF(C551&lt;(E551+F551),0,(C551-E551-F551)/(1-V$16/100))</f>
        <v>0</v>
      </c>
      <c r="O551" s="2" t="n">
        <f aca="false">L551+M551</f>
        <v>0</v>
      </c>
      <c r="P551" s="2" t="n">
        <f aca="false">IF( N551=0,I551*(1-G551/100)+J551*(1-H551/100),-N551)</f>
        <v>3.50733424083249</v>
      </c>
      <c r="Q551" s="47" t="n">
        <f aca="false">IF(P550&gt;0,Q550+P550*(1-V$20/100),Q550+P550)</f>
        <v>3599.76448926537</v>
      </c>
      <c r="R551" s="48" t="n">
        <f aca="false">R$4+Q551/V$28</f>
        <v>82.579883578556</v>
      </c>
    </row>
    <row r="552" customFormat="false" ht="12.8" hidden="false" customHeight="false" outlineLevel="0" collapsed="false">
      <c r="A552" s="1" t="n">
        <v>548</v>
      </c>
      <c r="B552" s="37" t="n">
        <v>44093</v>
      </c>
      <c r="C552" s="38" t="n">
        <f aca="false">V$26-V$26*SIN(2*PI()/365*A552)</f>
        <v>14.281471545421</v>
      </c>
      <c r="D552" s="2" t="n">
        <f aca="false">IF((E552+F552)&gt;C552,C552,E552+F552)</f>
        <v>14.281471545421</v>
      </c>
      <c r="E552" s="38" t="n">
        <f aca="false">(V$23+V$24*SIN(2*PI()/365*A552))*V$25/100*V$7*V$8/100</f>
        <v>13.9811345623452</v>
      </c>
      <c r="F552" s="38" t="n">
        <f aca="false">(V$23+V$24*SIN(2*PI()/365*A552))*V$25/100*V$9*(1-V$14/100)*(1-V$16/100)</f>
        <v>2.96085848322647</v>
      </c>
      <c r="G552" s="38" t="n">
        <f aca="false">IF(C552&gt;E552,100,C552/E552*100)</f>
        <v>100</v>
      </c>
      <c r="H552" s="38" t="n">
        <f aca="false">L552/F552*100</f>
        <v>10.1435777757463</v>
      </c>
      <c r="I552" s="38" t="n">
        <f aca="false">(V$23+V$24*SIN(2*PI()/365*A552))*V$25/100*V$7*V$8/100*(1-V$15/100)</f>
        <v>12.4432097604872</v>
      </c>
      <c r="J552" s="38" t="n">
        <f aca="false">(V$23+V$24*SIN(2*PI()/365*A552))*V$25/100*V$9*(1-V$14/100)</f>
        <v>3.32680728452412</v>
      </c>
      <c r="K552" s="39" t="n">
        <f aca="false">IF(E552/C552*100&lt;100,E552/C552*100,100)</f>
        <v>97.8970165495855</v>
      </c>
      <c r="L552" s="2" t="n">
        <f aca="false">IF(((C552-E552)&gt;0)AND(F552&gt;(C552-E552)),(C552-E552),IF(C552&lt;E552,0,F552))</f>
        <v>0.300336983075859</v>
      </c>
      <c r="M552" s="2" t="n">
        <f aca="false">IF(C552&lt;(E552+F552),0,C552-E552-F552)</f>
        <v>0</v>
      </c>
      <c r="N552" s="2" t="n">
        <f aca="false">IF(C552&lt;(E552+F552),0,(C552-E552-F552)/(1-V$16/100))</f>
        <v>0</v>
      </c>
      <c r="O552" s="2" t="n">
        <f aca="false">L552+M552</f>
        <v>0.300336983075859</v>
      </c>
      <c r="P552" s="2" t="n">
        <f aca="false">IF( N552=0,I552*(1-G552/100)+J552*(1-H552/100),-N552)</f>
        <v>2.98935000016922</v>
      </c>
      <c r="Q552" s="47" t="n">
        <f aca="false">IF(P551&gt;0,Q551+P551*(1-V$20/100),Q551+P551)</f>
        <v>3603.02631010935</v>
      </c>
      <c r="R552" s="48" t="n">
        <f aca="false">R$4+Q552/V$28</f>
        <v>82.6184660892188</v>
      </c>
    </row>
    <row r="553" customFormat="false" ht="12.8" hidden="false" customHeight="false" outlineLevel="0" collapsed="false">
      <c r="A553" s="1" t="n">
        <v>549</v>
      </c>
      <c r="B553" s="37" t="n">
        <v>44094</v>
      </c>
      <c r="C553" s="38" t="n">
        <f aca="false">V$26-V$26*SIN(2*PI()/365*A553)</f>
        <v>14.5251786970191</v>
      </c>
      <c r="D553" s="2" t="n">
        <f aca="false">IF((E553+F553)&gt;C553,C553,E553+F553)</f>
        <v>14.5251786970191</v>
      </c>
      <c r="E553" s="38" t="n">
        <f aca="false">(V$23+V$24*SIN(2*PI()/365*A553))*V$25/100*V$7*V$8/100</f>
        <v>13.7764612967929</v>
      </c>
      <c r="F553" s="38" t="n">
        <f aca="false">(V$23+V$24*SIN(2*PI()/365*A553))*V$25/100*V$9*(1-V$14/100)*(1-V$16/100)</f>
        <v>2.9175137480837</v>
      </c>
      <c r="G553" s="38" t="n">
        <f aca="false">IF(C553&gt;E553,100,C553/E553*100)</f>
        <v>100</v>
      </c>
      <c r="H553" s="38" t="n">
        <f aca="false">L553/F553*100</f>
        <v>25.6628576546731</v>
      </c>
      <c r="I553" s="38" t="n">
        <f aca="false">(V$23+V$24*SIN(2*PI()/365*A553))*V$25/100*V$7*V$8/100*(1-V$15/100)</f>
        <v>12.2610505541456</v>
      </c>
      <c r="J553" s="38" t="n">
        <f aca="false">(V$23+V$24*SIN(2*PI()/365*A553))*V$25/100*V$9*(1-V$14/100)</f>
        <v>3.2781053349255</v>
      </c>
      <c r="K553" s="39" t="n">
        <f aca="false">IF(E553/C553*100&lt;100,E553/C553*100,100)</f>
        <v>94.8453825192533</v>
      </c>
      <c r="L553" s="2" t="n">
        <f aca="false">IF(((C553-E553)&gt;0)AND(F553&gt;(C553-E553)),(C553-E553),IF(C553&lt;E553,0,F553))</f>
        <v>0.748717400226237</v>
      </c>
      <c r="M553" s="2" t="n">
        <f aca="false">IF(C553&lt;(E553+F553),0,C553-E553-F553)</f>
        <v>0</v>
      </c>
      <c r="N553" s="2" t="n">
        <f aca="false">IF(C553&lt;(E553+F553),0,(C553-E553-F553)/(1-V$16/100))</f>
        <v>0</v>
      </c>
      <c r="O553" s="2" t="n">
        <f aca="false">L553+M553</f>
        <v>0.748717400226237</v>
      </c>
      <c r="P553" s="2" t="n">
        <f aca="false">IF( N553=0,I553*(1-G553/100)+J553*(1-H553/100),-N553)</f>
        <v>2.43684982905333</v>
      </c>
      <c r="Q553" s="47" t="n">
        <f aca="false">IF(P552&gt;0,Q552+P552*(1-V$20/100),Q552+P552)</f>
        <v>3605.8064056095</v>
      </c>
      <c r="R553" s="48" t="n">
        <f aca="false">R$4+Q553/V$28</f>
        <v>82.6513505023761</v>
      </c>
    </row>
    <row r="554" customFormat="false" ht="12.8" hidden="false" customHeight="false" outlineLevel="0" collapsed="false">
      <c r="A554" s="1" t="n">
        <v>550</v>
      </c>
      <c r="B554" s="37" t="n">
        <v>44095</v>
      </c>
      <c r="C554" s="38" t="n">
        <f aca="false">V$26-V$26*SIN(2*PI()/365*A554)</f>
        <v>14.7687775197336</v>
      </c>
      <c r="D554" s="2" t="n">
        <f aca="false">IF((E554+F554)&gt;C554,C554,E554+F554)</f>
        <v>14.7687775197336</v>
      </c>
      <c r="E554" s="38" t="n">
        <f aca="false">(V$23+V$24*SIN(2*PI()/365*A554))*V$25/100*V$7*V$8/100</f>
        <v>13.5718790093928</v>
      </c>
      <c r="F554" s="38" t="n">
        <f aca="false">(V$23+V$24*SIN(2*PI()/365*A554))*V$25/100*V$9*(1-V$14/100)*(1-V$16/100)</f>
        <v>2.87418827986328</v>
      </c>
      <c r="G554" s="38" t="n">
        <f aca="false">IF(C554&gt;E554,100,C554/E554*100)</f>
        <v>100</v>
      </c>
      <c r="H554" s="38" t="n">
        <f aca="false">L554/F554*100</f>
        <v>41.6430099143593</v>
      </c>
      <c r="I554" s="38" t="n">
        <f aca="false">(V$23+V$24*SIN(2*PI()/365*A554))*V$25/100*V$7*V$8/100*(1-V$15/100)</f>
        <v>12.0789723183596</v>
      </c>
      <c r="J554" s="38" t="n">
        <f aca="false">(V$23+V$24*SIN(2*PI()/365*A554))*V$25/100*V$9*(1-V$14/100)</f>
        <v>3.22942503355424</v>
      </c>
      <c r="K554" s="39" t="n">
        <f aca="false">IF(E554/C554*100&lt;100,E554/C554*100,100)</f>
        <v>91.8957509601485</v>
      </c>
      <c r="L554" s="2" t="n">
        <f aca="false">IF(((C554-E554)&gt;0)AND(F554&gt;(C554-E554)),(C554-E554),IF(C554&lt;E554,0,F554))</f>
        <v>1.19689851034082</v>
      </c>
      <c r="M554" s="2" t="n">
        <f aca="false">IF(C554&lt;(E554+F554),0,C554-E554-F554)</f>
        <v>0</v>
      </c>
      <c r="N554" s="2" t="n">
        <f aca="false">IF(C554&lt;(E554+F554),0,(C554-E554-F554)/(1-V$16/100))</f>
        <v>0</v>
      </c>
      <c r="O554" s="2" t="n">
        <f aca="false">L554+M554</f>
        <v>1.19689851034082</v>
      </c>
      <c r="P554" s="2" t="n">
        <f aca="false">IF( N554=0,I554*(1-G554/100)+J554*(1-H554/100),-N554)</f>
        <v>1.88459524665445</v>
      </c>
      <c r="Q554" s="47" t="n">
        <f aca="false">IF(P553&gt;0,Q553+P553*(1-V$20/100),Q553+P553)</f>
        <v>3608.07267595052</v>
      </c>
      <c r="R554" s="48" t="n">
        <f aca="false">R$4+Q554/V$28</f>
        <v>82.6781571247443</v>
      </c>
    </row>
    <row r="555" customFormat="false" ht="12.8" hidden="false" customHeight="false" outlineLevel="0" collapsed="false">
      <c r="A555" s="1" t="n">
        <v>551</v>
      </c>
      <c r="B555" s="37" t="n">
        <v>44096</v>
      </c>
      <c r="C555" s="38" t="n">
        <f aca="false">V$26-V$26*SIN(2*PI()/365*A555)</f>
        <v>15.0121958299762</v>
      </c>
      <c r="D555" s="2" t="n">
        <f aca="false">IF((E555+F555)&gt;C555,C555,E555+F555)</f>
        <v>15.0121958299762</v>
      </c>
      <c r="E555" s="38" t="n">
        <f aca="false">(V$23+V$24*SIN(2*PI()/365*A555))*V$25/100*V$7*V$8/100</f>
        <v>13.367448322292</v>
      </c>
      <c r="F555" s="38" t="n">
        <f aca="false">(V$23+V$24*SIN(2*PI()/365*A555))*V$25/100*V$9*(1-V$14/100)*(1-V$16/100)</f>
        <v>2.83089491683647</v>
      </c>
      <c r="G555" s="38" t="n">
        <f aca="false">IF(C555&gt;E555,100,C555/E555*100)</f>
        <v>100</v>
      </c>
      <c r="H555" s="38" t="n">
        <f aca="false">L555/F555*100</f>
        <v>58.0999138435765</v>
      </c>
      <c r="I555" s="38" t="n">
        <f aca="false">(V$23+V$24*SIN(2*PI()/365*A555))*V$25/100*V$7*V$8/100*(1-V$15/100)</f>
        <v>11.8970290068399</v>
      </c>
      <c r="J555" s="38" t="n">
        <f aca="false">(V$23+V$24*SIN(2*PI()/365*A555))*V$25/100*V$9*(1-V$14/100)</f>
        <v>3.18078080543423</v>
      </c>
      <c r="K555" s="39" t="n">
        <f aca="false">IF(E555/C555*100&lt;100,E555/C555*100,100)</f>
        <v>89.0439245110301</v>
      </c>
      <c r="L555" s="2" t="n">
        <f aca="false">IF(((C555-E555)&gt;0)AND(F555&gt;(C555-E555)),(C555-E555),IF(C555&lt;E555,0,F555))</f>
        <v>1.64474750768418</v>
      </c>
      <c r="M555" s="2" t="n">
        <f aca="false">IF(C555&lt;(E555+F555),0,C555-E555-F555)</f>
        <v>0</v>
      </c>
      <c r="N555" s="2" t="n">
        <f aca="false">IF(C555&lt;(E555+F555),0,(C555-E555-F555)/(1-V$16/100))</f>
        <v>0</v>
      </c>
      <c r="O555" s="2" t="n">
        <f aca="false">L555+M555</f>
        <v>1.64474750768418</v>
      </c>
      <c r="P555" s="2" t="n">
        <f aca="false">IF( N555=0,I555*(1-G555/100)+J555*(1-H555/100),-N555)</f>
        <v>1.33274989792392</v>
      </c>
      <c r="Q555" s="47" t="n">
        <f aca="false">IF(P554&gt;0,Q554+P554*(1-V$20/100),Q554+P554)</f>
        <v>3609.82534952991</v>
      </c>
      <c r="R555" s="48" t="n">
        <f aca="false">R$4+Q555/V$28</f>
        <v>82.6988886579276</v>
      </c>
    </row>
    <row r="556" customFormat="false" ht="12.8" hidden="false" customHeight="false" outlineLevel="0" collapsed="false">
      <c r="A556" s="1" t="n">
        <v>552</v>
      </c>
      <c r="B556" s="37" t="n">
        <v>44097</v>
      </c>
      <c r="C556" s="38" t="n">
        <f aca="false">V$26-V$26*SIN(2*PI()/365*A556)</f>
        <v>15.255361497648</v>
      </c>
      <c r="D556" s="2" t="n">
        <f aca="false">IF((E556+F556)&gt;C556,C556,E556+F556)</f>
        <v>15.255361497648</v>
      </c>
      <c r="E556" s="38" t="n">
        <f aca="false">(V$23+V$24*SIN(2*PI()/365*A556))*V$25/100*V$7*V$8/100</f>
        <v>13.163229812715</v>
      </c>
      <c r="F556" s="38" t="n">
        <f aca="false">(V$23+V$24*SIN(2*PI()/365*A556))*V$25/100*V$9*(1-V$14/100)*(1-V$16/100)</f>
        <v>2.7876464877611</v>
      </c>
      <c r="G556" s="38" t="n">
        <f aca="false">IF(C556&gt;E556,100,C556/E556*100)</f>
        <v>100</v>
      </c>
      <c r="H556" s="38" t="n">
        <f aca="false">L556/F556*100</f>
        <v>75.0501074694456</v>
      </c>
      <c r="I556" s="38" t="n">
        <f aca="false">(V$23+V$24*SIN(2*PI()/365*A556))*V$25/100*V$7*V$8/100*(1-V$15/100)</f>
        <v>11.7152745333164</v>
      </c>
      <c r="J556" s="38" t="n">
        <f aca="false">(V$23+V$24*SIN(2*PI()/365*A556))*V$25/100*V$9*(1-V$14/100)</f>
        <v>3.13218706490011</v>
      </c>
      <c r="K556" s="39" t="n">
        <f aca="false">IF(E556/C556*100&lt;100,E556/C556*100,100)</f>
        <v>86.2859252122246</v>
      </c>
      <c r="L556" s="2" t="n">
        <f aca="false">IF(((C556-E556)&gt;0)AND(F556&gt;(C556-E556)),(C556-E556),IF(C556&lt;E556,0,F556))</f>
        <v>2.09213168493293</v>
      </c>
      <c r="M556" s="2" t="n">
        <f aca="false">IF(C556&lt;(E556+F556),0,C556-E556-F556)</f>
        <v>0</v>
      </c>
      <c r="N556" s="2" t="n">
        <f aca="false">IF(C556&lt;(E556+F556),0,(C556-E556-F556)/(1-V$16/100))</f>
        <v>0</v>
      </c>
      <c r="O556" s="2" t="n">
        <f aca="false">L556+M556</f>
        <v>2.09213168493293</v>
      </c>
      <c r="P556" s="2" t="n">
        <f aca="false">IF( N556=0,I556*(1-G556/100)+J556*(1-H556/100),-N556)</f>
        <v>0.781477306548503</v>
      </c>
      <c r="Q556" s="47" t="n">
        <f aca="false">IF(P555&gt;0,Q555+P555*(1-V$20/100),Q555+P555)</f>
        <v>3611.06480693498</v>
      </c>
      <c r="R556" s="48" t="n">
        <f aca="false">R$4+Q556/V$28</f>
        <v>82.7135496037106</v>
      </c>
    </row>
    <row r="557" customFormat="false" ht="12.8" hidden="false" customHeight="false" outlineLevel="0" collapsed="false">
      <c r="A557" s="1" t="n">
        <v>553</v>
      </c>
      <c r="B557" s="37" t="n">
        <v>44098</v>
      </c>
      <c r="C557" s="38" t="n">
        <f aca="false">V$26-V$26*SIN(2*PI()/365*A557)</f>
        <v>15.4982024675138</v>
      </c>
      <c r="D557" s="2" t="n">
        <f aca="false">IF((E557+F557)&gt;C557,C557,E557+F557)</f>
        <v>15.4982024675138</v>
      </c>
      <c r="E557" s="38" t="n">
        <f aca="false">(V$23+V$24*SIN(2*PI()/365*A557))*V$25/100*V$7*V$8/100</f>
        <v>12.9592839950137</v>
      </c>
      <c r="F557" s="38" t="n">
        <f aca="false">(V$23+V$24*SIN(2*PI()/365*A557))*V$25/100*V$9*(1-V$14/100)*(1-V$16/100)</f>
        <v>2.74445580808008</v>
      </c>
      <c r="G557" s="38" t="n">
        <f aca="false">IF(C557&gt;E557,100,C557/E557*100)</f>
        <v>100</v>
      </c>
      <c r="H557" s="38" t="n">
        <f aca="false">L557/F557*100</f>
        <v>92.5108163529226</v>
      </c>
      <c r="I557" s="38" t="n">
        <f aca="false">(V$23+V$24*SIN(2*PI()/365*A557))*V$25/100*V$7*V$8/100*(1-V$15/100)</f>
        <v>11.5337627555622</v>
      </c>
      <c r="J557" s="38" t="n">
        <f aca="false">(V$23+V$24*SIN(2*PI()/365*A557))*V$25/100*V$9*(1-V$14/100)</f>
        <v>3.08365821132593</v>
      </c>
      <c r="K557" s="39" t="n">
        <f aca="false">IF(E557/C557*100&lt;100,E557/C557*100,100)</f>
        <v>83.6179810024938</v>
      </c>
      <c r="L557" s="2" t="n">
        <f aca="false">IF(((C557-E557)&gt;0)AND(F557&gt;(C557-E557)),(C557-E557),IF(C557&lt;E557,0,F557))</f>
        <v>2.53891847250008</v>
      </c>
      <c r="M557" s="2" t="n">
        <f aca="false">IF(C557&lt;(E557+F557),0,C557-E557-F557)</f>
        <v>0</v>
      </c>
      <c r="N557" s="2" t="n">
        <f aca="false">IF(C557&lt;(E557+F557),0,(C557-E557-F557)/(1-V$16/100))</f>
        <v>0</v>
      </c>
      <c r="O557" s="2" t="n">
        <f aca="false">L557+M557</f>
        <v>2.53891847250008</v>
      </c>
      <c r="P557" s="2" t="n">
        <f aca="false">IF( N557=0,I557*(1-G557/100)+J557*(1-H557/100),-N557)</f>
        <v>0.230940826494381</v>
      </c>
      <c r="Q557" s="47" t="n">
        <f aca="false">IF(P556&gt;0,Q556+P556*(1-V$20/100),Q556+P556)</f>
        <v>3611.79158083007</v>
      </c>
      <c r="R557" s="48" t="n">
        <f aca="false">R$4+Q557/V$28</f>
        <v>82.7221462627234</v>
      </c>
    </row>
    <row r="558" customFormat="false" ht="12.8" hidden="false" customHeight="false" outlineLevel="0" collapsed="false">
      <c r="A558" s="1" t="n">
        <v>554</v>
      </c>
      <c r="B558" s="37" t="n">
        <v>44099</v>
      </c>
      <c r="C558" s="38" t="n">
        <f aca="false">V$26-V$26*SIN(2*PI()/365*A558)</f>
        <v>15.7406467805533</v>
      </c>
      <c r="D558" s="2" t="n">
        <f aca="false">IF((E558+F558)&gt;C558,C558,E558+F558)</f>
        <v>15.4570069788592</v>
      </c>
      <c r="E558" s="38" t="n">
        <f aca="false">(V$23+V$24*SIN(2*PI()/365*A558))*V$25/100*V$7*V$8/100</f>
        <v>12.7556713027353</v>
      </c>
      <c r="F558" s="38" t="n">
        <f aca="false">(V$23+V$24*SIN(2*PI()/365*A558))*V$25/100*V$9*(1-V$14/100)*(1-V$16/100)</f>
        <v>2.70133567612391</v>
      </c>
      <c r="G558" s="38" t="n">
        <f aca="false">IF(C558&gt;E558,100,C558/E558*100)</f>
        <v>100</v>
      </c>
      <c r="H558" s="38" t="n">
        <f aca="false">L558/F558*100</f>
        <v>100</v>
      </c>
      <c r="I558" s="38" t="n">
        <f aca="false">(V$23+V$24*SIN(2*PI()/365*A558))*V$25/100*V$7*V$8/100*(1-V$15/100)</f>
        <v>11.3525474594344</v>
      </c>
      <c r="J558" s="38" t="n">
        <f aca="false">(V$23+V$24*SIN(2*PI()/365*A558))*V$25/100*V$9*(1-V$14/100)</f>
        <v>3.03520862485833</v>
      </c>
      <c r="K558" s="39" t="n">
        <f aca="false">IF(E558/C558*100&lt;100,E558/C558*100,100)</f>
        <v>81.0365131786972</v>
      </c>
      <c r="L558" s="2" t="n">
        <f aca="false">IF(((C558-E558)&gt;0)AND(F558&gt;(C558-E558)),(C558-E558),IF(C558&lt;E558,0,F558))</f>
        <v>2.70133567612391</v>
      </c>
      <c r="M558" s="2" t="n">
        <f aca="false">IF(C558&lt;(E558+F558),0,C558-E558-F558)</f>
        <v>0.283639801694135</v>
      </c>
      <c r="N558" s="2" t="n">
        <f aca="false">IF(C558&lt;(E558+F558),0,(C558-E558-F558)/(1-V$16/100))</f>
        <v>0.318696406397904</v>
      </c>
      <c r="O558" s="2" t="n">
        <f aca="false">L558+M558</f>
        <v>2.98497547781805</v>
      </c>
      <c r="P558" s="2" t="n">
        <f aca="false">IF( N558=0,I558*(1-G558/100)+J558*(1-H558/100),-N558)</f>
        <v>-0.318696406397904</v>
      </c>
      <c r="Q558" s="47" t="n">
        <f aca="false">IF(P557&gt;0,Q557+P557*(1-V$20/100),Q557+P557)</f>
        <v>3612.00635579871</v>
      </c>
      <c r="R558" s="48" t="n">
        <f aca="false">R$4+Q558/V$28</f>
        <v>82.7246867325757</v>
      </c>
    </row>
    <row r="559" customFormat="false" ht="12.8" hidden="false" customHeight="false" outlineLevel="0" collapsed="false">
      <c r="A559" s="1" t="n">
        <v>555</v>
      </c>
      <c r="B559" s="37" t="n">
        <v>44100</v>
      </c>
      <c r="C559" s="38" t="n">
        <f aca="false">V$26-V$26*SIN(2*PI()/365*A559)</f>
        <v>15.9826225952842</v>
      </c>
      <c r="D559" s="2" t="n">
        <f aca="false">IF((E559+F559)&gt;C559,C559,E559+F559)</f>
        <v>15.2107509400331</v>
      </c>
      <c r="E559" s="38" t="n">
        <f aca="false">(V$23+V$24*SIN(2*PI()/365*A559))*V$25/100*V$7*V$8/100</f>
        <v>12.5524520707148</v>
      </c>
      <c r="F559" s="38" t="n">
        <f aca="false">(V$23+V$24*SIN(2*PI()/365*A559))*V$25/100*V$9*(1-V$14/100)*(1-V$16/100)</f>
        <v>2.65829886931833</v>
      </c>
      <c r="G559" s="38" t="n">
        <f aca="false">IF(C559&gt;E559,100,C559/E559*100)</f>
        <v>100</v>
      </c>
      <c r="H559" s="38" t="n">
        <f aca="false">L559/F559*100</f>
        <v>100</v>
      </c>
      <c r="I559" s="38" t="n">
        <f aca="false">(V$23+V$24*SIN(2*PI()/365*A559))*V$25/100*V$7*V$8/100*(1-V$15/100)</f>
        <v>11.1716823429362</v>
      </c>
      <c r="J559" s="38" t="n">
        <f aca="false">(V$23+V$24*SIN(2*PI()/365*A559))*V$25/100*V$9*(1-V$14/100)</f>
        <v>2.98685266215542</v>
      </c>
      <c r="K559" s="39" t="n">
        <f aca="false">IF(E559/C559*100&lt;100,E559/C559*100,100)</f>
        <v>78.53812474067</v>
      </c>
      <c r="L559" s="2" t="n">
        <f aca="false">IF(((C559-E559)&gt;0)AND(F559&gt;(C559-E559)),(C559-E559),IF(C559&lt;E559,0,F559))</f>
        <v>2.65829886931833</v>
      </c>
      <c r="M559" s="2" t="n">
        <f aca="false">IF(C559&lt;(E559+F559),0,C559-E559-F559)</f>
        <v>0.771871655251054</v>
      </c>
      <c r="N559" s="2" t="n">
        <f aca="false">IF(C559&lt;(E559+F559),0,(C559-E559-F559)/(1-V$16/100))</f>
        <v>0.867271522753993</v>
      </c>
      <c r="O559" s="2" t="n">
        <f aca="false">L559+M559</f>
        <v>3.43017052456938</v>
      </c>
      <c r="P559" s="2" t="n">
        <f aca="false">IF( N559=0,I559*(1-G559/100)+J559*(1-H559/100),-N559)</f>
        <v>-0.867271522753993</v>
      </c>
      <c r="Q559" s="47" t="n">
        <f aca="false">IF(P558&gt;0,Q558+P558*(1-V$20/100),Q558+P558)</f>
        <v>3611.68765939231</v>
      </c>
      <c r="R559" s="48" t="n">
        <f aca="false">R$4+Q559/V$28</f>
        <v>82.7209170259958</v>
      </c>
    </row>
    <row r="560" customFormat="false" ht="12.8" hidden="false" customHeight="false" outlineLevel="0" collapsed="false">
      <c r="A560" s="1" t="n">
        <v>556</v>
      </c>
      <c r="B560" s="37" t="n">
        <v>44101</v>
      </c>
      <c r="C560" s="38" t="n">
        <f aca="false">V$26-V$26*SIN(2*PI()/365*A560)</f>
        <v>16.2240582090503</v>
      </c>
      <c r="D560" s="2" t="n">
        <f aca="false">IF((E560+F560)&gt;C560,C560,E560+F560)</f>
        <v>14.9650446575946</v>
      </c>
      <c r="E560" s="38" t="n">
        <f aca="false">(V$23+V$24*SIN(2*PI()/365*A560))*V$25/100*V$7*V$8/100</f>
        <v>12.3496865171966</v>
      </c>
      <c r="F560" s="38" t="n">
        <f aca="false">(V$23+V$24*SIN(2*PI()/365*A560))*V$25/100*V$9*(1-V$14/100)*(1-V$16/100)</f>
        <v>2.61535814039798</v>
      </c>
      <c r="G560" s="38" t="n">
        <f aca="false">IF(C560&gt;E560,100,C560/E560*100)</f>
        <v>100</v>
      </c>
      <c r="H560" s="38" t="n">
        <f aca="false">L560/F560*100</f>
        <v>100</v>
      </c>
      <c r="I560" s="38" t="n">
        <f aca="false">(V$23+V$24*SIN(2*PI()/365*A560))*V$25/100*V$7*V$8/100*(1-V$15/100)</f>
        <v>10.991221000305</v>
      </c>
      <c r="J560" s="38" t="n">
        <f aca="false">(V$23+V$24*SIN(2*PI()/365*A560))*V$25/100*V$9*(1-V$14/100)</f>
        <v>2.93860465213256</v>
      </c>
      <c r="K560" s="39" t="n">
        <f aca="false">IF(E560/C560*100&lt;100,E560/C560*100,100)</f>
        <v>76.1195895507054</v>
      </c>
      <c r="L560" s="2" t="n">
        <f aca="false">IF(((C560-E560)&gt;0)AND(F560&gt;(C560-E560)),(C560-E560),IF(C560&lt;E560,0,F560))</f>
        <v>2.61535814039798</v>
      </c>
      <c r="M560" s="2" t="n">
        <f aca="false">IF(C560&lt;(E560+F560),0,C560-E560-F560)</f>
        <v>1.25901355145569</v>
      </c>
      <c r="N560" s="2" t="n">
        <f aca="false">IF(C560&lt;(E560+F560),0,(C560-E560-F560)/(1-V$16/100))</f>
        <v>1.41462196792774</v>
      </c>
      <c r="O560" s="2" t="n">
        <f aca="false">L560+M560</f>
        <v>3.87437169185367</v>
      </c>
      <c r="P560" s="2" t="n">
        <f aca="false">IF( N560=0,I560*(1-G560/100)+J560*(1-H560/100),-N560)</f>
        <v>-1.41462196792774</v>
      </c>
      <c r="Q560" s="47" t="n">
        <f aca="false">IF(P559&gt;0,Q559+P559*(1-V$20/100),Q559+P559)</f>
        <v>3610.82038786956</v>
      </c>
      <c r="R560" s="48" t="n">
        <f aca="false">R$4+Q560/V$28</f>
        <v>82.7106584880887</v>
      </c>
    </row>
    <row r="561" customFormat="false" ht="12.8" hidden="false" customHeight="false" outlineLevel="0" collapsed="false">
      <c r="A561" s="1" t="n">
        <v>557</v>
      </c>
      <c r="B561" s="37" t="n">
        <v>44102</v>
      </c>
      <c r="C561" s="38" t="n">
        <f aca="false">V$26-V$26*SIN(2*PI()/365*A561)</f>
        <v>16.4648820792686</v>
      </c>
      <c r="D561" s="2" t="n">
        <f aca="false">IF((E561+F561)&gt;C561,C561,E561+F561)</f>
        <v>14.7199609396177</v>
      </c>
      <c r="E561" s="38" t="n">
        <f aca="false">(V$23+V$24*SIN(2*PI()/365*A561))*V$25/100*V$7*V$8/100</f>
        <v>12.1474347259901</v>
      </c>
      <c r="F561" s="38" t="n">
        <f aca="false">(V$23+V$24*SIN(2*PI()/365*A561))*V$25/100*V$9*(1-V$14/100)*(1-V$16/100)</f>
        <v>2.57252621362759</v>
      </c>
      <c r="G561" s="38" t="n">
        <f aca="false">IF(C561&gt;E561,100,C561/E561*100)</f>
        <v>100</v>
      </c>
      <c r="H561" s="38" t="n">
        <f aca="false">L561/F561*100</f>
        <v>100</v>
      </c>
      <c r="I561" s="38" t="n">
        <f aca="false">(V$23+V$24*SIN(2*PI()/365*A561))*V$25/100*V$7*V$8/100*(1-V$15/100)</f>
        <v>10.8112169061312</v>
      </c>
      <c r="J561" s="38" t="n">
        <f aca="false">(V$23+V$24*SIN(2*PI()/365*A561))*V$25/100*V$9*(1-V$14/100)</f>
        <v>2.89047889171639</v>
      </c>
      <c r="K561" s="39" t="n">
        <f aca="false">IF(E561/C561*100&lt;100,E561/C561*100,100)</f>
        <v>73.777842243312</v>
      </c>
      <c r="L561" s="2" t="n">
        <f aca="false">IF(((C561-E561)&gt;0)AND(F561&gt;(C561-E561)),(C561-E561),IF(C561&lt;E561,0,F561))</f>
        <v>2.57252621362759</v>
      </c>
      <c r="M561" s="2" t="n">
        <f aca="false">IF(C561&lt;(E561+F561),0,C561-E561-F561)</f>
        <v>1.74492113965087</v>
      </c>
      <c r="N561" s="2" t="n">
        <f aca="false">IF(C561&lt;(E561+F561),0,(C561-E561-F561)/(1-V$16/100))</f>
        <v>1.96058555016952</v>
      </c>
      <c r="O561" s="2" t="n">
        <f aca="false">L561+M561</f>
        <v>4.31744735327846</v>
      </c>
      <c r="P561" s="2" t="n">
        <f aca="false">IF( N561=0,I561*(1-G561/100)+J561*(1-H561/100),-N561)</f>
        <v>-1.96058555016952</v>
      </c>
      <c r="Q561" s="47" t="n">
        <f aca="false">IF(P560&gt;0,Q560+P560*(1-V$20/100),Q560+P560)</f>
        <v>3609.40576590163</v>
      </c>
      <c r="R561" s="48" t="n">
        <f aca="false">R$4+Q561/V$28</f>
        <v>82.693925604901</v>
      </c>
    </row>
    <row r="562" customFormat="false" ht="12.8" hidden="false" customHeight="false" outlineLevel="0" collapsed="false">
      <c r="A562" s="1" t="n">
        <v>558</v>
      </c>
      <c r="B562" s="37" t="n">
        <v>44103</v>
      </c>
      <c r="C562" s="38" t="n">
        <f aca="false">V$26-V$26*SIN(2*PI()/365*A562)</f>
        <v>16.705022844629</v>
      </c>
      <c r="D562" s="2" t="n">
        <f aca="false">IF((E562+F562)&gt;C562,C562,E562+F562)</f>
        <v>14.4755724096976</v>
      </c>
      <c r="E562" s="38" t="n">
        <f aca="false">(V$23+V$24*SIN(2*PI()/365*A562))*V$25/100*V$7*V$8/100</f>
        <v>11.9457566286661</v>
      </c>
      <c r="F562" s="38" t="n">
        <f aca="false">(V$23+V$24*SIN(2*PI()/365*A562))*V$25/100*V$9*(1-V$14/100)*(1-V$16/100)</f>
        <v>2.52981578103144</v>
      </c>
      <c r="G562" s="38" t="n">
        <f aca="false">IF(C562&gt;E562,100,C562/E562*100)</f>
        <v>100</v>
      </c>
      <c r="H562" s="38" t="n">
        <f aca="false">L562/F562*100</f>
        <v>100</v>
      </c>
      <c r="I562" s="38" t="n">
        <f aca="false">(V$23+V$24*SIN(2*PI()/365*A562))*V$25/100*V$7*V$8/100*(1-V$15/100)</f>
        <v>10.6317233995129</v>
      </c>
      <c r="J562" s="38" t="n">
        <f aca="false">(V$23+V$24*SIN(2*PI()/365*A562))*V$25/100*V$9*(1-V$14/100)</f>
        <v>2.84248964160836</v>
      </c>
      <c r="K562" s="39" t="n">
        <f aca="false">IF(E562/C562*100&lt;100,E562/C562*100,100)</f>
        <v>71.5099688265735</v>
      </c>
      <c r="L562" s="2" t="n">
        <f aca="false">IF(((C562-E562)&gt;0)AND(F562&gt;(C562-E562)),(C562-E562),IF(C562&lt;E562,0,F562))</f>
        <v>2.52981578103144</v>
      </c>
      <c r="M562" s="2" t="n">
        <f aca="false">IF(C562&lt;(E562+F562),0,C562-E562-F562)</f>
        <v>2.22945043493136</v>
      </c>
      <c r="N562" s="2" t="n">
        <f aca="false">IF(C562&lt;(E562+F562),0,(C562-E562-F562)/(1-V$16/100))</f>
        <v>2.50500048868692</v>
      </c>
      <c r="O562" s="2" t="n">
        <f aca="false">L562+M562</f>
        <v>4.7592662159628</v>
      </c>
      <c r="P562" s="2" t="n">
        <f aca="false">IF( N562=0,I562*(1-G562/100)+J562*(1-H562/100),-N562)</f>
        <v>-2.50500048868692</v>
      </c>
      <c r="Q562" s="47" t="n">
        <f aca="false">IF(P561&gt;0,Q561+P561*(1-V$20/100),Q561+P561)</f>
        <v>3607.44518035146</v>
      </c>
      <c r="R562" s="48" t="n">
        <f aca="false">R$4+Q562/V$28</f>
        <v>82.6707347809677</v>
      </c>
    </row>
    <row r="563" customFormat="false" ht="12.8" hidden="false" customHeight="false" outlineLevel="0" collapsed="false">
      <c r="A563" s="1" t="n">
        <v>559</v>
      </c>
      <c r="B563" s="37" t="n">
        <v>44104</v>
      </c>
      <c r="C563" s="38" t="n">
        <f aca="false">V$26-V$26*SIN(2*PI()/365*A563)</f>
        <v>16.94440934624</v>
      </c>
      <c r="D563" s="2" t="n">
        <f aca="false">IF((E563+F563)&gt;C563,C563,E563+F563)</f>
        <v>14.2319514854299</v>
      </c>
      <c r="E563" s="38" t="n">
        <f aca="false">(V$23+V$24*SIN(2*PI()/365*A563))*V$25/100*V$7*V$8/100</f>
        <v>11.7447119867975</v>
      </c>
      <c r="F563" s="38" t="n">
        <f aca="false">(V$23+V$24*SIN(2*PI()/365*A563))*V$25/100*V$9*(1-V$14/100)*(1-V$16/100)</f>
        <v>2.48723949863249</v>
      </c>
      <c r="G563" s="38" t="n">
        <f aca="false">IF(C563&gt;E563,100,C563/E563*100)</f>
        <v>100</v>
      </c>
      <c r="H563" s="38" t="n">
        <f aca="false">L563/F563*100</f>
        <v>100</v>
      </c>
      <c r="I563" s="38" t="n">
        <f aca="false">(V$23+V$24*SIN(2*PI()/365*A563))*V$25/100*V$7*V$8/100*(1-V$15/100)</f>
        <v>10.4527936682497</v>
      </c>
      <c r="J563" s="38" t="n">
        <f aca="false">(V$23+V$24*SIN(2*PI()/365*A563))*V$25/100*V$9*(1-V$14/100)</f>
        <v>2.79465112205898</v>
      </c>
      <c r="K563" s="39" t="n">
        <f aca="false">IF(E563/C563*100&lt;100,E563/C563*100,100)</f>
        <v>69.3131979215531</v>
      </c>
      <c r="L563" s="2" t="n">
        <f aca="false">IF(((C563-E563)&gt;0)AND(F563&gt;(C563-E563)),(C563-E563),IF(C563&lt;E563,0,F563))</f>
        <v>2.48723949863249</v>
      </c>
      <c r="M563" s="2" t="n">
        <f aca="false">IF(C563&lt;(E563+F563),0,C563-E563-F563)</f>
        <v>2.71245786081002</v>
      </c>
      <c r="N563" s="2" t="n">
        <f aca="false">IF(C563&lt;(E563+F563),0,(C563-E563-F563)/(1-V$16/100))</f>
        <v>3.04770546158429</v>
      </c>
      <c r="O563" s="2" t="n">
        <f aca="false">L563+M563</f>
        <v>5.19969735944251</v>
      </c>
      <c r="P563" s="2" t="n">
        <f aca="false">IF( N563=0,I563*(1-G563/100)+J563*(1-H563/100),-N563)</f>
        <v>-3.04770546158429</v>
      </c>
      <c r="Q563" s="47" t="n">
        <f aca="false">IF(P562&gt;0,Q562+P562*(1-V$20/100),Q562+P562)</f>
        <v>3604.94017986277</v>
      </c>
      <c r="R563" s="48" t="n">
        <f aca="false">R$4+Q563/V$28</f>
        <v>82.6411043344508</v>
      </c>
    </row>
    <row r="564" customFormat="false" ht="12.8" hidden="false" customHeight="false" outlineLevel="0" collapsed="false">
      <c r="A564" s="1" t="n">
        <v>560</v>
      </c>
      <c r="B564" s="37" t="n">
        <v>44105</v>
      </c>
      <c r="C564" s="38" t="n">
        <f aca="false">V$26-V$26*SIN(2*PI()/365*A564)</f>
        <v>17.1829706487148</v>
      </c>
      <c r="D564" s="2" t="n">
        <f aca="false">IF((E564+F564)&gt;C564,C564,E564+F564)</f>
        <v>13.9891703569524</v>
      </c>
      <c r="E564" s="38" t="n">
        <f aca="false">(V$23+V$24*SIN(2*PI()/365*A564))*V$25/100*V$7*V$8/100</f>
        <v>11.5443603742503</v>
      </c>
      <c r="F564" s="38" t="n">
        <f aca="false">(V$23+V$24*SIN(2*PI()/365*A564))*V$25/100*V$9*(1-V$14/100)*(1-V$16/100)</f>
        <v>2.44480998270207</v>
      </c>
      <c r="G564" s="38" t="n">
        <f aca="false">IF(C564&gt;E564,100,C564/E564*100)</f>
        <v>100</v>
      </c>
      <c r="H564" s="38" t="n">
        <f aca="false">L564/F564*100</f>
        <v>100</v>
      </c>
      <c r="I564" s="38" t="n">
        <f aca="false">(V$23+V$24*SIN(2*PI()/365*A564))*V$25/100*V$7*V$8/100*(1-V$15/100)</f>
        <v>10.2744807330828</v>
      </c>
      <c r="J564" s="38" t="n">
        <f aca="false">(V$23+V$24*SIN(2*PI()/365*A564))*V$25/100*V$9*(1-V$14/100)</f>
        <v>2.74697750865402</v>
      </c>
      <c r="K564" s="39" t="n">
        <f aca="false">IF(E564/C564*100&lt;100,E564/C564*100,100)</f>
        <v>67.184892590815</v>
      </c>
      <c r="L564" s="2" t="n">
        <f aca="false">IF(((C564-E564)&gt;0)AND(F564&gt;(C564-E564)),(C564-E564),IF(C564&lt;E564,0,F564))</f>
        <v>2.44480998270207</v>
      </c>
      <c r="M564" s="2" t="n">
        <f aca="false">IF(C564&lt;(E564+F564),0,C564-E564-F564)</f>
        <v>3.19380029176242</v>
      </c>
      <c r="N564" s="2" t="n">
        <f aca="false">IF(C564&lt;(E564+F564),0,(C564-E564-F564)/(1-V$16/100))</f>
        <v>3.58853965366564</v>
      </c>
      <c r="O564" s="2" t="n">
        <f aca="false">L564+M564</f>
        <v>5.63861027446449</v>
      </c>
      <c r="P564" s="2" t="n">
        <f aca="false">IF( N564=0,I564*(1-G564/100)+J564*(1-H564/100),-N564)</f>
        <v>-3.58853965366564</v>
      </c>
      <c r="Q564" s="47" t="n">
        <f aca="false">IF(P563&gt;0,Q563+P563*(1-V$20/100),Q563+P563)</f>
        <v>3601.89247440119</v>
      </c>
      <c r="R564" s="48" t="n">
        <f aca="false">R$4+Q564/V$28</f>
        <v>82.6050544917116</v>
      </c>
    </row>
    <row r="565" customFormat="false" ht="12.8" hidden="false" customHeight="false" outlineLevel="0" collapsed="false">
      <c r="A565" s="1" t="n">
        <v>561</v>
      </c>
      <c r="B565" s="37" t="n">
        <v>44106</v>
      </c>
      <c r="C565" s="38" t="n">
        <f aca="false">V$26-V$26*SIN(2*PI()/365*A565)</f>
        <v>17.420636061191</v>
      </c>
      <c r="D565" s="2" t="n">
        <f aca="false">IF((E565+F565)&gt;C565,C565,E565+F565)</f>
        <v>13.7473009655529</v>
      </c>
      <c r="E565" s="38" t="n">
        <f aca="false">(V$23+V$24*SIN(2*PI()/365*A565))*V$25/100*V$7*V$8/100</f>
        <v>11.3447611595315</v>
      </c>
      <c r="F565" s="38" t="n">
        <f aca="false">(V$23+V$24*SIN(2*PI()/365*A565))*V$25/100*V$9*(1-V$14/100)*(1-V$16/100)</f>
        <v>2.40253980602147</v>
      </c>
      <c r="G565" s="38" t="n">
        <f aca="false">IF(C565&gt;E565,100,C565/E565*100)</f>
        <v>100</v>
      </c>
      <c r="H565" s="38" t="n">
        <f aca="false">L565/F565*100</f>
        <v>100</v>
      </c>
      <c r="I565" s="38" t="n">
        <f aca="false">(V$23+V$24*SIN(2*PI()/365*A565))*V$25/100*V$7*V$8/100*(1-V$15/100)</f>
        <v>10.096837431983</v>
      </c>
      <c r="J565" s="38" t="n">
        <f aca="false">(V$23+V$24*SIN(2*PI()/365*A565))*V$25/100*V$9*(1-V$14/100)</f>
        <v>2.69948292811401</v>
      </c>
      <c r="K565" s="39" t="n">
        <f aca="false">IF(E565/C565*100&lt;100,E565/C565*100,100)</f>
        <v>65.1225427113127</v>
      </c>
      <c r="L565" s="2" t="n">
        <f aca="false">IF(((C565-E565)&gt;0)AND(F565&gt;(C565-E565)),(C565-E565),IF(C565&lt;E565,0,F565))</f>
        <v>2.40253980602147</v>
      </c>
      <c r="M565" s="2" t="n">
        <f aca="false">IF(C565&lt;(E565+F565),0,C565-E565-F565)</f>
        <v>3.67333509563808</v>
      </c>
      <c r="N565" s="2" t="n">
        <f aca="false">IF(C565&lt;(E565+F565),0,(C565-E565-F565)/(1-V$16/100))</f>
        <v>4.12734280408774</v>
      </c>
      <c r="O565" s="2" t="n">
        <f aca="false">L565+M565</f>
        <v>6.07587490165955</v>
      </c>
      <c r="P565" s="2" t="n">
        <f aca="false">IF( N565=0,I565*(1-G565/100)+J565*(1-H565/100),-N565)</f>
        <v>-4.12734280408774</v>
      </c>
      <c r="Q565" s="47" t="n">
        <f aca="false">IF(P564&gt;0,Q564+P564*(1-V$20/100),Q564+P564)</f>
        <v>3598.30393474752</v>
      </c>
      <c r="R565" s="48" t="n">
        <f aca="false">R$4+Q565/V$28</f>
        <v>82.5626073813171</v>
      </c>
    </row>
    <row r="566" customFormat="false" ht="12.8" hidden="false" customHeight="false" outlineLevel="0" collapsed="false">
      <c r="A566" s="1" t="n">
        <v>562</v>
      </c>
      <c r="B566" s="37" t="n">
        <v>44107</v>
      </c>
      <c r="C566" s="38" t="n">
        <f aca="false">V$26-V$26*SIN(2*PI()/365*A566)</f>
        <v>17.6573351582776</v>
      </c>
      <c r="D566" s="2" t="n">
        <f aca="false">IF((E566+F566)&gt;C566,C566,E566+F566)</f>
        <v>13.5064149823522</v>
      </c>
      <c r="E566" s="38" t="n">
        <f aca="false">(V$23+V$24*SIN(2*PI()/365*A566))*V$25/100*V$7*V$8/100</f>
        <v>11.1459734881959</v>
      </c>
      <c r="F566" s="38" t="n">
        <f aca="false">(V$23+V$24*SIN(2*PI()/365*A566))*V$25/100*V$9*(1-V$14/100)*(1-V$16/100)</f>
        <v>2.36044149415629</v>
      </c>
      <c r="G566" s="38" t="n">
        <f aca="false">IF(C566&gt;E566,100,C566/E566*100)</f>
        <v>100</v>
      </c>
      <c r="H566" s="38" t="n">
        <f aca="false">L566/F566*100</f>
        <v>100</v>
      </c>
      <c r="I566" s="38" t="n">
        <f aca="false">(V$23+V$24*SIN(2*PI()/365*A566))*V$25/100*V$7*V$8/100*(1-V$15/100)</f>
        <v>9.91991640449438</v>
      </c>
      <c r="J566" s="38" t="n">
        <f aca="false">(V$23+V$24*SIN(2*PI()/365*A566))*V$25/100*V$9*(1-V$14/100)</f>
        <v>2.65218145410819</v>
      </c>
      <c r="K566" s="39" t="n">
        <f aca="false">IF(E566/C566*100&lt;100,E566/C566*100,100)</f>
        <v>63.1237578506904</v>
      </c>
      <c r="L566" s="2" t="n">
        <f aca="false">IF(((C566-E566)&gt;0)AND(F566&gt;(C566-E566)),(C566-E566),IF(C566&lt;E566,0,F566))</f>
        <v>2.36044149415629</v>
      </c>
      <c r="M566" s="2" t="n">
        <f aca="false">IF(C566&lt;(E566+F566),0,C566-E566-F566)</f>
        <v>4.15092017592532</v>
      </c>
      <c r="N566" s="2" t="n">
        <f aca="false">IF(C566&lt;(E566+F566),0,(C566-E566-F566)/(1-V$16/100))</f>
        <v>4.66395525384868</v>
      </c>
      <c r="O566" s="2" t="n">
        <f aca="false">L566+M566</f>
        <v>6.51136167008161</v>
      </c>
      <c r="P566" s="2" t="n">
        <f aca="false">IF( N566=0,I566*(1-G566/100)+J566*(1-H566/100),-N566)</f>
        <v>-4.66395525384868</v>
      </c>
      <c r="Q566" s="47" t="n">
        <f aca="false">IF(P565&gt;0,Q565+P565*(1-V$20/100),Q565+P565)</f>
        <v>3594.17659194344</v>
      </c>
      <c r="R566" s="48" t="n">
        <f aca="false">R$4+Q566/V$28</f>
        <v>82.5137870274826</v>
      </c>
    </row>
    <row r="567" customFormat="false" ht="12.8" hidden="false" customHeight="false" outlineLevel="0" collapsed="false">
      <c r="A567" s="1" t="n">
        <v>563</v>
      </c>
      <c r="B567" s="37" t="n">
        <v>44108</v>
      </c>
      <c r="C567" s="38" t="n">
        <f aca="false">V$26-V$26*SIN(2*PI()/365*A567)</f>
        <v>17.8929978009236</v>
      </c>
      <c r="D567" s="2" t="n">
        <f aca="false">IF((E567+F567)&gt;C567,C567,E567+F567)</f>
        <v>13.2665837870659</v>
      </c>
      <c r="E567" s="38" t="n">
        <f aca="false">(V$23+V$24*SIN(2*PI()/365*A567))*V$25/100*V$7*V$8/100</f>
        <v>10.948056265321</v>
      </c>
      <c r="F567" s="38" t="n">
        <f aca="false">(V$23+V$24*SIN(2*PI()/365*A567))*V$25/100*V$9*(1-V$14/100)*(1-V$16/100)</f>
        <v>2.3185275217449</v>
      </c>
      <c r="G567" s="38" t="n">
        <f aca="false">IF(C567&gt;E567,100,C567/E567*100)</f>
        <v>100</v>
      </c>
      <c r="H567" s="38" t="n">
        <f aca="false">L567/F567*100</f>
        <v>100</v>
      </c>
      <c r="I567" s="38" t="n">
        <f aca="false">(V$23+V$24*SIN(2*PI()/365*A567))*V$25/100*V$7*V$8/100*(1-V$15/100)</f>
        <v>9.74377007613565</v>
      </c>
      <c r="J567" s="38" t="n">
        <f aca="false">(V$23+V$24*SIN(2*PI()/365*A567))*V$25/100*V$9*(1-V$14/100)</f>
        <v>2.60508710308416</v>
      </c>
      <c r="K567" s="39" t="n">
        <f aca="false">IF(E567/C567*100&lt;100,E567/C567*100,100)</f>
        <v>61.1862606094761</v>
      </c>
      <c r="L567" s="2" t="n">
        <f aca="false">IF(((C567-E567)&gt;0)AND(F567&gt;(C567-E567)),(C567-E567),IF(C567&lt;E567,0,F567))</f>
        <v>2.3185275217449</v>
      </c>
      <c r="M567" s="2" t="n">
        <f aca="false">IF(C567&lt;(E567+F567),0,C567-E567-F567)</f>
        <v>4.62641401385776</v>
      </c>
      <c r="N567" s="2" t="n">
        <f aca="false">IF(C567&lt;(E567+F567),0,(C567-E567-F567)/(1-V$16/100))</f>
        <v>5.19821799309861</v>
      </c>
      <c r="O567" s="2" t="n">
        <f aca="false">L567+M567</f>
        <v>6.94494153560267</v>
      </c>
      <c r="P567" s="2" t="n">
        <f aca="false">IF( N567=0,I567*(1-G567/100)+J567*(1-H567/100),-N567)</f>
        <v>-5.19821799309861</v>
      </c>
      <c r="Q567" s="47" t="n">
        <f aca="false">IF(P566&gt;0,Q566+P566*(1-V$20/100),Q566+P566)</f>
        <v>3589.51263668959</v>
      </c>
      <c r="R567" s="48" t="n">
        <f aca="false">R$4+Q567/V$28</f>
        <v>82.4586193429531</v>
      </c>
    </row>
    <row r="568" customFormat="false" ht="12.8" hidden="false" customHeight="false" outlineLevel="0" collapsed="false">
      <c r="A568" s="1" t="n">
        <v>564</v>
      </c>
      <c r="B568" s="37" t="n">
        <v>44109</v>
      </c>
      <c r="C568" s="38" t="n">
        <f aca="false">V$26-V$26*SIN(2*PI()/365*A568)</f>
        <v>18.1275541572022</v>
      </c>
      <c r="D568" s="2" t="n">
        <f aca="false">IF((E568+F568)&gt;C568,C568,E568+F568)</f>
        <v>13.0278784468529</v>
      </c>
      <c r="E568" s="38" t="n">
        <f aca="false">(V$23+V$24*SIN(2*PI()/365*A568))*V$25/100*V$7*V$8/100</f>
        <v>10.751068138051</v>
      </c>
      <c r="F568" s="38" t="n">
        <f aca="false">(V$23+V$24*SIN(2*PI()/365*A568))*V$25/100*V$9*(1-V$14/100)*(1-V$16/100)</f>
        <v>2.27681030880191</v>
      </c>
      <c r="G568" s="38" t="n">
        <f aca="false">IF(C568&gt;E568,100,C568/E568*100)</f>
        <v>100</v>
      </c>
      <c r="H568" s="38" t="n">
        <f aca="false">L568/F568*100</f>
        <v>100</v>
      </c>
      <c r="I568" s="38" t="n">
        <f aca="false">(V$23+V$24*SIN(2*PI()/365*A568))*V$25/100*V$7*V$8/100*(1-V$15/100)</f>
        <v>9.5684506428654</v>
      </c>
      <c r="J568" s="38" t="n">
        <f aca="false">(V$23+V$24*SIN(2*PI()/365*A568))*V$25/100*V$9*(1-V$14/100)</f>
        <v>2.5582138301145</v>
      </c>
      <c r="K568" s="39" t="n">
        <f aca="false">IF(E568/C568*100&lt;100,E568/C568*100,100)</f>
        <v>59.3078803947721</v>
      </c>
      <c r="L568" s="2" t="n">
        <f aca="false">IF(((C568-E568)&gt;0)AND(F568&gt;(C568-E568)),(C568-E568),IF(C568&lt;E568,0,F568))</f>
        <v>2.27681030880191</v>
      </c>
      <c r="M568" s="2" t="n">
        <f aca="false">IF(C568&lt;(E568+F568),0,C568-E568-F568)</f>
        <v>5.09967571034928</v>
      </c>
      <c r="N568" s="2" t="n">
        <f aca="false">IF(C568&lt;(E568+F568),0,(C568-E568-F568)/(1-V$16/100))</f>
        <v>5.72997270825762</v>
      </c>
      <c r="O568" s="2" t="n">
        <f aca="false">L568+M568</f>
        <v>7.37648601915119</v>
      </c>
      <c r="P568" s="2" t="n">
        <f aca="false">IF( N568=0,I568*(1-G568/100)+J568*(1-H568/100),-N568)</f>
        <v>-5.72997270825762</v>
      </c>
      <c r="Q568" s="47" t="n">
        <f aca="false">IF(P567&gt;0,Q567+P567*(1-V$20/100),Q567+P567)</f>
        <v>3584.31441869649</v>
      </c>
      <c r="R568" s="48" t="n">
        <f aca="false">R$4+Q568/V$28</f>
        <v>82.3971321213245</v>
      </c>
    </row>
    <row r="569" customFormat="false" ht="12.8" hidden="false" customHeight="false" outlineLevel="0" collapsed="false">
      <c r="A569" s="1" t="n">
        <v>565</v>
      </c>
      <c r="B569" s="37" t="n">
        <v>44110</v>
      </c>
      <c r="C569" s="38" t="n">
        <f aca="false">V$26-V$26*SIN(2*PI()/365*A569)</f>
        <v>18.3609347230027</v>
      </c>
      <c r="D569" s="2" t="n">
        <f aca="false">IF((E569+F569)&gt;C569,C569,E569+F569)</f>
        <v>12.7903696952575</v>
      </c>
      <c r="E569" s="38" t="n">
        <f aca="false">(V$23+V$24*SIN(2*PI()/365*A569))*V$25/100*V$7*V$8/100</f>
        <v>10.5550674782196</v>
      </c>
      <c r="F569" s="38" t="n">
        <f aca="false">(V$23+V$24*SIN(2*PI()/365*A569))*V$25/100*V$9*(1-V$14/100)*(1-V$16/100)</f>
        <v>2.23530221703783</v>
      </c>
      <c r="G569" s="38" t="n">
        <f aca="false">IF(C569&gt;E569,100,C569/E569*100)</f>
        <v>100</v>
      </c>
      <c r="H569" s="38" t="n">
        <f aca="false">L569/F569*100</f>
        <v>100</v>
      </c>
      <c r="I569" s="38" t="n">
        <f aca="false">(V$23+V$24*SIN(2*PI()/365*A569))*V$25/100*V$7*V$8/100*(1-V$15/100)</f>
        <v>9.39401005561548</v>
      </c>
      <c r="J569" s="38" t="n">
        <f aca="false">(V$23+V$24*SIN(2*PI()/365*A569))*V$25/100*V$9*(1-V$14/100)</f>
        <v>2.51157552476161</v>
      </c>
      <c r="K569" s="39" t="n">
        <f aca="false">IF(E569/C569*100&lt;100,E569/C569*100,100)</f>
        <v>57.4865475938769</v>
      </c>
      <c r="L569" s="2" t="n">
        <f aca="false">IF(((C569-E569)&gt;0)AND(F569&gt;(C569-E569)),(C569-E569),IF(C569&lt;E569,0,F569))</f>
        <v>2.23530221703783</v>
      </c>
      <c r="M569" s="2" t="n">
        <f aca="false">IF(C569&lt;(E569+F569),0,C569-E569-F569)</f>
        <v>5.57056502774528</v>
      </c>
      <c r="N569" s="2" t="n">
        <f aca="false">IF(C569&lt;(E569+F569),0,(C569-E569-F569)/(1-V$16/100))</f>
        <v>6.25906182892728</v>
      </c>
      <c r="O569" s="2" t="n">
        <f aca="false">L569+M569</f>
        <v>7.80586724478311</v>
      </c>
      <c r="P569" s="2" t="n">
        <f aca="false">IF( N569=0,I569*(1-G569/100)+J569*(1-H569/100),-N569)</f>
        <v>-6.25906182892728</v>
      </c>
      <c r="Q569" s="47" t="n">
        <f aca="false">IF(P568&gt;0,Q568+P568*(1-V$20/100),Q568+P568)</f>
        <v>3578.58444598823</v>
      </c>
      <c r="R569" s="48" t="n">
        <f aca="false">R$4+Q569/V$28</f>
        <v>82.3293550288082</v>
      </c>
    </row>
    <row r="570" customFormat="false" ht="12.8" hidden="false" customHeight="false" outlineLevel="0" collapsed="false">
      <c r="A570" s="1" t="n">
        <v>566</v>
      </c>
      <c r="B570" s="37" t="n">
        <v>44111</v>
      </c>
      <c r="C570" s="38" t="n">
        <f aca="false">V$26-V$26*SIN(2*PI()/365*A570)</f>
        <v>18.5930703426269</v>
      </c>
      <c r="D570" s="2" t="n">
        <f aca="false">IF((E570+F570)&gt;C570,C570,E570+F570)</f>
        <v>12.5541279112484</v>
      </c>
      <c r="E570" s="38" t="n">
        <f aca="false">(V$23+V$24*SIN(2*PI()/365*A570))*V$25/100*V$7*V$8/100</f>
        <v>10.3601123650523</v>
      </c>
      <c r="F570" s="38" t="n">
        <f aca="false">(V$23+V$24*SIN(2*PI()/365*A570))*V$25/100*V$9*(1-V$14/100)*(1-V$16/100)</f>
        <v>2.19401554619608</v>
      </c>
      <c r="G570" s="38" t="n">
        <f aca="false">IF(C570&gt;E570,100,C570/E570*100)</f>
        <v>100</v>
      </c>
      <c r="H570" s="38" t="n">
        <f aca="false">L570/F570*100</f>
        <v>100</v>
      </c>
      <c r="I570" s="38" t="n">
        <f aca="false">(V$23+V$24*SIN(2*PI()/365*A570))*V$25/100*V$7*V$8/100*(1-V$15/100)</f>
        <v>9.22050000489658</v>
      </c>
      <c r="J570" s="38" t="n">
        <f aca="false">(V$23+V$24*SIN(2*PI()/365*A570))*V$25/100*V$9*(1-V$14/100)</f>
        <v>2.46518600696188</v>
      </c>
      <c r="K570" s="39" t="n">
        <f aca="false">IF(E570/C570*100&lt;100,E570/C570*100,100)</f>
        <v>55.7202881188511</v>
      </c>
      <c r="L570" s="2" t="n">
        <f aca="false">IF(((C570-E570)&gt;0)AND(F570&gt;(C570-E570)),(C570-E570),IF(C570&lt;E570,0,F570))</f>
        <v>2.19401554619608</v>
      </c>
      <c r="M570" s="2" t="n">
        <f aca="false">IF(C570&lt;(E570+F570),0,C570-E570-F570)</f>
        <v>6.03894243137844</v>
      </c>
      <c r="N570" s="2" t="n">
        <f aca="false">IF(C570&lt;(E570+F570),0,(C570-E570-F570)/(1-V$16/100))</f>
        <v>6.78532857458252</v>
      </c>
      <c r="O570" s="2" t="n">
        <f aca="false">L570+M570</f>
        <v>8.23295797757452</v>
      </c>
      <c r="P570" s="2" t="n">
        <f aca="false">IF( N570=0,I570*(1-G570/100)+J570*(1-H570/100),-N570)</f>
        <v>-6.78532857458252</v>
      </c>
      <c r="Q570" s="47" t="n">
        <f aca="false">IF(P569&gt;0,Q569+P569*(1-V$20/100),Q569+P569)</f>
        <v>3572.3253841593</v>
      </c>
      <c r="R570" s="48" t="n">
        <f aca="false">R$4+Q570/V$28</f>
        <v>82.2553195954398</v>
      </c>
    </row>
    <row r="571" customFormat="false" ht="12.8" hidden="false" customHeight="false" outlineLevel="0" collapsed="false">
      <c r="A571" s="1" t="n">
        <v>567</v>
      </c>
      <c r="B571" s="37" t="n">
        <v>44112</v>
      </c>
      <c r="C571" s="38" t="n">
        <f aca="false">V$26-V$26*SIN(2*PI()/365*A571)</f>
        <v>18.8238922292806</v>
      </c>
      <c r="D571" s="2" t="n">
        <f aca="false">IF((E571+F571)&gt;C571,C571,E571+F571)</f>
        <v>12.3192230983649</v>
      </c>
      <c r="E571" s="38" t="n">
        <f aca="false">(V$23+V$24*SIN(2*PI()/365*A571))*V$25/100*V$7*V$8/100</f>
        <v>10.1662605679566</v>
      </c>
      <c r="F571" s="38" t="n">
        <f aca="false">(V$23+V$24*SIN(2*PI()/365*A571))*V$25/100*V$9*(1-V$14/100)*(1-V$16/100)</f>
        <v>2.15296253040826</v>
      </c>
      <c r="G571" s="38" t="n">
        <f aca="false">IF(C571&gt;E571,100,C571/E571*100)</f>
        <v>100</v>
      </c>
      <c r="H571" s="38" t="n">
        <f aca="false">L571/F571*100</f>
        <v>100</v>
      </c>
      <c r="I571" s="38" t="n">
        <f aca="false">(V$23+V$24*SIN(2*PI()/365*A571))*V$25/100*V$7*V$8/100*(1-V$15/100)</f>
        <v>9.04797190548139</v>
      </c>
      <c r="J571" s="38" t="n">
        <f aca="false">(V$23+V$24*SIN(2*PI()/365*A571))*V$25/100*V$9*(1-V$14/100)</f>
        <v>2.41905902293063</v>
      </c>
      <c r="K571" s="39" t="n">
        <f aca="false">IF(E571/C571*100&lt;100,E571/C571*100,100)</f>
        <v>54.0072182953905</v>
      </c>
      <c r="L571" s="2" t="n">
        <f aca="false">IF(((C571-E571)&gt;0)AND(F571&gt;(C571-E571)),(C571-E571),IF(C571&lt;E571,0,F571))</f>
        <v>2.15296253040826</v>
      </c>
      <c r="M571" s="2" t="n">
        <f aca="false">IF(C571&lt;(E571+F571),0,C571-E571-F571)</f>
        <v>6.50466913091571</v>
      </c>
      <c r="N571" s="2" t="n">
        <f aca="false">IF(C571&lt;(E571+F571),0,(C571-E571-F571)/(1-V$16/100))</f>
        <v>7.30861700102888</v>
      </c>
      <c r="O571" s="2" t="n">
        <f aca="false">L571+M571</f>
        <v>8.65763166132397</v>
      </c>
      <c r="P571" s="2" t="n">
        <f aca="false">IF( N571=0,I571*(1-G571/100)+J571*(1-H571/100),-N571)</f>
        <v>-7.30861700102888</v>
      </c>
      <c r="Q571" s="47" t="n">
        <f aca="false">IF(P570&gt;0,Q570+P570*(1-V$20/100),Q570+P570)</f>
        <v>3565.54005558472</v>
      </c>
      <c r="R571" s="48" t="n">
        <f aca="false">R$4+Q571/V$28</f>
        <v>82.1750592057367</v>
      </c>
    </row>
    <row r="572" customFormat="false" ht="12.8" hidden="false" customHeight="false" outlineLevel="0" collapsed="false">
      <c r="A572" s="1" t="n">
        <v>568</v>
      </c>
      <c r="B572" s="37" t="n">
        <v>44113</v>
      </c>
      <c r="C572" s="38" t="n">
        <f aca="false">V$26-V$26*SIN(2*PI()/365*A572)</f>
        <v>19.0533319854573</v>
      </c>
      <c r="D572" s="2" t="n">
        <f aca="false">IF((E572+F572)&gt;C572,C572,E572+F572)</f>
        <v>12.0857248639726</v>
      </c>
      <c r="E572" s="38" t="n">
        <f aca="false">(V$23+V$24*SIN(2*PI()/365*A572))*V$25/100*V$7*V$8/100</f>
        <v>9.97356952940364</v>
      </c>
      <c r="F572" s="38" t="n">
        <f aca="false">(V$23+V$24*SIN(2*PI()/365*A572))*V$25/100*V$9*(1-V$14/100)*(1-V$16/100)</f>
        <v>2.11215533456895</v>
      </c>
      <c r="G572" s="38" t="n">
        <f aca="false">IF(C572&gt;E572,100,C572/E572*100)</f>
        <v>100</v>
      </c>
      <c r="H572" s="38" t="n">
        <f aca="false">L572/F572*100</f>
        <v>100</v>
      </c>
      <c r="I572" s="38" t="n">
        <f aca="false">(V$23+V$24*SIN(2*PI()/365*A572))*V$25/100*V$7*V$8/100*(1-V$15/100)</f>
        <v>8.87647688116924</v>
      </c>
      <c r="J572" s="38" t="n">
        <f aca="false">(V$23+V$24*SIN(2*PI()/365*A572))*V$25/100*V$9*(1-V$14/100)</f>
        <v>2.37320824108871</v>
      </c>
      <c r="K572" s="39" t="n">
        <f aca="false">IF(E572/C572*100&lt;100,E572/C572*100,100)</f>
        <v>52.3455400715009</v>
      </c>
      <c r="L572" s="2" t="n">
        <f aca="false">IF(((C572-E572)&gt;0)AND(F572&gt;(C572-E572)),(C572-E572),IF(C572&lt;E572,0,F572))</f>
        <v>2.11215533456895</v>
      </c>
      <c r="M572" s="2" t="n">
        <f aca="false">IF(C572&lt;(E572+F572),0,C572-E572-F572)</f>
        <v>6.9676071214847</v>
      </c>
      <c r="N572" s="2" t="n">
        <f aca="false">IF(C572&lt;(E572+F572),0,(C572-E572-F572)/(1-V$16/100))</f>
        <v>7.82877204661203</v>
      </c>
      <c r="O572" s="2" t="n">
        <f aca="false">L572+M572</f>
        <v>9.07976245605366</v>
      </c>
      <c r="P572" s="2" t="n">
        <f aca="false">IF( N572=0,I572*(1-G572/100)+J572*(1-H572/100),-N572)</f>
        <v>-7.82877204661203</v>
      </c>
      <c r="Q572" s="47" t="n">
        <f aca="false">IF(P571&gt;0,Q571+P571*(1-V$20/100),Q571+P571)</f>
        <v>3558.23143858369</v>
      </c>
      <c r="R572" s="48" t="n">
        <f aca="false">R$4+Q572/V$28</f>
        <v>82.0886090888049</v>
      </c>
    </row>
    <row r="573" customFormat="false" ht="12.8" hidden="false" customHeight="false" outlineLevel="0" collapsed="false">
      <c r="A573" s="1" t="n">
        <v>569</v>
      </c>
      <c r="B573" s="37" t="n">
        <v>44114</v>
      </c>
      <c r="C573" s="38" t="n">
        <f aca="false">V$26-V$26*SIN(2*PI()/365*A573)</f>
        <v>19.2813216232056</v>
      </c>
      <c r="D573" s="2" t="n">
        <f aca="false">IF((E573+F573)&gt;C573,C573,E573+F573)</f>
        <v>11.8537023986377</v>
      </c>
      <c r="E573" s="38" t="n">
        <f aca="false">(V$23+V$24*SIN(2*PI()/365*A573))*V$25/100*V$7*V$8/100</f>
        <v>9.78209634790673</v>
      </c>
      <c r="F573" s="38" t="n">
        <f aca="false">(V$23+V$24*SIN(2*PI()/365*A573))*V$25/100*V$9*(1-V$14/100)*(1-V$16/100)</f>
        <v>2.07160605073098</v>
      </c>
      <c r="G573" s="38" t="n">
        <f aca="false">IF(C573&gt;E573,100,C573/E573*100)</f>
        <v>100</v>
      </c>
      <c r="H573" s="38" t="n">
        <f aca="false">L573/F573*100</f>
        <v>100</v>
      </c>
      <c r="I573" s="38" t="n">
        <f aca="false">(V$23+V$24*SIN(2*PI()/365*A573))*V$25/100*V$7*V$8/100*(1-V$15/100)</f>
        <v>8.70606574963699</v>
      </c>
      <c r="J573" s="38" t="n">
        <f aca="false">(V$23+V$24*SIN(2*PI()/365*A573))*V$25/100*V$9*(1-V$14/100)</f>
        <v>2.32764724801233</v>
      </c>
      <c r="K573" s="39" t="n">
        <f aca="false">IF(E573/C573*100&lt;100,E573/C573*100,100)</f>
        <v>50.7335365234182</v>
      </c>
      <c r="L573" s="2" t="n">
        <f aca="false">IF(((C573-E573)&gt;0)AND(F573&gt;(C573-E573)),(C573-E573),IF(C573&lt;E573,0,F573))</f>
        <v>2.07160605073098</v>
      </c>
      <c r="M573" s="2" t="n">
        <f aca="false">IF(C573&lt;(E573+F573),0,C573-E573-F573)</f>
        <v>7.42761922456785</v>
      </c>
      <c r="N573" s="2" t="n">
        <f aca="false">IF(C573&lt;(E573+F573),0,(C573-E573-F573)/(1-V$16/100))</f>
        <v>8.34563957816613</v>
      </c>
      <c r="O573" s="2" t="n">
        <f aca="false">L573+M573</f>
        <v>9.49922527529883</v>
      </c>
      <c r="P573" s="2" t="n">
        <f aca="false">IF( N573=0,I573*(1-G573/100)+J573*(1-H573/100),-N573)</f>
        <v>-8.34563957816613</v>
      </c>
      <c r="Q573" s="47" t="n">
        <f aca="false">IF(P572&gt;0,Q572+P572*(1-V$20/100),Q572+P572)</f>
        <v>3550.40266653708</v>
      </c>
      <c r="R573" s="48" t="n">
        <f aca="false">R$4+Q573/V$28</f>
        <v>81.9960063079002</v>
      </c>
    </row>
    <row r="574" customFormat="false" ht="12.8" hidden="false" customHeight="false" outlineLevel="0" collapsed="false">
      <c r="A574" s="1" t="n">
        <v>570</v>
      </c>
      <c r="B574" s="37" t="n">
        <v>44115</v>
      </c>
      <c r="C574" s="38" t="n">
        <f aca="false">V$26-V$26*SIN(2*PI()/365*A574)</f>
        <v>19.5077935842753</v>
      </c>
      <c r="D574" s="2" t="n">
        <f aca="false">IF((E574+F574)&gt;C574,C574,E574+F574)</f>
        <v>11.6232244556242</v>
      </c>
      <c r="E574" s="38" t="n">
        <f aca="false">(V$23+V$24*SIN(2*PI()/365*A574))*V$25/100*V$7*V$8/100</f>
        <v>9.5918977611019</v>
      </c>
      <c r="F574" s="38" t="n">
        <f aca="false">(V$23+V$24*SIN(2*PI()/365*A574))*V$25/100*V$9*(1-V$14/100)*(1-V$16/100)</f>
        <v>2.03132669452226</v>
      </c>
      <c r="G574" s="38" t="n">
        <f aca="false">IF(C574&gt;E574,100,C574/E574*100)</f>
        <v>100</v>
      </c>
      <c r="H574" s="38" t="n">
        <f aca="false">L574/F574*100</f>
        <v>100</v>
      </c>
      <c r="I574" s="38" t="n">
        <f aca="false">(V$23+V$24*SIN(2*PI()/365*A574))*V$25/100*V$7*V$8/100*(1-V$15/100)</f>
        <v>8.53678900738069</v>
      </c>
      <c r="J574" s="38" t="n">
        <f aca="false">(V$23+V$24*SIN(2*PI()/365*A574))*V$25/100*V$9*(1-V$14/100)</f>
        <v>2.28238954440703</v>
      </c>
      <c r="K574" s="39" t="n">
        <f aca="false">IF(E574/C574*100&lt;100,E574/C574*100,100)</f>
        <v>49.1695676380012</v>
      </c>
      <c r="L574" s="2" t="n">
        <f aca="false">IF(((C574-E574)&gt;0)AND(F574&gt;(C574-E574)),(C574-E574),IF(C574&lt;E574,0,F574))</f>
        <v>2.03132669452226</v>
      </c>
      <c r="M574" s="2" t="n">
        <f aca="false">IF(C574&lt;(E574+F574),0,C574-E574-F574)</f>
        <v>7.88456912865114</v>
      </c>
      <c r="N574" s="2" t="n">
        <f aca="false">IF(C574&lt;(E574+F574),0,(C574-E574-F574)/(1-V$16/100))</f>
        <v>8.85906643668667</v>
      </c>
      <c r="O574" s="2" t="n">
        <f aca="false">L574+M574</f>
        <v>9.91589582317339</v>
      </c>
      <c r="P574" s="2" t="n">
        <f aca="false">IF( N574=0,I574*(1-G574/100)+J574*(1-H574/100),-N574)</f>
        <v>-8.85906643668667</v>
      </c>
      <c r="Q574" s="47" t="n">
        <f aca="false">IF(P573&gt;0,Q573+P573*(1-V$20/100),Q573+P573)</f>
        <v>3542.05702695892</v>
      </c>
      <c r="R574" s="48" t="n">
        <f aca="false">R$4+Q574/V$28</f>
        <v>81.8972897494457</v>
      </c>
    </row>
    <row r="575" customFormat="false" ht="12.8" hidden="false" customHeight="false" outlineLevel="0" collapsed="false">
      <c r="A575" s="1" t="n">
        <v>571</v>
      </c>
      <c r="B575" s="37" t="n">
        <v>44116</v>
      </c>
      <c r="C575" s="38" t="n">
        <f aca="false">V$26-V$26*SIN(2*PI()/365*A575)</f>
        <v>19.7326807601368</v>
      </c>
      <c r="D575" s="2" t="n">
        <f aca="false">IF((E575+F575)&gt;C575,C575,E575+F575)</f>
        <v>11.3943593305206</v>
      </c>
      <c r="E575" s="38" t="n">
        <f aca="false">(V$23+V$24*SIN(2*PI()/365*A575))*V$25/100*V$7*V$8/100</f>
        <v>9.40303012893523</v>
      </c>
      <c r="F575" s="38" t="n">
        <f aca="false">(V$23+V$24*SIN(2*PI()/365*A575))*V$25/100*V$9*(1-V$14/100)*(1-V$16/100)</f>
        <v>1.99132920158533</v>
      </c>
      <c r="G575" s="38" t="n">
        <f aca="false">IF(C575&gt;E575,100,C575/E575*100)</f>
        <v>100</v>
      </c>
      <c r="H575" s="38" t="n">
        <f aca="false">L575/F575*100</f>
        <v>100</v>
      </c>
      <c r="I575" s="38" t="n">
        <f aca="false">(V$23+V$24*SIN(2*PI()/365*A575))*V$25/100*V$7*V$8/100*(1-V$15/100)</f>
        <v>8.36869681475235</v>
      </c>
      <c r="J575" s="38" t="n">
        <f aca="false">(V$23+V$24*SIN(2*PI()/365*A575))*V$25/100*V$9*(1-V$14/100)</f>
        <v>2.23744854110711</v>
      </c>
      <c r="K575" s="39" t="n">
        <f aca="false">IF(E575/C575*100&lt;100,E575/C575*100,100)</f>
        <v>47.6520663524384</v>
      </c>
      <c r="L575" s="2" t="n">
        <f aca="false">IF(((C575-E575)&gt;0)AND(F575&gt;(C575-E575)),(C575-E575),IF(C575&lt;E575,0,F575))</f>
        <v>1.99132920158533</v>
      </c>
      <c r="M575" s="2" t="n">
        <f aca="false">IF(C575&lt;(E575+F575),0,C575-E575-F575)</f>
        <v>8.33832142961623</v>
      </c>
      <c r="N575" s="2" t="n">
        <f aca="false">IF(C575&lt;(E575+F575),0,(C575-E575-F575)/(1-V$16/100))</f>
        <v>9.36890048271486</v>
      </c>
      <c r="O575" s="2" t="n">
        <f aca="false">L575+M575</f>
        <v>10.3296506312016</v>
      </c>
      <c r="P575" s="2" t="n">
        <f aca="false">IF( N575=0,I575*(1-G575/100)+J575*(1-H575/100),-N575)</f>
        <v>-9.36890048271486</v>
      </c>
      <c r="Q575" s="47" t="n">
        <f aca="false">IF(P574&gt;0,Q574+P574*(1-V$20/100),Q574+P574)</f>
        <v>3533.19796052223</v>
      </c>
      <c r="R575" s="48" t="n">
        <f aca="false">R$4+Q575/V$28</f>
        <v>81.7925001115087</v>
      </c>
    </row>
    <row r="576" customFormat="false" ht="12.8" hidden="false" customHeight="false" outlineLevel="0" collapsed="false">
      <c r="A576" s="1" t="n">
        <v>572</v>
      </c>
      <c r="B576" s="37" t="n">
        <v>44117</v>
      </c>
      <c r="C576" s="38" t="n">
        <f aca="false">V$26-V$26*SIN(2*PI()/365*A576)</f>
        <v>19.9559165118663</v>
      </c>
      <c r="D576" s="2" t="n">
        <f aca="false">IF((E576+F576)&gt;C576,C576,E576+F576)</f>
        <v>11.1671748410028</v>
      </c>
      <c r="E576" s="38" t="n">
        <f aca="false">(V$23+V$24*SIN(2*PI()/365*A576))*V$25/100*V$7*V$8/100</f>
        <v>9.21554941696225</v>
      </c>
      <c r="F576" s="38" t="n">
        <f aca="false">(V$23+V$24*SIN(2*PI()/365*A576))*V$25/100*V$9*(1-V$14/100)*(1-V$16/100)</f>
        <v>1.95162542404058</v>
      </c>
      <c r="G576" s="38" t="n">
        <f aca="false">IF(C576&gt;E576,100,C576/E576*100)</f>
        <v>100</v>
      </c>
      <c r="H576" s="38" t="n">
        <f aca="false">L576/F576*100</f>
        <v>100</v>
      </c>
      <c r="I576" s="38" t="n">
        <f aca="false">(V$23+V$24*SIN(2*PI()/365*A576))*V$25/100*V$7*V$8/100*(1-V$15/100)</f>
        <v>8.2018389810964</v>
      </c>
      <c r="J576" s="38" t="n">
        <f aca="false">(V$23+V$24*SIN(2*PI()/365*A576))*V$25/100*V$9*(1-V$14/100)</f>
        <v>2.19283755510178</v>
      </c>
      <c r="K576" s="39" t="n">
        <f aca="false">IF(E576/C576*100&lt;100,E576/C576*100,100)</f>
        <v>46.179534833604</v>
      </c>
      <c r="L576" s="2" t="n">
        <f aca="false">IF(((C576-E576)&gt;0)AND(F576&gt;(C576-E576)),(C576-E576),IF(C576&lt;E576,0,F576))</f>
        <v>1.95162542404058</v>
      </c>
      <c r="M576" s="2" t="n">
        <f aca="false">IF(C576&lt;(E576+F576),0,C576-E576-F576)</f>
        <v>8.78874167086349</v>
      </c>
      <c r="N576" s="2" t="n">
        <f aca="false">IF(C576&lt;(E576+F576),0,(C576-E576-F576)/(1-V$16/100))</f>
        <v>9.87499064141965</v>
      </c>
      <c r="O576" s="2" t="n">
        <f aca="false">L576+M576</f>
        <v>10.7403670949041</v>
      </c>
      <c r="P576" s="2" t="n">
        <f aca="false">IF( N576=0,I576*(1-G576/100)+J576*(1-H576/100),-N576)</f>
        <v>-9.87499064141965</v>
      </c>
      <c r="Q576" s="47" t="n">
        <f aca="false">IF(P575&gt;0,Q575+P575*(1-V$20/100),Q575+P575)</f>
        <v>3523.82906003951</v>
      </c>
      <c r="R576" s="48" t="n">
        <f aca="false">R$4+Q576/V$28</f>
        <v>81.6816798917408</v>
      </c>
    </row>
    <row r="577" customFormat="false" ht="12.8" hidden="false" customHeight="false" outlineLevel="0" collapsed="false">
      <c r="A577" s="1" t="n">
        <v>573</v>
      </c>
      <c r="B577" s="37" t="n">
        <v>44118</v>
      </c>
      <c r="C577" s="38" t="n">
        <f aca="false">V$26-V$26*SIN(2*PI()/365*A577)</f>
        <v>20.1774346898929</v>
      </c>
      <c r="D577" s="2" t="n">
        <f aca="false">IF((E577+F577)&gt;C577,C577,E577+F577)</f>
        <v>10.9417383067382</v>
      </c>
      <c r="E577" s="38" t="n">
        <f aca="false">(V$23+V$24*SIN(2*PI()/365*A577))*V$25/100*V$7*V$8/100</f>
        <v>9.02951117976407</v>
      </c>
      <c r="F577" s="38" t="n">
        <f aca="false">(V$23+V$24*SIN(2*PI()/365*A577))*V$25/100*V$9*(1-V$14/100)*(1-V$16/100)</f>
        <v>1.91222712697417</v>
      </c>
      <c r="G577" s="38" t="n">
        <f aca="false">IF(C577&gt;E577,100,C577/E577*100)</f>
        <v>100</v>
      </c>
      <c r="H577" s="38" t="n">
        <f aca="false">L577/F577*100</f>
        <v>100</v>
      </c>
      <c r="I577" s="38" t="n">
        <f aca="false">(V$23+V$24*SIN(2*PI()/365*A577))*V$25/100*V$7*V$8/100*(1-V$15/100)</f>
        <v>8.03626494999002</v>
      </c>
      <c r="J577" s="38" t="n">
        <f aca="false">(V$23+V$24*SIN(2*PI()/365*A577))*V$25/100*V$9*(1-V$14/100)</f>
        <v>2.14856980558896</v>
      </c>
      <c r="K577" s="39" t="n">
        <f aca="false">IF(E577/C577*100&lt;100,E577/C577*100,100)</f>
        <v>44.7505409807475</v>
      </c>
      <c r="L577" s="2" t="n">
        <f aca="false">IF(((C577-E577)&gt;0)AND(F577&gt;(C577-E577)),(C577-E577),IF(C577&lt;E577,0,F577))</f>
        <v>1.91222712697417</v>
      </c>
      <c r="M577" s="2" t="n">
        <f aca="false">IF(C577&lt;(E577+F577),0,C577-E577-F577)</f>
        <v>9.23569638315462</v>
      </c>
      <c r="N577" s="2" t="n">
        <f aca="false">IF(C577&lt;(E577+F577),0,(C577-E577-F577)/(1-V$16/100))</f>
        <v>10.3771869473647</v>
      </c>
      <c r="O577" s="2" t="n">
        <f aca="false">L577+M577</f>
        <v>11.1479235101288</v>
      </c>
      <c r="P577" s="2" t="n">
        <f aca="false">IF( N577=0,I577*(1-G577/100)+J577*(1-H577/100),-N577)</f>
        <v>-10.3771869473647</v>
      </c>
      <c r="Q577" s="47" t="n">
        <f aca="false">IF(P576&gt;0,Q576+P576*(1-V$20/100),Q576+P576)</f>
        <v>3513.95406939809</v>
      </c>
      <c r="R577" s="48" t="n">
        <f aca="false">R$4+Q577/V$28</f>
        <v>81.5648733747853</v>
      </c>
    </row>
    <row r="578" customFormat="false" ht="12.8" hidden="false" customHeight="false" outlineLevel="0" collapsed="false">
      <c r="A578" s="1" t="n">
        <v>574</v>
      </c>
      <c r="B578" s="37" t="n">
        <v>44119</v>
      </c>
      <c r="C578" s="38" t="n">
        <f aca="false">V$26-V$26*SIN(2*PI()/365*A578)</f>
        <v>20.3971696535995</v>
      </c>
      <c r="D578" s="2" t="n">
        <f aca="false">IF((E578+F578)&gt;C578,C578,E578+F578)</f>
        <v>10.7181165294372</v>
      </c>
      <c r="E578" s="38" t="n">
        <f aca="false">(V$23+V$24*SIN(2*PI()/365*A578))*V$25/100*V$7*V$8/100</f>
        <v>8.84497054448539</v>
      </c>
      <c r="F578" s="38" t="n">
        <f aca="false">(V$23+V$24*SIN(2*PI()/365*A578))*V$25/100*V$9*(1-V$14/100)*(1-V$16/100)</f>
        <v>1.8731459849518</v>
      </c>
      <c r="G578" s="38" t="n">
        <f aca="false">IF(C578&gt;E578,100,C578/E578*100)</f>
        <v>100</v>
      </c>
      <c r="H578" s="38" t="n">
        <f aca="false">L578/F578*100</f>
        <v>100</v>
      </c>
      <c r="I578" s="38" t="n">
        <f aca="false">(V$23+V$24*SIN(2*PI()/365*A578))*V$25/100*V$7*V$8/100*(1-V$15/100)</f>
        <v>7.87202378459199</v>
      </c>
      <c r="J578" s="38" t="n">
        <f aca="false">(V$23+V$24*SIN(2*PI()/365*A578))*V$25/100*V$9*(1-V$14/100)</f>
        <v>2.10465841005821</v>
      </c>
      <c r="K578" s="39" t="n">
        <f aca="false">IF(E578/C578*100&lt;100,E578/C578*100,100)</f>
        <v>43.3637151364503</v>
      </c>
      <c r="L578" s="2" t="n">
        <f aca="false">IF(((C578-E578)&gt;0)AND(F578&gt;(C578-E578)),(C578-E578),IF(C578&lt;E578,0,F578))</f>
        <v>1.8731459849518</v>
      </c>
      <c r="M578" s="2" t="n">
        <f aca="false">IF(C578&lt;(E578+F578),0,C578-E578-F578)</f>
        <v>9.67905312416234</v>
      </c>
      <c r="N578" s="2" t="n">
        <f aca="false">IF(C578&lt;(E578+F578),0,(C578-E578-F578)/(1-V$16/100))</f>
        <v>10.8753405889464</v>
      </c>
      <c r="O578" s="2" t="n">
        <f aca="false">L578+M578</f>
        <v>11.5521991091141</v>
      </c>
      <c r="P578" s="2" t="n">
        <f aca="false">IF( N578=0,I578*(1-G578/100)+J578*(1-H578/100),-N578)</f>
        <v>-10.8753405889464</v>
      </c>
      <c r="Q578" s="47" t="n">
        <f aca="false">IF(P577&gt;0,Q577+P577*(1-V$20/100),Q577+P577)</f>
        <v>3503.57688245073</v>
      </c>
      <c r="R578" s="48" t="n">
        <f aca="false">R$4+Q578/V$28</f>
        <v>81.4421266191547</v>
      </c>
    </row>
    <row r="579" customFormat="false" ht="12.8" hidden="false" customHeight="false" outlineLevel="0" collapsed="false">
      <c r="A579" s="1" t="n">
        <v>575</v>
      </c>
      <c r="B579" s="37" t="n">
        <v>44120</v>
      </c>
      <c r="C579" s="38" t="n">
        <f aca="false">V$26-V$26*SIN(2*PI()/365*A579)</f>
        <v>20.6150562907742</v>
      </c>
      <c r="D579" s="2" t="n">
        <f aca="false">IF((E579+F579)&gt;C579,C579,E579+F579)</f>
        <v>10.4963757730585</v>
      </c>
      <c r="E579" s="38" t="n">
        <f aca="false">(V$23+V$24*SIN(2*PI()/365*A579))*V$25/100*V$7*V$8/100</f>
        <v>8.66198219449918</v>
      </c>
      <c r="F579" s="38" t="n">
        <f aca="false">(V$23+V$24*SIN(2*PI()/365*A579))*V$25/100*V$9*(1-V$14/100)*(1-V$16/100)</f>
        <v>1.8343935785593</v>
      </c>
      <c r="G579" s="38" t="n">
        <f aca="false">IF(C579&gt;E579,100,C579/E579*100)</f>
        <v>100</v>
      </c>
      <c r="H579" s="38" t="n">
        <f aca="false">L579/F579*100</f>
        <v>100</v>
      </c>
      <c r="I579" s="38" t="n">
        <f aca="false">(V$23+V$24*SIN(2*PI()/365*A579))*V$25/100*V$7*V$8/100*(1-V$15/100)</f>
        <v>7.70916415310427</v>
      </c>
      <c r="J579" s="38" t="n">
        <f aca="false">(V$23+V$24*SIN(2*PI()/365*A579))*V$25/100*V$9*(1-V$14/100)</f>
        <v>2.06111638040371</v>
      </c>
      <c r="K579" s="39" t="n">
        <f aca="false">IF(E579/C579*100&lt;100,E579/C579*100,100)</f>
        <v>42.0177469919189</v>
      </c>
      <c r="L579" s="2" t="n">
        <f aca="false">IF(((C579-E579)&gt;0)AND(F579&gt;(C579-E579)),(C579-E579),IF(C579&lt;E579,0,F579))</f>
        <v>1.8343935785593</v>
      </c>
      <c r="M579" s="2" t="n">
        <f aca="false">IF(C579&lt;(E579+F579),0,C579-E579-F579)</f>
        <v>10.1186805177158</v>
      </c>
      <c r="N579" s="2" t="n">
        <f aca="false">IF(C579&lt;(E579+F579),0,(C579-E579-F579)/(1-V$16/100))</f>
        <v>11.3693039524896</v>
      </c>
      <c r="O579" s="2" t="n">
        <f aca="false">L579+M579</f>
        <v>11.9530740962751</v>
      </c>
      <c r="P579" s="2" t="n">
        <f aca="false">IF( N579=0,I579*(1-G579/100)+J579*(1-H579/100),-N579)</f>
        <v>-11.3693039524896</v>
      </c>
      <c r="Q579" s="47" t="n">
        <f aca="false">IF(P578&gt;0,Q578+P578*(1-V$20/100),Q578+P578)</f>
        <v>3492.70154186178</v>
      </c>
      <c r="R579" s="48" t="n">
        <f aca="false">R$4+Q579/V$28</f>
        <v>81.3134874435821</v>
      </c>
    </row>
    <row r="580" customFormat="false" ht="12.8" hidden="false" customHeight="false" outlineLevel="0" collapsed="false">
      <c r="A580" s="1" t="n">
        <v>576</v>
      </c>
      <c r="B580" s="37" t="n">
        <v>44121</v>
      </c>
      <c r="C580" s="38" t="n">
        <f aca="false">V$26-V$26*SIN(2*PI()/365*A580)</f>
        <v>20.8310300369041</v>
      </c>
      <c r="D580" s="2" t="n">
        <f aca="false">IF((E580+F580)&gt;C580,C580,E580+F580)</f>
        <v>10.2765817441738</v>
      </c>
      <c r="E580" s="38" t="n">
        <f aca="false">(V$23+V$24*SIN(2*PI()/365*A580))*V$25/100*V$7*V$8/100</f>
        <v>8.48060035320276</v>
      </c>
      <c r="F580" s="38" t="n">
        <f aca="false">(V$23+V$24*SIN(2*PI()/365*A580))*V$25/100*V$9*(1-V$14/100)*(1-V$16/100)</f>
        <v>1.79598139097102</v>
      </c>
      <c r="G580" s="38" t="n">
        <f aca="false">IF(C580&gt;E580,100,C580/E580*100)</f>
        <v>100</v>
      </c>
      <c r="H580" s="38" t="n">
        <f aca="false">L580/F580*100</f>
        <v>100</v>
      </c>
      <c r="I580" s="38" t="n">
        <f aca="false">(V$23+V$24*SIN(2*PI()/365*A580))*V$25/100*V$7*V$8/100*(1-V$15/100)</f>
        <v>7.54773431435045</v>
      </c>
      <c r="J580" s="38" t="n">
        <f aca="false">(V$23+V$24*SIN(2*PI()/365*A580))*V$25/100*V$9*(1-V$14/100)</f>
        <v>2.01795661906857</v>
      </c>
      <c r="K580" s="39" t="n">
        <f aca="false">IF(E580/C580*100&lt;100,E580/C580*100,100)</f>
        <v>40.7113826737256</v>
      </c>
      <c r="L580" s="2" t="n">
        <f aca="false">IF(((C580-E580)&gt;0)AND(F580&gt;(C580-E580)),(C580-E580),IF(C580&lt;E580,0,F580))</f>
        <v>1.79598139097102</v>
      </c>
      <c r="M580" s="2" t="n">
        <f aca="false">IF(C580&lt;(E580+F580),0,C580-E580-F580)</f>
        <v>10.5544482927303</v>
      </c>
      <c r="N580" s="2" t="n">
        <f aca="false">IF(C580&lt;(E580+F580),0,(C580-E580-F580)/(1-V$16/100))</f>
        <v>11.8589306659891</v>
      </c>
      <c r="O580" s="2" t="n">
        <f aca="false">L580+M580</f>
        <v>12.3504296837013</v>
      </c>
      <c r="P580" s="2" t="n">
        <f aca="false">IF( N580=0,I580*(1-G580/100)+J580*(1-H580/100),-N580)</f>
        <v>-11.8589306659891</v>
      </c>
      <c r="Q580" s="47" t="n">
        <f aca="false">IF(P579&gt;0,Q579+P579*(1-V$20/100),Q579+P579)</f>
        <v>3481.33223790929</v>
      </c>
      <c r="R580" s="48" t="n">
        <f aca="false">R$4+Q580/V$28</f>
        <v>81.1790054128521</v>
      </c>
    </row>
    <row r="581" customFormat="false" ht="12.8" hidden="false" customHeight="false" outlineLevel="0" collapsed="false">
      <c r="A581" s="1" t="n">
        <v>577</v>
      </c>
      <c r="B581" s="37" t="n">
        <v>44122</v>
      </c>
      <c r="C581" s="38" t="n">
        <f aca="false">V$26-V$26*SIN(2*PI()/365*A581)</f>
        <v>21.045026894307</v>
      </c>
      <c r="D581" s="2" t="n">
        <f aca="false">IF((E581+F581)&gt;C581,C581,E581+F581)</f>
        <v>10.0587995724974</v>
      </c>
      <c r="E581" s="38" t="n">
        <f aca="false">(V$23+V$24*SIN(2*PI()/365*A581))*V$25/100*V$7*V$8/100</f>
        <v>8.3008787679502</v>
      </c>
      <c r="F581" s="38" t="n">
        <f aca="false">(V$23+V$24*SIN(2*PI()/365*A581))*V$25/100*V$9*(1-V$14/100)*(1-V$16/100)</f>
        <v>1.75792080454715</v>
      </c>
      <c r="G581" s="38" t="n">
        <f aca="false">IF(C581&gt;E581,100,C581/E581*100)</f>
        <v>100</v>
      </c>
      <c r="H581" s="38" t="n">
        <f aca="false">L581/F581*100</f>
        <v>100</v>
      </c>
      <c r="I581" s="38" t="n">
        <f aca="false">(V$23+V$24*SIN(2*PI()/365*A581))*V$25/100*V$7*V$8/100*(1-V$15/100)</f>
        <v>7.38778210347568</v>
      </c>
      <c r="J581" s="38" t="n">
        <f aca="false">(V$23+V$24*SIN(2*PI()/365*A581))*V$25/100*V$9*(1-V$14/100)</f>
        <v>1.97519191522152</v>
      </c>
      <c r="K581" s="39" t="n">
        <f aca="false">IF(E581/C581*100&lt;100,E581/C581*100,100)</f>
        <v>39.4434220000722</v>
      </c>
      <c r="L581" s="2" t="n">
        <f aca="false">IF(((C581-E581)&gt;0)AND(F581&gt;(C581-E581)),(C581-E581),IF(C581&lt;E581,0,F581))</f>
        <v>1.75792080454715</v>
      </c>
      <c r="M581" s="2" t="n">
        <f aca="false">IF(C581&lt;(E581+F581),0,C581-E581-F581)</f>
        <v>10.9862273218096</v>
      </c>
      <c r="N581" s="2" t="n">
        <f aca="false">IF(C581&lt;(E581+F581),0,(C581-E581-F581)/(1-V$16/100))</f>
        <v>12.3440756424827</v>
      </c>
      <c r="O581" s="2" t="n">
        <f aca="false">L581+M581</f>
        <v>12.7441481263568</v>
      </c>
      <c r="P581" s="2" t="n">
        <f aca="false">IF( N581=0,I581*(1-G581/100)+J581*(1-H581/100),-N581)</f>
        <v>-12.3440756424827</v>
      </c>
      <c r="Q581" s="47" t="n">
        <f aca="false">IF(P580&gt;0,Q580+P580*(1-V$20/100),Q580+P580)</f>
        <v>3469.4733072433</v>
      </c>
      <c r="R581" s="48" t="n">
        <f aca="false">R$4+Q581/V$28</f>
        <v>81.0387318231132</v>
      </c>
    </row>
    <row r="582" customFormat="false" ht="12.8" hidden="false" customHeight="false" outlineLevel="0" collapsed="false">
      <c r="A582" s="1" t="n">
        <v>578</v>
      </c>
      <c r="B582" s="37" t="n">
        <v>44123</v>
      </c>
      <c r="C582" s="38" t="n">
        <f aca="false">V$26-V$26*SIN(2*PI()/365*A582)</f>
        <v>21.2569834510956</v>
      </c>
      <c r="D582" s="2" t="n">
        <f aca="false">IF((E582+F582)&gt;C582,C582,E582+F582)</f>
        <v>9.84309379158685</v>
      </c>
      <c r="E582" s="38" t="n">
        <f aca="false">(V$23+V$24*SIN(2*PI()/365*A582))*V$25/100*V$7*V$8/100</f>
        <v>8.12287069412598</v>
      </c>
      <c r="F582" s="38" t="n">
        <f aca="false">(V$23+V$24*SIN(2*PI()/365*A582))*V$25/100*V$9*(1-V$14/100)*(1-V$16/100)</f>
        <v>1.72022309746086</v>
      </c>
      <c r="G582" s="38" t="n">
        <f aca="false">IF(C582&gt;E582,100,C582/E582*100)</f>
        <v>100</v>
      </c>
      <c r="H582" s="38" t="n">
        <f aca="false">L582/F582*100</f>
        <v>100</v>
      </c>
      <c r="I582" s="38" t="n">
        <f aca="false">(V$23+V$24*SIN(2*PI()/365*A582))*V$25/100*V$7*V$8/100*(1-V$15/100)</f>
        <v>7.22935491777212</v>
      </c>
      <c r="J582" s="38" t="n">
        <f aca="false">(V$23+V$24*SIN(2*PI()/365*A582))*V$25/100*V$9*(1-V$14/100)</f>
        <v>1.93283494096726</v>
      </c>
      <c r="K582" s="39" t="n">
        <f aca="false">IF(E582/C582*100&lt;100,E582/C582*100,100)</f>
        <v>38.2127158955252</v>
      </c>
      <c r="L582" s="2" t="n">
        <f aca="false">IF(((C582-E582)&gt;0)AND(F582&gt;(C582-E582)),(C582-E582),IF(C582&lt;E582,0,F582))</f>
        <v>1.72022309746086</v>
      </c>
      <c r="M582" s="2" t="n">
        <f aca="false">IF(C582&lt;(E582+F582),0,C582-E582-F582)</f>
        <v>11.4138896595088</v>
      </c>
      <c r="N582" s="2" t="n">
        <f aca="false">IF(C582&lt;(E582+F582),0,(C582-E582-F582)/(1-V$16/100))</f>
        <v>12.8245951230436</v>
      </c>
      <c r="O582" s="2" t="n">
        <f aca="false">L582+M582</f>
        <v>13.1341127569697</v>
      </c>
      <c r="P582" s="2" t="n">
        <f aca="false">IF( N582=0,I582*(1-G582/100)+J582*(1-H582/100),-N582)</f>
        <v>-12.8245951230436</v>
      </c>
      <c r="Q582" s="47" t="n">
        <f aca="false">IF(P581&gt;0,Q581+P581*(1-V$20/100),Q581+P581)</f>
        <v>3457.12923160082</v>
      </c>
      <c r="R582" s="48" t="n">
        <f aca="false">R$4+Q582/V$28</f>
        <v>80.8927196866778</v>
      </c>
    </row>
    <row r="583" customFormat="false" ht="12.8" hidden="false" customHeight="false" outlineLevel="0" collapsed="false">
      <c r="A583" s="1" t="n">
        <v>579</v>
      </c>
      <c r="B583" s="37" t="n">
        <v>44124</v>
      </c>
      <c r="C583" s="38" t="n">
        <f aca="false">V$26-V$26*SIN(2*PI()/365*A583)</f>
        <v>21.4668368999679</v>
      </c>
      <c r="D583" s="2" t="n">
        <f aca="false">IF((E583+F583)&gt;C583,C583,E583+F583)</f>
        <v>9.62952831972043</v>
      </c>
      <c r="E583" s="38" t="n">
        <f aca="false">(V$23+V$24*SIN(2*PI()/365*A583))*V$25/100*V$7*V$8/100</f>
        <v>7.94662887936408</v>
      </c>
      <c r="F583" s="38" t="n">
        <f aca="false">(V$23+V$24*SIN(2*PI()/365*A583))*V$25/100*V$9*(1-V$14/100)*(1-V$16/100)</f>
        <v>1.68289944035635</v>
      </c>
      <c r="G583" s="38" t="n">
        <f aca="false">IF(C583&gt;E583,100,C583/E583*100)</f>
        <v>100</v>
      </c>
      <c r="H583" s="38" t="n">
        <f aca="false">L583/F583*100</f>
        <v>100</v>
      </c>
      <c r="I583" s="38" t="n">
        <f aca="false">(V$23+V$24*SIN(2*PI()/365*A583))*V$25/100*V$7*V$8/100*(1-V$15/100)</f>
        <v>7.07249970263403</v>
      </c>
      <c r="J583" s="38" t="n">
        <f aca="false">(V$23+V$24*SIN(2*PI()/365*A583))*V$25/100*V$9*(1-V$14/100)</f>
        <v>1.89089824759141</v>
      </c>
      <c r="K583" s="39" t="n">
        <f aca="false">IF(E583/C583*100&lt;100,E583/C583*100,100)</f>
        <v>37.0181639539823</v>
      </c>
      <c r="L583" s="2" t="n">
        <f aca="false">IF(((C583-E583)&gt;0)AND(F583&gt;(C583-E583)),(C583-E583),IF(C583&lt;E583,0,F583))</f>
        <v>1.68289944035635</v>
      </c>
      <c r="M583" s="2" t="n">
        <f aca="false">IF(C583&lt;(E583+F583),0,C583-E583-F583)</f>
        <v>11.8373085802474</v>
      </c>
      <c r="N583" s="2" t="n">
        <f aca="false">IF(C583&lt;(E583+F583),0,(C583-E583-F583)/(1-V$16/100))</f>
        <v>13.3003467193792</v>
      </c>
      <c r="O583" s="2" t="n">
        <f aca="false">L583+M583</f>
        <v>13.5202080206038</v>
      </c>
      <c r="P583" s="2" t="n">
        <f aca="false">IF( N583=0,I583*(1-G583/100)+J583*(1-H583/100),-N583)</f>
        <v>-13.3003467193792</v>
      </c>
      <c r="Q583" s="47" t="n">
        <f aca="false">IF(P582&gt;0,Q582+P582*(1-V$20/100),Q582+P582)</f>
        <v>3444.30463647778</v>
      </c>
      <c r="R583" s="48" t="n">
        <f aca="false">R$4+Q583/V$28</f>
        <v>80.7410237163137</v>
      </c>
    </row>
    <row r="584" customFormat="false" ht="12.8" hidden="false" customHeight="false" outlineLevel="0" collapsed="false">
      <c r="A584" s="1" t="n">
        <v>580</v>
      </c>
      <c r="B584" s="37" t="n">
        <v>44125</v>
      </c>
      <c r="C584" s="38" t="n">
        <f aca="false">V$26-V$26*SIN(2*PI()/365*A584)</f>
        <v>21.6745250568178</v>
      </c>
      <c r="D584" s="2" t="n">
        <f aca="false">IF((E584+F584)&gt;C584,C584,E584+F584)</f>
        <v>9.41816644095653</v>
      </c>
      <c r="E584" s="38" t="n">
        <f aca="false">(V$23+V$24*SIN(2*PI()/365*A584))*V$25/100*V$7*V$8/100</f>
        <v>7.77220554791781</v>
      </c>
      <c r="F584" s="38" t="n">
        <f aca="false">(V$23+V$24*SIN(2*PI()/365*A584))*V$25/100*V$9*(1-V$14/100)*(1-V$16/100)</f>
        <v>1.64596089303872</v>
      </c>
      <c r="G584" s="38" t="n">
        <f aca="false">IF(C584&gt;E584,100,C584/E584*100)</f>
        <v>100</v>
      </c>
      <c r="H584" s="38" t="n">
        <f aca="false">L584/F584*100</f>
        <v>100</v>
      </c>
      <c r="I584" s="38" t="n">
        <f aca="false">(V$23+V$24*SIN(2*PI()/365*A584))*V$25/100*V$7*V$8/100*(1-V$15/100)</f>
        <v>6.91726293764685</v>
      </c>
      <c r="J584" s="38" t="n">
        <f aca="false">(V$23+V$24*SIN(2*PI()/365*A584))*V$25/100*V$9*(1-V$14/100)</f>
        <v>1.84939426184126</v>
      </c>
      <c r="K584" s="39" t="n">
        <f aca="false">IF(E584/C584*100&lt;100,E584/C584*100,100)</f>
        <v>35.8587121403753</v>
      </c>
      <c r="L584" s="2" t="n">
        <f aca="false">IF(((C584-E584)&gt;0)AND(F584&gt;(C584-E584)),(C584-E584),IF(C584&lt;E584,0,F584))</f>
        <v>1.64596089303872</v>
      </c>
      <c r="M584" s="2" t="n">
        <f aca="false">IF(C584&lt;(E584+F584),0,C584-E584-F584)</f>
        <v>12.2563586158613</v>
      </c>
      <c r="N584" s="2" t="n">
        <f aca="false">IF(C584&lt;(E584+F584),0,(C584-E584-F584)/(1-V$16/100))</f>
        <v>13.7711894560239</v>
      </c>
      <c r="O584" s="2" t="n">
        <f aca="false">L584+M584</f>
        <v>13.9023195089</v>
      </c>
      <c r="P584" s="2" t="n">
        <f aca="false">IF( N584=0,I584*(1-G584/100)+J584*(1-H584/100),-N584)</f>
        <v>-13.7711894560239</v>
      </c>
      <c r="Q584" s="47" t="n">
        <f aca="false">IF(P583&gt;0,Q583+P583*(1-V$20/100),Q583+P583)</f>
        <v>3431.0042897584</v>
      </c>
      <c r="R584" s="48" t="n">
        <f aca="false">R$4+Q584/V$28</f>
        <v>80.5837003090313</v>
      </c>
    </row>
    <row r="585" customFormat="false" ht="12.8" hidden="false" customHeight="false" outlineLevel="0" collapsed="false">
      <c r="A585" s="1" t="n">
        <v>581</v>
      </c>
      <c r="B585" s="37" t="n">
        <v>44126</v>
      </c>
      <c r="C585" s="38" t="n">
        <f aca="false">V$26-V$26*SIN(2*PI()/365*A585)</f>
        <v>21.8799863791622</v>
      </c>
      <c r="D585" s="2" t="n">
        <f aca="false">IF((E585+F585)&gt;C585,C585,E585+F585)</f>
        <v>9.20907078638138</v>
      </c>
      <c r="E585" s="38" t="n">
        <f aca="false">(V$23+V$24*SIN(2*PI()/365*A585))*V$25/100*V$7*V$8/100</f>
        <v>7.59965238518463</v>
      </c>
      <c r="F585" s="38" t="n">
        <f aca="false">(V$23+V$24*SIN(2*PI()/365*A585))*V$25/100*V$9*(1-V$14/100)*(1-V$16/100)</f>
        <v>1.60941840119675</v>
      </c>
      <c r="G585" s="38" t="n">
        <f aca="false">IF(C585&gt;E585,100,C585/E585*100)</f>
        <v>100</v>
      </c>
      <c r="H585" s="38" t="n">
        <f aca="false">L585/F585*100</f>
        <v>100</v>
      </c>
      <c r="I585" s="38" t="n">
        <f aca="false">(V$23+V$24*SIN(2*PI()/365*A585))*V$25/100*V$7*V$8/100*(1-V$15/100)</f>
        <v>6.76369062281432</v>
      </c>
      <c r="J585" s="38" t="n">
        <f aca="false">(V$23+V$24*SIN(2*PI()/365*A585))*V$25/100*V$9*(1-V$14/100)</f>
        <v>1.80833528224354</v>
      </c>
      <c r="K585" s="39" t="n">
        <f aca="false">IF(E585/C585*100&lt;100,E585/C585*100,100)</f>
        <v>34.7333506222942</v>
      </c>
      <c r="L585" s="2" t="n">
        <f aca="false">IF(((C585-E585)&gt;0)AND(F585&gt;(C585-E585)),(C585-E585),IF(C585&lt;E585,0,F585))</f>
        <v>1.60941840119675</v>
      </c>
      <c r="M585" s="2" t="n">
        <f aca="false">IF(C585&lt;(E585+F585),0,C585-E585-F585)</f>
        <v>12.6709155927809</v>
      </c>
      <c r="N585" s="2" t="n">
        <f aca="false">IF(C585&lt;(E585+F585),0,(C585-E585-F585)/(1-V$16/100))</f>
        <v>14.2369838121133</v>
      </c>
      <c r="O585" s="2" t="n">
        <f aca="false">L585+M585</f>
        <v>14.2803339939776</v>
      </c>
      <c r="P585" s="2" t="n">
        <f aca="false">IF( N585=0,I585*(1-G585/100)+J585*(1-H585/100),-N585)</f>
        <v>-14.2369838121133</v>
      </c>
      <c r="Q585" s="47" t="n">
        <f aca="false">IF(P584&gt;0,Q584+P584*(1-V$20/100),Q584+P584)</f>
        <v>3417.23310030237</v>
      </c>
      <c r="R585" s="48" t="n">
        <f aca="false">R$4+Q585/V$28</f>
        <v>80.4208075293718</v>
      </c>
    </row>
    <row r="586" customFormat="false" ht="12.8" hidden="false" customHeight="false" outlineLevel="0" collapsed="false">
      <c r="A586" s="1" t="n">
        <v>582</v>
      </c>
      <c r="B586" s="37" t="n">
        <v>44127</v>
      </c>
      <c r="C586" s="38" t="n">
        <f aca="false">V$26-V$26*SIN(2*PI()/365*A586)</f>
        <v>22.0831599843772</v>
      </c>
      <c r="D586" s="2" t="n">
        <f aca="false">IF((E586+F586)&gt;C586,C586,E586+F586)</f>
        <v>9.00230331555012</v>
      </c>
      <c r="E586" s="38" t="n">
        <f aca="false">(V$23+V$24*SIN(2*PI()/365*A586))*V$25/100*V$7*V$8/100</f>
        <v>7.4290205223907</v>
      </c>
      <c r="F586" s="38" t="n">
        <f aca="false">(V$23+V$24*SIN(2*PI()/365*A586))*V$25/100*V$9*(1-V$14/100)*(1-V$16/100)</f>
        <v>1.57328279315941</v>
      </c>
      <c r="G586" s="38" t="n">
        <f aca="false">IF(C586&gt;E586,100,C586/E586*100)</f>
        <v>100</v>
      </c>
      <c r="H586" s="38" t="n">
        <f aca="false">L586/F586*100</f>
        <v>100</v>
      </c>
      <c r="I586" s="38" t="n">
        <f aca="false">(V$23+V$24*SIN(2*PI()/365*A586))*V$25/100*V$7*V$8/100*(1-V$15/100)</f>
        <v>6.61182826492773</v>
      </c>
      <c r="J586" s="38" t="n">
        <f aca="false">(V$23+V$24*SIN(2*PI()/365*A586))*V$25/100*V$9*(1-V$14/100)</f>
        <v>1.76773347546001</v>
      </c>
      <c r="K586" s="39" t="n">
        <f aca="false">IF(E586/C586*100&lt;100,E586/C586*100,100)</f>
        <v>33.6411117233512</v>
      </c>
      <c r="L586" s="2" t="n">
        <f aca="false">IF(((C586-E586)&gt;0)AND(F586&gt;(C586-E586)),(C586-E586),IF(C586&lt;E586,0,F586))</f>
        <v>1.57328279315941</v>
      </c>
      <c r="M586" s="2" t="n">
        <f aca="false">IF(C586&lt;(E586+F586),0,C586-E586-F586)</f>
        <v>13.0808566688271</v>
      </c>
      <c r="N586" s="2" t="n">
        <f aca="false">IF(C586&lt;(E586+F586),0,(C586-E586-F586)/(1-V$16/100))</f>
        <v>14.697591762727</v>
      </c>
      <c r="O586" s="2" t="n">
        <f aca="false">L586+M586</f>
        <v>14.6541394619865</v>
      </c>
      <c r="P586" s="2" t="n">
        <f aca="false">IF( N586=0,I586*(1-G586/100)+J586*(1-H586/100),-N586)</f>
        <v>-14.697591762727</v>
      </c>
      <c r="Q586" s="47" t="n">
        <f aca="false">IF(P585&gt;0,Q585+P585*(1-V$20/100),Q585+P585)</f>
        <v>3402.99611649026</v>
      </c>
      <c r="R586" s="48" t="n">
        <f aca="false">R$4+Q586/V$28</f>
        <v>80.252405092202</v>
      </c>
    </row>
    <row r="587" customFormat="false" ht="12.8" hidden="false" customHeight="false" outlineLevel="0" collapsed="false">
      <c r="A587" s="1" t="n">
        <v>583</v>
      </c>
      <c r="B587" s="37" t="n">
        <v>44128</v>
      </c>
      <c r="C587" s="38" t="n">
        <f aca="false">V$26-V$26*SIN(2*PI()/365*A587)</f>
        <v>22.2839856677385</v>
      </c>
      <c r="D587" s="2" t="n">
        <f aca="false">IF((E587+F587)&gt;C587,C587,E587+F587)</f>
        <v>8.79792529812674</v>
      </c>
      <c r="E587" s="38" t="n">
        <f aca="false">(V$23+V$24*SIN(2*PI()/365*A587))*V$25/100*V$7*V$8/100</f>
        <v>7.26036052143949</v>
      </c>
      <c r="F587" s="38" t="n">
        <f aca="false">(V$23+V$24*SIN(2*PI()/365*A587))*V$25/100*V$9*(1-V$14/100)*(1-V$16/100)</f>
        <v>1.53756477668725</v>
      </c>
      <c r="G587" s="38" t="n">
        <f aca="false">IF(C587&gt;E587,100,C587/E587*100)</f>
        <v>100</v>
      </c>
      <c r="H587" s="38" t="n">
        <f aca="false">L587/F587*100</f>
        <v>100</v>
      </c>
      <c r="I587" s="38" t="n">
        <f aca="false">(V$23+V$24*SIN(2*PI()/365*A587))*V$25/100*V$7*V$8/100*(1-V$15/100)</f>
        <v>6.46172086408114</v>
      </c>
      <c r="J587" s="38" t="n">
        <f aca="false">(V$23+V$24*SIN(2*PI()/365*A587))*V$25/100*V$9*(1-V$14/100)</f>
        <v>1.7276008726823</v>
      </c>
      <c r="K587" s="39" t="n">
        <f aca="false">IF(E587/C587*100&lt;100,E587/C587*100,100)</f>
        <v>32.5810679906809</v>
      </c>
      <c r="L587" s="2" t="n">
        <f aca="false">IF(((C587-E587)&gt;0)AND(F587&gt;(C587-E587)),(C587-E587),IF(C587&lt;E587,0,F587))</f>
        <v>1.53756477668725</v>
      </c>
      <c r="M587" s="2" t="n">
        <f aca="false">IF(C587&lt;(E587+F587),0,C587-E587-F587)</f>
        <v>13.4860603696118</v>
      </c>
      <c r="N587" s="2" t="n">
        <f aca="false">IF(C587&lt;(E587+F587),0,(C587-E587-F587)/(1-V$16/100))</f>
        <v>15.1528768197885</v>
      </c>
      <c r="O587" s="2" t="n">
        <f aca="false">L587+M587</f>
        <v>15.0236251462991</v>
      </c>
      <c r="P587" s="2" t="n">
        <f aca="false">IF( N587=0,I587*(1-G587/100)+J587*(1-H587/100),-N587)</f>
        <v>-15.1528768197885</v>
      </c>
      <c r="Q587" s="47" t="n">
        <f aca="false">IF(P586&gt;0,Q586+P586*(1-V$20/100),Q586+P586)</f>
        <v>3388.29852472753</v>
      </c>
      <c r="R587" s="48" t="n">
        <f aca="false">R$4+Q587/V$28</f>
        <v>80.0785543450189</v>
      </c>
    </row>
    <row r="588" customFormat="false" ht="12.8" hidden="false" customHeight="false" outlineLevel="0" collapsed="false">
      <c r="A588" s="1" t="n">
        <v>584</v>
      </c>
      <c r="B588" s="37" t="n">
        <v>44129</v>
      </c>
      <c r="C588" s="38" t="n">
        <f aca="false">V$26-V$26*SIN(2*PI()/365*A588)</f>
        <v>22.4824039202622</v>
      </c>
      <c r="D588" s="2" t="n">
        <f aca="false">IF((E588+F588)&gt;C588,C588,E588+F588)</f>
        <v>8.59599729572862</v>
      </c>
      <c r="E588" s="38" t="n">
        <f aca="false">(V$23+V$24*SIN(2*PI()/365*A588))*V$25/100*V$7*V$8/100</f>
        <v>7.09372235992923</v>
      </c>
      <c r="F588" s="38" t="n">
        <f aca="false">(V$23+V$24*SIN(2*PI()/365*A588))*V$25/100*V$9*(1-V$14/100)*(1-V$16/100)</f>
        <v>1.50227493579939</v>
      </c>
      <c r="G588" s="38" t="n">
        <f aca="false">IF(C588&gt;E588,100,C588/E588*100)</f>
        <v>100</v>
      </c>
      <c r="H588" s="38" t="n">
        <f aca="false">L588/F588*100</f>
        <v>100</v>
      </c>
      <c r="I588" s="38" t="n">
        <f aca="false">(V$23+V$24*SIN(2*PI()/365*A588))*V$25/100*V$7*V$8/100*(1-V$15/100)</f>
        <v>6.31341290033702</v>
      </c>
      <c r="J588" s="38" t="n">
        <f aca="false">(V$23+V$24*SIN(2*PI()/365*A588))*V$25/100*V$9*(1-V$14/100)</f>
        <v>1.68794936606673</v>
      </c>
      <c r="K588" s="39" t="n">
        <f aca="false">IF(E588/C588*100&lt;100,E588/C588*100,100)</f>
        <v>31.5523303695119</v>
      </c>
      <c r="L588" s="2" t="n">
        <f aca="false">IF(((C588-E588)&gt;0)AND(F588&gt;(C588-E588)),(C588-E588),IF(C588&lt;E588,0,F588))</f>
        <v>1.50227493579939</v>
      </c>
      <c r="M588" s="2" t="n">
        <f aca="false">IF(C588&lt;(E588+F588),0,C588-E588-F588)</f>
        <v>13.8864066245336</v>
      </c>
      <c r="N588" s="2" t="n">
        <f aca="false">IF(C588&lt;(E588+F588),0,(C588-E588-F588)/(1-V$16/100))</f>
        <v>15.6027040725096</v>
      </c>
      <c r="O588" s="2" t="n">
        <f aca="false">L588+M588</f>
        <v>15.388681560333</v>
      </c>
      <c r="P588" s="2" t="n">
        <f aca="false">IF( N588=0,I588*(1-G588/100)+J588*(1-H588/100),-N588)</f>
        <v>-15.6027040725096</v>
      </c>
      <c r="Q588" s="47" t="n">
        <f aca="false">IF(P587&gt;0,Q587+P587*(1-V$20/100),Q587+P587)</f>
        <v>3373.14564790775</v>
      </c>
      <c r="R588" s="48" t="n">
        <f aca="false">R$4+Q588/V$28</f>
        <v>79.8993182497713</v>
      </c>
    </row>
    <row r="589" customFormat="false" ht="12.8" hidden="false" customHeight="false" outlineLevel="0" collapsed="false">
      <c r="A589" s="1" t="n">
        <v>585</v>
      </c>
      <c r="B589" s="37" t="n">
        <v>44130</v>
      </c>
      <c r="C589" s="38" t="n">
        <f aca="false">V$26-V$26*SIN(2*PI()/365*A589)</f>
        <v>22.6783559463377</v>
      </c>
      <c r="D589" s="2" t="n">
        <f aca="false">IF((E589+F589)&gt;C589,C589,E589+F589)</f>
        <v>8.39657914398089</v>
      </c>
      <c r="E589" s="38" t="n">
        <f aca="false">(V$23+V$24*SIN(2*PI()/365*A589))*V$25/100*V$7*V$8/100</f>
        <v>6.92915541634357</v>
      </c>
      <c r="F589" s="38" t="n">
        <f aca="false">(V$23+V$24*SIN(2*PI()/365*A589))*V$25/100*V$9*(1-V$14/100)*(1-V$16/100)</f>
        <v>1.46742372763732</v>
      </c>
      <c r="G589" s="38" t="n">
        <f aca="false">IF(C589&gt;E589,100,C589/E589*100)</f>
        <v>100</v>
      </c>
      <c r="H589" s="38" t="n">
        <f aca="false">L589/F589*100</f>
        <v>100</v>
      </c>
      <c r="I589" s="38" t="n">
        <f aca="false">(V$23+V$24*SIN(2*PI()/365*A589))*V$25/100*V$7*V$8/100*(1-V$15/100)</f>
        <v>6.16694832054578</v>
      </c>
      <c r="J589" s="38" t="n">
        <f aca="false">(V$23+V$24*SIN(2*PI()/365*A589))*V$25/100*V$9*(1-V$14/100)</f>
        <v>1.64879070521047</v>
      </c>
      <c r="K589" s="39" t="n">
        <f aca="false">IF(E589/C589*100&lt;100,E589/C589*100,100)</f>
        <v>30.554046478235</v>
      </c>
      <c r="L589" s="2" t="n">
        <f aca="false">IF(((C589-E589)&gt;0)AND(F589&gt;(C589-E589)),(C589-E589),IF(C589&lt;E589,0,F589))</f>
        <v>1.46742372763732</v>
      </c>
      <c r="M589" s="2" t="n">
        <f aca="false">IF(C589&lt;(E589+F589),0,C589-E589-F589)</f>
        <v>14.2817768023568</v>
      </c>
      <c r="N589" s="2" t="n">
        <f aca="false">IF(C589&lt;(E589+F589),0,(C589-E589-F589)/(1-V$16/100))</f>
        <v>16.0469402273672</v>
      </c>
      <c r="O589" s="2" t="n">
        <f aca="false">L589+M589</f>
        <v>15.7492005299941</v>
      </c>
      <c r="P589" s="2" t="n">
        <f aca="false">IF( N589=0,I589*(1-G589/100)+J589*(1-H589/100),-N589)</f>
        <v>-16.0469402273672</v>
      </c>
      <c r="Q589" s="47" t="n">
        <f aca="false">IF(P588&gt;0,Q588+P588*(1-V$20/100),Q588+P588)</f>
        <v>3357.54294383524</v>
      </c>
      <c r="R589" s="48" t="n">
        <f aca="false">R$4+Q589/V$28</f>
        <v>79.714761364203</v>
      </c>
    </row>
    <row r="590" customFormat="false" ht="12.8" hidden="false" customHeight="false" outlineLevel="0" collapsed="false">
      <c r="A590" s="1" t="n">
        <v>586</v>
      </c>
      <c r="B590" s="37" t="n">
        <v>44131</v>
      </c>
      <c r="C590" s="38" t="n">
        <f aca="false">V$26-V$26*SIN(2*PI()/365*A590)</f>
        <v>22.8717836811506</v>
      </c>
      <c r="D590" s="2" t="n">
        <f aca="false">IF((E590+F590)&gt;C590,C590,E590+F590)</f>
        <v>8.19972993478567</v>
      </c>
      <c r="E590" s="38" t="n">
        <f aca="false">(V$23+V$24*SIN(2*PI()/365*A590))*V$25/100*V$7*V$8/100</f>
        <v>6.76670845541952</v>
      </c>
      <c r="F590" s="38" t="n">
        <f aca="false">(V$23+V$24*SIN(2*PI()/365*A590))*V$25/100*V$9*(1-V$14/100)*(1-V$16/100)</f>
        <v>1.43302147936615</v>
      </c>
      <c r="G590" s="38" t="n">
        <f aca="false">IF(C590&gt;E590,100,C590/E590*100)</f>
        <v>100</v>
      </c>
      <c r="H590" s="38" t="n">
        <f aca="false">L590/F590*100</f>
        <v>100</v>
      </c>
      <c r="I590" s="38" t="n">
        <f aca="false">(V$23+V$24*SIN(2*PI()/365*A590))*V$25/100*V$7*V$8/100*(1-V$15/100)</f>
        <v>6.02237052532337</v>
      </c>
      <c r="J590" s="38" t="n">
        <f aca="false">(V$23+V$24*SIN(2*PI()/365*A590))*V$25/100*V$9*(1-V$14/100)</f>
        <v>1.61013649366983</v>
      </c>
      <c r="K590" s="39" t="n">
        <f aca="false">IF(E590/C590*100&lt;100,E590/C590*100,100)</f>
        <v>29.5853989778514</v>
      </c>
      <c r="L590" s="2" t="n">
        <f aca="false">IF(((C590-E590)&gt;0)AND(F590&gt;(C590-E590)),(C590-E590),IF(C590&lt;E590,0,F590))</f>
        <v>1.43302147936615</v>
      </c>
      <c r="M590" s="2" t="n">
        <f aca="false">IF(C590&lt;(E590+F590),0,C590-E590-F590)</f>
        <v>14.672053746365</v>
      </c>
      <c r="N590" s="2" t="n">
        <f aca="false">IF(C590&lt;(E590+F590),0,(C590-E590-F590)/(1-V$16/100))</f>
        <v>16.4854536476011</v>
      </c>
      <c r="O590" s="2" t="n">
        <f aca="false">L590+M590</f>
        <v>16.1050752257311</v>
      </c>
      <c r="P590" s="2" t="n">
        <f aca="false">IF( N590=0,I590*(1-G590/100)+J590*(1-H590/100),-N590)</f>
        <v>-16.4854536476011</v>
      </c>
      <c r="Q590" s="47" t="n">
        <f aca="false">IF(P589&gt;0,Q589+P589*(1-V$20/100),Q589+P589)</f>
        <v>3341.49600360787</v>
      </c>
      <c r="R590" s="48" t="n">
        <f aca="false">R$4+Q590/V$28</f>
        <v>79.5249498227228</v>
      </c>
    </row>
    <row r="591" customFormat="false" ht="12.8" hidden="false" customHeight="false" outlineLevel="0" collapsed="false">
      <c r="A591" s="1" t="n">
        <v>587</v>
      </c>
      <c r="B591" s="37" t="n">
        <v>44132</v>
      </c>
      <c r="C591" s="38" t="n">
        <f aca="false">V$26-V$26*SIN(2*PI()/365*A591)</f>
        <v>23.0626298078888</v>
      </c>
      <c r="D591" s="2" t="n">
        <f aca="false">IF((E591+F591)&gt;C591,C591,E591+F591)</f>
        <v>8.00550799881199</v>
      </c>
      <c r="E591" s="38" t="n">
        <f aca="false">(V$23+V$24*SIN(2*PI()/365*A591))*V$25/100*V$7*V$8/100</f>
        <v>6.60642961369747</v>
      </c>
      <c r="F591" s="38" t="n">
        <f aca="false">(V$23+V$24*SIN(2*PI()/365*A591))*V$25/100*V$9*(1-V$14/100)*(1-V$16/100)</f>
        <v>1.39907838511452</v>
      </c>
      <c r="G591" s="38" t="n">
        <f aca="false">IF(C591&gt;E591,100,C591/E591*100)</f>
        <v>100</v>
      </c>
      <c r="H591" s="38" t="n">
        <f aca="false">L591/F591*100</f>
        <v>100</v>
      </c>
      <c r="I591" s="38" t="n">
        <f aca="false">(V$23+V$24*SIN(2*PI()/365*A591))*V$25/100*V$7*V$8/100*(1-V$15/100)</f>
        <v>5.87972235619075</v>
      </c>
      <c r="J591" s="38" t="n">
        <f aca="false">(V$23+V$24*SIN(2*PI()/365*A591))*V$25/100*V$9*(1-V$14/100)</f>
        <v>1.57199818552193</v>
      </c>
      <c r="K591" s="39" t="n">
        <f aca="false">IF(E591/C591*100&lt;100,E591/C591*100,100)</f>
        <v>28.6456040301079</v>
      </c>
      <c r="L591" s="2" t="n">
        <f aca="false">IF(((C591-E591)&gt;0)AND(F591&gt;(C591-E591)),(C591-E591),IF(C591&lt;E591,0,F591))</f>
        <v>1.39907838511452</v>
      </c>
      <c r="M591" s="2" t="n">
        <f aca="false">IF(C591&lt;(E591+F591),0,C591-E591-F591)</f>
        <v>15.0571218090768</v>
      </c>
      <c r="N591" s="2" t="n">
        <f aca="false">IF(C591&lt;(E591+F591),0,(C591-E591-F591)/(1-V$16/100))</f>
        <v>16.9181143922212</v>
      </c>
      <c r="O591" s="2" t="n">
        <f aca="false">L591+M591</f>
        <v>16.4562001941914</v>
      </c>
      <c r="P591" s="2" t="n">
        <f aca="false">IF( N591=0,I591*(1-G591/100)+J591*(1-H591/100),-N591)</f>
        <v>-16.9181143922212</v>
      </c>
      <c r="Q591" s="47" t="n">
        <f aca="false">IF(P590&gt;0,Q590+P590*(1-V$20/100),Q590+P590)</f>
        <v>3325.01054996027</v>
      </c>
      <c r="R591" s="48" t="n">
        <f aca="false">R$4+Q591/V$28</f>
        <v>79.3299513168073</v>
      </c>
    </row>
    <row r="592" customFormat="false" ht="12.8" hidden="false" customHeight="false" outlineLevel="0" collapsed="false">
      <c r="A592" s="1" t="n">
        <v>588</v>
      </c>
      <c r="B592" s="37" t="n">
        <v>44133</v>
      </c>
      <c r="C592" s="38" t="n">
        <f aca="false">V$26-V$26*SIN(2*PI()/365*A592)</f>
        <v>23.250837774726</v>
      </c>
      <c r="D592" s="2" t="n">
        <f aca="false">IF((E592+F592)&gt;C592,C592,E592+F592)</f>
        <v>7.81397088821117</v>
      </c>
      <c r="E592" s="38" t="n">
        <f aca="false">(V$23+V$24*SIN(2*PI()/365*A592))*V$25/100*V$7*V$8/100</f>
        <v>6.44836638525736</v>
      </c>
      <c r="F592" s="38" t="n">
        <f aca="false">(V$23+V$24*SIN(2*PI()/365*A592))*V$25/100*V$9*(1-V$14/100)*(1-V$16/100)</f>
        <v>1.3656045029538</v>
      </c>
      <c r="G592" s="38" t="n">
        <f aca="false">IF(C592&gt;E592,100,C592/E592*100)</f>
        <v>100</v>
      </c>
      <c r="H592" s="38" t="n">
        <f aca="false">L592/F592*100</f>
        <v>100</v>
      </c>
      <c r="I592" s="38" t="n">
        <f aca="false">(V$23+V$24*SIN(2*PI()/365*A592))*V$25/100*V$7*V$8/100*(1-V$15/100)</f>
        <v>5.73904608287905</v>
      </c>
      <c r="J592" s="38" t="n">
        <f aca="false">(V$23+V$24*SIN(2*PI()/365*A592))*V$25/100*V$9*(1-V$14/100)</f>
        <v>1.53438708197057</v>
      </c>
      <c r="K592" s="39" t="n">
        <f aca="false">IF(E592/C592*100&lt;100,E592/C592*100,100)</f>
        <v>27.7339098390116</v>
      </c>
      <c r="L592" s="2" t="n">
        <f aca="false">IF(((C592-E592)&gt;0)AND(F592&gt;(C592-E592)),(C592-E592),IF(C592&lt;E592,0,F592))</f>
        <v>1.3656045029538</v>
      </c>
      <c r="M592" s="2" t="n">
        <f aca="false">IF(C592&lt;(E592+F592),0,C592-E592-F592)</f>
        <v>15.4368668865149</v>
      </c>
      <c r="N592" s="2" t="n">
        <f aca="false">IF(C592&lt;(E592+F592),0,(C592-E592-F592)/(1-V$16/100))</f>
        <v>17.3447942545111</v>
      </c>
      <c r="O592" s="2" t="n">
        <f aca="false">L592+M592</f>
        <v>16.8024713894687</v>
      </c>
      <c r="P592" s="2" t="n">
        <f aca="false">IF( N592=0,I592*(1-G592/100)+J592*(1-H592/100),-N592)</f>
        <v>-17.3447942545111</v>
      </c>
      <c r="Q592" s="47" t="n">
        <f aca="false">IF(P591&gt;0,Q591+P591*(1-V$20/100),Q591+P591)</f>
        <v>3308.09243556805</v>
      </c>
      <c r="R592" s="48" t="n">
        <f aca="false">R$4+Q592/V$28</f>
        <v>79.1298350749427</v>
      </c>
    </row>
    <row r="593" customFormat="false" ht="12.8" hidden="false" customHeight="false" outlineLevel="0" collapsed="false">
      <c r="A593" s="1" t="n">
        <v>589</v>
      </c>
      <c r="B593" s="37" t="n">
        <v>44134</v>
      </c>
      <c r="C593" s="38" t="n">
        <f aca="false">V$26-V$26*SIN(2*PI()/365*A593)</f>
        <v>23.4363518115798</v>
      </c>
      <c r="D593" s="2" t="n">
        <f aca="false">IF((E593+F593)&gt;C593,C593,E593+F593)</f>
        <v>7.62517535956276</v>
      </c>
      <c r="E593" s="38" t="n">
        <f aca="false">(V$23+V$24*SIN(2*PI()/365*A593))*V$25/100*V$7*V$8/100</f>
        <v>6.29256560764505</v>
      </c>
      <c r="F593" s="38" t="n">
        <f aca="false">(V$23+V$24*SIN(2*PI()/365*A593))*V$25/100*V$9*(1-V$14/100)*(1-V$16/100)</f>
        <v>1.33260975191771</v>
      </c>
      <c r="G593" s="38" t="n">
        <f aca="false">IF(C593&gt;E593,100,C593/E593*100)</f>
        <v>100</v>
      </c>
      <c r="H593" s="38" t="n">
        <f aca="false">L593/F593*100</f>
        <v>100</v>
      </c>
      <c r="I593" s="38" t="n">
        <f aca="false">(V$23+V$24*SIN(2*PI()/365*A593))*V$25/100*V$7*V$8/100*(1-V$15/100)</f>
        <v>5.6003833908041</v>
      </c>
      <c r="J593" s="38" t="n">
        <f aca="false">(V$23+V$24*SIN(2*PI()/365*A593))*V$25/100*V$9*(1-V$14/100)</f>
        <v>1.49731432799743</v>
      </c>
      <c r="K593" s="39" t="n">
        <f aca="false">IF(E593/C593*100&lt;100,E593/C593*100,100)</f>
        <v>26.849595270779</v>
      </c>
      <c r="L593" s="2" t="n">
        <f aca="false">IF(((C593-E593)&gt;0)AND(F593&gt;(C593-E593)),(C593-E593),IF(C593&lt;E593,0,F593))</f>
        <v>1.33260975191771</v>
      </c>
      <c r="M593" s="2" t="n">
        <f aca="false">IF(C593&lt;(E593+F593),0,C593-E593-F593)</f>
        <v>15.811176452017</v>
      </c>
      <c r="N593" s="2" t="n">
        <f aca="false">IF(C593&lt;(E593+F593),0,(C593-E593-F593)/(1-V$16/100))</f>
        <v>17.7653668000192</v>
      </c>
      <c r="O593" s="2" t="n">
        <f aca="false">L593+M593</f>
        <v>17.1437862039348</v>
      </c>
      <c r="P593" s="2" t="n">
        <f aca="false">IF( N593=0,I593*(1-G593/100)+J593*(1-H593/100),-N593)</f>
        <v>-17.7653668000192</v>
      </c>
      <c r="Q593" s="47" t="n">
        <f aca="false">IF(P592&gt;0,Q592+P592*(1-V$20/100),Q592+P592)</f>
        <v>3290.74764131354</v>
      </c>
      <c r="R593" s="48" t="n">
        <f aca="false">R$4+Q593/V$28</f>
        <v>78.9246718421108</v>
      </c>
    </row>
    <row r="594" customFormat="false" ht="12.8" hidden="false" customHeight="false" outlineLevel="0" collapsed="false">
      <c r="A594" s="1" t="n">
        <v>590</v>
      </c>
      <c r="B594" s="37" t="n">
        <v>44135</v>
      </c>
      <c r="C594" s="38" t="n">
        <f aca="false">V$26-V$26*SIN(2*PI()/365*A594)</f>
        <v>23.6191169466374</v>
      </c>
      <c r="D594" s="2" t="n">
        <f aca="false">IF((E594+F594)&gt;C594,C594,E594+F594)</f>
        <v>7.43917735705646</v>
      </c>
      <c r="E594" s="38" t="n">
        <f aca="false">(V$23+V$24*SIN(2*PI()/365*A594))*V$25/100*V$7*V$8/100</f>
        <v>6.1390734479934</v>
      </c>
      <c r="F594" s="38" t="n">
        <f aca="false">(V$23+V$24*SIN(2*PI()/365*A594))*V$25/100*V$9*(1-V$14/100)*(1-V$16/100)</f>
        <v>1.30010390906306</v>
      </c>
      <c r="G594" s="38" t="n">
        <f aca="false">IF(C594&gt;E594,100,C594/E594*100)</f>
        <v>100</v>
      </c>
      <c r="H594" s="38" t="n">
        <f aca="false">L594/F594*100</f>
        <v>100</v>
      </c>
      <c r="I594" s="38" t="n">
        <f aca="false">(V$23+V$24*SIN(2*PI()/365*A594))*V$25/100*V$7*V$8/100*(1-V$15/100)</f>
        <v>5.46377536871413</v>
      </c>
      <c r="J594" s="38" t="n">
        <f aca="false">(V$23+V$24*SIN(2*PI()/365*A594))*V$25/100*V$9*(1-V$14/100)</f>
        <v>1.46079090905962</v>
      </c>
      <c r="K594" s="39" t="n">
        <f aca="false">IF(E594/C594*100&lt;100,E594/C594*100,100)</f>
        <v>25.9919685476108</v>
      </c>
      <c r="L594" s="2" t="n">
        <f aca="false">IF(((C594-E594)&gt;0)AND(F594&gt;(C594-E594)),(C594-E594),IF(C594&lt;E594,0,F594))</f>
        <v>1.30010390906306</v>
      </c>
      <c r="M594" s="2" t="n">
        <f aca="false">IF(C594&lt;(E594+F594),0,C594-E594-F594)</f>
        <v>16.1799395895809</v>
      </c>
      <c r="N594" s="2" t="n">
        <f aca="false">IF(C594&lt;(E594+F594),0,(C594-E594-F594)/(1-V$16/100))</f>
        <v>18.1797074040235</v>
      </c>
      <c r="O594" s="2" t="n">
        <f aca="false">L594+M594</f>
        <v>17.480043498644</v>
      </c>
      <c r="P594" s="2" t="n">
        <f aca="false">IF( N594=0,I594*(1-G594/100)+J594*(1-H594/100),-N594)</f>
        <v>-18.1797074040235</v>
      </c>
      <c r="Q594" s="47" t="n">
        <f aca="false">IF(P593&gt;0,Q593+P593*(1-V$20/100),Q593+P593)</f>
        <v>3272.98227451352</v>
      </c>
      <c r="R594" s="48" t="n">
        <f aca="false">R$4+Q594/V$28</f>
        <v>78.7145338588258</v>
      </c>
    </row>
    <row r="595" customFormat="false" ht="12.8" hidden="false" customHeight="false" outlineLevel="0" collapsed="false">
      <c r="A595" s="1" t="n">
        <v>591</v>
      </c>
      <c r="B595" s="37" t="n">
        <v>44136</v>
      </c>
      <c r="C595" s="38" t="n">
        <f aca="false">V$26-V$26*SIN(2*PI()/365*A595)</f>
        <v>23.7990790226448</v>
      </c>
      <c r="D595" s="2" t="n">
        <f aca="false">IF((E595+F595)&gt;C595,C595,E595+F595)</f>
        <v>7.25603199591454</v>
      </c>
      <c r="E595" s="38" t="n">
        <f aca="false">(V$23+V$24*SIN(2*PI()/365*A595))*V$25/100*V$7*V$8/100</f>
        <v>5.98793538934192</v>
      </c>
      <c r="F595" s="38" t="n">
        <f aca="false">(V$23+V$24*SIN(2*PI()/365*A595))*V$25/100*V$9*(1-V$14/100)*(1-V$16/100)</f>
        <v>1.26809660657261</v>
      </c>
      <c r="G595" s="38" t="n">
        <f aca="false">IF(C595&gt;E595,100,C595/E595*100)</f>
        <v>100</v>
      </c>
      <c r="H595" s="38" t="n">
        <f aca="false">L595/F595*100</f>
        <v>100</v>
      </c>
      <c r="I595" s="38" t="n">
        <f aca="false">(V$23+V$24*SIN(2*PI()/365*A595))*V$25/100*V$7*V$8/100*(1-V$15/100)</f>
        <v>5.32926249651431</v>
      </c>
      <c r="J595" s="38" t="n">
        <f aca="false">(V$23+V$24*SIN(2*PI()/365*A595))*V$25/100*V$9*(1-V$14/100)</f>
        <v>1.4248276478344</v>
      </c>
      <c r="K595" s="39" t="n">
        <f aca="false">IF(E595/C595*100&lt;100,E595/C595*100,100)</f>
        <v>25.160366010989</v>
      </c>
      <c r="L595" s="2" t="n">
        <f aca="false">IF(((C595-E595)&gt;0)AND(F595&gt;(C595-E595)),(C595-E595),IF(C595&lt;E595,0,F595))</f>
        <v>1.26809660657261</v>
      </c>
      <c r="M595" s="2" t="n">
        <f aca="false">IF(C595&lt;(E595+F595),0,C595-E595-F595)</f>
        <v>16.5430470267302</v>
      </c>
      <c r="N595" s="2" t="n">
        <f aca="false">IF(C595&lt;(E595+F595),0,(C595-E595-F595)/(1-V$16/100))</f>
        <v>18.5876932884609</v>
      </c>
      <c r="O595" s="2" t="n">
        <f aca="false">L595+M595</f>
        <v>17.8111436333028</v>
      </c>
      <c r="P595" s="2" t="n">
        <f aca="false">IF( N595=0,I595*(1-G595/100)+J595*(1-H595/100),-N595)</f>
        <v>-18.5876932884609</v>
      </c>
      <c r="Q595" s="47" t="n">
        <f aca="false">IF(P594&gt;0,Q594+P594*(1-V$20/100),Q594+P594)</f>
        <v>3254.80256710949</v>
      </c>
      <c r="R595" s="48" t="n">
        <f aca="false">R$4+Q595/V$28</f>
        <v>78.4994948397277</v>
      </c>
    </row>
    <row r="596" customFormat="false" ht="12.8" hidden="false" customHeight="false" outlineLevel="0" collapsed="false">
      <c r="A596" s="1" t="n">
        <v>592</v>
      </c>
      <c r="B596" s="37" t="n">
        <v>44137</v>
      </c>
      <c r="C596" s="38" t="n">
        <f aca="false">V$26-V$26*SIN(2*PI()/365*A596)</f>
        <v>23.976184712955</v>
      </c>
      <c r="D596" s="2" t="n">
        <f aca="false">IF((E596+F596)&gt;C596,C596,E596+F596)</f>
        <v>7.07579354606015</v>
      </c>
      <c r="E596" s="38" t="n">
        <f aca="false">(V$23+V$24*SIN(2*PI()/365*A596))*V$25/100*V$7*V$8/100</f>
        <v>5.83919621715927</v>
      </c>
      <c r="F596" s="38" t="n">
        <f aca="false">(V$23+V$24*SIN(2*PI()/365*A596))*V$25/100*V$9*(1-V$14/100)*(1-V$16/100)</f>
        <v>1.23659732890089</v>
      </c>
      <c r="G596" s="38" t="n">
        <f aca="false">IF(C596&gt;E596,100,C596/E596*100)</f>
        <v>100</v>
      </c>
      <c r="H596" s="38" t="n">
        <f aca="false">L596/F596*100</f>
        <v>100</v>
      </c>
      <c r="I596" s="38" t="n">
        <f aca="false">(V$23+V$24*SIN(2*PI()/365*A596))*V$25/100*V$7*V$8/100*(1-V$15/100)</f>
        <v>5.19688463327175</v>
      </c>
      <c r="J596" s="38" t="n">
        <f aca="false">(V$23+V$24*SIN(2*PI()/365*A596))*V$25/100*V$9*(1-V$14/100)</f>
        <v>1.38943520101223</v>
      </c>
      <c r="K596" s="39" t="n">
        <f aca="false">IF(E596/C596*100&lt;100,E596/C596*100,100)</f>
        <v>24.3541509504813</v>
      </c>
      <c r="L596" s="2" t="n">
        <f aca="false">IF(((C596-E596)&gt;0)AND(F596&gt;(C596-E596)),(C596-E596),IF(C596&lt;E596,0,F596))</f>
        <v>1.23659732890089</v>
      </c>
      <c r="M596" s="2" t="n">
        <f aca="false">IF(C596&lt;(E596+F596),0,C596-E596-F596)</f>
        <v>16.9003911668948</v>
      </c>
      <c r="N596" s="2" t="n">
        <f aca="false">IF(C596&lt;(E596+F596),0,(C596-E596-F596)/(1-V$16/100))</f>
        <v>18.9892035583088</v>
      </c>
      <c r="O596" s="2" t="n">
        <f aca="false">L596+M596</f>
        <v>18.1369884957957</v>
      </c>
      <c r="P596" s="2" t="n">
        <f aca="false">IF( N596=0,I596*(1-G596/100)+J596*(1-H596/100),-N596)</f>
        <v>-18.9892035583088</v>
      </c>
      <c r="Q596" s="47" t="n">
        <f aca="false">IF(P595&gt;0,Q595+P595*(1-V$20/100),Q595+P595)</f>
        <v>3236.21487382103</v>
      </c>
      <c r="R596" s="48" t="n">
        <f aca="false">R$4+Q596/V$28</f>
        <v>78.2796299517395</v>
      </c>
    </row>
    <row r="597" customFormat="false" ht="12.8" hidden="false" customHeight="false" outlineLevel="0" collapsed="false">
      <c r="A597" s="1" t="n">
        <v>593</v>
      </c>
      <c r="B597" s="37" t="n">
        <v>44138</v>
      </c>
      <c r="C597" s="38" t="n">
        <f aca="false">V$26-V$26*SIN(2*PI()/365*A597)</f>
        <v>24.1503815373297</v>
      </c>
      <c r="D597" s="2" t="n">
        <f aca="false">IF((E597+F597)&gt;C597,C597,E597+F597)</f>
        <v>6.89851541603584</v>
      </c>
      <c r="E597" s="38" t="n">
        <f aca="false">(V$23+V$24*SIN(2*PI()/365*A597))*V$25/100*V$7*V$8/100</f>
        <v>5.69290000607218</v>
      </c>
      <c r="F597" s="38" t="n">
        <f aca="false">(V$23+V$24*SIN(2*PI()/365*A597))*V$25/100*V$9*(1-V$14/100)*(1-V$16/100)</f>
        <v>1.20561540996366</v>
      </c>
      <c r="G597" s="38" t="n">
        <f aca="false">IF(C597&gt;E597,100,C597/E597*100)</f>
        <v>100</v>
      </c>
      <c r="H597" s="38" t="n">
        <f aca="false">L597/F597*100</f>
        <v>100</v>
      </c>
      <c r="I597" s="38" t="n">
        <f aca="false">(V$23+V$24*SIN(2*PI()/365*A597))*V$25/100*V$7*V$8/100*(1-V$15/100)</f>
        <v>5.06668100540424</v>
      </c>
      <c r="J597" s="38" t="n">
        <f aca="false">(V$23+V$24*SIN(2*PI()/365*A597))*V$25/100*V$9*(1-V$14/100)</f>
        <v>1.35462405613894</v>
      </c>
      <c r="K597" s="39" t="n">
        <f aca="false">IF(E597/C597*100&lt;100,E597/C597*100,100)</f>
        <v>23.5727124943039</v>
      </c>
      <c r="L597" s="2" t="n">
        <f aca="false">IF(((C597-E597)&gt;0)AND(F597&gt;(C597-E597)),(C597-E597),IF(C597&lt;E597,0,F597))</f>
        <v>1.20561540996366</v>
      </c>
      <c r="M597" s="2" t="n">
        <f aca="false">IF(C597&lt;(E597+F597),0,C597-E597-F597)</f>
        <v>17.2518661212939</v>
      </c>
      <c r="N597" s="2" t="n">
        <f aca="false">IF(C597&lt;(E597+F597),0,(C597-E597-F597)/(1-V$16/100))</f>
        <v>19.3841192374088</v>
      </c>
      <c r="O597" s="2" t="n">
        <f aca="false">L597+M597</f>
        <v>18.4574815312575</v>
      </c>
      <c r="P597" s="2" t="n">
        <f aca="false">IF( N597=0,I597*(1-G597/100)+J597*(1-H597/100),-N597)</f>
        <v>-19.3841192374088</v>
      </c>
      <c r="Q597" s="47" t="n">
        <f aca="false">IF(P596&gt;0,Q596+P596*(1-V$20/100),Q596+P596)</f>
        <v>3217.22567026272</v>
      </c>
      <c r="R597" s="48" t="n">
        <f aca="false">R$4+Q597/V$28</f>
        <v>78.0550157917928</v>
      </c>
    </row>
    <row r="598" customFormat="false" ht="12.8" hidden="false" customHeight="false" outlineLevel="0" collapsed="false">
      <c r="A598" s="1" t="n">
        <v>594</v>
      </c>
      <c r="B598" s="37" t="n">
        <v>44139</v>
      </c>
      <c r="C598" s="38" t="n">
        <f aca="false">V$26-V$26*SIN(2*PI()/365*A598)</f>
        <v>24.3216178774905</v>
      </c>
      <c r="D598" s="2" t="n">
        <f aca="false">IF((E598+F598)&gt;C598,C598,E598+F598)</f>
        <v>6.72425013717747</v>
      </c>
      <c r="E598" s="38" t="n">
        <f aca="false">(V$23+V$24*SIN(2*PI()/365*A598))*V$25/100*V$7*V$8/100</f>
        <v>5.54909010680533</v>
      </c>
      <c r="F598" s="38" t="n">
        <f aca="false">(V$23+V$24*SIN(2*PI()/365*A598))*V$25/100*V$9*(1-V$14/100)*(1-V$16/100)</f>
        <v>1.17516003037215</v>
      </c>
      <c r="G598" s="38" t="n">
        <f aca="false">IF(C598&gt;E598,100,C598/E598*100)</f>
        <v>100</v>
      </c>
      <c r="H598" s="38" t="n">
        <f aca="false">L598/F598*100</f>
        <v>100</v>
      </c>
      <c r="I598" s="38" t="n">
        <f aca="false">(V$23+V$24*SIN(2*PI()/365*A598))*V$25/100*V$7*V$8/100*(1-V$15/100)</f>
        <v>4.93869019505674</v>
      </c>
      <c r="J598" s="38" t="n">
        <f aca="false">(V$23+V$24*SIN(2*PI()/365*A598))*V$25/100*V$9*(1-V$14/100)</f>
        <v>1.32040452850803</v>
      </c>
      <c r="K598" s="39" t="n">
        <f aca="false">IF(E598/C598*100&lt;100,E598/C598*100,100)</f>
        <v>22.815464558141</v>
      </c>
      <c r="L598" s="2" t="n">
        <f aca="false">IF(((C598-E598)&gt;0)AND(F598&gt;(C598-E598)),(C598-E598),IF(C598&lt;E598,0,F598))</f>
        <v>1.17516003037215</v>
      </c>
      <c r="M598" s="2" t="n">
        <f aca="false">IF(C598&lt;(E598+F598),0,C598-E598-F598)</f>
        <v>17.597367740313</v>
      </c>
      <c r="N598" s="2" t="n">
        <f aca="false">IF(C598&lt;(E598+F598),0,(C598-E598-F598)/(1-V$16/100))</f>
        <v>19.7723233037225</v>
      </c>
      <c r="O598" s="2" t="n">
        <f aca="false">L598+M598</f>
        <v>18.7725277706851</v>
      </c>
      <c r="P598" s="2" t="n">
        <f aca="false">IF( N598=0,I598*(1-G598/100)+J598*(1-H598/100),-N598)</f>
        <v>-19.7723233037225</v>
      </c>
      <c r="Q598" s="47" t="n">
        <f aca="false">IF(P597&gt;0,Q597+P597*(1-V$20/100),Q597+P597)</f>
        <v>3197.84155102531</v>
      </c>
      <c r="R598" s="48" t="n">
        <f aca="false">R$4+Q598/V$28</f>
        <v>77.8257303641313</v>
      </c>
    </row>
    <row r="599" customFormat="false" ht="12.8" hidden="false" customHeight="false" outlineLevel="0" collapsed="false">
      <c r="A599" s="1" t="n">
        <v>595</v>
      </c>
      <c r="B599" s="37" t="n">
        <v>44140</v>
      </c>
      <c r="C599" s="38" t="n">
        <f aca="false">V$26-V$26*SIN(2*PI()/365*A599)</f>
        <v>24.489842992414</v>
      </c>
      <c r="D599" s="2" t="n">
        <f aca="false">IF((E599+F599)&gt;C599,C599,E599+F599)</f>
        <v>6.55304934804818</v>
      </c>
      <c r="E599" s="38" t="n">
        <f aca="false">(V$23+V$24*SIN(2*PI()/365*A599))*V$25/100*V$7*V$8/100</f>
        <v>5.40780913333556</v>
      </c>
      <c r="F599" s="38" t="n">
        <f aca="false">(V$23+V$24*SIN(2*PI()/365*A599))*V$25/100*V$9*(1-V$14/100)*(1-V$16/100)</f>
        <v>1.14524021471262</v>
      </c>
      <c r="G599" s="38" t="n">
        <f aca="false">IF(C599&gt;E599,100,C599/E599*100)</f>
        <v>100</v>
      </c>
      <c r="H599" s="38" t="n">
        <f aca="false">L599/F599*100</f>
        <v>100</v>
      </c>
      <c r="I599" s="38" t="n">
        <f aca="false">(V$23+V$24*SIN(2*PI()/365*A599))*V$25/100*V$7*V$8/100*(1-V$15/100)</f>
        <v>4.81295012866865</v>
      </c>
      <c r="J599" s="38" t="n">
        <f aca="false">(V$23+V$24*SIN(2*PI()/365*A599))*V$25/100*V$9*(1-V$14/100)</f>
        <v>1.28678675810406</v>
      </c>
      <c r="K599" s="39" t="n">
        <f aca="false">IF(E599/C599*100&lt;100,E599/C599*100,100)</f>
        <v>22.0818448489469</v>
      </c>
      <c r="L599" s="2" t="n">
        <f aca="false">IF(((C599-E599)&gt;0)AND(F599&gt;(C599-E599)),(C599-E599),IF(C599&lt;E599,0,F599))</f>
        <v>1.14524021471262</v>
      </c>
      <c r="M599" s="2" t="n">
        <f aca="false">IF(C599&lt;(E599+F599),0,C599-E599-F599)</f>
        <v>17.9367936443658</v>
      </c>
      <c r="N599" s="2" t="n">
        <f aca="false">IF(C599&lt;(E599+F599),0,(C599-E599-F599)/(1-V$16/100))</f>
        <v>20.1537007240065</v>
      </c>
      <c r="O599" s="2" t="n">
        <f aca="false">L599+M599</f>
        <v>19.0820338590784</v>
      </c>
      <c r="P599" s="2" t="n">
        <f aca="false">IF( N599=0,I599*(1-G599/100)+J599*(1-H599/100),-N599)</f>
        <v>-20.1537007240065</v>
      </c>
      <c r="Q599" s="47" t="n">
        <f aca="false">IF(P598&gt;0,Q598+P598*(1-V$20/100),Q598+P598)</f>
        <v>3178.06922772159</v>
      </c>
      <c r="R599" s="48" t="n">
        <f aca="false">R$4+Q599/V$28</f>
        <v>77.5918530571962</v>
      </c>
    </row>
    <row r="600" customFormat="false" ht="12.8" hidden="false" customHeight="false" outlineLevel="0" collapsed="false">
      <c r="A600" s="1" t="n">
        <v>596</v>
      </c>
      <c r="B600" s="37" t="n">
        <v>44141</v>
      </c>
      <c r="C600" s="38" t="n">
        <f aca="false">V$26-V$26*SIN(2*PI()/365*A600)</f>
        <v>24.6550070333682</v>
      </c>
      <c r="D600" s="2" t="n">
        <f aca="false">IF((E600+F600)&gt;C600,C600,E600+F600)</f>
        <v>6.38496377913656</v>
      </c>
      <c r="E600" s="38" t="n">
        <f aca="false">(V$23+V$24*SIN(2*PI()/365*A600))*V$25/100*V$7*V$8/100</f>
        <v>5.2690989502644</v>
      </c>
      <c r="F600" s="38" t="n">
        <f aca="false">(V$23+V$24*SIN(2*PI()/365*A600))*V$25/100*V$9*(1-V$14/100)*(1-V$16/100)</f>
        <v>1.11586482887216</v>
      </c>
      <c r="G600" s="38" t="n">
        <f aca="false">IF(C600&gt;E600,100,C600/E600*100)</f>
        <v>100</v>
      </c>
      <c r="H600" s="38" t="n">
        <f aca="false">L600/F600*100</f>
        <v>100</v>
      </c>
      <c r="I600" s="38" t="n">
        <f aca="false">(V$23+V$24*SIN(2*PI()/365*A600))*V$25/100*V$7*V$8/100*(1-V$15/100)</f>
        <v>4.68949806573532</v>
      </c>
      <c r="J600" s="38" t="n">
        <f aca="false">(V$23+V$24*SIN(2*PI()/365*A600))*V$25/100*V$9*(1-V$14/100)</f>
        <v>1.25378070659794</v>
      </c>
      <c r="K600" s="39" t="n">
        <f aca="false">IF(E600/C600*100&lt;100,E600/C600*100,100)</f>
        <v>21.37131392067</v>
      </c>
      <c r="L600" s="2" t="n">
        <f aca="false">IF(((C600-E600)&gt;0)AND(F600&gt;(C600-E600)),(C600-E600),IF(C600&lt;E600,0,F600))</f>
        <v>1.11586482887216</v>
      </c>
      <c r="M600" s="2" t="n">
        <f aca="false">IF(C600&lt;(E600+F600),0,C600-E600-F600)</f>
        <v>18.2700432542317</v>
      </c>
      <c r="N600" s="2" t="n">
        <f aca="false">IF(C600&lt;(E600+F600),0,(C600-E600-F600)/(1-V$16/100))</f>
        <v>20.5281384879007</v>
      </c>
      <c r="O600" s="2" t="n">
        <f aca="false">L600+M600</f>
        <v>19.3859080831038</v>
      </c>
      <c r="P600" s="2" t="n">
        <f aca="false">IF( N600=0,I600*(1-G600/100)+J600*(1-H600/100),-N600)</f>
        <v>-20.5281384879007</v>
      </c>
      <c r="Q600" s="47" t="n">
        <f aca="false">IF(P599&gt;0,Q599+P599*(1-V$20/100),Q599+P599)</f>
        <v>3157.91552699758</v>
      </c>
      <c r="R600" s="48" t="n">
        <f aca="false">R$4+Q600/V$28</f>
        <v>77.3534646201014</v>
      </c>
    </row>
    <row r="601" customFormat="false" ht="12.8" hidden="false" customHeight="false" outlineLevel="0" collapsed="false">
      <c r="A601" s="1" t="n">
        <v>597</v>
      </c>
      <c r="B601" s="37" t="n">
        <v>44142</v>
      </c>
      <c r="C601" s="38" t="n">
        <f aca="false">V$26-V$26*SIN(2*PI()/365*A601)</f>
        <v>24.8170610586833</v>
      </c>
      <c r="D601" s="2" t="n">
        <f aca="false">IF((E601+F601)&gt;C601,C601,E601+F601)</f>
        <v>6.22004323782427</v>
      </c>
      <c r="E601" s="38" t="n">
        <f aca="false">(V$23+V$24*SIN(2*PI()/365*A601))*V$25/100*V$7*V$8/100</f>
        <v>5.13300066041268</v>
      </c>
      <c r="F601" s="38" t="n">
        <f aca="false">(V$23+V$24*SIN(2*PI()/365*A601))*V$25/100*V$9*(1-V$14/100)*(1-V$16/100)</f>
        <v>1.08704257741159</v>
      </c>
      <c r="G601" s="38" t="n">
        <f aca="false">IF(C601&gt;E601,100,C601/E601*100)</f>
        <v>100</v>
      </c>
      <c r="H601" s="38" t="n">
        <f aca="false">L601/F601*100</f>
        <v>100</v>
      </c>
      <c r="I601" s="38" t="n">
        <f aca="false">(V$23+V$24*SIN(2*PI()/365*A601))*V$25/100*V$7*V$8/100*(1-V$15/100)</f>
        <v>4.56837058776729</v>
      </c>
      <c r="J601" s="38" t="n">
        <f aca="false">(V$23+V$24*SIN(2*PI()/365*A601))*V$25/100*V$9*(1-V$14/100)</f>
        <v>1.22139615439504</v>
      </c>
      <c r="K601" s="39" t="n">
        <f aca="false">IF(E601/C601*100&lt;100,E601/C601*100,100)</f>
        <v>20.6833542790382</v>
      </c>
      <c r="L601" s="2" t="n">
        <f aca="false">IF(((C601-E601)&gt;0)AND(F601&gt;(C601-E601)),(C601-E601),IF(C601&lt;E601,0,F601))</f>
        <v>1.08704257741159</v>
      </c>
      <c r="M601" s="2" t="n">
        <f aca="false">IF(C601&lt;(E601+F601),0,C601-E601-F601)</f>
        <v>18.597017820859</v>
      </c>
      <c r="N601" s="2" t="n">
        <f aca="false">IF(C601&lt;(E601+F601),0,(C601-E601-F601)/(1-V$16/100))</f>
        <v>20.8955256414146</v>
      </c>
      <c r="O601" s="2" t="n">
        <f aca="false">L601+M601</f>
        <v>19.6840603982706</v>
      </c>
      <c r="P601" s="2" t="n">
        <f aca="false">IF( N601=0,I601*(1-G601/100)+J601*(1-H601/100),-N601)</f>
        <v>-20.8955256414146</v>
      </c>
      <c r="Q601" s="47" t="n">
        <f aca="false">IF(P600&gt;0,Q600+P600*(1-V$20/100),Q600+P600)</f>
        <v>3137.38738850968</v>
      </c>
      <c r="R601" s="48" t="n">
        <f aca="false">R$4+Q601/V$28</f>
        <v>77.1106471387062</v>
      </c>
    </row>
    <row r="602" customFormat="false" ht="12.8" hidden="false" customHeight="false" outlineLevel="0" collapsed="false">
      <c r="A602" s="1" t="n">
        <v>598</v>
      </c>
      <c r="B602" s="37" t="n">
        <v>44143</v>
      </c>
      <c r="C602" s="38" t="n">
        <f aca="false">V$26-V$26*SIN(2*PI()/365*A602)</f>
        <v>24.975957048254</v>
      </c>
      <c r="D602" s="2" t="n">
        <f aca="false">IF((E602+F602)&gt;C602,C602,E602+F602)</f>
        <v>6.058336593627</v>
      </c>
      <c r="E602" s="38" t="n">
        <f aca="false">(V$23+V$24*SIN(2*PI()/365*A602))*V$25/100*V$7*V$8/100</f>
        <v>4.99955459264097</v>
      </c>
      <c r="F602" s="38" t="n">
        <f aca="false">(V$23+V$24*SIN(2*PI()/365*A602))*V$25/100*V$9*(1-V$14/100)*(1-V$16/100)</f>
        <v>1.05878200098604</v>
      </c>
      <c r="G602" s="38" t="n">
        <f aca="false">IF(C602&gt;E602,100,C602/E602*100)</f>
        <v>100</v>
      </c>
      <c r="H602" s="38" t="n">
        <f aca="false">L602/F602*100</f>
        <v>100</v>
      </c>
      <c r="I602" s="38" t="n">
        <f aca="false">(V$23+V$24*SIN(2*PI()/365*A602))*V$25/100*V$7*V$8/100*(1-V$15/100)</f>
        <v>4.44960358745046</v>
      </c>
      <c r="J602" s="38" t="n">
        <f aca="false">(V$23+V$24*SIN(2*PI()/365*A602))*V$25/100*V$9*(1-V$14/100)</f>
        <v>1.18964269773712</v>
      </c>
      <c r="K602" s="39" t="n">
        <f aca="false">IF(E602/C602*100&lt;100,E602/C602*100,100)</f>
        <v>20.017469532726</v>
      </c>
      <c r="L602" s="2" t="n">
        <f aca="false">IF(((C602-E602)&gt;0)AND(F602&gt;(C602-E602)),(C602-E602),IF(C602&lt;E602,0,F602))</f>
        <v>1.05878200098604</v>
      </c>
      <c r="M602" s="2" t="n">
        <f aca="false">IF(C602&lt;(E602+F602),0,C602-E602-F602)</f>
        <v>18.917620454627</v>
      </c>
      <c r="N602" s="2" t="n">
        <f aca="false">IF(C602&lt;(E602+F602),0,(C602-E602-F602)/(1-V$16/100))</f>
        <v>21.2557533198056</v>
      </c>
      <c r="O602" s="2" t="n">
        <f aca="false">L602+M602</f>
        <v>19.976402455613</v>
      </c>
      <c r="P602" s="2" t="n">
        <f aca="false">IF( N602=0,I602*(1-G602/100)+J602*(1-H602/100),-N602)</f>
        <v>-21.2557533198056</v>
      </c>
      <c r="Q602" s="47" t="n">
        <f aca="false">IF(P601&gt;0,Q601+P601*(1-V$20/100),Q601+P601)</f>
        <v>3116.49186286827</v>
      </c>
      <c r="R602" s="48" t="n">
        <f aca="false">R$4+Q602/V$28</f>
        <v>76.8634840112912</v>
      </c>
    </row>
    <row r="603" customFormat="false" ht="12.8" hidden="false" customHeight="false" outlineLevel="0" collapsed="false">
      <c r="A603" s="1" t="n">
        <v>599</v>
      </c>
      <c r="B603" s="37" t="n">
        <v>44144</v>
      </c>
      <c r="C603" s="38" t="n">
        <f aca="false">V$26-V$26*SIN(2*PI()/365*A603)</f>
        <v>25.1316479177694</v>
      </c>
      <c r="D603" s="2" t="n">
        <f aca="false">IF((E603+F603)&gt;C603,C603,E603+F603)</f>
        <v>5.89989176371333</v>
      </c>
      <c r="E603" s="38" t="n">
        <f aca="false">(V$23+V$24*SIN(2*PI()/365*A603))*V$25/100*V$7*V$8/100</f>
        <v>4.86880028989912</v>
      </c>
      <c r="F603" s="38" t="n">
        <f aca="false">(V$23+V$24*SIN(2*PI()/365*A603))*V$25/100*V$9*(1-V$14/100)*(1-V$16/100)</f>
        <v>1.03109147381421</v>
      </c>
      <c r="G603" s="38" t="n">
        <f aca="false">IF(C603&gt;E603,100,C603/E603*100)</f>
        <v>100</v>
      </c>
      <c r="H603" s="38" t="n">
        <f aca="false">L603/F603*100</f>
        <v>100</v>
      </c>
      <c r="I603" s="38" t="n">
        <f aca="false">(V$23+V$24*SIN(2*PI()/365*A603))*V$25/100*V$7*V$8/100*(1-V$15/100)</f>
        <v>4.33323225801021</v>
      </c>
      <c r="J603" s="38" t="n">
        <f aca="false">(V$23+V$24*SIN(2*PI()/365*A603))*V$25/100*V$9*(1-V$14/100)</f>
        <v>1.15852974585866</v>
      </c>
      <c r="K603" s="39" t="n">
        <f aca="false">IF(E603/C603*100&lt;100,E603/C603*100,100)</f>
        <v>19.3731835883974</v>
      </c>
      <c r="L603" s="2" t="n">
        <f aca="false">IF(((C603-E603)&gt;0)AND(F603&gt;(C603-E603)),(C603-E603),IF(C603&lt;E603,0,F603))</f>
        <v>1.03109147381421</v>
      </c>
      <c r="M603" s="2" t="n">
        <f aca="false">IF(C603&lt;(E603+F603),0,C603-E603-F603)</f>
        <v>19.2317561540561</v>
      </c>
      <c r="N603" s="2" t="n">
        <f aca="false">IF(C603&lt;(E603+F603),0,(C603-E603-F603)/(1-V$16/100))</f>
        <v>21.6087147798383</v>
      </c>
      <c r="O603" s="2" t="n">
        <f aca="false">L603+M603</f>
        <v>20.2628476278703</v>
      </c>
      <c r="P603" s="2" t="n">
        <f aca="false">IF( N603=0,I603*(1-G603/100)+J603*(1-H603/100),-N603)</f>
        <v>-21.6087147798383</v>
      </c>
      <c r="Q603" s="47" t="n">
        <f aca="false">IF(P602&gt;0,Q602+P602*(1-V$20/100),Q602+P602)</f>
        <v>3095.23610954846</v>
      </c>
      <c r="R603" s="48" t="n">
        <f aca="false">R$4+Q603/V$28</f>
        <v>76.6120599238459</v>
      </c>
    </row>
    <row r="604" customFormat="false" ht="12.8" hidden="false" customHeight="false" outlineLevel="0" collapsed="false">
      <c r="A604" s="1" t="n">
        <v>600</v>
      </c>
      <c r="B604" s="37" t="n">
        <v>44145</v>
      </c>
      <c r="C604" s="38" t="n">
        <f aca="false">V$26-V$26*SIN(2*PI()/365*A604)</f>
        <v>25.2840875326649</v>
      </c>
      <c r="D604" s="2" t="n">
        <f aca="false">IF((E604+F604)&gt;C604,C604,E604+F604)</f>
        <v>5.74475569870587</v>
      </c>
      <c r="E604" s="38" t="n">
        <f aca="false">(V$23+V$24*SIN(2*PI()/365*A604))*V$25/100*V$7*V$8/100</f>
        <v>4.74077649750895</v>
      </c>
      <c r="F604" s="38" t="n">
        <f aca="false">(V$23+V$24*SIN(2*PI()/365*A604))*V$25/100*V$9*(1-V$14/100)*(1-V$16/100)</f>
        <v>1.00397920119692</v>
      </c>
      <c r="G604" s="38" t="n">
        <f aca="false">IF(C604&gt;E604,100,C604/E604*100)</f>
        <v>100</v>
      </c>
      <c r="H604" s="38" t="n">
        <f aca="false">L604/F604*100</f>
        <v>100</v>
      </c>
      <c r="I604" s="38" t="n">
        <f aca="false">(V$23+V$24*SIN(2*PI()/365*A604))*V$25/100*V$7*V$8/100*(1-V$15/100)</f>
        <v>4.21929108278296</v>
      </c>
      <c r="J604" s="38" t="n">
        <f aca="false">(V$23+V$24*SIN(2*PI()/365*A604))*V$25/100*V$9*(1-V$14/100)</f>
        <v>1.12806651819879</v>
      </c>
      <c r="K604" s="39" t="n">
        <f aca="false">IF(E604/C604*100&lt;100,E604/C604*100,100)</f>
        <v>18.750039887278</v>
      </c>
      <c r="L604" s="2" t="n">
        <f aca="false">IF(((C604-E604)&gt;0)AND(F604&gt;(C604-E604)),(C604-E604),IF(C604&lt;E604,0,F604))</f>
        <v>1.00397920119692</v>
      </c>
      <c r="M604" s="2" t="n">
        <f aca="false">IF(C604&lt;(E604+F604),0,C604-E604-F604)</f>
        <v>19.539331833959</v>
      </c>
      <c r="N604" s="2" t="n">
        <f aca="false">IF(C604&lt;(E604+F604),0,(C604-E604-F604)/(1-V$16/100))</f>
        <v>21.9543054314146</v>
      </c>
      <c r="O604" s="2" t="n">
        <f aca="false">L604+M604</f>
        <v>20.5433110351559</v>
      </c>
      <c r="P604" s="2" t="n">
        <f aca="false">IF( N604=0,I604*(1-G604/100)+J604*(1-H604/100),-N604)</f>
        <v>-21.9543054314146</v>
      </c>
      <c r="Q604" s="47" t="n">
        <f aca="false">IF(P603&gt;0,Q603+P603*(1-V$20/100),Q603+P603)</f>
        <v>3073.62739476862</v>
      </c>
      <c r="R604" s="48" t="n">
        <f aca="false">R$4+Q604/V$28</f>
        <v>76.3564608249738</v>
      </c>
    </row>
    <row r="605" customFormat="false" ht="12.8" hidden="false" customHeight="false" outlineLevel="0" collapsed="false">
      <c r="A605" s="1" t="n">
        <v>601</v>
      </c>
      <c r="B605" s="37" t="n">
        <v>44146</v>
      </c>
      <c r="C605" s="38" t="n">
        <f aca="false">V$26-V$26*SIN(2*PI()/365*A605)</f>
        <v>25.4332307217925</v>
      </c>
      <c r="D605" s="2" t="n">
        <f aca="false">IF((E605+F605)&gt;C605,C605,E605+F605)</f>
        <v>5.59297436876879</v>
      </c>
      <c r="E605" s="38" t="n">
        <f aca="false">(V$23+V$24*SIN(2*PI()/365*A605))*V$25/100*V$7*V$8/100</f>
        <v>4.6155211516831</v>
      </c>
      <c r="F605" s="38" t="n">
        <f aca="false">(V$23+V$24*SIN(2*PI()/365*A605))*V$25/100*V$9*(1-V$14/100)*(1-V$16/100)</f>
        <v>0.977453217085681</v>
      </c>
      <c r="G605" s="38" t="n">
        <f aca="false">IF(C605&gt;E605,100,C605/E605*100)</f>
        <v>100</v>
      </c>
      <c r="H605" s="38" t="n">
        <f aca="false">L605/F605*100</f>
        <v>100</v>
      </c>
      <c r="I605" s="38" t="n">
        <f aca="false">(V$23+V$24*SIN(2*PI()/365*A605))*V$25/100*V$7*V$8/100*(1-V$15/100)</f>
        <v>4.10781382499796</v>
      </c>
      <c r="J605" s="38" t="n">
        <f aca="false">(V$23+V$24*SIN(2*PI()/365*A605))*V$25/100*V$9*(1-V$14/100)</f>
        <v>1.0982620416693</v>
      </c>
      <c r="K605" s="39" t="n">
        <f aca="false">IF(E605/C605*100&lt;100,E605/C605*100,100)</f>
        <v>18.1476006810581</v>
      </c>
      <c r="L605" s="2" t="n">
        <f aca="false">IF(((C605-E605)&gt;0)AND(F605&gt;(C605-E605)),(C605-E605),IF(C605&lt;E605,0,F605))</f>
        <v>0.977453217085681</v>
      </c>
      <c r="M605" s="2" t="n">
        <f aca="false">IF(C605&lt;(E605+F605),0,C605-E605-F605)</f>
        <v>19.8402563530238</v>
      </c>
      <c r="N605" s="2" t="n">
        <f aca="false">IF(C605&lt;(E605+F605),0,(C605-E605-F605)/(1-V$16/100))</f>
        <v>22.292422868566</v>
      </c>
      <c r="O605" s="2" t="n">
        <f aca="false">L605+M605</f>
        <v>20.8177095701094</v>
      </c>
      <c r="P605" s="2" t="n">
        <f aca="false">IF( N605=0,I605*(1-G605/100)+J605*(1-H605/100),-N605)</f>
        <v>-22.292422868566</v>
      </c>
      <c r="Q605" s="47" t="n">
        <f aca="false">IF(P604&gt;0,Q604+P604*(1-V$20/100),Q604+P604)</f>
        <v>3051.67308933721</v>
      </c>
      <c r="R605" s="48" t="n">
        <f aca="false">R$4+Q605/V$28</f>
        <v>76.0967739004249</v>
      </c>
    </row>
    <row r="606" customFormat="false" ht="12.8" hidden="false" customHeight="false" outlineLevel="0" collapsed="false">
      <c r="A606" s="1" t="n">
        <v>602</v>
      </c>
      <c r="B606" s="37" t="n">
        <v>44147</v>
      </c>
      <c r="C606" s="38" t="n">
        <f aca="false">V$26-V$26*SIN(2*PI()/365*A606)</f>
        <v>25.5790332908067</v>
      </c>
      <c r="D606" s="2" t="n">
        <f aca="false">IF((E606+F606)&gt;C606,C606,E606+F606)</f>
        <v>5.44459274998588</v>
      </c>
      <c r="E606" s="38" t="n">
        <f aca="false">(V$23+V$24*SIN(2*PI()/365*A606))*V$25/100*V$7*V$8/100</f>
        <v>4.49307136828382</v>
      </c>
      <c r="F606" s="38" t="n">
        <f aca="false">(V$23+V$24*SIN(2*PI()/365*A606))*V$25/100*V$9*(1-V$14/100)*(1-V$16/100)</f>
        <v>0.951521381702058</v>
      </c>
      <c r="G606" s="38" t="n">
        <f aca="false">IF(C606&gt;E606,100,C606/E606*100)</f>
        <v>100</v>
      </c>
      <c r="H606" s="38" t="n">
        <f aca="false">L606/F606*100</f>
        <v>100</v>
      </c>
      <c r="I606" s="38" t="n">
        <f aca="false">(V$23+V$24*SIN(2*PI()/365*A606))*V$25/100*V$7*V$8/100*(1-V$15/100)</f>
        <v>3.9988335177726</v>
      </c>
      <c r="J606" s="38" t="n">
        <f aca="false">(V$23+V$24*SIN(2*PI()/365*A606))*V$25/100*V$9*(1-V$14/100)</f>
        <v>1.06912514797984</v>
      </c>
      <c r="K606" s="39" t="n">
        <f aca="false">IF(E606/C606*100&lt;100,E606/C606*100,100)</f>
        <v>17.5654463450684</v>
      </c>
      <c r="L606" s="2" t="n">
        <f aca="false">IF(((C606-E606)&gt;0)AND(F606&gt;(C606-E606)),(C606-E606),IF(C606&lt;E606,0,F606))</f>
        <v>0.951521381702058</v>
      </c>
      <c r="M606" s="2" t="n">
        <f aca="false">IF(C606&lt;(E606+F606),0,C606-E606-F606)</f>
        <v>20.1344405408208</v>
      </c>
      <c r="N606" s="2" t="n">
        <f aca="false">IF(C606&lt;(E606+F606),0,(C606-E606-F606)/(1-V$16/100))</f>
        <v>22.6229668997986</v>
      </c>
      <c r="O606" s="2" t="n">
        <f aca="false">L606+M606</f>
        <v>21.0859619225228</v>
      </c>
      <c r="P606" s="2" t="n">
        <f aca="false">IF( N606=0,I606*(1-G606/100)+J606*(1-H606/100),-N606)</f>
        <v>-22.6229668997986</v>
      </c>
      <c r="Q606" s="47" t="n">
        <f aca="false">IF(P605&gt;0,Q605+P605*(1-V$20/100),Q605+P605)</f>
        <v>3029.38066646864</v>
      </c>
      <c r="R606" s="48" t="n">
        <f aca="false">R$4+Q606/V$28</f>
        <v>75.8330875472599</v>
      </c>
    </row>
    <row r="607" customFormat="false" ht="12.8" hidden="false" customHeight="false" outlineLevel="0" collapsed="false">
      <c r="A607" s="1" t="n">
        <v>603</v>
      </c>
      <c r="B607" s="37" t="n">
        <v>44148</v>
      </c>
      <c r="C607" s="38" t="n">
        <f aca="false">V$26-V$26*SIN(2*PI()/365*A607)</f>
        <v>25.7214520352594</v>
      </c>
      <c r="D607" s="2" t="n">
        <f aca="false">IF((E607+F607)&gt;C607,C607,E607+F607)</f>
        <v>5.29965481103311</v>
      </c>
      <c r="E607" s="38" t="n">
        <f aca="false">(V$23+V$24*SIN(2*PI()/365*A607))*V$25/100*V$7*V$8/100</f>
        <v>4.37346343182458</v>
      </c>
      <c r="F607" s="38" t="n">
        <f aca="false">(V$23+V$24*SIN(2*PI()/365*A607))*V$25/100*V$9*(1-V$14/100)*(1-V$16/100)</f>
        <v>0.926191379208531</v>
      </c>
      <c r="G607" s="38" t="n">
        <f aca="false">IF(C607&gt;E607,100,C607/E607*100)</f>
        <v>100</v>
      </c>
      <c r="H607" s="38" t="n">
        <f aca="false">L607/F607*100</f>
        <v>100</v>
      </c>
      <c r="I607" s="38" t="n">
        <f aca="false">(V$23+V$24*SIN(2*PI()/365*A607))*V$25/100*V$7*V$8/100*(1-V$15/100)</f>
        <v>3.89238245432388</v>
      </c>
      <c r="J607" s="38" t="n">
        <f aca="false">(V$23+V$24*SIN(2*PI()/365*A607))*V$25/100*V$9*(1-V$14/100)</f>
        <v>1.04066447102082</v>
      </c>
      <c r="K607" s="39" t="n">
        <f aca="false">IF(E607/C607*100&lt;100,E607/C607*100,100)</f>
        <v>17.0031747267976</v>
      </c>
      <c r="L607" s="2" t="n">
        <f aca="false">IF(((C607-E607)&gt;0)AND(F607&gt;(C607-E607)),(C607-E607),IF(C607&lt;E607,0,F607))</f>
        <v>0.926191379208531</v>
      </c>
      <c r="M607" s="2" t="n">
        <f aca="false">IF(C607&lt;(E607+F607),0,C607-E607-F607)</f>
        <v>20.4217972242263</v>
      </c>
      <c r="N607" s="2" t="n">
        <f aca="false">IF(C607&lt;(E607+F607),0,(C607-E607-F607)/(1-V$16/100))</f>
        <v>22.9458395777823</v>
      </c>
      <c r="O607" s="2" t="n">
        <f aca="false">L607+M607</f>
        <v>21.3479886034348</v>
      </c>
      <c r="P607" s="2" t="n">
        <f aca="false">IF( N607=0,I607*(1-G607/100)+J607*(1-H607/100),-N607)</f>
        <v>-22.9458395777823</v>
      </c>
      <c r="Q607" s="47" t="n">
        <f aca="false">IF(P606&gt;0,Q606+P606*(1-V$20/100),Q606+P606)</f>
        <v>3006.75769956885</v>
      </c>
      <c r="R607" s="48" t="n">
        <f aca="false">R$4+Q607/V$28</f>
        <v>75.5654913476564</v>
      </c>
    </row>
    <row r="608" customFormat="false" ht="12.8" hidden="false" customHeight="false" outlineLevel="0" collapsed="false">
      <c r="A608" s="1" t="n">
        <v>604</v>
      </c>
      <c r="B608" s="37" t="n">
        <v>44149</v>
      </c>
      <c r="C608" s="38" t="n">
        <f aca="false">V$26-V$26*SIN(2*PI()/365*A608)</f>
        <v>25.8604447534031</v>
      </c>
      <c r="D608" s="2" t="n">
        <f aca="false">IF((E608+F608)&gt;C608,C608,E608+F608)</f>
        <v>5.1582035001498</v>
      </c>
      <c r="E608" s="38" t="n">
        <f aca="false">(V$23+V$24*SIN(2*PI()/365*A608))*V$25/100*V$7*V$8/100</f>
        <v>4.2567327847183</v>
      </c>
      <c r="F608" s="38" t="n">
        <f aca="false">(V$23+V$24*SIN(2*PI()/365*A608))*V$25/100*V$9*(1-V$14/100)*(1-V$16/100)</f>
        <v>0.901470715431501</v>
      </c>
      <c r="G608" s="38" t="n">
        <f aca="false">IF(C608&gt;E608,100,C608/E608*100)</f>
        <v>100</v>
      </c>
      <c r="H608" s="38" t="n">
        <f aca="false">L608/F608*100</f>
        <v>100</v>
      </c>
      <c r="I608" s="38" t="n">
        <f aca="false">(V$23+V$24*SIN(2*PI()/365*A608))*V$25/100*V$7*V$8/100*(1-V$15/100)</f>
        <v>3.78849217839929</v>
      </c>
      <c r="J608" s="38" t="n">
        <f aca="false">(V$23+V$24*SIN(2*PI()/365*A608))*V$25/100*V$9*(1-V$14/100)</f>
        <v>1.01288844430506</v>
      </c>
      <c r="K608" s="39" t="n">
        <f aca="false">IF(E608/C608*100&lt;100,E608/C608*100,100)</f>
        <v>16.4604005279458</v>
      </c>
      <c r="L608" s="2" t="n">
        <f aca="false">IF(((C608-E608)&gt;0)AND(F608&gt;(C608-E608)),(C608-E608),IF(C608&lt;E608,0,F608))</f>
        <v>0.901470715431501</v>
      </c>
      <c r="M608" s="2" t="n">
        <f aca="false">IF(C608&lt;(E608+F608),0,C608-E608-F608)</f>
        <v>20.7022412532533</v>
      </c>
      <c r="N608" s="2" t="n">
        <f aca="false">IF(C608&lt;(E608+F608),0,(C608-E608-F608)/(1-V$16/100))</f>
        <v>23.2609452283745</v>
      </c>
      <c r="O608" s="2" t="n">
        <f aca="false">L608+M608</f>
        <v>21.6037119686848</v>
      </c>
      <c r="P608" s="2" t="n">
        <f aca="false">IF( N608=0,I608*(1-G608/100)+J608*(1-H608/100),-N608)</f>
        <v>-23.2609452283745</v>
      </c>
      <c r="Q608" s="47" t="n">
        <f aca="false">IF(P607&gt;0,Q607+P607*(1-V$20/100),Q607+P607)</f>
        <v>2983.81185999106</v>
      </c>
      <c r="R608" s="48" t="n">
        <f aca="false">R$4+Q608/V$28</f>
        <v>75.2940760423641</v>
      </c>
    </row>
    <row r="609" customFormat="false" ht="12.8" hidden="false" customHeight="false" outlineLevel="0" collapsed="false">
      <c r="A609" s="1" t="n">
        <v>605</v>
      </c>
      <c r="B609" s="37" t="n">
        <v>44150</v>
      </c>
      <c r="C609" s="38" t="n">
        <f aca="false">V$26-V$26*SIN(2*PI()/365*A609)</f>
        <v>25.9959702586957</v>
      </c>
      <c r="D609" s="2" t="n">
        <f aca="false">IF((E609+F609)&gt;C609,C609,E609+F609)</f>
        <v>5.02028073241217</v>
      </c>
      <c r="E609" s="38" t="n">
        <f aca="false">(V$23+V$24*SIN(2*PI()/365*A609))*V$25/100*V$7*V$8/100</f>
        <v>4.142914016775</v>
      </c>
      <c r="F609" s="38" t="n">
        <f aca="false">(V$23+V$24*SIN(2*PI()/365*A609))*V$25/100*V$9*(1-V$14/100)*(1-V$16/100)</f>
        <v>0.877366715637168</v>
      </c>
      <c r="G609" s="38" t="n">
        <f aca="false">IF(C609&gt;E609,100,C609/E609*100)</f>
        <v>100</v>
      </c>
      <c r="H609" s="38" t="n">
        <f aca="false">L609/F609*100</f>
        <v>100</v>
      </c>
      <c r="I609" s="38" t="n">
        <f aca="false">(V$23+V$24*SIN(2*PI()/365*A609))*V$25/100*V$7*V$8/100*(1-V$15/100)</f>
        <v>3.68719347492975</v>
      </c>
      <c r="J609" s="38" t="n">
        <f aca="false">(V$23+V$24*SIN(2*PI()/365*A609))*V$25/100*V$9*(1-V$14/100)</f>
        <v>0.985805298468728</v>
      </c>
      <c r="K609" s="39" t="n">
        <f aca="false">IF(E609/C609*100&lt;100,E609/C609*100,100)</f>
        <v>15.9367547183171</v>
      </c>
      <c r="L609" s="2" t="n">
        <f aca="false">IF(((C609-E609)&gt;0)AND(F609&gt;(C609-E609)),(C609-E609),IF(C609&lt;E609,0,F609))</f>
        <v>0.877366715637168</v>
      </c>
      <c r="M609" s="2" t="n">
        <f aca="false">IF(C609&lt;(E609+F609),0,C609-E609-F609)</f>
        <v>20.9756895262835</v>
      </c>
      <c r="N609" s="2" t="n">
        <f aca="false">IF(C609&lt;(E609+F609),0,(C609-E609-F609)/(1-V$16/100))</f>
        <v>23.5681904789703</v>
      </c>
      <c r="O609" s="2" t="n">
        <f aca="false">L609+M609</f>
        <v>21.8530562419207</v>
      </c>
      <c r="P609" s="2" t="n">
        <f aca="false">IF( N609=0,I609*(1-G609/100)+J609*(1-H609/100),-N609)</f>
        <v>-23.5681904789703</v>
      </c>
      <c r="Q609" s="47" t="n">
        <f aca="false">IF(P608&gt;0,Q608+P608*(1-V$20/100),Q608+P608)</f>
        <v>2960.55091476269</v>
      </c>
      <c r="R609" s="48" t="n">
        <f aca="false">R$4+Q609/V$28</f>
        <v>75.0189335038162</v>
      </c>
    </row>
    <row r="610" customFormat="false" ht="12.8" hidden="false" customHeight="false" outlineLevel="0" collapsed="false">
      <c r="A610" s="1" t="n">
        <v>606</v>
      </c>
      <c r="B610" s="37" t="n">
        <v>44151</v>
      </c>
      <c r="C610" s="38" t="n">
        <f aca="false">V$26-V$26*SIN(2*PI()/365*A610)</f>
        <v>26.1279883920051</v>
      </c>
      <c r="D610" s="2" t="n">
        <f aca="false">IF((E610+F610)&gt;C610,C610,E610+F610)</f>
        <v>4.88592737731288</v>
      </c>
      <c r="E610" s="38" t="n">
        <f aca="false">(V$23+V$24*SIN(2*PI()/365*A610))*V$25/100*V$7*V$8/100</f>
        <v>4.03204085495201</v>
      </c>
      <c r="F610" s="38" t="n">
        <f aca="false">(V$23+V$24*SIN(2*PI()/365*A610))*V$25/100*V$9*(1-V$14/100)*(1-V$16/100)</f>
        <v>0.853886522360873</v>
      </c>
      <c r="G610" s="38" t="n">
        <f aca="false">IF(C610&gt;E610,100,C610/E610*100)</f>
        <v>100</v>
      </c>
      <c r="H610" s="38" t="n">
        <f aca="false">L610/F610*100</f>
        <v>100</v>
      </c>
      <c r="I610" s="38" t="n">
        <f aca="false">(V$23+V$24*SIN(2*PI()/365*A610))*V$25/100*V$7*V$8/100*(1-V$15/100)</f>
        <v>3.58851636090729</v>
      </c>
      <c r="J610" s="38" t="n">
        <f aca="false">(V$23+V$24*SIN(2*PI()/365*A610))*V$25/100*V$9*(1-V$14/100)</f>
        <v>0.959423058832442</v>
      </c>
      <c r="K610" s="39" t="n">
        <f aca="false">IF(E610/C610*100&lt;100,E610/C610*100,100)</f>
        <v>15.4318839799614</v>
      </c>
      <c r="L610" s="2" t="n">
        <f aca="false">IF(((C610-E610)&gt;0)AND(F610&gt;(C610-E610)),(C610-E610),IF(C610&lt;E610,0,F610))</f>
        <v>0.853886522360873</v>
      </c>
      <c r="M610" s="2" t="n">
        <f aca="false">IF(C610&lt;(E610+F610),0,C610-E610-F610)</f>
        <v>21.2420610146922</v>
      </c>
      <c r="N610" s="2" t="n">
        <f aca="false">IF(C610&lt;(E610+F610),0,(C610-E610-F610)/(1-V$16/100))</f>
        <v>23.867484286171</v>
      </c>
      <c r="O610" s="2" t="n">
        <f aca="false">L610+M610</f>
        <v>22.0959475370531</v>
      </c>
      <c r="P610" s="2" t="n">
        <f aca="false">IF( N610=0,I610*(1-G610/100)+J610*(1-H610/100),-N610)</f>
        <v>-23.867484286171</v>
      </c>
      <c r="Q610" s="47" t="n">
        <f aca="false">IF(P609&gt;0,Q609+P609*(1-V$20/100),Q609+P609)</f>
        <v>2936.98272428372</v>
      </c>
      <c r="R610" s="48" t="n">
        <f aca="false">R$4+Q610/V$28</f>
        <v>74.7401567089052</v>
      </c>
    </row>
    <row r="611" customFormat="false" ht="12.8" hidden="false" customHeight="false" outlineLevel="0" collapsed="false">
      <c r="A611" s="1" t="n">
        <v>607</v>
      </c>
      <c r="B611" s="37" t="n">
        <v>44152</v>
      </c>
      <c r="C611" s="38" t="n">
        <f aca="false">V$26-V$26*SIN(2*PI()/365*A611)</f>
        <v>26.2564600335092</v>
      </c>
      <c r="D611" s="2" t="n">
        <f aca="false">IF((E611+F611)&gt;C611,C611,E611+F611)</f>
        <v>4.75518324665063</v>
      </c>
      <c r="E611" s="38" t="n">
        <f aca="false">(V$23+V$24*SIN(2*PI()/365*A611))*V$25/100*V$7*V$8/100</f>
        <v>3.92414615336</v>
      </c>
      <c r="F611" s="38" t="n">
        <f aca="false">(V$23+V$24*SIN(2*PI()/365*A611))*V$25/100*V$9*(1-V$14/100)*(1-V$16/100)</f>
        <v>0.831037093290628</v>
      </c>
      <c r="G611" s="38" t="n">
        <f aca="false">IF(C611&gt;E611,100,C611/E611*100)</f>
        <v>100</v>
      </c>
      <c r="H611" s="38" t="n">
        <f aca="false">L611/F611*100</f>
        <v>100</v>
      </c>
      <c r="I611" s="38" t="n">
        <f aca="false">(V$23+V$24*SIN(2*PI()/365*A611))*V$25/100*V$7*V$8/100*(1-V$15/100)</f>
        <v>3.4924900764904</v>
      </c>
      <c r="J611" s="38" t="n">
        <f aca="false">(V$23+V$24*SIN(2*PI()/365*A611))*V$25/100*V$9*(1-V$14/100)</f>
        <v>0.933749543023178</v>
      </c>
      <c r="K611" s="39" t="n">
        <f aca="false">IF(E611/C611*100&lt;100,E611/C611*100,100)</f>
        <v>14.9454501800772</v>
      </c>
      <c r="L611" s="2" t="n">
        <f aca="false">IF(((C611-E611)&gt;0)AND(F611&gt;(C611-E611)),(C611-E611),IF(C611&lt;E611,0,F611))</f>
        <v>0.831037093290628</v>
      </c>
      <c r="M611" s="2" t="n">
        <f aca="false">IF(C611&lt;(E611+F611),0,C611-E611-F611)</f>
        <v>21.5012767868585</v>
      </c>
      <c r="N611" s="2" t="n">
        <f aca="false">IF(C611&lt;(E611+F611),0,(C611-E611-F611)/(1-V$16/100))</f>
        <v>24.1587379627624</v>
      </c>
      <c r="O611" s="2" t="n">
        <f aca="false">L611+M611</f>
        <v>22.3323138801492</v>
      </c>
      <c r="P611" s="2" t="n">
        <f aca="false">IF( N611=0,I611*(1-G611/100)+J611*(1-H611/100),-N611)</f>
        <v>-24.1587379627624</v>
      </c>
      <c r="Q611" s="47" t="n">
        <f aca="false">IF(P610&gt;0,Q610+P610*(1-V$20/100),Q610+P610)</f>
        <v>2913.11523999755</v>
      </c>
      <c r="R611" s="48" t="n">
        <f aca="false">R$4+Q611/V$28</f>
        <v>74.4578397114325</v>
      </c>
    </row>
    <row r="612" customFormat="false" ht="12.8" hidden="false" customHeight="false" outlineLevel="0" collapsed="false">
      <c r="A612" s="1" t="n">
        <v>608</v>
      </c>
      <c r="B612" s="37" t="n">
        <v>44153</v>
      </c>
      <c r="C612" s="38" t="n">
        <f aca="false">V$26-V$26*SIN(2*PI()/365*A612)</f>
        <v>26.3813471142879</v>
      </c>
      <c r="D612" s="2" t="n">
        <f aca="false">IF((E612+F612)&gt;C612,C612,E612+F612)</f>
        <v>4.62808708273306</v>
      </c>
      <c r="E612" s="38" t="n">
        <f aca="false">(V$23+V$24*SIN(2*PI()/365*A612))*V$25/100*V$7*V$8/100</f>
        <v>3.81926188352766</v>
      </c>
      <c r="F612" s="38" t="n">
        <f aca="false">(V$23+V$24*SIN(2*PI()/365*A612))*V$25/100*V$9*(1-V$14/100)*(1-V$16/100)</f>
        <v>0.808825199205401</v>
      </c>
      <c r="G612" s="38" t="n">
        <f aca="false">IF(C612&gt;E612,100,C612/E612*100)</f>
        <v>100</v>
      </c>
      <c r="H612" s="38" t="n">
        <f aca="false">L612/F612*100</f>
        <v>100</v>
      </c>
      <c r="I612" s="38" t="n">
        <f aca="false">(V$23+V$24*SIN(2*PI()/365*A612))*V$25/100*V$7*V$8/100*(1-V$15/100)</f>
        <v>3.39914307633961</v>
      </c>
      <c r="J612" s="38" t="n">
        <f aca="false">(V$23+V$24*SIN(2*PI()/365*A612))*V$25/100*V$9*(1-V$14/100)</f>
        <v>0.908792358657754</v>
      </c>
      <c r="K612" s="39" t="n">
        <f aca="false">IF(E612/C612*100&lt;100,E612/C612*100,100)</f>
        <v>14.4771298712763</v>
      </c>
      <c r="L612" s="2" t="n">
        <f aca="false">IF(((C612-E612)&gt;0)AND(F612&gt;(C612-E612)),(C612-E612),IF(C612&lt;E612,0,F612))</f>
        <v>0.808825199205401</v>
      </c>
      <c r="M612" s="2" t="n">
        <f aca="false">IF(C612&lt;(E612+F612),0,C612-E612-F612)</f>
        <v>21.7532600315549</v>
      </c>
      <c r="N612" s="2" t="n">
        <f aca="false">IF(C612&lt;(E612+F612),0,(C612-E612-F612)/(1-V$16/100))</f>
        <v>24.4418652039942</v>
      </c>
      <c r="O612" s="2" t="n">
        <f aca="false">L612+M612</f>
        <v>22.5620852307603</v>
      </c>
      <c r="P612" s="2" t="n">
        <f aca="false">IF( N612=0,I612*(1-G612/100)+J612*(1-H612/100),-N612)</f>
        <v>-24.4418652039942</v>
      </c>
      <c r="Q612" s="47" t="n">
        <f aca="false">IF(P611&gt;0,Q611+P611*(1-V$20/100),Q611+P611)</f>
        <v>2888.95650203479</v>
      </c>
      <c r="R612" s="48" t="n">
        <f aca="false">R$4+Q612/V$28</f>
        <v>74.1720776142379</v>
      </c>
    </row>
    <row r="613" customFormat="false" ht="12.8" hidden="false" customHeight="false" outlineLevel="0" collapsed="false">
      <c r="A613" s="1" t="n">
        <v>609</v>
      </c>
      <c r="B613" s="37" t="n">
        <v>44154</v>
      </c>
      <c r="C613" s="38" t="n">
        <f aca="false">V$26-V$26*SIN(2*PI()/365*A613)</f>
        <v>26.502612627604</v>
      </c>
      <c r="D613" s="2" t="n">
        <f aca="false">IF((E613+F613)&gt;C613,C613,E613+F613)</f>
        <v>4.50467654689647</v>
      </c>
      <c r="E613" s="38" t="n">
        <f aca="false">(V$23+V$24*SIN(2*PI()/365*A613))*V$25/100*V$7*V$8/100</f>
        <v>3.71741912492769</v>
      </c>
      <c r="F613" s="38" t="n">
        <f aca="false">(V$23+V$24*SIN(2*PI()/365*A613))*V$25/100*V$9*(1-V$14/100)*(1-V$16/100)</f>
        <v>0.787257421968778</v>
      </c>
      <c r="G613" s="38" t="n">
        <f aca="false">IF(C613&gt;E613,100,C613/E613*100)</f>
        <v>100</v>
      </c>
      <c r="H613" s="38" t="n">
        <f aca="false">L613/F613*100</f>
        <v>100</v>
      </c>
      <c r="I613" s="38" t="n">
        <f aca="false">(V$23+V$24*SIN(2*PI()/365*A613))*V$25/100*V$7*V$8/100*(1-V$15/100)</f>
        <v>3.30850302118564</v>
      </c>
      <c r="J613" s="38" t="n">
        <f aca="false">(V$23+V$24*SIN(2*PI()/365*A613))*V$25/100*V$9*(1-V$14/100)</f>
        <v>0.884558901088515</v>
      </c>
      <c r="K613" s="39" t="n">
        <f aca="false">IF(E613/C613*100&lt;100,E613/C613*100,100)</f>
        <v>14.0266138178988</v>
      </c>
      <c r="L613" s="2" t="n">
        <f aca="false">IF(((C613-E613)&gt;0)AND(F613&gt;(C613-E613)),(C613-E613),IF(C613&lt;E613,0,F613))</f>
        <v>0.787257421968778</v>
      </c>
      <c r="M613" s="2" t="n">
        <f aca="false">IF(C613&lt;(E613+F613),0,C613-E613-F613)</f>
        <v>21.9979360807076</v>
      </c>
      <c r="N613" s="2" t="n">
        <f aca="false">IF(C613&lt;(E613+F613),0,(C613-E613-F613)/(1-V$16/100))</f>
        <v>24.7167821131546</v>
      </c>
      <c r="O613" s="2" t="n">
        <f aca="false">L613+M613</f>
        <v>22.7851935026763</v>
      </c>
      <c r="P613" s="2" t="n">
        <f aca="false">IF( N613=0,I613*(1-G613/100)+J613*(1-H613/100),-N613)</f>
        <v>-24.7167821131546</v>
      </c>
      <c r="Q613" s="47" t="n">
        <f aca="false">IF(P612&gt;0,Q612+P612*(1-V$20/100),Q612+P612)</f>
        <v>2864.51463683079</v>
      </c>
      <c r="R613" s="48" t="n">
        <f aca="false">R$4+Q613/V$28</f>
        <v>73.8829665410184</v>
      </c>
    </row>
    <row r="614" customFormat="false" ht="12.8" hidden="false" customHeight="false" outlineLevel="0" collapsed="false">
      <c r="A614" s="1" t="n">
        <v>610</v>
      </c>
      <c r="B614" s="37" t="n">
        <v>44155</v>
      </c>
      <c r="C614" s="38" t="n">
        <f aca="false">V$26-V$26*SIN(2*PI()/365*A614)</f>
        <v>26.6202206398688</v>
      </c>
      <c r="D614" s="2" t="n">
        <f aca="false">IF((E614+F614)&gt;C614,C614,E614+F614)</f>
        <v>4.38498820834605</v>
      </c>
      <c r="E614" s="38" t="n">
        <f aca="false">(V$23+V$24*SIN(2*PI()/365*A614))*V$25/100*V$7*V$8/100</f>
        <v>3.61864805576742</v>
      </c>
      <c r="F614" s="38" t="n">
        <f aca="false">(V$23+V$24*SIN(2*PI()/365*A614))*V$25/100*V$9*(1-V$14/100)*(1-V$16/100)</f>
        <v>0.766340152578627</v>
      </c>
      <c r="G614" s="38" t="n">
        <f aca="false">IF(C614&gt;E614,100,C614/E614*100)</f>
        <v>100</v>
      </c>
      <c r="H614" s="38" t="n">
        <f aca="false">L614/F614*100</f>
        <v>100</v>
      </c>
      <c r="I614" s="38" t="n">
        <f aca="false">(V$23+V$24*SIN(2*PI()/365*A614))*V$25/100*V$7*V$8/100*(1-V$15/100)</f>
        <v>3.220596769633</v>
      </c>
      <c r="J614" s="38" t="n">
        <f aca="false">(V$23+V$24*SIN(2*PI()/365*A614))*V$25/100*V$9*(1-V$14/100)</f>
        <v>0.861056351211941</v>
      </c>
      <c r="K614" s="39" t="n">
        <f aca="false">IF(E614/C614*100&lt;100,E614/C614*100,100)</f>
        <v>13.5936065471517</v>
      </c>
      <c r="L614" s="2" t="n">
        <f aca="false">IF(((C614-E614)&gt;0)AND(F614&gt;(C614-E614)),(C614-E614),IF(C614&lt;E614,0,F614))</f>
        <v>0.766340152578627</v>
      </c>
      <c r="M614" s="2" t="n">
        <f aca="false">IF(C614&lt;(E614+F614),0,C614-E614-F614)</f>
        <v>22.2352324315227</v>
      </c>
      <c r="N614" s="2" t="n">
        <f aca="false">IF(C614&lt;(E614+F614),0,(C614-E614-F614)/(1-V$16/100))</f>
        <v>24.98340722643</v>
      </c>
      <c r="O614" s="2" t="n">
        <f aca="false">L614+M614</f>
        <v>23.0015725841014</v>
      </c>
      <c r="P614" s="2" t="n">
        <f aca="false">IF( N614=0,I614*(1-G614/100)+J614*(1-H614/100),-N614)</f>
        <v>-24.98340722643</v>
      </c>
      <c r="Q614" s="47" t="n">
        <f aca="false">IF(P613&gt;0,Q613+P613*(1-V$20/100),Q613+P613)</f>
        <v>2839.79785471764</v>
      </c>
      <c r="R614" s="48" t="n">
        <f aca="false">R$4+Q614/V$28</f>
        <v>73.5906036078451</v>
      </c>
    </row>
    <row r="615" customFormat="false" ht="12.8" hidden="false" customHeight="false" outlineLevel="0" collapsed="false">
      <c r="A615" s="1" t="n">
        <v>611</v>
      </c>
      <c r="B615" s="37" t="n">
        <v>44156</v>
      </c>
      <c r="C615" s="38" t="n">
        <f aca="false">V$26-V$26*SIN(2*PI()/365*A615)</f>
        <v>26.73413630129</v>
      </c>
      <c r="D615" s="2" t="n">
        <f aca="false">IF((E615+F615)&gt;C615,C615,E615+F615)</f>
        <v>4.26905753331958</v>
      </c>
      <c r="E615" s="38" t="n">
        <f aca="false">(V$23+V$24*SIN(2*PI()/365*A615))*V$25/100*V$7*V$8/100</f>
        <v>3.52297794404629</v>
      </c>
      <c r="F615" s="38" t="n">
        <f aca="false">(V$23+V$24*SIN(2*PI()/365*A615))*V$25/100*V$9*(1-V$14/100)*(1-V$16/100)</f>
        <v>0.746079589273297</v>
      </c>
      <c r="G615" s="38" t="n">
        <f aca="false">IF(C615&gt;E615,100,C615/E615*100)</f>
        <v>100</v>
      </c>
      <c r="H615" s="38" t="n">
        <f aca="false">L615/F615*100</f>
        <v>100</v>
      </c>
      <c r="I615" s="38" t="n">
        <f aca="false">(V$23+V$24*SIN(2*PI()/365*A615))*V$25/100*V$7*V$8/100*(1-V$15/100)</f>
        <v>3.1354503702012</v>
      </c>
      <c r="J615" s="38" t="n">
        <f aca="false">(V$23+V$24*SIN(2*PI()/365*A615))*V$25/100*V$9*(1-V$14/100)</f>
        <v>0.838291673340783</v>
      </c>
      <c r="K615" s="39" t="n">
        <f aca="false">IF(E615/C615*100&lt;100,E615/C615*100,100)</f>
        <v>13.1778259239155</v>
      </c>
      <c r="L615" s="2" t="n">
        <f aca="false">IF(((C615-E615)&gt;0)AND(F615&gt;(C615-E615)),(C615-E615),IF(C615&lt;E615,0,F615))</f>
        <v>0.746079589273297</v>
      </c>
      <c r="M615" s="2" t="n">
        <f aca="false">IF(C615&lt;(E615+F615),0,C615-E615-F615)</f>
        <v>22.4650787679704</v>
      </c>
      <c r="N615" s="2" t="n">
        <f aca="false">IF(C615&lt;(E615+F615),0,(C615-E615-F615)/(1-V$16/100))</f>
        <v>25.2416615370454</v>
      </c>
      <c r="O615" s="2" t="n">
        <f aca="false">L615+M615</f>
        <v>23.2111583572437</v>
      </c>
      <c r="P615" s="2" t="n">
        <f aca="false">IF( N615=0,I615*(1-G615/100)+J615*(1-H615/100),-N615)</f>
        <v>-25.2416615370454</v>
      </c>
      <c r="Q615" s="47" t="n">
        <f aca="false">IF(P614&gt;0,Q614+P614*(1-V$20/100),Q614+P614)</f>
        <v>2814.81444749121</v>
      </c>
      <c r="R615" s="48" t="n">
        <f aca="false">R$4+Q615/V$28</f>
        <v>73.2950868943853</v>
      </c>
    </row>
    <row r="616" customFormat="false" ht="12.8" hidden="false" customHeight="false" outlineLevel="0" collapsed="false">
      <c r="A616" s="1" t="n">
        <v>612</v>
      </c>
      <c r="B616" s="37" t="n">
        <v>44157</v>
      </c>
      <c r="C616" s="38" t="n">
        <f aca="false">V$26-V$26*SIN(2*PI()/365*A616)</f>
        <v>26.8443258561986</v>
      </c>
      <c r="D616" s="2" t="n">
        <f aca="false">IF((E616+F616)&gt;C616,C616,E616+F616)</f>
        <v>4.1569188745781</v>
      </c>
      <c r="E616" s="38" t="n">
        <f aca="false">(V$23+V$24*SIN(2*PI()/365*A616))*V$25/100*V$7*V$8/100</f>
        <v>3.43043713888315</v>
      </c>
      <c r="F616" s="38" t="n">
        <f aca="false">(V$23+V$24*SIN(2*PI()/365*A616))*V$25/100*V$9*(1-V$14/100)*(1-V$16/100)</f>
        <v>0.726481735694958</v>
      </c>
      <c r="G616" s="38" t="n">
        <f aca="false">IF(C616&gt;E616,100,C616/E616*100)</f>
        <v>100</v>
      </c>
      <c r="H616" s="38" t="n">
        <f aca="false">L616/F616*100</f>
        <v>100</v>
      </c>
      <c r="I616" s="38" t="n">
        <f aca="false">(V$23+V$24*SIN(2*PI()/365*A616))*V$25/100*V$7*V$8/100*(1-V$15/100)</f>
        <v>3.053089053606</v>
      </c>
      <c r="J616" s="38" t="n">
        <f aca="false">(V$23+V$24*SIN(2*PI()/365*A616))*V$25/100*V$9*(1-V$14/100)</f>
        <v>0.816271613140402</v>
      </c>
      <c r="K616" s="39" t="n">
        <f aca="false">IF(E616/C616*100&lt;100,E616/C616*100,100)</f>
        <v>12.7790027481395</v>
      </c>
      <c r="L616" s="2" t="n">
        <f aca="false">IF(((C616-E616)&gt;0)AND(F616&gt;(C616-E616)),(C616-E616),IF(C616&lt;E616,0,F616))</f>
        <v>0.726481735694958</v>
      </c>
      <c r="M616" s="2" t="n">
        <f aca="false">IF(C616&lt;(E616+F616),0,C616-E616-F616)</f>
        <v>22.6874069816205</v>
      </c>
      <c r="N616" s="2" t="n">
        <f aca="false">IF(C616&lt;(E616+F616),0,(C616-E616-F616)/(1-V$16/100))</f>
        <v>25.4914685186747</v>
      </c>
      <c r="O616" s="2" t="n">
        <f aca="false">L616+M616</f>
        <v>23.4138887173154</v>
      </c>
      <c r="P616" s="2" t="n">
        <f aca="false">IF( N616=0,I616*(1-G616/100)+J616*(1-H616/100),-N616)</f>
        <v>-25.4914685186747</v>
      </c>
      <c r="Q616" s="47" t="n">
        <f aca="false">IF(P615&gt;0,Q615+P615*(1-V$20/100),Q615+P615)</f>
        <v>2789.57278595416</v>
      </c>
      <c r="R616" s="48" t="n">
        <f aca="false">R$4+Q616/V$28</f>
        <v>72.9965154148394</v>
      </c>
    </row>
    <row r="617" customFormat="false" ht="12.8" hidden="false" customHeight="false" outlineLevel="0" collapsed="false">
      <c r="A617" s="1" t="n">
        <v>613</v>
      </c>
      <c r="B617" s="37" t="n">
        <v>44158</v>
      </c>
      <c r="C617" s="38" t="n">
        <f aca="false">V$26-V$26*SIN(2*PI()/365*A617)</f>
        <v>26.9507566530514</v>
      </c>
      <c r="D617" s="2" t="n">
        <f aca="false">IF((E617+F617)&gt;C617,C617,E617+F617)</f>
        <v>4.04860546122633</v>
      </c>
      <c r="E617" s="38" t="n">
        <f aca="false">(V$23+V$24*SIN(2*PI()/365*A617))*V$25/100*V$7*V$8/100</f>
        <v>3.34105306211575</v>
      </c>
      <c r="F617" s="38" t="n">
        <f aca="false">(V$23+V$24*SIN(2*PI()/365*A617))*V$25/100*V$9*(1-V$14/100)*(1-V$16/100)</f>
        <v>0.707552399110579</v>
      </c>
      <c r="G617" s="38" t="n">
        <f aca="false">IF(C617&gt;E617,100,C617/E617*100)</f>
        <v>100</v>
      </c>
      <c r="H617" s="38" t="n">
        <f aca="false">L617/F617*100</f>
        <v>100</v>
      </c>
      <c r="I617" s="38" t="n">
        <f aca="false">(V$23+V$24*SIN(2*PI()/365*A617))*V$25/100*V$7*V$8/100*(1-V$15/100)</f>
        <v>2.97353722528302</v>
      </c>
      <c r="J617" s="38" t="n">
        <f aca="false">(V$23+V$24*SIN(2*PI()/365*A617))*V$25/100*V$9*(1-V$14/100)</f>
        <v>0.795002695629864</v>
      </c>
      <c r="K617" s="39" t="n">
        <f aca="false">IF(E617/C617*100&lt;100,E617/C617*100,100)</f>
        <v>12.3968803738112</v>
      </c>
      <c r="L617" s="2" t="n">
        <f aca="false">IF(((C617-E617)&gt;0)AND(F617&gt;(C617-E617)),(C617-E617),IF(C617&lt;E617,0,F617))</f>
        <v>0.707552399110579</v>
      </c>
      <c r="M617" s="2" t="n">
        <f aca="false">IF(C617&lt;(E617+F617),0,C617-E617-F617)</f>
        <v>22.9021511918251</v>
      </c>
      <c r="N617" s="2" t="n">
        <f aca="false">IF(C617&lt;(E617+F617),0,(C617-E617-F617)/(1-V$16/100))</f>
        <v>25.7327541481181</v>
      </c>
      <c r="O617" s="2" t="n">
        <f aca="false">L617+M617</f>
        <v>23.6097035909357</v>
      </c>
      <c r="P617" s="2" t="n">
        <f aca="false">IF( N617=0,I617*(1-G617/100)+J617*(1-H617/100),-N617)</f>
        <v>-25.7327541481181</v>
      </c>
      <c r="Q617" s="47" t="n">
        <f aca="false">IF(P616&gt;0,Q616+P616*(1-V$20/100),Q616+P616)</f>
        <v>2764.08131743549</v>
      </c>
      <c r="R617" s="48" t="n">
        <f aca="false">R$4+Q617/V$28</f>
        <v>72.694989088601</v>
      </c>
    </row>
    <row r="618" customFormat="false" ht="12.8" hidden="false" customHeight="false" outlineLevel="0" collapsed="false">
      <c r="A618" s="1" t="n">
        <v>614</v>
      </c>
      <c r="B618" s="37" t="n">
        <v>44159</v>
      </c>
      <c r="C618" s="38" t="n">
        <f aca="false">V$26-V$26*SIN(2*PI()/365*A618)</f>
        <v>27.0533971541064</v>
      </c>
      <c r="D618" s="2" t="n">
        <f aca="false">IF((E618+F618)&gt;C618,C618,E618+F618)</f>
        <v>3.94414938886622</v>
      </c>
      <c r="E618" s="38" t="n">
        <f aca="false">(V$23+V$24*SIN(2*PI()/365*A618))*V$25/100*V$7*V$8/100</f>
        <v>3.2548522001751</v>
      </c>
      <c r="F618" s="38" t="n">
        <f aca="false">(V$23+V$24*SIN(2*PI()/365*A618))*V$25/100*V$9*(1-V$14/100)*(1-V$16/100)</f>
        <v>0.689297188691118</v>
      </c>
      <c r="G618" s="38" t="n">
        <f aca="false">IF(C618&gt;E618,100,C618/E618*100)</f>
        <v>100</v>
      </c>
      <c r="H618" s="38" t="n">
        <f aca="false">L618/F618*100</f>
        <v>100</v>
      </c>
      <c r="I618" s="38" t="n">
        <f aca="false">(V$23+V$24*SIN(2*PI()/365*A618))*V$25/100*V$7*V$8/100*(1-V$15/100)</f>
        <v>2.89681845815584</v>
      </c>
      <c r="J618" s="38" t="n">
        <f aca="false">(V$23+V$24*SIN(2*PI()/365*A618))*V$25/100*V$9*(1-V$14/100)</f>
        <v>0.774491223248448</v>
      </c>
      <c r="K618" s="39" t="n">
        <f aca="false">IF(E618/C618*100&lt;100,E618/C618*100,100)</f>
        <v>12.0312143485501</v>
      </c>
      <c r="L618" s="2" t="n">
        <f aca="false">IF(((C618-E618)&gt;0)AND(F618&gt;(C618-E618)),(C618-E618),IF(C618&lt;E618,0,F618))</f>
        <v>0.689297188691118</v>
      </c>
      <c r="M618" s="2" t="n">
        <f aca="false">IF(C618&lt;(E618+F618),0,C618-E618-F618)</f>
        <v>23.1092477652402</v>
      </c>
      <c r="N618" s="2" t="n">
        <f aca="false">IF(C618&lt;(E618+F618),0,(C618-E618-F618)/(1-V$16/100))</f>
        <v>25.9654469272362</v>
      </c>
      <c r="O618" s="2" t="n">
        <f aca="false">L618+M618</f>
        <v>23.7985449539313</v>
      </c>
      <c r="P618" s="2" t="n">
        <f aca="false">IF( N618=0,I618*(1-G618/100)+J618*(1-H618/100),-N618)</f>
        <v>-25.9654469272362</v>
      </c>
      <c r="Q618" s="47" t="n">
        <f aca="false">IF(P617&gt;0,Q617+P617*(1-V$20/100),Q617+P617)</f>
        <v>2738.34856328737</v>
      </c>
      <c r="R618" s="48" t="n">
        <f aca="false">R$4+Q618/V$28</f>
        <v>72.3906087106485</v>
      </c>
    </row>
    <row r="619" customFormat="false" ht="12.8" hidden="false" customHeight="false" outlineLevel="0" collapsed="false">
      <c r="A619" s="1" t="n">
        <v>615</v>
      </c>
      <c r="B619" s="37" t="n">
        <v>44160</v>
      </c>
      <c r="C619" s="38" t="n">
        <f aca="false">V$26-V$26*SIN(2*PI()/365*A619)</f>
        <v>27.1522169447679</v>
      </c>
      <c r="D619" s="2" t="n">
        <f aca="false">IF((E619+F619)&gt;C619,C619,E619+F619)</f>
        <v>3.84358161008638</v>
      </c>
      <c r="E619" s="38" t="n">
        <f aca="false">(V$23+V$24*SIN(2*PI()/365*A619))*V$25/100*V$7*V$8/100</f>
        <v>3.17186009623697</v>
      </c>
      <c r="F619" s="38" t="n">
        <f aca="false">(V$23+V$24*SIN(2*PI()/365*A619))*V$25/100*V$9*(1-V$14/100)*(1-V$16/100)</f>
        <v>0.671721513849405</v>
      </c>
      <c r="G619" s="38" t="n">
        <f aca="false">IF(C619&gt;E619,100,C619/E619*100)</f>
        <v>100</v>
      </c>
      <c r="H619" s="38" t="n">
        <f aca="false">L619/F619*100</f>
        <v>100</v>
      </c>
      <c r="I619" s="38" t="n">
        <f aca="false">(V$23+V$24*SIN(2*PI()/365*A619))*V$25/100*V$7*V$8/100*(1-V$15/100)</f>
        <v>2.8229554856509</v>
      </c>
      <c r="J619" s="38" t="n">
        <f aca="false">(V$23+V$24*SIN(2*PI()/365*A619))*V$25/100*V$9*(1-V$14/100)</f>
        <v>0.754743273988096</v>
      </c>
      <c r="K619" s="39" t="n">
        <f aca="false">IF(E619/C619*100&lt;100,E619/C619*100,100)</f>
        <v>11.6817720729363</v>
      </c>
      <c r="L619" s="2" t="n">
        <f aca="false">IF(((C619-E619)&gt;0)AND(F619&gt;(C619-E619)),(C619-E619),IF(C619&lt;E619,0,F619))</f>
        <v>0.671721513849405</v>
      </c>
      <c r="M619" s="2" t="n">
        <f aca="false">IF(C619&lt;(E619+F619),0,C619-E619-F619)</f>
        <v>23.3086353346815</v>
      </c>
      <c r="N619" s="2" t="n">
        <f aca="false">IF(C619&lt;(E619+F619),0,(C619-E619-F619)/(1-V$16/100))</f>
        <v>26.1894779041366</v>
      </c>
      <c r="O619" s="2" t="n">
        <f aca="false">L619+M619</f>
        <v>23.980356848531</v>
      </c>
      <c r="P619" s="2" t="n">
        <f aca="false">IF( N619=0,I619*(1-G619/100)+J619*(1-H619/100),-N619)</f>
        <v>-26.1894779041366</v>
      </c>
      <c r="Q619" s="47" t="n">
        <f aca="false">IF(P618&gt;0,Q618+P618*(1-V$20/100),Q618+P618)</f>
        <v>2712.38311636013</v>
      </c>
      <c r="R619" s="48" t="n">
        <f aca="false">R$4+Q619/V$28</f>
        <v>72.0834759216775</v>
      </c>
    </row>
    <row r="620" customFormat="false" ht="12.8" hidden="false" customHeight="false" outlineLevel="0" collapsed="false">
      <c r="A620" s="1" t="n">
        <v>616</v>
      </c>
      <c r="B620" s="37" t="n">
        <v>44161</v>
      </c>
      <c r="C620" s="38" t="n">
        <f aca="false">V$26-V$26*SIN(2*PI()/365*A620)</f>
        <v>27.2471867425993</v>
      </c>
      <c r="D620" s="2" t="n">
        <f aca="false">IF((E620+F620)&gt;C620,C620,E620+F620)</f>
        <v>3.74693192529008</v>
      </c>
      <c r="E620" s="38" t="n">
        <f aca="false">(V$23+V$24*SIN(2*PI()/365*A620))*V$25/100*V$7*V$8/100</f>
        <v>3.09210134265287</v>
      </c>
      <c r="F620" s="38" t="n">
        <f aca="false">(V$23+V$24*SIN(2*PI()/365*A620))*V$25/100*V$9*(1-V$14/100)*(1-V$16/100)</f>
        <v>0.654830582637208</v>
      </c>
      <c r="G620" s="38" t="n">
        <f aca="false">IF(C620&gt;E620,100,C620/E620*100)</f>
        <v>100</v>
      </c>
      <c r="H620" s="38" t="n">
        <f aca="false">L620/F620*100</f>
        <v>100</v>
      </c>
      <c r="I620" s="38" t="n">
        <f aca="false">(V$23+V$24*SIN(2*PI()/365*A620))*V$25/100*V$7*V$8/100*(1-V$15/100)</f>
        <v>2.75197019496106</v>
      </c>
      <c r="J620" s="38" t="n">
        <f aca="false">(V$23+V$24*SIN(2*PI()/365*A620))*V$25/100*V$9*(1-V$14/100)</f>
        <v>0.735764699592369</v>
      </c>
      <c r="K620" s="39" t="n">
        <f aca="false">IF(E620/C620*100&lt;100,E620/C620*100,100)</f>
        <v>11.3483324787383</v>
      </c>
      <c r="L620" s="2" t="n">
        <f aca="false">IF(((C620-E620)&gt;0)AND(F620&gt;(C620-E620)),(C620-E620),IF(C620&lt;E620,0,F620))</f>
        <v>0.654830582637208</v>
      </c>
      <c r="M620" s="2" t="n">
        <f aca="false">IF(C620&lt;(E620+F620),0,C620-E620-F620)</f>
        <v>23.5002548173092</v>
      </c>
      <c r="N620" s="2" t="n">
        <f aca="false">IF(C620&lt;(E620+F620),0,(C620-E620-F620)/(1-V$16/100))</f>
        <v>26.4047806936059</v>
      </c>
      <c r="O620" s="2" t="n">
        <f aca="false">L620+M620</f>
        <v>24.1550853999464</v>
      </c>
      <c r="P620" s="2" t="n">
        <f aca="false">IF( N620=0,I620*(1-G620/100)+J620*(1-H620/100),-N620)</f>
        <v>-26.4047806936059</v>
      </c>
      <c r="Q620" s="47" t="n">
        <f aca="false">IF(P619&gt;0,Q619+P619*(1-V$20/100),Q619+P619)</f>
        <v>2686.19363845599</v>
      </c>
      <c r="R620" s="48" t="n">
        <f aca="false">R$4+Q620/V$28</f>
        <v>71.7736931779823</v>
      </c>
    </row>
    <row r="621" customFormat="false" ht="12.8" hidden="false" customHeight="false" outlineLevel="0" collapsed="false">
      <c r="A621" s="1" t="n">
        <v>617</v>
      </c>
      <c r="B621" s="37" t="n">
        <v>44162</v>
      </c>
      <c r="C621" s="38" t="n">
        <f aca="false">V$26-V$26*SIN(2*PI()/365*A621)</f>
        <v>27.3382784059998</v>
      </c>
      <c r="D621" s="2" t="n">
        <f aca="false">IF((E621+F621)&gt;C621,C621,E621+F621)</f>
        <v>3.6542289738648</v>
      </c>
      <c r="E621" s="38" t="n">
        <f aca="false">(V$23+V$24*SIN(2*PI()/365*A621))*V$25/100*V$7*V$8/100</f>
        <v>3.01559957366282</v>
      </c>
      <c r="F621" s="38" t="n">
        <f aca="false">(V$23+V$24*SIN(2*PI()/365*A621))*V$25/100*V$9*(1-V$14/100)*(1-V$16/100)</f>
        <v>0.63862940020198</v>
      </c>
      <c r="G621" s="38" t="n">
        <f aca="false">IF(C621&gt;E621,100,C621/E621*100)</f>
        <v>100</v>
      </c>
      <c r="H621" s="38" t="n">
        <f aca="false">L621/F621*100</f>
        <v>100</v>
      </c>
      <c r="I621" s="38" t="n">
        <f aca="false">(V$23+V$24*SIN(2*PI()/365*A621))*V$25/100*V$7*V$8/100*(1-V$15/100)</f>
        <v>2.68388362055991</v>
      </c>
      <c r="J621" s="38" t="n">
        <f aca="false">(V$23+V$24*SIN(2*PI()/365*A621))*V$25/100*V$9*(1-V$14/100)</f>
        <v>0.71756112382245</v>
      </c>
      <c r="K621" s="39" t="n">
        <f aca="false">IF(E621/C621*100&lt;100,E621/C621*100,100)</f>
        <v>11.0306857252613</v>
      </c>
      <c r="L621" s="2" t="n">
        <f aca="false">IF(((C621-E621)&gt;0)AND(F621&gt;(C621-E621)),(C621-E621),IF(C621&lt;E621,0,F621))</f>
        <v>0.63862940020198</v>
      </c>
      <c r="M621" s="2" t="n">
        <f aca="false">IF(C621&lt;(E621+F621),0,C621-E621-F621)</f>
        <v>23.684049432135</v>
      </c>
      <c r="N621" s="2" t="n">
        <f aca="false">IF(C621&lt;(E621+F621),0,(C621-E621-F621)/(1-V$16/100))</f>
        <v>26.6112914967809</v>
      </c>
      <c r="O621" s="2" t="n">
        <f aca="false">L621+M621</f>
        <v>24.322678832337</v>
      </c>
      <c r="P621" s="2" t="n">
        <f aca="false">IF( N621=0,I621*(1-G621/100)+J621*(1-H621/100),-N621)</f>
        <v>-26.6112914967809</v>
      </c>
      <c r="Q621" s="47" t="n">
        <f aca="false">IF(P620&gt;0,Q620+P620*(1-V$20/100),Q620+P620)</f>
        <v>2659.78885776239</v>
      </c>
      <c r="R621" s="48" t="n">
        <f aca="false">R$4+Q621/V$28</f>
        <v>71.4613637210959</v>
      </c>
    </row>
    <row r="622" customFormat="false" ht="12.8" hidden="false" customHeight="false" outlineLevel="0" collapsed="false">
      <c r="A622" s="1" t="n">
        <v>618</v>
      </c>
      <c r="B622" s="37" t="n">
        <v>44163</v>
      </c>
      <c r="C622" s="38" t="n">
        <f aca="false">V$26-V$26*SIN(2*PI()/365*A622)</f>
        <v>27.4254649425437</v>
      </c>
      <c r="D622" s="2" t="n">
        <f aca="false">IF((E622+F622)&gt;C622,C622,E622+F622)</f>
        <v>3.56550022569575</v>
      </c>
      <c r="E622" s="38" t="n">
        <f aca="false">(V$23+V$24*SIN(2*PI()/365*A622))*V$25/100*V$7*V$8/100</f>
        <v>2.94237745839202</v>
      </c>
      <c r="F622" s="38" t="n">
        <f aca="false">(V$23+V$24*SIN(2*PI()/365*A622))*V$25/100*V$9*(1-V$14/100)*(1-V$16/100)</f>
        <v>0.623122767303729</v>
      </c>
      <c r="G622" s="38" t="n">
        <f aca="false">IF(C622&gt;E622,100,C622/E622*100)</f>
        <v>100</v>
      </c>
      <c r="H622" s="38" t="n">
        <f aca="false">L622/F622*100</f>
        <v>100</v>
      </c>
      <c r="I622" s="38" t="n">
        <f aca="false">(V$23+V$24*SIN(2*PI()/365*A622))*V$25/100*V$7*V$8/100*(1-V$15/100)</f>
        <v>2.6187159379689</v>
      </c>
      <c r="J622" s="38" t="n">
        <f aca="false">(V$23+V$24*SIN(2*PI()/365*A622))*V$25/100*V$9*(1-V$14/100)</f>
        <v>0.700137940790707</v>
      </c>
      <c r="K622" s="39" t="n">
        <f aca="false">IF(E622/C622*100&lt;100,E622/C622*100,100)</f>
        <v>10.7286329130839</v>
      </c>
      <c r="L622" s="2" t="n">
        <f aca="false">IF(((C622-E622)&gt;0)AND(F622&gt;(C622-E622)),(C622-E622),IF(C622&lt;E622,0,F622))</f>
        <v>0.623122767303729</v>
      </c>
      <c r="M622" s="2" t="n">
        <f aca="false">IF(C622&lt;(E622+F622),0,C622-E622-F622)</f>
        <v>23.8599647168479</v>
      </c>
      <c r="N622" s="2" t="n">
        <f aca="false">IF(C622&lt;(E622+F622),0,(C622-E622-F622)/(1-V$16/100))</f>
        <v>26.8089491200539</v>
      </c>
      <c r="O622" s="2" t="n">
        <f aca="false">L622+M622</f>
        <v>24.4830874841517</v>
      </c>
      <c r="P622" s="2" t="n">
        <f aca="false">IF( N622=0,I622*(1-G622/100)+J622*(1-H622/100),-N622)</f>
        <v>-26.8089491200539</v>
      </c>
      <c r="Q622" s="47" t="n">
        <f aca="false">IF(P621&gt;0,Q621+P621*(1-V$20/100),Q621+P621)</f>
        <v>2633.17756626561</v>
      </c>
      <c r="R622" s="48" t="n">
        <f aca="false">R$4+Q622/V$28</f>
        <v>71.1465915471976</v>
      </c>
    </row>
    <row r="623" customFormat="false" ht="12.8" hidden="false" customHeight="false" outlineLevel="0" collapsed="false">
      <c r="A623" s="1" t="n">
        <v>619</v>
      </c>
      <c r="B623" s="37" t="n">
        <v>44164</v>
      </c>
      <c r="C623" s="38" t="n">
        <f aca="false">V$26-V$26*SIN(2*PI()/365*A623)</f>
        <v>27.5087205169785</v>
      </c>
      <c r="D623" s="2" t="n">
        <f aca="false">IF((E623+F623)&gt;C623,C623,E623+F623)</f>
        <v>3.48077197302593</v>
      </c>
      <c r="E623" s="38" t="n">
        <f aca="false">(V$23+V$24*SIN(2*PI()/365*A623))*V$25/100*V$7*V$8/100</f>
        <v>2.87245669413349</v>
      </c>
      <c r="F623" s="38" t="n">
        <f aca="false">(V$23+V$24*SIN(2*PI()/365*A623))*V$25/100*V$9*(1-V$14/100)*(1-V$16/100)</f>
        <v>0.608315278892443</v>
      </c>
      <c r="G623" s="38" t="n">
        <f aca="false">IF(C623&gt;E623,100,C623/E623*100)</f>
        <v>100</v>
      </c>
      <c r="H623" s="38" t="n">
        <f aca="false">L623/F623*100</f>
        <v>100</v>
      </c>
      <c r="I623" s="38" t="n">
        <f aca="false">(V$23+V$24*SIN(2*PI()/365*A623))*V$25/100*V$7*V$8/100*(1-V$15/100)</f>
        <v>2.5564864577788</v>
      </c>
      <c r="J623" s="38" t="n">
        <f aca="false">(V$23+V$24*SIN(2*PI()/365*A623))*V$25/100*V$9*(1-V$14/100)</f>
        <v>0.683500313362295</v>
      </c>
      <c r="K623" s="39" t="n">
        <f aca="false">IF(E623/C623*100&lt;100,E623/C623*100,100)</f>
        <v>10.4419858145005</v>
      </c>
      <c r="L623" s="2" t="n">
        <f aca="false">IF(((C623-E623)&gt;0)AND(F623&gt;(C623-E623)),(C623-E623),IF(C623&lt;E623,0,F623))</f>
        <v>0.608315278892443</v>
      </c>
      <c r="M623" s="2" t="n">
        <f aca="false">IF(C623&lt;(E623+F623),0,C623-E623-F623)</f>
        <v>24.0279485439526</v>
      </c>
      <c r="N623" s="2" t="n">
        <f aca="false">IF(C623&lt;(E623+F623),0,(C623-E623-F623)/(1-V$16/100))</f>
        <v>26.9976949932051</v>
      </c>
      <c r="O623" s="2" t="n">
        <f aca="false">L623+M623</f>
        <v>24.636263822845</v>
      </c>
      <c r="P623" s="2" t="n">
        <f aca="false">IF( N623=0,I623*(1-G623/100)+J623*(1-H623/100),-N623)</f>
        <v>-26.9976949932051</v>
      </c>
      <c r="Q623" s="47" t="n">
        <f aca="false">IF(P622&gt;0,Q622+P622*(1-V$20/100),Q622+P622)</f>
        <v>2606.36861714555</v>
      </c>
      <c r="R623" s="48" t="n">
        <f aca="false">R$4+Q623/V$28</f>
        <v>70.8294813762963</v>
      </c>
    </row>
    <row r="624" customFormat="false" ht="12.8" hidden="false" customHeight="false" outlineLevel="0" collapsed="false">
      <c r="A624" s="1" t="n">
        <v>620</v>
      </c>
      <c r="B624" s="37" t="n">
        <v>44165</v>
      </c>
      <c r="C624" s="38" t="n">
        <f aca="false">V$26-V$26*SIN(2*PI()/365*A624)</f>
        <v>27.5880204588807</v>
      </c>
      <c r="D624" s="2" t="n">
        <f aca="false">IF((E624+F624)&gt;C624,C624,E624+F624)</f>
        <v>3.40006932266519</v>
      </c>
      <c r="E624" s="38" t="n">
        <f aca="false">(V$23+V$24*SIN(2*PI()/365*A624))*V$25/100*V$7*V$8/100</f>
        <v>2.80585799991868</v>
      </c>
      <c r="F624" s="38" t="n">
        <f aca="false">(V$23+V$24*SIN(2*PI()/365*A624))*V$25/100*V$9*(1-V$14/100)*(1-V$16/100)</f>
        <v>0.594211322746509</v>
      </c>
      <c r="G624" s="38" t="n">
        <f aca="false">IF(C624&gt;E624,100,C624/E624*100)</f>
        <v>100</v>
      </c>
      <c r="H624" s="38" t="n">
        <f aca="false">L624/F624*100</f>
        <v>100</v>
      </c>
      <c r="I624" s="38" t="n">
        <f aca="false">(V$23+V$24*SIN(2*PI()/365*A624))*V$25/100*V$7*V$8/100*(1-V$15/100)</f>
        <v>2.49721361992762</v>
      </c>
      <c r="J624" s="38" t="n">
        <f aca="false">(V$23+V$24*SIN(2*PI()/365*A624))*V$25/100*V$9*(1-V$14/100)</f>
        <v>0.667653171625291</v>
      </c>
      <c r="K624" s="39" t="n">
        <f aca="false">IF(E624/C624*100&lt;100,E624/C624*100,100)</f>
        <v>10.1705666200326</v>
      </c>
      <c r="L624" s="2" t="n">
        <f aca="false">IF(((C624-E624)&gt;0)AND(F624&gt;(C624-E624)),(C624-E624),IF(C624&lt;E624,0,F624))</f>
        <v>0.594211322746509</v>
      </c>
      <c r="M624" s="2" t="n">
        <f aca="false">IF(C624&lt;(E624+F624),0,C624-E624-F624)</f>
        <v>24.1879511362156</v>
      </c>
      <c r="N624" s="2" t="n">
        <f aca="false">IF(C624&lt;(E624+F624),0,(C624-E624-F624)/(1-V$16/100))</f>
        <v>27.1774731867591</v>
      </c>
      <c r="O624" s="2" t="n">
        <f aca="false">L624+M624</f>
        <v>24.7821624589621</v>
      </c>
      <c r="P624" s="2" t="n">
        <f aca="false">IF( N624=0,I624*(1-G624/100)+J624*(1-H624/100),-N624)</f>
        <v>-27.1774731867591</v>
      </c>
      <c r="Q624" s="47" t="n">
        <f aca="false">IF(P623&gt;0,Q623+P623*(1-V$20/100),Q623+P623)</f>
        <v>2579.37092215235</v>
      </c>
      <c r="R624" s="48" t="n">
        <f aca="false">R$4+Q624/V$28</f>
        <v>70.5101386212</v>
      </c>
    </row>
    <row r="625" customFormat="false" ht="12.8" hidden="false" customHeight="false" outlineLevel="0" collapsed="false">
      <c r="A625" s="1" t="n">
        <v>621</v>
      </c>
      <c r="B625" s="37" t="n">
        <v>44166</v>
      </c>
      <c r="C625" s="38" t="n">
        <f aca="false">V$26-V$26*SIN(2*PI()/365*A625)</f>
        <v>27.6633412699662</v>
      </c>
      <c r="D625" s="2" t="n">
        <f aca="false">IF((E625+F625)&gt;C625,C625,E625+F625)</f>
        <v>3.32341618855052</v>
      </c>
      <c r="E625" s="38" t="n">
        <f aca="false">(V$23+V$24*SIN(2*PI()/365*A625))*V$25/100*V$7*V$8/100</f>
        <v>2.742601110378</v>
      </c>
      <c r="F625" s="38" t="n">
        <f aca="false">(V$23+V$24*SIN(2*PI()/365*A625))*V$25/100*V$9*(1-V$14/100)*(1-V$16/100)</f>
        <v>0.58081507817252</v>
      </c>
      <c r="G625" s="38" t="n">
        <f aca="false">IF(C625&gt;E625,100,C625/E625*100)</f>
        <v>100</v>
      </c>
      <c r="H625" s="38" t="n">
        <f aca="false">L625/F625*100</f>
        <v>100</v>
      </c>
      <c r="I625" s="38" t="n">
        <f aca="false">(V$23+V$24*SIN(2*PI()/365*A625))*V$25/100*V$7*V$8/100*(1-V$15/100)</f>
        <v>2.44091498823642</v>
      </c>
      <c r="J625" s="38" t="n">
        <f aca="false">(V$23+V$24*SIN(2*PI()/365*A625))*V$25/100*V$9*(1-V$14/100)</f>
        <v>0.652601211429798</v>
      </c>
      <c r="K625" s="39" t="n">
        <f aca="false">IF(E625/C625*100&lt;100,E625/C625*100,100)</f>
        <v>9.91420770041114</v>
      </c>
      <c r="L625" s="2" t="n">
        <f aca="false">IF(((C625-E625)&gt;0)AND(F625&gt;(C625-E625)),(C625-E625),IF(C625&lt;E625,0,F625))</f>
        <v>0.58081507817252</v>
      </c>
      <c r="M625" s="2" t="n">
        <f aca="false">IF(C625&lt;(E625+F625),0,C625-E625-F625)</f>
        <v>24.3399250814157</v>
      </c>
      <c r="N625" s="2" t="n">
        <f aca="false">IF(C625&lt;(E625+F625),0,(C625-E625-F625)/(1-V$16/100))</f>
        <v>27.3482304285569</v>
      </c>
      <c r="O625" s="2" t="n">
        <f aca="false">L625+M625</f>
        <v>24.9207401595882</v>
      </c>
      <c r="P625" s="2" t="n">
        <f aca="false">IF( N625=0,I625*(1-G625/100)+J625*(1-H625/100),-N625)</f>
        <v>-27.3482304285569</v>
      </c>
      <c r="Q625" s="47" t="n">
        <f aca="false">IF(P624&gt;0,Q624+P624*(1-V$20/100),Q624+P624)</f>
        <v>2552.19344896559</v>
      </c>
      <c r="R625" s="48" t="n">
        <f aca="false">R$4+Q625/V$28</f>
        <v>70.1886693562794</v>
      </c>
    </row>
    <row r="626" customFormat="false" ht="12.8" hidden="false" customHeight="false" outlineLevel="0" collapsed="false">
      <c r="A626" s="1" t="n">
        <v>622</v>
      </c>
      <c r="B626" s="37" t="n">
        <v>44167</v>
      </c>
      <c r="C626" s="38" t="n">
        <f aca="false">V$26-V$26*SIN(2*PI()/365*A626)</f>
        <v>27.734660631053</v>
      </c>
      <c r="D626" s="2" t="n">
        <f aca="false">IF((E626+F626)&gt;C626,C626,E626+F626)</f>
        <v>3.25083528465991</v>
      </c>
      <c r="E626" s="38" t="n">
        <f aca="false">(V$23+V$24*SIN(2*PI()/365*A626))*V$25/100*V$7*V$8/100</f>
        <v>2.68270476989304</v>
      </c>
      <c r="F626" s="38" t="n">
        <f aca="false">(V$23+V$24*SIN(2*PI()/365*A626))*V$25/100*V$9*(1-V$14/100)*(1-V$16/100)</f>
        <v>0.568130514766861</v>
      </c>
      <c r="G626" s="38" t="n">
        <f aca="false">IF(C626&gt;E626,100,C626/E626*100)</f>
        <v>100</v>
      </c>
      <c r="H626" s="38" t="n">
        <f aca="false">L626/F626*100</f>
        <v>100</v>
      </c>
      <c r="I626" s="38" t="n">
        <f aca="false">(V$23+V$24*SIN(2*PI()/365*A626))*V$25/100*V$7*V$8/100*(1-V$15/100)</f>
        <v>2.38760724520481</v>
      </c>
      <c r="J626" s="38" t="n">
        <f aca="false">(V$23+V$24*SIN(2*PI()/365*A626))*V$25/100*V$9*(1-V$14/100)</f>
        <v>0.638348892996473</v>
      </c>
      <c r="K626" s="39" t="n">
        <f aca="false">IF(E626/C626*100&lt;100,E626/C626*100,100)</f>
        <v>9.67275138347778</v>
      </c>
      <c r="L626" s="2" t="n">
        <f aca="false">IF(((C626-E626)&gt;0)AND(F626&gt;(C626-E626)),(C626-E626),IF(C626&lt;E626,0,F626))</f>
        <v>0.568130514766861</v>
      </c>
      <c r="M626" s="2" t="n">
        <f aca="false">IF(C626&lt;(E626+F626),0,C626-E626-F626)</f>
        <v>24.4838253463931</v>
      </c>
      <c r="N626" s="2" t="n">
        <f aca="false">IF(C626&lt;(E626+F626),0,(C626-E626-F626)/(1-V$16/100))</f>
        <v>27.5099161195428</v>
      </c>
      <c r="O626" s="2" t="n">
        <f aca="false">L626+M626</f>
        <v>25.0519558611599</v>
      </c>
      <c r="P626" s="2" t="n">
        <f aca="false">IF( N626=0,I626*(1-G626/100)+J626*(1-H626/100),-N626)</f>
        <v>-27.5099161195428</v>
      </c>
      <c r="Q626" s="47" t="n">
        <f aca="false">IF(P625&gt;0,Q625+P625*(1-V$20/100),Q625+P625)</f>
        <v>2524.84521853703</v>
      </c>
      <c r="R626" s="48" t="n">
        <f aca="false">R$4+Q626/V$28</f>
        <v>69.865180286036</v>
      </c>
    </row>
    <row r="627" customFormat="false" ht="12.8" hidden="false" customHeight="false" outlineLevel="0" collapsed="false">
      <c r="A627" s="1" t="n">
        <v>623</v>
      </c>
      <c r="B627" s="37" t="n">
        <v>44168</v>
      </c>
      <c r="C627" s="38" t="n">
        <f aca="false">V$26-V$26*SIN(2*PI()/365*A627)</f>
        <v>27.8019574086752</v>
      </c>
      <c r="D627" s="2" t="n">
        <f aca="false">IF((E627+F627)&gt;C627,C627,E627+F627)</f>
        <v>3.18234811828157</v>
      </c>
      <c r="E627" s="38" t="n">
        <f aca="false">(V$23+V$24*SIN(2*PI()/365*A627))*V$25/100*V$7*V$8/100</f>
        <v>2.62618672704214</v>
      </c>
      <c r="F627" s="38" t="n">
        <f aca="false">(V$23+V$24*SIN(2*PI()/365*A627))*V$25/100*V$9*(1-V$14/100)*(1-V$16/100)</f>
        <v>0.556161391239423</v>
      </c>
      <c r="G627" s="38" t="n">
        <f aca="false">IF(C627&gt;E627,100,C627/E627*100)</f>
        <v>100</v>
      </c>
      <c r="H627" s="38" t="n">
        <f aca="false">L627/F627*100</f>
        <v>100</v>
      </c>
      <c r="I627" s="38" t="n">
        <f aca="false">(V$23+V$24*SIN(2*PI()/365*A627))*V$25/100*V$7*V$8/100*(1-V$15/100)</f>
        <v>2.33730618706751</v>
      </c>
      <c r="J627" s="38" t="n">
        <f aca="false">(V$23+V$24*SIN(2*PI()/365*A627))*V$25/100*V$9*(1-V$14/100)</f>
        <v>0.624900439594857</v>
      </c>
      <c r="K627" s="39" t="n">
        <f aca="false">IF(E627/C627*100&lt;100,E627/C627*100,100)</f>
        <v>9.44604974548547</v>
      </c>
      <c r="L627" s="2" t="n">
        <f aca="false">IF(((C627-E627)&gt;0)AND(F627&gt;(C627-E627)),(C627-E627),IF(C627&lt;E627,0,F627))</f>
        <v>0.556161391239423</v>
      </c>
      <c r="M627" s="2" t="n">
        <f aca="false">IF(C627&lt;(E627+F627),0,C627-E627-F627)</f>
        <v>24.6196092903936</v>
      </c>
      <c r="N627" s="2" t="n">
        <f aca="false">IF(C627&lt;(E627+F627),0,(C627-E627-F627)/(1-V$16/100))</f>
        <v>27.6624823487569</v>
      </c>
      <c r="O627" s="2" t="n">
        <f aca="false">L627+M627</f>
        <v>25.1757706816331</v>
      </c>
      <c r="P627" s="2" t="n">
        <f aca="false">IF( N627=0,I627*(1-G627/100)+J627*(1-H627/100),-N627)</f>
        <v>-27.6624823487569</v>
      </c>
      <c r="Q627" s="47" t="n">
        <f aca="false">IF(P626&gt;0,Q626+P626*(1-V$20/100),Q626+P626)</f>
        <v>2497.33530241749</v>
      </c>
      <c r="R627" s="48" t="n">
        <f aca="false">R$4+Q627/V$28</f>
        <v>69.5397787134834</v>
      </c>
    </row>
    <row r="628" customFormat="false" ht="12.8" hidden="false" customHeight="false" outlineLevel="0" collapsed="false">
      <c r="A628" s="1" t="n">
        <v>624</v>
      </c>
      <c r="B628" s="37" t="n">
        <v>44169</v>
      </c>
      <c r="C628" s="38" t="n">
        <f aca="false">V$26-V$26*SIN(2*PI()/365*A628)</f>
        <v>27.8652116613453</v>
      </c>
      <c r="D628" s="2" t="n">
        <f aca="false">IF((E628+F628)&gt;C628,C628,E628+F628)</f>
        <v>3.11797498364098</v>
      </c>
      <c r="E628" s="38" t="n">
        <f aca="false">(V$23+V$24*SIN(2*PI()/365*A628))*V$25/100*V$7*V$8/100</f>
        <v>2.57306372934116</v>
      </c>
      <c r="F628" s="38" t="n">
        <f aca="false">(V$23+V$24*SIN(2*PI()/365*A628))*V$25/100*V$9*(1-V$14/100)*(1-V$16/100)</f>
        <v>0.544911254299821</v>
      </c>
      <c r="G628" s="38" t="n">
        <f aca="false">IF(C628&gt;E628,100,C628/E628*100)</f>
        <v>100</v>
      </c>
      <c r="H628" s="38" t="n">
        <f aca="false">L628/F628*100</f>
        <v>100</v>
      </c>
      <c r="I628" s="38" t="n">
        <f aca="false">(V$23+V$24*SIN(2*PI()/365*A628))*V$25/100*V$7*V$8/100*(1-V$15/100)</f>
        <v>2.29002671911363</v>
      </c>
      <c r="J628" s="38" t="n">
        <f aca="false">(V$23+V$24*SIN(2*PI()/365*A628))*V$25/100*V$9*(1-V$14/100)</f>
        <v>0.612259836291934</v>
      </c>
      <c r="K628" s="39" t="n">
        <f aca="false">IF(E628/C628*100&lt;100,E628/C628*100,100)</f>
        <v>9.23396441632101</v>
      </c>
      <c r="L628" s="2" t="n">
        <f aca="false">IF(((C628-E628)&gt;0)AND(F628&gt;(C628-E628)),(C628-E628),IF(C628&lt;E628,0,F628))</f>
        <v>0.544911254299821</v>
      </c>
      <c r="M628" s="2" t="n">
        <f aca="false">IF(C628&lt;(E628+F628),0,C628-E628-F628)</f>
        <v>24.7472366777043</v>
      </c>
      <c r="N628" s="2" t="n">
        <f aca="false">IF(C628&lt;(E628+F628),0,(C628-E628-F628)/(1-V$16/100))</f>
        <v>27.8058839075329</v>
      </c>
      <c r="O628" s="2" t="n">
        <f aca="false">L628+M628</f>
        <v>25.2921479320041</v>
      </c>
      <c r="P628" s="2" t="n">
        <f aca="false">IF( N628=0,I628*(1-G628/100)+J628*(1-H628/100),-N628)</f>
        <v>-27.8058839075329</v>
      </c>
      <c r="Q628" s="47" t="n">
        <f aca="false">IF(P627&gt;0,Q627+P627*(1-V$20/100),Q627+P627)</f>
        <v>2469.67282006873</v>
      </c>
      <c r="R628" s="48" t="n">
        <f aca="false">R$4+Q628/V$28</f>
        <v>69.2125725083507</v>
      </c>
    </row>
    <row r="629" customFormat="false" ht="12.8" hidden="false" customHeight="false" outlineLevel="0" collapsed="false">
      <c r="A629" s="1" t="n">
        <v>625</v>
      </c>
      <c r="B629" s="37" t="n">
        <v>44170</v>
      </c>
      <c r="C629" s="38" t="n">
        <f aca="false">V$26-V$26*SIN(2*PI()/365*A629)</f>
        <v>27.924404645463</v>
      </c>
      <c r="D629" s="2" t="n">
        <f aca="false">IF((E629+F629)&gt;C629,C629,E629+F629)</f>
        <v>3.05773495588723</v>
      </c>
      <c r="E629" s="38" t="n">
        <f aca="false">(V$23+V$24*SIN(2*PI()/365*A629))*V$25/100*V$7*V$8/100</f>
        <v>2.5233515182808</v>
      </c>
      <c r="F629" s="38" t="n">
        <f aca="false">(V$23+V$24*SIN(2*PI()/365*A629))*V$25/100*V$9*(1-V$14/100)*(1-V$16/100)</f>
        <v>0.534383437606431</v>
      </c>
      <c r="G629" s="38" t="n">
        <f aca="false">IF(C629&gt;E629,100,C629/E629*100)</f>
        <v>100</v>
      </c>
      <c r="H629" s="38" t="n">
        <f aca="false">L629/F629*100</f>
        <v>100</v>
      </c>
      <c r="I629" s="38" t="n">
        <f aca="false">(V$23+V$24*SIN(2*PI()/365*A629))*V$25/100*V$7*V$8/100*(1-V$15/100)</f>
        <v>2.24578285126991</v>
      </c>
      <c r="J629" s="38" t="n">
        <f aca="false">(V$23+V$24*SIN(2*PI()/365*A629))*V$25/100*V$9*(1-V$14/100)</f>
        <v>0.60043082877127</v>
      </c>
      <c r="K629" s="39" t="n">
        <f aca="false">IF(E629/C629*100&lt;100,E629/C629*100,100)</f>
        <v>9.0363663982028</v>
      </c>
      <c r="L629" s="2" t="n">
        <f aca="false">IF(((C629-E629)&gt;0)AND(F629&gt;(C629-E629)),(C629-E629),IF(C629&lt;E629,0,F629))</f>
        <v>0.534383437606431</v>
      </c>
      <c r="M629" s="2" t="n">
        <f aca="false">IF(C629&lt;(E629+F629),0,C629-E629-F629)</f>
        <v>24.8666696895758</v>
      </c>
      <c r="N629" s="2" t="n">
        <f aca="false">IF(C629&lt;(E629+F629),0,(C629-E629-F629)/(1-V$16/100))</f>
        <v>27.9400783028942</v>
      </c>
      <c r="O629" s="2" t="n">
        <f aca="false">L629+M629</f>
        <v>25.4010531271822</v>
      </c>
      <c r="P629" s="2" t="n">
        <f aca="false">IF( N629=0,I629*(1-G629/100)+J629*(1-H629/100),-N629)</f>
        <v>-27.9400783028942</v>
      </c>
      <c r="Q629" s="47" t="n">
        <f aca="false">IF(P628&gt;0,Q628+P628*(1-V$20/100),Q628+P628)</f>
        <v>2441.8669361612</v>
      </c>
      <c r="R629" s="48" t="n">
        <f aca="false">R$4+Q629/V$28</f>
        <v>68.8836700751187</v>
      </c>
    </row>
    <row r="630" customFormat="false" ht="12.8" hidden="false" customHeight="false" outlineLevel="0" collapsed="false">
      <c r="A630" s="1" t="n">
        <v>626</v>
      </c>
      <c r="B630" s="37" t="n">
        <v>44171</v>
      </c>
      <c r="C630" s="38" t="n">
        <f aca="false">V$26-V$26*SIN(2*PI()/365*A630)</f>
        <v>27.9795188208697</v>
      </c>
      <c r="D630" s="2" t="n">
        <f aca="false">IF((E630+F630)&gt;C630,C630,E630+F630)</f>
        <v>3.00164588544063</v>
      </c>
      <c r="E630" s="38" t="n">
        <f aca="false">(V$23+V$24*SIN(2*PI()/365*A630))*V$25/100*V$7*V$8/100</f>
        <v>2.47706482466208</v>
      </c>
      <c r="F630" s="38" t="n">
        <f aca="false">(V$23+V$24*SIN(2*PI()/365*A630))*V$25/100*V$9*(1-V$14/100)*(1-V$16/100)</f>
        <v>0.524581060778545</v>
      </c>
      <c r="G630" s="38" t="n">
        <f aca="false">IF(C630&gt;E630,100,C630/E630*100)</f>
        <v>100</v>
      </c>
      <c r="H630" s="38" t="n">
        <f aca="false">L630/F630*100</f>
        <v>100</v>
      </c>
      <c r="I630" s="38" t="n">
        <f aca="false">(V$23+V$24*SIN(2*PI()/365*A630))*V$25/100*V$7*V$8/100*(1-V$15/100)</f>
        <v>2.20458769394925</v>
      </c>
      <c r="J630" s="38" t="n">
        <f aca="false">(V$23+V$24*SIN(2*PI()/365*A630))*V$25/100*V$9*(1-V$14/100)</f>
        <v>0.589416922223084</v>
      </c>
      <c r="K630" s="39" t="n">
        <f aca="false">IF(E630/C630*100&lt;100,E630/C630*100,100)</f>
        <v>8.85313589744246</v>
      </c>
      <c r="L630" s="2" t="n">
        <f aca="false">IF(((C630-E630)&gt;0)AND(F630&gt;(C630-E630)),(C630-E630),IF(C630&lt;E630,0,F630))</f>
        <v>0.524581060778545</v>
      </c>
      <c r="M630" s="2" t="n">
        <f aca="false">IF(C630&lt;(E630+F630),0,C630-E630-F630)</f>
        <v>24.9778729354291</v>
      </c>
      <c r="N630" s="2" t="n">
        <f aca="false">IF(C630&lt;(E630+F630),0,(C630-E630-F630)/(1-V$16/100))</f>
        <v>28.065025770145</v>
      </c>
      <c r="O630" s="2" t="n">
        <f aca="false">L630+M630</f>
        <v>25.5024539962076</v>
      </c>
      <c r="P630" s="2" t="n">
        <f aca="false">IF( N630=0,I630*(1-G630/100)+J630*(1-H630/100),-N630)</f>
        <v>-28.065025770145</v>
      </c>
      <c r="Q630" s="47" t="n">
        <f aca="false">IF(P629&gt;0,Q629+P629*(1-V$20/100),Q629+P629)</f>
        <v>2413.92685785831</v>
      </c>
      <c r="R630" s="48" t="n">
        <f aca="false">R$4+Q630/V$28</f>
        <v>68.5531803208971</v>
      </c>
    </row>
    <row r="631" customFormat="false" ht="12.8" hidden="false" customHeight="false" outlineLevel="0" collapsed="false">
      <c r="A631" s="1" t="n">
        <v>627</v>
      </c>
      <c r="B631" s="37" t="n">
        <v>44172</v>
      </c>
      <c r="C631" s="38" t="n">
        <f aca="false">V$26-V$26*SIN(2*PI()/365*A631)</f>
        <v>28.0305378560457</v>
      </c>
      <c r="D631" s="2" t="n">
        <f aca="false">IF((E631+F631)&gt;C631,C631,E631+F631)</f>
        <v>2.94972439270324</v>
      </c>
      <c r="E631" s="38" t="n">
        <f aca="false">(V$23+V$24*SIN(2*PI()/365*A631))*V$25/100*V$7*V$8/100</f>
        <v>2.43421736423127</v>
      </c>
      <c r="F631" s="38" t="n">
        <f aca="false">(V$23+V$24*SIN(2*PI()/365*A631))*V$25/100*V$9*(1-V$14/100)*(1-V$16/100)</f>
        <v>0.51550702847197</v>
      </c>
      <c r="G631" s="38" t="n">
        <f aca="false">IF(C631&gt;E631,100,C631/E631*100)</f>
        <v>100</v>
      </c>
      <c r="H631" s="38" t="n">
        <f aca="false">L631/F631*100</f>
        <v>100</v>
      </c>
      <c r="I631" s="38" t="n">
        <f aca="false">(V$23+V$24*SIN(2*PI()/365*A631))*V$25/100*V$7*V$8/100*(1-V$15/100)</f>
        <v>2.16645345416583</v>
      </c>
      <c r="J631" s="38" t="n">
        <f aca="false">(V$23+V$24*SIN(2*PI()/365*A631))*V$25/100*V$9*(1-V$14/100)</f>
        <v>0.579221380305584</v>
      </c>
      <c r="K631" s="39" t="n">
        <f aca="false">IF(E631/C631*100&lt;100,E631/C631*100,100)</f>
        <v>8.68416216889056</v>
      </c>
      <c r="L631" s="2" t="n">
        <f aca="false">IF(((C631-E631)&gt;0)AND(F631&gt;(C631-E631)),(C631-E631),IF(C631&lt;E631,0,F631))</f>
        <v>0.51550702847197</v>
      </c>
      <c r="M631" s="2" t="n">
        <f aca="false">IF(C631&lt;(E631+F631),0,C631-E631-F631)</f>
        <v>25.0808134633425</v>
      </c>
      <c r="N631" s="2" t="n">
        <f aca="false">IF(C631&lt;(E631+F631),0,(C631-E631-F631)/(1-V$16/100))</f>
        <v>28.1806892846545</v>
      </c>
      <c r="O631" s="2" t="n">
        <f aca="false">L631+M631</f>
        <v>25.5963204918145</v>
      </c>
      <c r="P631" s="2" t="n">
        <f aca="false">IF( N631=0,I631*(1-G631/100)+J631*(1-H631/100),-N631)</f>
        <v>-28.1806892846545</v>
      </c>
      <c r="Q631" s="47" t="n">
        <f aca="false">IF(P630&gt;0,Q630+P630*(1-V$20/100),Q630+P630)</f>
        <v>2385.86183208816</v>
      </c>
      <c r="R631" s="48" t="n">
        <f aca="false">R$4+Q631/V$28</f>
        <v>68.2212126231531</v>
      </c>
    </row>
    <row r="632" customFormat="false" ht="12.8" hidden="false" customHeight="false" outlineLevel="0" collapsed="false">
      <c r="A632" s="1" t="n">
        <v>628</v>
      </c>
      <c r="B632" s="37" t="n">
        <v>44173</v>
      </c>
      <c r="C632" s="38" t="n">
        <f aca="false">V$26-V$26*SIN(2*PI()/365*A632)</f>
        <v>28.0774466329499</v>
      </c>
      <c r="D632" s="2" t="n">
        <f aca="false">IF((E632+F632)&gt;C632,C632,E632+F632)</f>
        <v>2.90198586313393</v>
      </c>
      <c r="E632" s="38" t="n">
        <f aca="false">(V$23+V$24*SIN(2*PI()/365*A632))*V$25/100*V$7*V$8/100</f>
        <v>2.39482183361562</v>
      </c>
      <c r="F632" s="38" t="n">
        <f aca="false">(V$23+V$24*SIN(2*PI()/365*A632))*V$25/100*V$9*(1-V$14/100)*(1-V$16/100)</f>
        <v>0.507164029518314</v>
      </c>
      <c r="G632" s="38" t="n">
        <f aca="false">IF(C632&gt;E632,100,C632/E632*100)</f>
        <v>100</v>
      </c>
      <c r="H632" s="38" t="n">
        <f aca="false">L632/F632*100</f>
        <v>100</v>
      </c>
      <c r="I632" s="38" t="n">
        <f aca="false">(V$23+V$24*SIN(2*PI()/365*A632))*V$25/100*V$7*V$8/100*(1-V$15/100)</f>
        <v>2.1313914319179</v>
      </c>
      <c r="J632" s="38" t="n">
        <f aca="false">(V$23+V$24*SIN(2*PI()/365*A632))*V$25/100*V$9*(1-V$14/100)</f>
        <v>0.569847224177881</v>
      </c>
      <c r="K632" s="39" t="n">
        <f aca="false">IF(E632/C632*100&lt;100,E632/C632*100,100)</f>
        <v>8.52934337271684</v>
      </c>
      <c r="L632" s="2" t="n">
        <f aca="false">IF(((C632-E632)&gt;0)AND(F632&gt;(C632-E632)),(C632-E632),IF(C632&lt;E632,0,F632))</f>
        <v>0.507164029518314</v>
      </c>
      <c r="M632" s="2" t="n">
        <f aca="false">IF(C632&lt;(E632+F632),0,C632-E632-F632)</f>
        <v>25.1754607698159</v>
      </c>
      <c r="N632" s="2" t="n">
        <f aca="false">IF(C632&lt;(E632+F632),0,(C632-E632-F632)/(1-V$16/100))</f>
        <v>28.2870345728269</v>
      </c>
      <c r="O632" s="2" t="n">
        <f aca="false">L632+M632</f>
        <v>25.6826247993342</v>
      </c>
      <c r="P632" s="2" t="n">
        <f aca="false">IF( N632=0,I632*(1-G632/100)+J632*(1-H632/100),-N632)</f>
        <v>-28.2870345728269</v>
      </c>
      <c r="Q632" s="47" t="n">
        <f aca="false">IF(P631&gt;0,Q631+P631*(1-V$20/100),Q631+P631)</f>
        <v>2357.68114280351</v>
      </c>
      <c r="R632" s="48" t="n">
        <f aca="false">R$4+Q632/V$28</f>
        <v>67.8878767973005</v>
      </c>
    </row>
    <row r="633" customFormat="false" ht="12.8" hidden="false" customHeight="false" outlineLevel="0" collapsed="false">
      <c r="A633" s="1" t="n">
        <v>629</v>
      </c>
      <c r="B633" s="37" t="n">
        <v>44174</v>
      </c>
      <c r="C633" s="38" t="n">
        <f aca="false">V$26-V$26*SIN(2*PI()/365*A633)</f>
        <v>28.1202312514992</v>
      </c>
      <c r="D633" s="2" t="n">
        <f aca="false">IF((E633+F633)&gt;C633,C633,E633+F633)</f>
        <v>2.85844444268929</v>
      </c>
      <c r="E633" s="38" t="n">
        <f aca="false">(V$23+V$24*SIN(2*PI()/365*A633))*V$25/100*V$7*V$8/100</f>
        <v>2.35888990656107</v>
      </c>
      <c r="F633" s="38" t="n">
        <f aca="false">(V$23+V$24*SIN(2*PI()/365*A633))*V$25/100*V$9*(1-V$14/100)*(1-V$16/100)</f>
        <v>0.499554536128223</v>
      </c>
      <c r="G633" s="38" t="n">
        <f aca="false">IF(C633&gt;E633,100,C633/E633*100)</f>
        <v>100</v>
      </c>
      <c r="H633" s="38" t="n">
        <f aca="false">L633/F633*100</f>
        <v>100</v>
      </c>
      <c r="I633" s="38" t="n">
        <f aca="false">(V$23+V$24*SIN(2*PI()/365*A633))*V$25/100*V$7*V$8/100*(1-V$15/100)</f>
        <v>2.09941201683935</v>
      </c>
      <c r="J633" s="38" t="n">
        <f aca="false">(V$23+V$24*SIN(2*PI()/365*A633))*V$25/100*V$9*(1-V$14/100)</f>
        <v>0.561297231604745</v>
      </c>
      <c r="K633" s="39" t="n">
        <f aca="false">IF(E633/C633*100&lt;100,E633/C633*100,100)</f>
        <v>8.38858644320469</v>
      </c>
      <c r="L633" s="2" t="n">
        <f aca="false">IF(((C633-E633)&gt;0)AND(F633&gt;(C633-E633)),(C633-E633),IF(C633&lt;E633,0,F633))</f>
        <v>0.499554536128223</v>
      </c>
      <c r="M633" s="2" t="n">
        <f aca="false">IF(C633&lt;(E633+F633),0,C633-E633-F633)</f>
        <v>25.2617868088099</v>
      </c>
      <c r="N633" s="2" t="n">
        <f aca="false">IF(C633&lt;(E633+F633),0,(C633-E633-F633)/(1-V$16/100))</f>
        <v>28.3840301222583</v>
      </c>
      <c r="O633" s="2" t="n">
        <f aca="false">L633+M633</f>
        <v>25.7613413449381</v>
      </c>
      <c r="P633" s="2" t="n">
        <f aca="false">IF( N633=0,I633*(1-G633/100)+J633*(1-H633/100),-N633)</f>
        <v>-28.3840301222583</v>
      </c>
      <c r="Q633" s="47" t="n">
        <f aca="false">IF(P632&gt;0,Q632+P632*(1-V$20/100),Q632+P632)</f>
        <v>2329.39410823068</v>
      </c>
      <c r="R633" s="48" t="n">
        <f aca="false">R$4+Q633/V$28</f>
        <v>67.553283064159</v>
      </c>
    </row>
    <row r="634" customFormat="false" ht="12.8" hidden="false" customHeight="false" outlineLevel="0" collapsed="false">
      <c r="A634" s="1" t="n">
        <v>630</v>
      </c>
      <c r="B634" s="37" t="n">
        <v>44175</v>
      </c>
      <c r="C634" s="38" t="n">
        <f aca="false">V$26-V$26*SIN(2*PI()/365*A634)</f>
        <v>28.1588790336878</v>
      </c>
      <c r="D634" s="2" t="n">
        <f aca="false">IF((E634+F634)&gt;C634,C634,E634+F634)</f>
        <v>2.81911303363189</v>
      </c>
      <c r="E634" s="38" t="n">
        <f aca="false">(V$23+V$24*SIN(2*PI()/365*A634))*V$25/100*V$7*V$8/100</f>
        <v>2.32643223047308</v>
      </c>
      <c r="F634" s="38" t="n">
        <f aca="false">(V$23+V$24*SIN(2*PI()/365*A634))*V$25/100*V$9*(1-V$14/100)*(1-V$16/100)</f>
        <v>0.492680803158814</v>
      </c>
      <c r="G634" s="38" t="n">
        <f aca="false">IF(C634&gt;E634,100,C634/E634*100)</f>
        <v>100</v>
      </c>
      <c r="H634" s="38" t="n">
        <f aca="false">L634/F634*100</f>
        <v>100</v>
      </c>
      <c r="I634" s="38" t="n">
        <f aca="false">(V$23+V$24*SIN(2*PI()/365*A634))*V$25/100*V$7*V$8/100*(1-V$15/100)</f>
        <v>2.07052468512104</v>
      </c>
      <c r="J634" s="38" t="n">
        <f aca="false">(V$23+V$24*SIN(2*PI()/365*A634))*V$25/100*V$9*(1-V$14/100)</f>
        <v>0.553573936133499</v>
      </c>
      <c r="K634" s="39" t="n">
        <f aca="false">IF(E634/C634*100&lt;100,E634/C634*100,100)</f>
        <v>8.26180696926842</v>
      </c>
      <c r="L634" s="2" t="n">
        <f aca="false">IF(((C634-E634)&gt;0)AND(F634&gt;(C634-E634)),(C634-E634),IF(C634&lt;E634,0,F634))</f>
        <v>0.492680803158814</v>
      </c>
      <c r="M634" s="2" t="n">
        <f aca="false">IF(C634&lt;(E634+F634),0,C634-E634-F634)</f>
        <v>25.3397660000559</v>
      </c>
      <c r="N634" s="2" t="n">
        <f aca="false">IF(C634&lt;(E634+F634),0,(C634-E634-F634)/(1-V$16/100))</f>
        <v>28.471647191074</v>
      </c>
      <c r="O634" s="2" t="n">
        <f aca="false">L634+M634</f>
        <v>25.8324468032147</v>
      </c>
      <c r="P634" s="2" t="n">
        <f aca="false">IF( N634=0,I634*(1-G634/100)+J634*(1-H634/100),-N634)</f>
        <v>-28.471647191074</v>
      </c>
      <c r="Q634" s="47" t="n">
        <f aca="false">IF(P633&gt;0,Q633+P633*(1-V$20/100),Q633+P633)</f>
        <v>2301.01007810842</v>
      </c>
      <c r="R634" s="48" t="n">
        <f aca="false">R$4+Q634/V$28</f>
        <v>67.2175420172933</v>
      </c>
    </row>
    <row r="635" customFormat="false" ht="12.8" hidden="false" customHeight="false" outlineLevel="0" collapsed="false">
      <c r="A635" s="1" t="n">
        <v>631</v>
      </c>
      <c r="B635" s="37" t="n">
        <v>44176</v>
      </c>
      <c r="C635" s="38" t="n">
        <f aca="false">V$26-V$26*SIN(2*PI()/365*A635)</f>
        <v>28.1933785273437</v>
      </c>
      <c r="D635" s="2" t="n">
        <f aca="false">IF((E635+F635)&gt;C635,C635,E635+F635)</f>
        <v>2.78400329070709</v>
      </c>
      <c r="E635" s="38" t="n">
        <f aca="false">(V$23+V$24*SIN(2*PI()/365*A635))*V$25/100*V$7*V$8/100</f>
        <v>2.29745842326157</v>
      </c>
      <c r="F635" s="38" t="n">
        <f aca="false">(V$23+V$24*SIN(2*PI()/365*A635))*V$25/100*V$9*(1-V$14/100)*(1-V$16/100)</f>
        <v>0.486544867445514</v>
      </c>
      <c r="G635" s="38" t="n">
        <f aca="false">IF(C635&gt;E635,100,C635/E635*100)</f>
        <v>100</v>
      </c>
      <c r="H635" s="38" t="n">
        <f aca="false">L635/F635*100</f>
        <v>100</v>
      </c>
      <c r="I635" s="38" t="n">
        <f aca="false">(V$23+V$24*SIN(2*PI()/365*A635))*V$25/100*V$7*V$8/100*(1-V$15/100)</f>
        <v>2.0447379967028</v>
      </c>
      <c r="J635" s="38" t="n">
        <f aca="false">(V$23+V$24*SIN(2*PI()/365*A635))*V$25/100*V$9*(1-V$14/100)</f>
        <v>0.546679626343274</v>
      </c>
      <c r="K635" s="39" t="n">
        <f aca="false">IF(E635/C635*100&lt;100,E635/C635*100,100)</f>
        <v>8.14892908642841</v>
      </c>
      <c r="L635" s="2" t="n">
        <f aca="false">IF(((C635-E635)&gt;0)AND(F635&gt;(C635-E635)),(C635-E635),IF(C635&lt;E635,0,F635))</f>
        <v>0.486544867445514</v>
      </c>
      <c r="M635" s="2" t="n">
        <f aca="false">IF(C635&lt;(E635+F635),0,C635-E635-F635)</f>
        <v>25.4093752366366</v>
      </c>
      <c r="N635" s="2" t="n">
        <f aca="false">IF(C635&lt;(E635+F635),0,(C635-E635-F635)/(1-V$16/100))</f>
        <v>28.5498598164457</v>
      </c>
      <c r="O635" s="2" t="n">
        <f aca="false">L635+M635</f>
        <v>25.8959201040821</v>
      </c>
      <c r="P635" s="2" t="n">
        <f aca="false">IF( N635=0,I635*(1-G635/100)+J635*(1-H635/100),-N635)</f>
        <v>-28.5498598164457</v>
      </c>
      <c r="Q635" s="47" t="n">
        <f aca="false">IF(P634&gt;0,Q634+P634*(1-V$20/100),Q634+P634)</f>
        <v>2272.53843091735</v>
      </c>
      <c r="R635" s="48" t="n">
        <f aca="false">R$4+Q635/V$28</f>
        <v>66.8807645902419</v>
      </c>
    </row>
    <row r="636" customFormat="false" ht="12.8" hidden="false" customHeight="false" outlineLevel="0" collapsed="false">
      <c r="A636" s="1" t="n">
        <v>632</v>
      </c>
      <c r="B636" s="37" t="n">
        <v>44177</v>
      </c>
      <c r="C636" s="38" t="n">
        <f aca="false">V$26-V$26*SIN(2*PI()/365*A636)</f>
        <v>28.2237195095225</v>
      </c>
      <c r="D636" s="2" t="n">
        <f aca="false">IF((E636+F636)&gt;C636,C636,E636+F636)</f>
        <v>2.75312561768943</v>
      </c>
      <c r="E636" s="38" t="n">
        <f aca="false">(V$23+V$24*SIN(2*PI()/365*A636))*V$25/100*V$7*V$8/100</f>
        <v>2.27197707049093</v>
      </c>
      <c r="F636" s="38" t="n">
        <f aca="false">(V$23+V$24*SIN(2*PI()/365*A636))*V$25/100*V$9*(1-V$14/100)*(1-V$16/100)</f>
        <v>0.481148547198498</v>
      </c>
      <c r="G636" s="38" t="n">
        <f aca="false">IF(C636&gt;E636,100,C636/E636*100)</f>
        <v>100</v>
      </c>
      <c r="H636" s="38" t="n">
        <f aca="false">L636/F636*100</f>
        <v>100</v>
      </c>
      <c r="I636" s="38" t="n">
        <f aca="false">(V$23+V$24*SIN(2*PI()/365*A636))*V$25/100*V$7*V$8/100*(1-V$15/100)</f>
        <v>2.02205959273693</v>
      </c>
      <c r="J636" s="38" t="n">
        <f aca="false">(V$23+V$24*SIN(2*PI()/365*A636))*V$25/100*V$9*(1-V$14/100)</f>
        <v>0.540616345166852</v>
      </c>
      <c r="K636" s="39" t="n">
        <f aca="false">IF(E636/C636*100&lt;100,E636/C636*100,100)</f>
        <v>8.04988538000593</v>
      </c>
      <c r="L636" s="2" t="n">
        <f aca="false">IF(((C636-E636)&gt;0)AND(F636&gt;(C636-E636)),(C636-E636),IF(C636&lt;E636,0,F636))</f>
        <v>0.481148547198498</v>
      </c>
      <c r="M636" s="2" t="n">
        <f aca="false">IF(C636&lt;(E636+F636),0,C636-E636-F636)</f>
        <v>25.4705938918331</v>
      </c>
      <c r="N636" s="2" t="n">
        <f aca="false">IF(C636&lt;(E636+F636),0,(C636-E636-F636)/(1-V$16/100))</f>
        <v>28.6186448222844</v>
      </c>
      <c r="O636" s="2" t="n">
        <f aca="false">L636+M636</f>
        <v>25.9517424390316</v>
      </c>
      <c r="P636" s="2" t="n">
        <f aca="false">IF( N636=0,I636*(1-G636/100)+J636*(1-H636/100),-N636)</f>
        <v>-28.6186448222844</v>
      </c>
      <c r="Q636" s="47" t="n">
        <f aca="false">IF(P635&gt;0,Q635+P635*(1-V$20/100),Q635+P635)</f>
        <v>2243.9885711009</v>
      </c>
      <c r="R636" s="48" t="n">
        <f aca="false">R$4+Q636/V$28</f>
        <v>66.5430620236453</v>
      </c>
    </row>
    <row r="637" customFormat="false" ht="12.8" hidden="false" customHeight="false" outlineLevel="0" collapsed="false">
      <c r="A637" s="1" t="n">
        <v>633</v>
      </c>
      <c r="B637" s="37" t="n">
        <v>44178</v>
      </c>
      <c r="C637" s="38" t="n">
        <f aca="false">V$26-V$26*SIN(2*PI()/365*A637)</f>
        <v>28.2498929895363</v>
      </c>
      <c r="D637" s="2" t="n">
        <f aca="false">IF((E637+F637)&gt;C637,C637,E637+F637)</f>
        <v>2.72648916429984</v>
      </c>
      <c r="E637" s="38" t="n">
        <f aca="false">(V$23+V$24*SIN(2*PI()/365*A637))*V$25/100*V$7*V$8/100</f>
        <v>2.24999572283592</v>
      </c>
      <c r="F637" s="38" t="n">
        <f aca="false">(V$23+V$24*SIN(2*PI()/365*A637))*V$25/100*V$9*(1-V$14/100)*(1-V$16/100)</f>
        <v>0.476493441463919</v>
      </c>
      <c r="G637" s="38" t="n">
        <f aca="false">IF(C637&gt;E637,100,C637/E637*100)</f>
        <v>100</v>
      </c>
      <c r="H637" s="38" t="n">
        <f aca="false">L637/F637*100</f>
        <v>100</v>
      </c>
      <c r="I637" s="38" t="n">
        <f aca="false">(V$23+V$24*SIN(2*PI()/365*A637))*V$25/100*V$7*V$8/100*(1-V$15/100)</f>
        <v>2.00249619332397</v>
      </c>
      <c r="J637" s="38" t="n">
        <f aca="false">(V$23+V$24*SIN(2*PI()/365*A637))*V$25/100*V$9*(1-V$14/100)</f>
        <v>0.535385889285302</v>
      </c>
      <c r="K637" s="39" t="n">
        <f aca="false">IF(E637/C637*100&lt;100,E637/C637*100,100)</f>
        <v>7.96461679932492</v>
      </c>
      <c r="L637" s="2" t="n">
        <f aca="false">IF(((C637-E637)&gt;0)AND(F637&gt;(C637-E637)),(C637-E637),IF(C637&lt;E637,0,F637))</f>
        <v>0.476493441463919</v>
      </c>
      <c r="M637" s="2" t="n">
        <f aca="false">IF(C637&lt;(E637+F637),0,C637-E637-F637)</f>
        <v>25.5234038252365</v>
      </c>
      <c r="N637" s="2" t="n">
        <f aca="false">IF(C637&lt;(E637+F637),0,(C637-E637-F637)/(1-V$16/100))</f>
        <v>28.6779818261084</v>
      </c>
      <c r="O637" s="2" t="n">
        <f aca="false">L637+M637</f>
        <v>25.9998972667004</v>
      </c>
      <c r="P637" s="2" t="n">
        <f aca="false">IF( N637=0,I637*(1-G637/100)+J637*(1-H637/100),-N637)</f>
        <v>-28.6779818261084</v>
      </c>
      <c r="Q637" s="47" t="n">
        <f aca="false">IF(P636&gt;0,Q636+P636*(1-V$20/100),Q636+P636)</f>
        <v>2215.36992627862</v>
      </c>
      <c r="R637" s="48" t="n">
        <f aca="false">R$4+Q637/V$28</f>
        <v>66.2045458322826</v>
      </c>
    </row>
    <row r="638" customFormat="false" ht="12.8" hidden="false" customHeight="false" outlineLevel="0" collapsed="false">
      <c r="A638" s="1" t="n">
        <v>634</v>
      </c>
      <c r="B638" s="37" t="n">
        <v>44179</v>
      </c>
      <c r="C638" s="38" t="n">
        <f aca="false">V$26-V$26*SIN(2*PI()/365*A638)</f>
        <v>28.2718912116181</v>
      </c>
      <c r="D638" s="2" t="n">
        <f aca="false">IF((E638+F638)&gt;C638,C638,E638+F638)</f>
        <v>2.70410182349431</v>
      </c>
      <c r="E638" s="38" t="n">
        <f aca="false">(V$23+V$24*SIN(2*PI()/365*A638))*V$25/100*V$7*V$8/100</f>
        <v>2.23152089384424</v>
      </c>
      <c r="F638" s="38" t="n">
        <f aca="false">(V$23+V$24*SIN(2*PI()/365*A638))*V$25/100*V$9*(1-V$14/100)*(1-V$16/100)</f>
        <v>0.47258092965007</v>
      </c>
      <c r="G638" s="38" t="n">
        <f aca="false">IF(C638&gt;E638,100,C638/E638*100)</f>
        <v>100</v>
      </c>
      <c r="H638" s="38" t="n">
        <f aca="false">L638/F638*100</f>
        <v>100</v>
      </c>
      <c r="I638" s="38" t="n">
        <f aca="false">(V$23+V$24*SIN(2*PI()/365*A638))*V$25/100*V$7*V$8/100*(1-V$15/100)</f>
        <v>1.98605359552137</v>
      </c>
      <c r="J638" s="38" t="n">
        <f aca="false">(V$23+V$24*SIN(2*PI()/365*A638))*V$25/100*V$9*(1-V$14/100)</f>
        <v>0.530989808595585</v>
      </c>
      <c r="K638" s="39" t="n">
        <f aca="false">IF(E638/C638*100&lt;100,E638/C638*100,100)</f>
        <v>7.89307258273268</v>
      </c>
      <c r="L638" s="2" t="n">
        <f aca="false">IF(((C638-E638)&gt;0)AND(F638&gt;(C638-E638)),(C638-E638),IF(C638&lt;E638,0,F638))</f>
        <v>0.47258092965007</v>
      </c>
      <c r="M638" s="2" t="n">
        <f aca="false">IF(C638&lt;(E638+F638),0,C638-E638-F638)</f>
        <v>25.5677893881238</v>
      </c>
      <c r="N638" s="2" t="n">
        <f aca="false">IF(C638&lt;(E638+F638),0,(C638-E638-F638)/(1-V$16/100))</f>
        <v>28.7278532450829</v>
      </c>
      <c r="O638" s="2" t="n">
        <f aca="false">L638+M638</f>
        <v>26.0403703177738</v>
      </c>
      <c r="P638" s="2" t="n">
        <f aca="false">IF( N638=0,I638*(1-G638/100)+J638*(1-H638/100),-N638)</f>
        <v>-28.7278532450829</v>
      </c>
      <c r="Q638" s="47" t="n">
        <f aca="false">IF(P637&gt;0,Q637+P637*(1-V$20/100),Q637+P637)</f>
        <v>2186.69194445251</v>
      </c>
      <c r="R638" s="48" t="n">
        <f aca="false">R$4+Q638/V$28</f>
        <v>65.8653277720275</v>
      </c>
    </row>
    <row r="639" customFormat="false" ht="12.8" hidden="false" customHeight="false" outlineLevel="0" collapsed="false">
      <c r="A639" s="1" t="n">
        <v>635</v>
      </c>
      <c r="B639" s="37" t="n">
        <v>44180</v>
      </c>
      <c r="C639" s="38" t="n">
        <f aca="false">V$26-V$26*SIN(2*PI()/365*A639)</f>
        <v>28.2897076572199</v>
      </c>
      <c r="D639" s="2" t="n">
        <f aca="false">IF((E639+F639)&gt;C639,C639,E639+F639)</f>
        <v>2.68597022912508</v>
      </c>
      <c r="E639" s="38" t="n">
        <f aca="false">(V$23+V$24*SIN(2*PI()/365*A639))*V$25/100*V$7*V$8/100</f>
        <v>2.21655805800643</v>
      </c>
      <c r="F639" s="38" t="n">
        <f aca="false">(V$23+V$24*SIN(2*PI()/365*A639))*V$25/100*V$9*(1-V$14/100)*(1-V$16/100)</f>
        <v>0.469412171118642</v>
      </c>
      <c r="G639" s="38" t="n">
        <f aca="false">IF(C639&gt;E639,100,C639/E639*100)</f>
        <v>100</v>
      </c>
      <c r="H639" s="38" t="n">
        <f aca="false">L639/F639*100</f>
        <v>100</v>
      </c>
      <c r="I639" s="38" t="n">
        <f aca="false">(V$23+V$24*SIN(2*PI()/365*A639))*V$25/100*V$7*V$8/100*(1-V$15/100)</f>
        <v>1.97273667162573</v>
      </c>
      <c r="J639" s="38" t="n">
        <f aca="false">(V$23+V$24*SIN(2*PI()/365*A639))*V$25/100*V$9*(1-V$14/100)</f>
        <v>0.527429405751283</v>
      </c>
      <c r="K639" s="39" t="n">
        <f aca="false">IF(E639/C639*100&lt;100,E639/C639*100,100)</f>
        <v>7.83521019327586</v>
      </c>
      <c r="L639" s="2" t="n">
        <f aca="false">IF(((C639-E639)&gt;0)AND(F639&gt;(C639-E639)),(C639-E639),IF(C639&lt;E639,0,F639))</f>
        <v>0.469412171118642</v>
      </c>
      <c r="M639" s="2" t="n">
        <f aca="false">IF(C639&lt;(E639+F639),0,C639-E639-F639)</f>
        <v>25.6037374280948</v>
      </c>
      <c r="N639" s="2" t="n">
        <f aca="false">IF(C639&lt;(E639+F639),0,(C639-E639-F639)/(1-V$16/100))</f>
        <v>28.7682443012301</v>
      </c>
      <c r="O639" s="2" t="n">
        <f aca="false">L639+M639</f>
        <v>26.0731495992135</v>
      </c>
      <c r="P639" s="2" t="n">
        <f aca="false">IF( N639=0,I639*(1-G639/100)+J639*(1-H639/100),-N639)</f>
        <v>-28.7682443012301</v>
      </c>
      <c r="Q639" s="47" t="n">
        <f aca="false">IF(P638&gt;0,Q638+P638*(1-V$20/100),Q638+P638)</f>
        <v>2157.96409120743</v>
      </c>
      <c r="R639" s="48" t="n">
        <f aca="false">R$4+Q639/V$28</f>
        <v>65.5255198067328</v>
      </c>
    </row>
    <row r="640" customFormat="false" ht="12.8" hidden="false" customHeight="false" outlineLevel="0" collapsed="false">
      <c r="A640" s="1" t="n">
        <v>636</v>
      </c>
      <c r="B640" s="37" t="n">
        <v>44181</v>
      </c>
      <c r="C640" s="38" t="n">
        <f aca="false">V$26-V$26*SIN(2*PI()/365*A640)</f>
        <v>28.3033370469444</v>
      </c>
      <c r="D640" s="2" t="n">
        <f aca="false">IF((E640+F640)&gt;C640,C640,E640+F640)</f>
        <v>2.67209975397487</v>
      </c>
      <c r="E640" s="38" t="n">
        <f aca="false">(V$23+V$24*SIN(2*PI()/365*A640))*V$25/100*V$7*V$8/100</f>
        <v>2.20511164913369</v>
      </c>
      <c r="F640" s="38" t="n">
        <f aca="false">(V$23+V$24*SIN(2*PI()/365*A640))*V$25/100*V$9*(1-V$14/100)*(1-V$16/100)</f>
        <v>0.466988104841173</v>
      </c>
      <c r="G640" s="38" t="n">
        <f aca="false">IF(C640&gt;E640,100,C640/E640*100)</f>
        <v>100</v>
      </c>
      <c r="H640" s="38" t="n">
        <f aca="false">L640/F640*100</f>
        <v>100</v>
      </c>
      <c r="I640" s="38" t="n">
        <f aca="false">(V$23+V$24*SIN(2*PI()/365*A640))*V$25/100*V$7*V$8/100*(1-V$15/100)</f>
        <v>1.96254936772899</v>
      </c>
      <c r="J640" s="38" t="n">
        <f aca="false">(V$23+V$24*SIN(2*PI()/365*A640))*V$25/100*V$9*(1-V$14/100)</f>
        <v>0.524705735776599</v>
      </c>
      <c r="K640" s="39" t="n">
        <f aca="false">IF(E640/C640*100&lt;100,E640/C640*100,100)</f>
        <v>7.7909952648914</v>
      </c>
      <c r="L640" s="2" t="n">
        <f aca="false">IF(((C640-E640)&gt;0)AND(F640&gt;(C640-E640)),(C640-E640),IF(C640&lt;E640,0,F640))</f>
        <v>0.466988104841173</v>
      </c>
      <c r="M640" s="2" t="n">
        <f aca="false">IF(C640&lt;(E640+F640),0,C640-E640-F640)</f>
        <v>25.6312372929695</v>
      </c>
      <c r="N640" s="2" t="n">
        <f aca="false">IF(C640&lt;(E640+F640),0,(C640-E640-F640)/(1-V$16/100))</f>
        <v>28.7991430258085</v>
      </c>
      <c r="O640" s="2" t="n">
        <f aca="false">L640+M640</f>
        <v>26.0982253978107</v>
      </c>
      <c r="P640" s="2" t="n">
        <f aca="false">IF( N640=0,I640*(1-G640/100)+J640*(1-H640/100),-N640)</f>
        <v>-28.7991430258085</v>
      </c>
      <c r="Q640" s="47" t="n">
        <f aca="false">IF(P639&gt;0,Q639+P639*(1-V$20/100),Q639+P639)</f>
        <v>2129.1958469062</v>
      </c>
      <c r="R640" s="48" t="n">
        <f aca="false">R$4+Q640/V$28</f>
        <v>65.1852340750527</v>
      </c>
    </row>
    <row r="641" customFormat="false" ht="12.8" hidden="false" customHeight="false" outlineLevel="0" collapsed="false">
      <c r="A641" s="1" t="n">
        <v>637</v>
      </c>
      <c r="B641" s="37" t="n">
        <v>44182</v>
      </c>
      <c r="C641" s="38" t="n">
        <f aca="false">V$26-V$26*SIN(2*PI()/365*A641)</f>
        <v>28.3127753421093</v>
      </c>
      <c r="D641" s="2" t="n">
        <f aca="false">IF((E641+F641)&gt;C641,C641,E641+F641)</f>
        <v>2.66249450816482</v>
      </c>
      <c r="E641" s="38" t="n">
        <f aca="false">(V$23+V$24*SIN(2*PI()/365*A641))*V$25/100*V$7*V$8/100</f>
        <v>2.197185059044</v>
      </c>
      <c r="F641" s="38" t="n">
        <f aca="false">(V$23+V$24*SIN(2*PI()/365*A641))*V$25/100*V$9*(1-V$14/100)*(1-V$16/100)</f>
        <v>0.465309449120819</v>
      </c>
      <c r="G641" s="38" t="n">
        <f aca="false">IF(C641&gt;E641,100,C641/E641*100)</f>
        <v>100</v>
      </c>
      <c r="H641" s="38" t="n">
        <f aca="false">L641/F641*100</f>
        <v>100</v>
      </c>
      <c r="I641" s="38" t="n">
        <f aca="false">(V$23+V$24*SIN(2*PI()/365*A641))*V$25/100*V$7*V$8/100*(1-V$15/100)</f>
        <v>1.95549470254916</v>
      </c>
      <c r="J641" s="38" t="n">
        <f aca="false">(V$23+V$24*SIN(2*PI()/365*A641))*V$25/100*V$9*(1-V$14/100)</f>
        <v>0.522819605753729</v>
      </c>
      <c r="K641" s="39" t="n">
        <f aca="false">IF(E641/C641*100&lt;100,E641/C641*100,100)</f>
        <v>7.7604015589957</v>
      </c>
      <c r="L641" s="2" t="n">
        <f aca="false">IF(((C641-E641)&gt;0)AND(F641&gt;(C641-E641)),(C641-E641),IF(C641&lt;E641,0,F641))</f>
        <v>0.465309449120819</v>
      </c>
      <c r="M641" s="2" t="n">
        <f aca="false">IF(C641&lt;(E641+F641),0,C641-E641-F641)</f>
        <v>25.6502808339445</v>
      </c>
      <c r="N641" s="2" t="n">
        <f aca="false">IF(C641&lt;(E641+F641),0,(C641-E641-F641)/(1-V$16/100))</f>
        <v>28.820540262859</v>
      </c>
      <c r="O641" s="2" t="n">
        <f aca="false">L641+M641</f>
        <v>26.1155902830653</v>
      </c>
      <c r="P641" s="2" t="n">
        <f aca="false">IF( N641=0,I641*(1-G641/100)+J641*(1-H641/100),-N641)</f>
        <v>-28.820540262859</v>
      </c>
      <c r="Q641" s="47" t="n">
        <f aca="false">IF(P640&gt;0,Q640+P640*(1-V$20/100),Q640+P640)</f>
        <v>2100.39670388039</v>
      </c>
      <c r="R641" s="48" t="n">
        <f aca="false">R$4+Q641/V$28</f>
        <v>64.8445828572139</v>
      </c>
    </row>
    <row r="642" customFormat="false" ht="12.8" hidden="false" customHeight="false" outlineLevel="0" collapsed="false">
      <c r="A642" s="1" t="n">
        <v>638</v>
      </c>
      <c r="B642" s="37" t="n">
        <v>44183</v>
      </c>
      <c r="C642" s="38" t="n">
        <f aca="false">V$26-V$26*SIN(2*PI()/365*A642)</f>
        <v>28.318019745944</v>
      </c>
      <c r="D642" s="2" t="n">
        <f aca="false">IF((E642+F642)&gt;C642,C642,E642+F642)</f>
        <v>2.65715733793656</v>
      </c>
      <c r="E642" s="38" t="n">
        <f aca="false">(V$23+V$24*SIN(2*PI()/365*A642))*V$25/100*V$7*V$8/100</f>
        <v>2.19278063655707</v>
      </c>
      <c r="F642" s="38" t="n">
        <f aca="false">(V$23+V$24*SIN(2*PI()/365*A642))*V$25/100*V$9*(1-V$14/100)*(1-V$16/100)</f>
        <v>0.464376701379496</v>
      </c>
      <c r="G642" s="38" t="n">
        <f aca="false">IF(C642&gt;E642,100,C642/E642*100)</f>
        <v>100</v>
      </c>
      <c r="H642" s="38" t="n">
        <f aca="false">L642/F642*100</f>
        <v>100</v>
      </c>
      <c r="I642" s="38" t="n">
        <f aca="false">(V$23+V$24*SIN(2*PI()/365*A642))*V$25/100*V$7*V$8/100*(1-V$15/100)</f>
        <v>1.95157476653579</v>
      </c>
      <c r="J642" s="38" t="n">
        <f aca="false">(V$23+V$24*SIN(2*PI()/365*A642))*V$25/100*V$9*(1-V$14/100)</f>
        <v>0.521771574583704</v>
      </c>
      <c r="K642" s="39" t="n">
        <f aca="false">IF(E642/C642*100&lt;100,E642/C642*100,100)</f>
        <v>7.7434109313775</v>
      </c>
      <c r="L642" s="2" t="n">
        <f aca="false">IF(((C642-E642)&gt;0)AND(F642&gt;(C642-E642)),(C642-E642),IF(C642&lt;E642,0,F642))</f>
        <v>0.464376701379496</v>
      </c>
      <c r="M642" s="2" t="n">
        <f aca="false">IF(C642&lt;(E642+F642),0,C642-E642-F642)</f>
        <v>25.6608624080074</v>
      </c>
      <c r="N642" s="2" t="n">
        <f aca="false">IF(C642&lt;(E642+F642),0,(C642-E642-F642)/(1-V$16/100))</f>
        <v>28.8324296719185</v>
      </c>
      <c r="O642" s="2" t="n">
        <f aca="false">L642+M642</f>
        <v>26.1252391093869</v>
      </c>
      <c r="P642" s="2" t="n">
        <f aca="false">IF( N642=0,I642*(1-G642/100)+J642*(1-H642/100),-N642)</f>
        <v>-28.8324296719185</v>
      </c>
      <c r="Q642" s="47" t="n">
        <f aca="false">IF(P641&gt;0,Q641+P641*(1-V$20/100),Q641+P641)</f>
        <v>2071.57616361753</v>
      </c>
      <c r="R642" s="48" t="n">
        <f aca="false">R$4+Q642/V$28</f>
        <v>64.5036785417446</v>
      </c>
    </row>
    <row r="643" customFormat="false" ht="12.8" hidden="false" customHeight="false" outlineLevel="0" collapsed="false">
      <c r="A643" s="1" t="n">
        <v>639</v>
      </c>
      <c r="B643" s="37" t="n">
        <v>44184</v>
      </c>
      <c r="C643" s="38" t="n">
        <f aca="false">V$26-V$26*SIN(2*PI()/365*A643)</f>
        <v>28.3190687044185</v>
      </c>
      <c r="D643" s="2" t="n">
        <f aca="false">IF((E643+F643)&gt;C643,C643,E643+F643)</f>
        <v>2.65608982480883</v>
      </c>
      <c r="E643" s="38" t="n">
        <f aca="false">(V$23+V$24*SIN(2*PI()/365*A643))*V$25/100*V$7*V$8/100</f>
        <v>2.19189968679833</v>
      </c>
      <c r="F643" s="38" t="n">
        <f aca="false">(V$23+V$24*SIN(2*PI()/365*A643))*V$25/100*V$9*(1-V$14/100)*(1-V$16/100)</f>
        <v>0.464190138010493</v>
      </c>
      <c r="G643" s="38" t="n">
        <f aca="false">IF(C643&gt;E643,100,C643/E643*100)</f>
        <v>100</v>
      </c>
      <c r="H643" s="38" t="n">
        <f aca="false">L643/F643*100</f>
        <v>100</v>
      </c>
      <c r="I643" s="38" t="n">
        <f aca="false">(V$23+V$24*SIN(2*PI()/365*A643))*V$25/100*V$7*V$8/100*(1-V$15/100)</f>
        <v>1.95079072125052</v>
      </c>
      <c r="J643" s="38" t="n">
        <f aca="false">(V$23+V$24*SIN(2*PI()/365*A643))*V$25/100*V$9*(1-V$14/100)</f>
        <v>0.521561952820779</v>
      </c>
      <c r="K643" s="39" t="n">
        <f aca="false">IF(E643/C643*100&lt;100,E643/C643*100,100)</f>
        <v>7.74001330932307</v>
      </c>
      <c r="L643" s="2" t="n">
        <f aca="false">IF(((C643-E643)&gt;0)AND(F643&gt;(C643-E643)),(C643-E643),IF(C643&lt;E643,0,F643))</f>
        <v>0.464190138010493</v>
      </c>
      <c r="M643" s="2" t="n">
        <f aca="false">IF(C643&lt;(E643+F643),0,C643-E643-F643)</f>
        <v>25.6629788796097</v>
      </c>
      <c r="N643" s="2" t="n">
        <f aca="false">IF(C643&lt;(E643+F643),0,(C643-E643-F643)/(1-V$16/100))</f>
        <v>28.8348077298985</v>
      </c>
      <c r="O643" s="2" t="n">
        <f aca="false">L643+M643</f>
        <v>26.1271690176202</v>
      </c>
      <c r="P643" s="2" t="n">
        <f aca="false">IF( N643=0,I643*(1-G643/100)+J643*(1-H643/100),-N643)</f>
        <v>-28.8348077298985</v>
      </c>
      <c r="Q643" s="47" t="n">
        <f aca="false">IF(P642&gt;0,Q642+P642*(1-V$20/100),Q642+P642)</f>
        <v>2042.74373394561</v>
      </c>
      <c r="R643" s="48" t="n">
        <f aca="false">R$4+Q643/V$28</f>
        <v>64.1626335921713</v>
      </c>
    </row>
    <row r="644" customFormat="false" ht="12.8" hidden="false" customHeight="false" outlineLevel="0" collapsed="false">
      <c r="A644" s="1" t="n">
        <v>640</v>
      </c>
      <c r="B644" s="37" t="n">
        <v>44185</v>
      </c>
      <c r="C644" s="38" t="n">
        <f aca="false">V$26-V$26*SIN(2*PI()/365*A644)</f>
        <v>28.3159219067037</v>
      </c>
      <c r="D644" s="2" t="n">
        <f aca="false">IF((E644+F644)&gt;C644,C644,E644+F644)</f>
        <v>2.65929228510878</v>
      </c>
      <c r="E644" s="38" t="n">
        <f aca="false">(V$23+V$24*SIN(2*PI()/365*A644))*V$25/100*V$7*V$8/100</f>
        <v>2.19454247081222</v>
      </c>
      <c r="F644" s="38" t="n">
        <f aca="false">(V$23+V$24*SIN(2*PI()/365*A644))*V$25/100*V$9*(1-V$14/100)*(1-V$16/100)</f>
        <v>0.46474981429656</v>
      </c>
      <c r="G644" s="38" t="n">
        <f aca="false">IF(C644&gt;E644,100,C644/E644*100)</f>
        <v>100</v>
      </c>
      <c r="H644" s="38" t="n">
        <f aca="false">L644/F644*100</f>
        <v>100</v>
      </c>
      <c r="I644" s="38" t="n">
        <f aca="false">(V$23+V$24*SIN(2*PI()/365*A644))*V$25/100*V$7*V$8/100*(1-V$15/100)</f>
        <v>1.95314279902288</v>
      </c>
      <c r="J644" s="38" t="n">
        <f aca="false">(V$23+V$24*SIN(2*PI()/365*A644))*V$25/100*V$9*(1-V$14/100)</f>
        <v>0.522190802580404</v>
      </c>
      <c r="K644" s="39" t="n">
        <f aca="false">IF(E644/C644*100&lt;100,E644/C644*100,100)</f>
        <v>7.75020667892388</v>
      </c>
      <c r="L644" s="2" t="n">
        <f aca="false">IF(((C644-E644)&gt;0)AND(F644&gt;(C644-E644)),(C644-E644),IF(C644&lt;E644,0,F644))</f>
        <v>0.46474981429656</v>
      </c>
      <c r="M644" s="2" t="n">
        <f aca="false">IF(C644&lt;(E644+F644),0,C644-E644-F644)</f>
        <v>25.656629621595</v>
      </c>
      <c r="N644" s="2" t="n">
        <f aca="false">IF(C644&lt;(E644+F644),0,(C644-E644-F644)/(1-V$16/100))</f>
        <v>28.8276737321292</v>
      </c>
      <c r="O644" s="2" t="n">
        <f aca="false">L644+M644</f>
        <v>26.1213794358915</v>
      </c>
      <c r="P644" s="2" t="n">
        <f aca="false">IF( N644=0,I644*(1-G644/100)+J644*(1-H644/100),-N644)</f>
        <v>-28.8276737321292</v>
      </c>
      <c r="Q644" s="47" t="n">
        <f aca="false">IF(P643&gt;0,Q643+P643*(1-V$20/100),Q643+P643)</f>
        <v>2013.90892621571</v>
      </c>
      <c r="R644" s="48" t="n">
        <f aca="false">R$4+Q644/V$28</f>
        <v>63.8215605136934</v>
      </c>
    </row>
    <row r="645" customFormat="false" ht="12.8" hidden="false" customHeight="false" outlineLevel="0" collapsed="false">
      <c r="A645" s="1" t="n">
        <v>641</v>
      </c>
      <c r="B645" s="37" t="n">
        <v>44186</v>
      </c>
      <c r="C645" s="38" t="n">
        <f aca="false">V$26-V$26*SIN(2*PI()/365*A645)</f>
        <v>28.3085802852638</v>
      </c>
      <c r="D645" s="2" t="n">
        <f aca="false">IF((E645+F645)&gt;C645,C645,E645+F645)</f>
        <v>2.66676376987833</v>
      </c>
      <c r="E645" s="38" t="n">
        <f aca="false">(V$23+V$24*SIN(2*PI()/365*A645))*V$25/100*V$7*V$8/100</f>
        <v>2.2007082054848</v>
      </c>
      <c r="F645" s="38" t="n">
        <f aca="false">(V$23+V$24*SIN(2*PI()/365*A645))*V$25/100*V$9*(1-V$14/100)*(1-V$16/100)</f>
        <v>0.466055564393536</v>
      </c>
      <c r="G645" s="38" t="n">
        <f aca="false">IF(C645&gt;E645,100,C645/E645*100)</f>
        <v>100</v>
      </c>
      <c r="H645" s="38" t="n">
        <f aca="false">L645/F645*100</f>
        <v>100</v>
      </c>
      <c r="I645" s="38" t="n">
        <f aca="false">(V$23+V$24*SIN(2*PI()/365*A645))*V$25/100*V$7*V$8/100*(1-V$15/100)</f>
        <v>1.95863030288147</v>
      </c>
      <c r="J645" s="38" t="n">
        <f aca="false">(V$23+V$24*SIN(2*PI()/365*A645))*V$25/100*V$9*(1-V$14/100)</f>
        <v>0.523657937520827</v>
      </c>
      <c r="K645" s="39" t="n">
        <f aca="false">IF(E645/C645*100&lt;100,E645/C645*100,100)</f>
        <v>7.77399708253963</v>
      </c>
      <c r="L645" s="2" t="n">
        <f aca="false">IF(((C645-E645)&gt;0)AND(F645&gt;(C645-E645)),(C645-E645),IF(C645&lt;E645,0,F645))</f>
        <v>0.466055564393536</v>
      </c>
      <c r="M645" s="2" t="n">
        <f aca="false">IF(C645&lt;(E645+F645),0,C645-E645-F645)</f>
        <v>25.6418165153855</v>
      </c>
      <c r="N645" s="2" t="n">
        <f aca="false">IF(C645&lt;(E645+F645),0,(C645-E645-F645)/(1-V$16/100))</f>
        <v>28.8110297925679</v>
      </c>
      <c r="O645" s="2" t="n">
        <f aca="false">L645+M645</f>
        <v>26.107872079779</v>
      </c>
      <c r="P645" s="2" t="n">
        <f aca="false">IF( N645=0,I645*(1-G645/100)+J645*(1-H645/100),-N645)</f>
        <v>-28.8110297925679</v>
      </c>
      <c r="Q645" s="47" t="n">
        <f aca="false">IF(P644&gt;0,Q644+P644*(1-V$20/100),Q644+P644)</f>
        <v>1985.08125248358</v>
      </c>
      <c r="R645" s="48" t="n">
        <f aca="false">R$4+Q645/V$28</f>
        <v>63.4805718198455</v>
      </c>
    </row>
    <row r="646" customFormat="false" ht="12.8" hidden="false" customHeight="false" outlineLevel="0" collapsed="false">
      <c r="A646" s="1" t="n">
        <v>642</v>
      </c>
      <c r="B646" s="37" t="n">
        <v>44187</v>
      </c>
      <c r="C646" s="38" t="n">
        <f aca="false">V$26-V$26*SIN(2*PI()/365*A646)</f>
        <v>28.2970460155795</v>
      </c>
      <c r="D646" s="2" t="n">
        <f aca="false">IF((E646+F646)&gt;C646,C646,E646+F646)</f>
        <v>2.67850206515529</v>
      </c>
      <c r="E646" s="38" t="n">
        <f aca="false">(V$23+V$24*SIN(2*PI()/365*A646))*V$25/100*V$7*V$8/100</f>
        <v>2.2103950637758</v>
      </c>
      <c r="F646" s="38" t="n">
        <f aca="false">(V$23+V$24*SIN(2*PI()/365*A646))*V$25/100*V$9*(1-V$14/100)*(1-V$16/100)</f>
        <v>0.468107001379486</v>
      </c>
      <c r="G646" s="38" t="n">
        <f aca="false">IF(C646&gt;E646,100,C646/E646*100)</f>
        <v>100</v>
      </c>
      <c r="H646" s="38" t="n">
        <f aca="false">L646/F646*100</f>
        <v>100</v>
      </c>
      <c r="I646" s="38" t="n">
        <f aca="false">(V$23+V$24*SIN(2*PI()/365*A646))*V$25/100*V$7*V$8/100*(1-V$15/100)</f>
        <v>1.96725160676047</v>
      </c>
      <c r="J646" s="38" t="n">
        <f aca="false">(V$23+V$24*SIN(2*PI()/365*A646))*V$25/100*V$9*(1-V$14/100)</f>
        <v>0.525962922898299</v>
      </c>
      <c r="K646" s="39" t="n">
        <f aca="false">IF(E646/C646*100&lt;100,E646/C646*100,100)</f>
        <v>7.81139862641077</v>
      </c>
      <c r="L646" s="2" t="n">
        <f aca="false">IF(((C646-E646)&gt;0)AND(F646&gt;(C646-E646)),(C646-E646),IF(C646&lt;E646,0,F646))</f>
        <v>0.468107001379486</v>
      </c>
      <c r="M646" s="2" t="n">
        <f aca="false">IF(C646&lt;(E646+F646),0,C646-E646-F646)</f>
        <v>25.6185439504243</v>
      </c>
      <c r="N646" s="2" t="n">
        <f aca="false">IF(C646&lt;(E646+F646),0,(C646-E646-F646)/(1-V$16/100))</f>
        <v>28.7848808431733</v>
      </c>
      <c r="O646" s="2" t="n">
        <f aca="false">L646+M646</f>
        <v>26.0866509518037</v>
      </c>
      <c r="P646" s="2" t="n">
        <f aca="false">IF( N646=0,I646*(1-G646/100)+J646*(1-H646/100),-N646)</f>
        <v>-28.7848808431733</v>
      </c>
      <c r="Q646" s="47" t="n">
        <f aca="false">IF(P645&gt;0,Q645+P645*(1-V$20/100),Q645+P645)</f>
        <v>1956.27022269101</v>
      </c>
      <c r="R646" s="48" t="n">
        <f aca="false">R$4+Q646/V$28</f>
        <v>63.1397799991572</v>
      </c>
    </row>
    <row r="647" customFormat="false" ht="12.8" hidden="false" customHeight="false" outlineLevel="0" collapsed="false">
      <c r="A647" s="1" t="n">
        <v>643</v>
      </c>
      <c r="B647" s="37" t="n">
        <v>44188</v>
      </c>
      <c r="C647" s="38" t="n">
        <f aca="false">V$26-V$26*SIN(2*PI()/365*A647)</f>
        <v>28.281322515504</v>
      </c>
      <c r="D647" s="2" t="n">
        <f aca="false">IF((E647+F647)&gt;C647,C647,E647+F647)</f>
        <v>2.69450369262943</v>
      </c>
      <c r="E647" s="38" t="n">
        <f aca="false">(V$23+V$24*SIN(2*PI()/365*A647))*V$25/100*V$7*V$8/100</f>
        <v>2.22360017526007</v>
      </c>
      <c r="F647" s="38" t="n">
        <f aca="false">(V$23+V$24*SIN(2*PI()/365*A647))*V$25/100*V$9*(1-V$14/100)*(1-V$16/100)</f>
        <v>0.470903517369358</v>
      </c>
      <c r="G647" s="38" t="n">
        <f aca="false">IF(C647&gt;E647,100,C647/E647*100)</f>
        <v>100</v>
      </c>
      <c r="H647" s="38" t="n">
        <f aca="false">L647/F647*100</f>
        <v>100</v>
      </c>
      <c r="I647" s="38" t="n">
        <f aca="false">(V$23+V$24*SIN(2*PI()/365*A647))*V$25/100*V$7*V$8/100*(1-V$15/100)</f>
        <v>1.97900415598146</v>
      </c>
      <c r="J647" s="38" t="n">
        <f aca="false">(V$23+V$24*SIN(2*PI()/365*A647))*V$25/100*V$9*(1-V$14/100)</f>
        <v>0.529105075695907</v>
      </c>
      <c r="K647" s="39" t="n">
        <f aca="false">IF(E647/C647*100&lt;100,E647/C647*100,100)</f>
        <v>7.86243349843727</v>
      </c>
      <c r="L647" s="2" t="n">
        <f aca="false">IF(((C647-E647)&gt;0)AND(F647&gt;(C647-E647)),(C647-E647),IF(C647&lt;E647,0,F647))</f>
        <v>0.470903517369358</v>
      </c>
      <c r="M647" s="2" t="n">
        <f aca="false">IF(C647&lt;(E647+F647),0,C647-E647-F647)</f>
        <v>25.5868188228746</v>
      </c>
      <c r="N647" s="2" t="n">
        <f aca="false">IF(C647&lt;(E647+F647),0,(C647-E647-F647)/(1-V$16/100))</f>
        <v>28.7492346324434</v>
      </c>
      <c r="O647" s="2" t="n">
        <f aca="false">L647+M647</f>
        <v>26.057722340244</v>
      </c>
      <c r="P647" s="2" t="n">
        <f aca="false">IF( N647=0,I647*(1-G647/100)+J647*(1-H647/100),-N647)</f>
        <v>-28.7492346324434</v>
      </c>
      <c r="Q647" s="47" t="n">
        <f aca="false">IF(P646&gt;0,Q646+P646*(1-V$20/100),Q646+P646)</f>
        <v>1927.48534184784</v>
      </c>
      <c r="R647" s="48" t="n">
        <f aca="false">R$4+Q647/V$28</f>
        <v>62.7992974818203</v>
      </c>
    </row>
    <row r="648" customFormat="false" ht="12.8" hidden="false" customHeight="false" outlineLevel="0" collapsed="false">
      <c r="A648" s="1" t="n">
        <v>644</v>
      </c>
      <c r="B648" s="37" t="n">
        <v>44189</v>
      </c>
      <c r="C648" s="38" t="n">
        <f aca="false">V$26-V$26*SIN(2*PI()/365*A648)</f>
        <v>28.2614144442497</v>
      </c>
      <c r="D648" s="2" t="n">
        <f aca="false">IF((E648+F648)&gt;C648,C648,E648+F648)</f>
        <v>2.71476391067319</v>
      </c>
      <c r="E648" s="38" t="n">
        <f aca="false">(V$23+V$24*SIN(2*PI()/365*A648))*V$25/100*V$7*V$8/100</f>
        <v>2.24031962697808</v>
      </c>
      <c r="F648" s="38" t="n">
        <f aca="false">(V$23+V$24*SIN(2*PI()/365*A648))*V$25/100*V$9*(1-V$14/100)*(1-V$16/100)</f>
        <v>0.47444428369511</v>
      </c>
      <c r="G648" s="38" t="n">
        <f aca="false">IF(C648&gt;E648,100,C648/E648*100)</f>
        <v>100</v>
      </c>
      <c r="H648" s="38" t="n">
        <f aca="false">L648/F648*100</f>
        <v>100</v>
      </c>
      <c r="I648" s="38" t="n">
        <f aca="false">(V$23+V$24*SIN(2*PI()/365*A648))*V$25/100*V$7*V$8/100*(1-V$15/100)</f>
        <v>1.99388446801049</v>
      </c>
      <c r="J648" s="38" t="n">
        <f aca="false">(V$23+V$24*SIN(2*PI()/365*A648))*V$25/100*V$9*(1-V$14/100)</f>
        <v>0.533083464825967</v>
      </c>
      <c r="K648" s="39" t="n">
        <f aca="false">IF(E648/C648*100&lt;100,E648/C648*100,100)</f>
        <v>7.92713199616206</v>
      </c>
      <c r="L648" s="2" t="n">
        <f aca="false">IF(((C648-E648)&gt;0)AND(F648&gt;(C648-E648)),(C648-E648),IF(C648&lt;E648,0,F648))</f>
        <v>0.47444428369511</v>
      </c>
      <c r="M648" s="2" t="n">
        <f aca="false">IF(C648&lt;(E648+F648),0,C648-E648-F648)</f>
        <v>25.5466505335765</v>
      </c>
      <c r="N648" s="2" t="n">
        <f aca="false">IF(C648&lt;(E648+F648),0,(C648-E648-F648)/(1-V$16/100))</f>
        <v>28.7041017231197</v>
      </c>
      <c r="O648" s="2" t="n">
        <f aca="false">L648+M648</f>
        <v>26.0210948172716</v>
      </c>
      <c r="P648" s="2" t="n">
        <f aca="false">IF( N648=0,I648*(1-G648/100)+J648*(1-H648/100),-N648)</f>
        <v>-28.7041017231197</v>
      </c>
      <c r="Q648" s="47" t="n">
        <f aca="false">IF(P647&gt;0,Q647+P647*(1-V$20/100),Q647+P647)</f>
        <v>1898.7361072154</v>
      </c>
      <c r="R648" s="48" t="n">
        <f aca="false">R$4+Q648/V$28</f>
        <v>62.4592366063735</v>
      </c>
    </row>
    <row r="649" customFormat="false" ht="12.8" hidden="false" customHeight="false" outlineLevel="0" collapsed="false">
      <c r="A649" s="1" t="n">
        <v>645</v>
      </c>
      <c r="B649" s="37" t="n">
        <v>44190</v>
      </c>
      <c r="C649" s="38" t="n">
        <f aca="false">V$26-V$26*SIN(2*PI()/365*A649)</f>
        <v>28.2373277010076</v>
      </c>
      <c r="D649" s="2" t="n">
        <f aca="false">IF((E649+F649)&gt;C649,C649,E649+F649)</f>
        <v>2.73927671574672</v>
      </c>
      <c r="E649" s="38" t="n">
        <f aca="false">(V$23+V$24*SIN(2*PI()/365*A649))*V$25/100*V$7*V$8/100</f>
        <v>2.26054846459545</v>
      </c>
      <c r="F649" s="38" t="n">
        <f aca="false">(V$23+V$24*SIN(2*PI()/365*A649))*V$25/100*V$9*(1-V$14/100)*(1-V$16/100)</f>
        <v>0.478728251151265</v>
      </c>
      <c r="G649" s="38" t="n">
        <f aca="false">IF(C649&gt;E649,100,C649/E649*100)</f>
        <v>100</v>
      </c>
      <c r="H649" s="38" t="n">
        <f aca="false">L649/F649*100</f>
        <v>100</v>
      </c>
      <c r="I649" s="38" t="n">
        <f aca="false">(V$23+V$24*SIN(2*PI()/365*A649))*V$25/100*V$7*V$8/100*(1-V$15/100)</f>
        <v>2.01188813348995</v>
      </c>
      <c r="J649" s="38" t="n">
        <f aca="false">(V$23+V$24*SIN(2*PI()/365*A649))*V$25/100*V$9*(1-V$14/100)</f>
        <v>0.537896911405915</v>
      </c>
      <c r="K649" s="39" t="n">
        <f aca="false">IF(E649/C649*100&lt;100,E649/C649*100,100)</f>
        <v>8.00553256501955</v>
      </c>
      <c r="L649" s="2" t="n">
        <f aca="false">IF(((C649-E649)&gt;0)AND(F649&gt;(C649-E649)),(C649-E649),IF(C649&lt;E649,0,F649))</f>
        <v>0.478728251151265</v>
      </c>
      <c r="M649" s="2" t="n">
        <f aca="false">IF(C649&lt;(E649+F649),0,C649-E649-F649)</f>
        <v>25.4980509852609</v>
      </c>
      <c r="N649" s="2" t="n">
        <f aca="false">IF(C649&lt;(E649+F649),0,(C649-E649-F649)/(1-V$16/100))</f>
        <v>28.6494954890572</v>
      </c>
      <c r="O649" s="2" t="n">
        <f aca="false">L649+M649</f>
        <v>25.9767792364122</v>
      </c>
      <c r="P649" s="2" t="n">
        <f aca="false">IF( N649=0,I649*(1-G649/100)+J649*(1-H649/100),-N649)</f>
        <v>-28.6494954890572</v>
      </c>
      <c r="Q649" s="47" t="n">
        <f aca="false">IF(P648&gt;0,Q648+P648*(1-V$20/100),Q648+P648)</f>
        <v>1870.03200549228</v>
      </c>
      <c r="R649" s="48" t="n">
        <f aca="false">R$4+Q649/V$28</f>
        <v>62.1197095864137</v>
      </c>
    </row>
    <row r="650" customFormat="false" ht="12.8" hidden="false" customHeight="false" outlineLevel="0" collapsed="false">
      <c r="A650" s="1" t="n">
        <v>646</v>
      </c>
      <c r="B650" s="37" t="n">
        <v>44191</v>
      </c>
      <c r="C650" s="38" t="n">
        <f aca="false">V$26-V$26*SIN(2*PI()/365*A650)</f>
        <v>28.2090694231998</v>
      </c>
      <c r="D650" s="2" t="n">
        <f aca="false">IF((E650+F650)&gt;C650,C650,E650+F650)</f>
        <v>2.76803484417683</v>
      </c>
      <c r="E650" s="38" t="n">
        <f aca="false">(V$23+V$24*SIN(2*PI()/365*A650))*V$25/100*V$7*V$8/100</f>
        <v>2.28428069387102</v>
      </c>
      <c r="F650" s="38" t="n">
        <f aca="false">(V$23+V$24*SIN(2*PI()/365*A650))*V$25/100*V$9*(1-V$14/100)*(1-V$16/100)</f>
        <v>0.483754150305808</v>
      </c>
      <c r="G650" s="38" t="n">
        <f aca="false">IF(C650&gt;E650,100,C650/E650*100)</f>
        <v>100</v>
      </c>
      <c r="H650" s="38" t="n">
        <f aca="false">L650/F650*100</f>
        <v>100</v>
      </c>
      <c r="I650" s="38" t="n">
        <f aca="false">(V$23+V$24*SIN(2*PI()/365*A650))*V$25/100*V$7*V$8/100*(1-V$15/100)</f>
        <v>2.03300981754521</v>
      </c>
      <c r="J650" s="38" t="n">
        <f aca="false">(V$23+V$24*SIN(2*PI()/365*A650))*V$25/100*V$9*(1-V$14/100)</f>
        <v>0.54354398910765</v>
      </c>
      <c r="K650" s="39" t="n">
        <f aca="false">IF(E650/C650*100&lt;100,E650/C650*100,100)</f>
        <v>8.09768184693246</v>
      </c>
      <c r="L650" s="2" t="n">
        <f aca="false">IF(((C650-E650)&gt;0)AND(F650&gt;(C650-E650)),(C650-E650),IF(C650&lt;E650,0,F650))</f>
        <v>0.483754150305808</v>
      </c>
      <c r="M650" s="2" t="n">
        <f aca="false">IF(C650&lt;(E650+F650),0,C650-E650-F650)</f>
        <v>25.4410345790229</v>
      </c>
      <c r="N650" s="2" t="n">
        <f aca="false">IF(C650&lt;(E650+F650),0,(C650-E650-F650)/(1-V$16/100))</f>
        <v>28.5854321112617</v>
      </c>
      <c r="O650" s="2" t="n">
        <f aca="false">L650+M650</f>
        <v>25.9247887293287</v>
      </c>
      <c r="P650" s="2" t="n">
        <f aca="false">IF( N650=0,I650*(1-G650/100)+J650*(1-H650/100),-N650)</f>
        <v>-28.5854321112617</v>
      </c>
      <c r="Q650" s="47" t="n">
        <f aca="false">IF(P649&gt;0,Q649+P649*(1-V$20/100),Q649+P649)</f>
        <v>1841.38251000322</v>
      </c>
      <c r="R650" s="48" t="n">
        <f aca="false">R$4+Q650/V$28</f>
        <v>61.780828477345</v>
      </c>
    </row>
    <row r="651" customFormat="false" ht="12.8" hidden="false" customHeight="false" outlineLevel="0" collapsed="false">
      <c r="A651" s="1" t="n">
        <v>647</v>
      </c>
      <c r="B651" s="37" t="n">
        <v>44192</v>
      </c>
      <c r="C651" s="38" t="n">
        <f aca="false">V$26-V$26*SIN(2*PI()/365*A651)</f>
        <v>28.1766479843637</v>
      </c>
      <c r="D651" s="2" t="n">
        <f aca="false">IF((E651+F651)&gt;C651,C651,E651+F651)</f>
        <v>2.80102977430943</v>
      </c>
      <c r="E651" s="38" t="n">
        <f aca="false">(V$23+V$24*SIN(2*PI()/365*A651))*V$25/100*V$7*V$8/100</f>
        <v>2.31150928243308</v>
      </c>
      <c r="F651" s="38" t="n">
        <f aca="false">(V$23+V$24*SIN(2*PI()/365*A651))*V$25/100*V$9*(1-V$14/100)*(1-V$16/100)</f>
        <v>0.489520491876354</v>
      </c>
      <c r="G651" s="38" t="n">
        <f aca="false">IF(C651&gt;E651,100,C651/E651*100)</f>
        <v>100</v>
      </c>
      <c r="H651" s="38" t="n">
        <f aca="false">L651/F651*100</f>
        <v>100</v>
      </c>
      <c r="I651" s="38" t="n">
        <f aca="false">(V$23+V$24*SIN(2*PI()/365*A651))*V$25/100*V$7*V$8/100*(1-V$15/100)</f>
        <v>2.05724326136544</v>
      </c>
      <c r="J651" s="38" t="n">
        <f aca="false">(V$23+V$24*SIN(2*PI()/365*A651))*V$25/100*V$9*(1-V$14/100)</f>
        <v>0.550023024580173</v>
      </c>
      <c r="K651" s="39" t="n">
        <f aca="false">IF(E651/C651*100&lt;100,E651/C651*100,100)</f>
        <v>8.20363473936229</v>
      </c>
      <c r="L651" s="2" t="n">
        <f aca="false">IF(((C651-E651)&gt;0)AND(F651&gt;(C651-E651)),(C651-E651),IF(C651&lt;E651,0,F651))</f>
        <v>0.489520491876354</v>
      </c>
      <c r="M651" s="2" t="n">
        <f aca="false">IF(C651&lt;(E651+F651),0,C651-E651-F651)</f>
        <v>25.3756182100542</v>
      </c>
      <c r="N651" s="2" t="n">
        <f aca="false">IF(C651&lt;(E651+F651),0,(C651-E651-F651)/(1-V$16/100))</f>
        <v>28.5119305730946</v>
      </c>
      <c r="O651" s="2" t="n">
        <f aca="false">L651+M651</f>
        <v>25.8651387019306</v>
      </c>
      <c r="P651" s="2" t="n">
        <f aca="false">IF( N651=0,I651*(1-G651/100)+J651*(1-H651/100),-N651)</f>
        <v>-28.5119305730946</v>
      </c>
      <c r="Q651" s="47" t="n">
        <f aca="false">IF(P650&gt;0,Q650+P650*(1-V$20/100),Q650+P650)</f>
        <v>1812.79707789196</v>
      </c>
      <c r="R651" s="48" t="n">
        <f aca="false">R$4+Q651/V$28</f>
        <v>61.4427051431741</v>
      </c>
    </row>
    <row r="652" customFormat="false" ht="12.8" hidden="false" customHeight="false" outlineLevel="0" collapsed="false">
      <c r="A652" s="1" t="n">
        <v>648</v>
      </c>
      <c r="B652" s="37" t="n">
        <v>44193</v>
      </c>
      <c r="C652" s="38" t="n">
        <f aca="false">V$26-V$26*SIN(2*PI()/365*A652)</f>
        <v>28.1400729916713</v>
      </c>
      <c r="D652" s="2" t="n">
        <f aca="false">IF((E652+F652)&gt;C652,C652,E652+F652)</f>
        <v>2.83825172903463</v>
      </c>
      <c r="E652" s="38" t="n">
        <f aca="false">(V$23+V$24*SIN(2*PI()/365*A652))*V$25/100*V$7*V$8/100</f>
        <v>2.34222616186318</v>
      </c>
      <c r="F652" s="38" t="n">
        <f aca="false">(V$23+V$24*SIN(2*PI()/365*A652))*V$25/100*V$9*(1-V$14/100)*(1-V$16/100)</f>
        <v>0.496025567171446</v>
      </c>
      <c r="G652" s="38" t="n">
        <f aca="false">IF(C652&gt;E652,100,C652/E652*100)</f>
        <v>100</v>
      </c>
      <c r="H652" s="38" t="n">
        <f aca="false">L652/F652*100</f>
        <v>100</v>
      </c>
      <c r="I652" s="38" t="n">
        <f aca="false">(V$23+V$24*SIN(2*PI()/365*A652))*V$25/100*V$7*V$8/100*(1-V$15/100)</f>
        <v>2.08458128405823</v>
      </c>
      <c r="J652" s="38" t="n">
        <f aca="false">(V$23+V$24*SIN(2*PI()/365*A652))*V$25/100*V$9*(1-V$14/100)</f>
        <v>0.557332097945445</v>
      </c>
      <c r="K652" s="39" t="n">
        <f aca="false">IF(E652/C652*100&lt;100,E652/C652*100,100)</f>
        <v>8.32345446494193</v>
      </c>
      <c r="L652" s="2" t="n">
        <f aca="false">IF(((C652-E652)&gt;0)AND(F652&gt;(C652-E652)),(C652-E652),IF(C652&lt;E652,0,F652))</f>
        <v>0.496025567171446</v>
      </c>
      <c r="M652" s="2" t="n">
        <f aca="false">IF(C652&lt;(E652+F652),0,C652-E652-F652)</f>
        <v>25.3018212626367</v>
      </c>
      <c r="N652" s="2" t="n">
        <f aca="false">IF(C652&lt;(E652+F652),0,(C652-E652-F652)/(1-V$16/100))</f>
        <v>28.429012654648</v>
      </c>
      <c r="O652" s="2" t="n">
        <f aca="false">L652+M652</f>
        <v>25.7978468298081</v>
      </c>
      <c r="P652" s="2" t="n">
        <f aca="false">IF( N652=0,I652*(1-G652/100)+J652*(1-H652/100),-N652)</f>
        <v>-28.429012654648</v>
      </c>
      <c r="Q652" s="47" t="n">
        <f aca="false">IF(P651&gt;0,Q651+P651*(1-V$20/100),Q651+P651)</f>
        <v>1784.28514731886</v>
      </c>
      <c r="R652" s="48" t="n">
        <f aca="false">R$4+Q652/V$28</f>
        <v>61.1054512233628</v>
      </c>
    </row>
    <row r="653" customFormat="false" ht="12.8" hidden="false" customHeight="false" outlineLevel="0" collapsed="false">
      <c r="A653" s="1" t="n">
        <v>649</v>
      </c>
      <c r="B653" s="37" t="n">
        <v>44194</v>
      </c>
      <c r="C653" s="38" t="n">
        <f aca="false">V$26-V$26*SIN(2*PI()/365*A653)</f>
        <v>28.0993552830825</v>
      </c>
      <c r="D653" s="2" t="n">
        <f aca="false">IF((E653+F653)&gt;C653,C653,E653+F653)</f>
        <v>2.87968967868392</v>
      </c>
      <c r="E653" s="38" t="n">
        <f aca="false">(V$23+V$24*SIN(2*PI()/365*A653))*V$25/100*V$7*V$8/100</f>
        <v>2.37642223008704</v>
      </c>
      <c r="F653" s="38" t="n">
        <f aca="false">(V$23+V$24*SIN(2*PI()/365*A653))*V$25/100*V$9*(1-V$14/100)*(1-V$16/100)</f>
        <v>0.503267448596884</v>
      </c>
      <c r="G653" s="38" t="n">
        <f aca="false">IF(C653&gt;E653,100,C653/E653*100)</f>
        <v>100</v>
      </c>
      <c r="H653" s="38" t="n">
        <f aca="false">L653/F653*100</f>
        <v>100</v>
      </c>
      <c r="I653" s="38" t="n">
        <f aca="false">(V$23+V$24*SIN(2*PI()/365*A653))*V$25/100*V$7*V$8/100*(1-V$15/100)</f>
        <v>2.11501578477747</v>
      </c>
      <c r="J653" s="38" t="n">
        <f aca="false">(V$23+V$24*SIN(2*PI()/365*A653))*V$25/100*V$9*(1-V$14/100)</f>
        <v>0.565469043367285</v>
      </c>
      <c r="K653" s="39" t="n">
        <f aca="false">IF(E653/C653*100&lt;100,E653/C653*100,100)</f>
        <v>8.45721265184256</v>
      </c>
      <c r="L653" s="2" t="n">
        <f aca="false">IF(((C653-E653)&gt;0)AND(F653&gt;(C653-E653)),(C653-E653),IF(C653&lt;E653,0,F653))</f>
        <v>0.503267448596884</v>
      </c>
      <c r="M653" s="2" t="n">
        <f aca="false">IF(C653&lt;(E653+F653),0,C653-E653-F653)</f>
        <v>25.2196656043985</v>
      </c>
      <c r="N653" s="2" t="n">
        <f aca="false">IF(C653&lt;(E653+F653),0,(C653-E653-F653)/(1-V$16/100))</f>
        <v>28.3367029262905</v>
      </c>
      <c r="O653" s="2" t="n">
        <f aca="false">L653+M653</f>
        <v>25.7229330529954</v>
      </c>
      <c r="P653" s="2" t="n">
        <f aca="false">IF( N653=0,I653*(1-G653/100)+J653*(1-H653/100),-N653)</f>
        <v>-28.3367029262905</v>
      </c>
      <c r="Q653" s="47" t="n">
        <f aca="false">IF(P652&gt;0,Q652+P652*(1-V$20/100),Q652+P652)</f>
        <v>1755.85613466422</v>
      </c>
      <c r="R653" s="48" t="n">
        <f aca="false">R$4+Q653/V$28</f>
        <v>60.7691780997466</v>
      </c>
    </row>
    <row r="654" customFormat="false" ht="12.8" hidden="false" customHeight="false" outlineLevel="0" collapsed="false">
      <c r="A654" s="1" t="n">
        <v>650</v>
      </c>
      <c r="B654" s="37" t="n">
        <v>44195</v>
      </c>
      <c r="C654" s="38" t="n">
        <f aca="false">V$26-V$26*SIN(2*PI()/365*A654)</f>
        <v>28.0545069241329</v>
      </c>
      <c r="D654" s="2" t="n">
        <f aca="false">IF((E654+F654)&gt;C654,C654,E654+F654)</f>
        <v>2.92533134429853</v>
      </c>
      <c r="E654" s="38" t="n">
        <f aca="false">(V$23+V$24*SIN(2*PI()/365*A654))*V$25/100*V$7*V$8/100</f>
        <v>2.41408735407162</v>
      </c>
      <c r="F654" s="38" t="n">
        <f aca="false">(V$23+V$24*SIN(2*PI()/365*A654))*V$25/100*V$9*(1-V$14/100)*(1-V$16/100)</f>
        <v>0.511243990226909</v>
      </c>
      <c r="G654" s="38" t="n">
        <f aca="false">IF(C654&gt;E654,100,C654/E654*100)</f>
        <v>100</v>
      </c>
      <c r="H654" s="38" t="n">
        <f aca="false">L654/F654*100</f>
        <v>100</v>
      </c>
      <c r="I654" s="38" t="n">
        <f aca="false">(V$23+V$24*SIN(2*PI()/365*A654))*V$25/100*V$7*V$8/100*(1-V$15/100)</f>
        <v>2.14853774512375</v>
      </c>
      <c r="J654" s="38" t="n">
        <f aca="false">(V$23+V$24*SIN(2*PI()/365*A654))*V$25/100*V$9*(1-V$14/100)</f>
        <v>0.574431449693156</v>
      </c>
      <c r="K654" s="39" t="n">
        <f aca="false">IF(E654/C654*100&lt;100,E654/C654*100,100)</f>
        <v>8.60498942505024</v>
      </c>
      <c r="L654" s="2" t="n">
        <f aca="false">IF(((C654-E654)&gt;0)AND(F654&gt;(C654-E654)),(C654-E654),IF(C654&lt;E654,0,F654))</f>
        <v>0.511243990226909</v>
      </c>
      <c r="M654" s="2" t="n">
        <f aca="false">IF(C654&lt;(E654+F654),0,C654-E654-F654)</f>
        <v>25.1291755798344</v>
      </c>
      <c r="N654" s="2" t="n">
        <f aca="false">IF(C654&lt;(E654+F654),0,(C654-E654-F654)/(1-V$16/100))</f>
        <v>28.2350287413869</v>
      </c>
      <c r="O654" s="2" t="n">
        <f aca="false">L654+M654</f>
        <v>25.6404195700613</v>
      </c>
      <c r="P654" s="2" t="n">
        <f aca="false">IF( N654=0,I654*(1-G654/100)+J654*(1-H654/100),-N654)</f>
        <v>-28.2350287413869</v>
      </c>
      <c r="Q654" s="47" t="n">
        <f aca="false">IF(P653&gt;0,Q653+P653*(1-V$20/100),Q653+P653)</f>
        <v>1727.51943173793</v>
      </c>
      <c r="R654" s="48" t="n">
        <f aca="false">R$4+Q654/V$28</f>
        <v>60.4339968635297</v>
      </c>
    </row>
    <row r="655" customFormat="false" ht="12.8" hidden="false" customHeight="false" outlineLevel="0" collapsed="false">
      <c r="A655" s="1" t="n">
        <v>651</v>
      </c>
      <c r="B655" s="37" t="n">
        <v>44196</v>
      </c>
      <c r="C655" s="38" t="n">
        <f aca="false">V$26-V$26*SIN(2*PI()/365*A655)</f>
        <v>28.0055412043593</v>
      </c>
      <c r="D655" s="2" t="n">
        <f aca="false">IF((E655+F655)&gt;C655,C655,E655+F655)</f>
        <v>2.9751632012679</v>
      </c>
      <c r="E655" s="38" t="n">
        <f aca="false">(V$23+V$24*SIN(2*PI()/365*A655))*V$25/100*V$7*V$8/100</f>
        <v>2.45521037282781</v>
      </c>
      <c r="F655" s="38" t="n">
        <f aca="false">(V$23+V$24*SIN(2*PI()/365*A655))*V$25/100*V$9*(1-V$14/100)*(1-V$16/100)</f>
        <v>0.519952828440087</v>
      </c>
      <c r="G655" s="38" t="n">
        <f aca="false">IF(C655&gt;E655,100,C655/E655*100)</f>
        <v>100</v>
      </c>
      <c r="H655" s="38" t="n">
        <f aca="false">L655/F655*100</f>
        <v>100</v>
      </c>
      <c r="I655" s="38" t="n">
        <f aca="false">(V$23+V$24*SIN(2*PI()/365*A655))*V$25/100*V$7*V$8/100*(1-V$15/100)</f>
        <v>2.18513723181675</v>
      </c>
      <c r="J655" s="38" t="n">
        <f aca="false">(V$23+V$24*SIN(2*PI()/365*A655))*V$25/100*V$9*(1-V$14/100)</f>
        <v>0.584216661168637</v>
      </c>
      <c r="K655" s="39" t="n">
        <f aca="false">IF(E655/C655*100&lt;100,E655/C655*100,100)</f>
        <v>8.76687350875275</v>
      </c>
      <c r="L655" s="2" t="n">
        <f aca="false">IF(((C655-E655)&gt;0)AND(F655&gt;(C655-E655)),(C655-E655),IF(C655&lt;E655,0,F655))</f>
        <v>0.519952828440087</v>
      </c>
      <c r="M655" s="2" t="n">
        <f aca="false">IF(C655&lt;(E655+F655),0,C655-E655-F655)</f>
        <v>25.0303780030914</v>
      </c>
      <c r="N655" s="2" t="n">
        <f aca="false">IF(C655&lt;(E655+F655),0,(C655-E655-F655)/(1-V$16/100))</f>
        <v>28.1240202281926</v>
      </c>
      <c r="O655" s="2" t="n">
        <f aca="false">L655+M655</f>
        <v>25.5503308315315</v>
      </c>
      <c r="P655" s="2" t="n">
        <f aca="false">IF( N655=0,I655*(1-G655/100)+J655*(1-H655/100),-N655)</f>
        <v>-28.1240202281926</v>
      </c>
      <c r="Q655" s="47" t="n">
        <f aca="false">IF(P654&gt;0,Q654+P654*(1-V$20/100),Q654+P654)</f>
        <v>1699.28440299654</v>
      </c>
      <c r="R655" s="48" t="n">
        <f aca="false">R$4+Q655/V$28</f>
        <v>60.1000182823668</v>
      </c>
    </row>
    <row r="656" customFormat="false" ht="12.8" hidden="false" customHeight="false" outlineLevel="0" collapsed="false">
      <c r="A656" s="1" t="n">
        <v>652</v>
      </c>
      <c r="B656" s="37" t="n">
        <v>44197</v>
      </c>
      <c r="C656" s="38" t="n">
        <f aca="false">V$26-V$26*SIN(2*PI()/365*A656)</f>
        <v>27.9524726333612</v>
      </c>
      <c r="D656" s="2" t="n">
        <f aca="false">IF((E656+F656)&gt;C656,C656,E656+F656)</f>
        <v>3.02917048333735</v>
      </c>
      <c r="E656" s="38" t="n">
        <f aca="false">(V$23+V$24*SIN(2*PI()/365*A656))*V$25/100*V$7*V$8/100</f>
        <v>2.49977910071764</v>
      </c>
      <c r="F656" s="38" t="n">
        <f aca="false">(V$23+V$24*SIN(2*PI()/365*A656))*V$25/100*V$9*(1-V$14/100)*(1-V$16/100)</f>
        <v>0.529391382619705</v>
      </c>
      <c r="G656" s="38" t="n">
        <f aca="false">IF(C656&gt;E656,100,C656/E656*100)</f>
        <v>100</v>
      </c>
      <c r="H656" s="38" t="n">
        <f aca="false">L656/F656*100</f>
        <v>100</v>
      </c>
      <c r="I656" s="38" t="n">
        <f aca="false">(V$23+V$24*SIN(2*PI()/365*A656))*V$25/100*V$7*V$8/100*(1-V$15/100)</f>
        <v>2.2248033996387</v>
      </c>
      <c r="J656" s="38" t="n">
        <f aca="false">(V$23+V$24*SIN(2*PI()/365*A656))*V$25/100*V$9*(1-V$14/100)</f>
        <v>0.594821778224388</v>
      </c>
      <c r="K656" s="39" t="n">
        <f aca="false">IF(E656/C656*100&lt;100,E656/C656*100,100)</f>
        <v>8.94296234006206</v>
      </c>
      <c r="L656" s="2" t="n">
        <f aca="false">IF(((C656-E656)&gt;0)AND(F656&gt;(C656-E656)),(C656-E656),IF(C656&lt;E656,0,F656))</f>
        <v>0.529391382619705</v>
      </c>
      <c r="M656" s="2" t="n">
        <f aca="false">IF(C656&lt;(E656+F656),0,C656-E656-F656)</f>
        <v>24.9233021500238</v>
      </c>
      <c r="N656" s="2" t="n">
        <f aca="false">IF(C656&lt;(E656+F656),0,(C656-E656-F656)/(1-V$16/100))</f>
        <v>28.0037102809256</v>
      </c>
      <c r="O656" s="2" t="n">
        <f aca="false">L656+M656</f>
        <v>25.4526935326435</v>
      </c>
      <c r="P656" s="2" t="n">
        <f aca="false">IF( N656=0,I656*(1-G656/100)+J656*(1-H656/100),-N656)</f>
        <v>-28.0037102809256</v>
      </c>
      <c r="Q656" s="47" t="n">
        <f aca="false">IF(P655&gt;0,Q655+P655*(1-V$20/100),Q655+P655)</f>
        <v>1671.16038276835</v>
      </c>
      <c r="R656" s="48" t="n">
        <f aca="false">R$4+Q656/V$28</f>
        <v>59.7673527675398</v>
      </c>
    </row>
    <row r="657" customFormat="false" ht="12.8" hidden="false" customHeight="false" outlineLevel="0" collapsed="false">
      <c r="A657" s="1" t="n">
        <v>653</v>
      </c>
      <c r="B657" s="37" t="n">
        <v>44198</v>
      </c>
      <c r="C657" s="38" t="n">
        <f aca="false">V$26-V$26*SIN(2*PI()/365*A657)</f>
        <v>27.8953169365014</v>
      </c>
      <c r="D657" s="2" t="n">
        <f aca="false">IF((E657+F657)&gt;C657,C657,E657+F657)</f>
        <v>3.08733718698363</v>
      </c>
      <c r="E657" s="38" t="n">
        <f aca="false">(V$23+V$24*SIN(2*PI()/365*A657))*V$25/100*V$7*V$8/100</f>
        <v>2.54778033106517</v>
      </c>
      <c r="F657" s="38" t="n">
        <f aca="false">(V$23+V$24*SIN(2*PI()/365*A657))*V$25/100*V$9*(1-V$14/100)*(1-V$16/100)</f>
        <v>0.539556855918458</v>
      </c>
      <c r="G657" s="38" t="n">
        <f aca="false">IF(C657&gt;E657,100,C657/E657*100)</f>
        <v>100</v>
      </c>
      <c r="H657" s="38" t="n">
        <f aca="false">L657/F657*100</f>
        <v>100</v>
      </c>
      <c r="I657" s="38" t="n">
        <f aca="false">(V$23+V$24*SIN(2*PI()/365*A657))*V$25/100*V$7*V$8/100*(1-V$15/100)</f>
        <v>2.267524494648</v>
      </c>
      <c r="J657" s="38" t="n">
        <f aca="false">(V$23+V$24*SIN(2*PI()/365*A657))*V$25/100*V$9*(1-V$14/100)</f>
        <v>0.606243658335346</v>
      </c>
      <c r="K657" s="39" t="n">
        <f aca="false">IF(E657/C657*100&lt;100,E657/C657*100,100)</f>
        <v>9.1333621943236</v>
      </c>
      <c r="L657" s="2" t="n">
        <f aca="false">IF(((C657-E657)&gt;0)AND(F657&gt;(C657-E657)),(C657-E657),IF(C657&lt;E657,0,F657))</f>
        <v>0.539556855918458</v>
      </c>
      <c r="M657" s="2" t="n">
        <f aca="false">IF(C657&lt;(E657+F657),0,C657-E657-F657)</f>
        <v>24.8079797495178</v>
      </c>
      <c r="N657" s="2" t="n">
        <f aca="false">IF(C657&lt;(E657+F657),0,(C657-E657-F657)/(1-V$16/100))</f>
        <v>27.87413455002</v>
      </c>
      <c r="O657" s="2" t="n">
        <f aca="false">L657+M657</f>
        <v>25.3475366054363</v>
      </c>
      <c r="P657" s="2" t="n">
        <f aca="false">IF( N657=0,I657*(1-G657/100)+J657*(1-H657/100),-N657)</f>
        <v>-27.87413455002</v>
      </c>
      <c r="Q657" s="47" t="n">
        <f aca="false">IF(P656&gt;0,Q656+P656*(1-V$20/100),Q656+P656)</f>
        <v>1643.15667248742</v>
      </c>
      <c r="R657" s="48" t="n">
        <f aca="false">R$4+Q657/V$28</f>
        <v>59.4361103412407</v>
      </c>
    </row>
    <row r="658" customFormat="false" ht="12.8" hidden="false" customHeight="false" outlineLevel="0" collapsed="false">
      <c r="A658" s="1" t="n">
        <v>654</v>
      </c>
      <c r="B658" s="37" t="n">
        <v>44199</v>
      </c>
      <c r="C658" s="38" t="n">
        <f aca="false">V$26-V$26*SIN(2*PI()/365*A658)</f>
        <v>27.8340910502466</v>
      </c>
      <c r="D658" s="2" t="n">
        <f aca="false">IF((E658+F658)&gt;C658,C658,E658+F658)</f>
        <v>3.14964607615712</v>
      </c>
      <c r="E658" s="38" t="n">
        <f aca="false">(V$23+V$24*SIN(2*PI()/365*A658))*V$25/100*V$7*V$8/100</f>
        <v>2.5991998400699</v>
      </c>
      <c r="F658" s="38" t="n">
        <f aca="false">(V$23+V$24*SIN(2*PI()/365*A658))*V$25/100*V$9*(1-V$14/100)*(1-V$16/100)</f>
        <v>0.55044623608722</v>
      </c>
      <c r="G658" s="38" t="n">
        <f aca="false">IF(C658&gt;E658,100,C658/E658*100)</f>
        <v>100</v>
      </c>
      <c r="H658" s="38" t="n">
        <f aca="false">L658/F658*100</f>
        <v>100</v>
      </c>
      <c r="I658" s="38" t="n">
        <f aca="false">(V$23+V$24*SIN(2*PI()/365*A658))*V$25/100*V$7*V$8/100*(1-V$15/100)</f>
        <v>2.31328785766221</v>
      </c>
      <c r="J658" s="38" t="n">
        <f aca="false">(V$23+V$24*SIN(2*PI()/365*A658))*V$25/100*V$9*(1-V$14/100)</f>
        <v>0.618478916951932</v>
      </c>
      <c r="K658" s="39" t="n">
        <f aca="false">IF(E658/C658*100&lt;100,E658/C658*100,100)</f>
        <v>9.33818832229074</v>
      </c>
      <c r="L658" s="2" t="n">
        <f aca="false">IF(((C658-E658)&gt;0)AND(F658&gt;(C658-E658)),(C658-E658),IF(C658&lt;E658,0,F658))</f>
        <v>0.55044623608722</v>
      </c>
      <c r="M658" s="2" t="n">
        <f aca="false">IF(C658&lt;(E658+F658),0,C658-E658-F658)</f>
        <v>24.6844449740895</v>
      </c>
      <c r="N658" s="2" t="n">
        <f aca="false">IF(C658&lt;(E658+F658),0,(C658-E658-F658)/(1-V$16/100))</f>
        <v>27.7353314315612</v>
      </c>
      <c r="O658" s="2" t="n">
        <f aca="false">L658+M658</f>
        <v>25.2348912101767</v>
      </c>
      <c r="P658" s="2" t="n">
        <f aca="false">IF( N658=0,I658*(1-G658/100)+J658*(1-H658/100),-N658)</f>
        <v>-27.7353314315612</v>
      </c>
      <c r="Q658" s="47" t="n">
        <f aca="false">IF(P657&gt;0,Q657+P657*(1-V$20/100),Q657+P657)</f>
        <v>1615.2825379374</v>
      </c>
      <c r="R658" s="48" t="n">
        <f aca="false">R$4+Q658/V$28</f>
        <v>59.1064006039698</v>
      </c>
    </row>
    <row r="659" customFormat="false" ht="12.8" hidden="false" customHeight="false" outlineLevel="0" collapsed="false">
      <c r="A659" s="1" t="n">
        <v>655</v>
      </c>
      <c r="B659" s="37" t="n">
        <v>44200</v>
      </c>
      <c r="C659" s="38" t="n">
        <f aca="false">V$26-V$26*SIN(2*PI()/365*A659)</f>
        <v>27.7688131171481</v>
      </c>
      <c r="D659" s="2" t="n">
        <f aca="false">IF((E659+F659)&gt;C659,C659,E659+F659)</f>
        <v>3.21607868738921</v>
      </c>
      <c r="E659" s="38" t="n">
        <f aca="false">(V$23+V$24*SIN(2*PI()/365*A659))*V$25/100*V$7*V$8/100</f>
        <v>2.65402239102158</v>
      </c>
      <c r="F659" s="38" t="n">
        <f aca="false">(V$23+V$24*SIN(2*PI()/365*A659))*V$25/100*V$9*(1-V$14/100)*(1-V$16/100)</f>
        <v>0.562056296367632</v>
      </c>
      <c r="G659" s="38" t="n">
        <f aca="false">IF(C659&gt;E659,100,C659/E659*100)</f>
        <v>100</v>
      </c>
      <c r="H659" s="38" t="n">
        <f aca="false">L659/F659*100</f>
        <v>100</v>
      </c>
      <c r="I659" s="38" t="n">
        <f aca="false">(V$23+V$24*SIN(2*PI()/365*A659))*V$25/100*V$7*V$8/100*(1-V$15/100)</f>
        <v>2.3620799280092</v>
      </c>
      <c r="J659" s="38" t="n">
        <f aca="false">(V$23+V$24*SIN(2*PI()/365*A659))*V$25/100*V$9*(1-V$14/100)</f>
        <v>0.631523928502957</v>
      </c>
      <c r="K659" s="39" t="n">
        <f aca="false">IF(E659/C659*100&lt;100,E659/C659*100,100)</f>
        <v>9.55756509946993</v>
      </c>
      <c r="L659" s="2" t="n">
        <f aca="false">IF(((C659-E659)&gt;0)AND(F659&gt;(C659-E659)),(C659-E659),IF(C659&lt;E659,0,F659))</f>
        <v>0.562056296367632</v>
      </c>
      <c r="M659" s="2" t="n">
        <f aca="false">IF(C659&lt;(E659+F659),0,C659-E659-F659)</f>
        <v>24.5527344297589</v>
      </c>
      <c r="N659" s="2" t="n">
        <f aca="false">IF(C659&lt;(E659+F659),0,(C659-E659-F659)/(1-V$16/100))</f>
        <v>27.5873420559089</v>
      </c>
      <c r="O659" s="2" t="n">
        <f aca="false">L659+M659</f>
        <v>25.1147907261265</v>
      </c>
      <c r="P659" s="2" t="n">
        <f aca="false">IF( N659=0,I659*(1-G659/100)+J659*(1-H659/100),-N659)</f>
        <v>-27.5873420559089</v>
      </c>
      <c r="Q659" s="47" t="n">
        <f aca="false">IF(P658&gt;0,Q658+P658*(1-V$20/100),Q658+P658)</f>
        <v>1587.54720650584</v>
      </c>
      <c r="R659" s="48" t="n">
        <f aca="false">R$4+Q659/V$28</f>
        <v>58.7783327020584</v>
      </c>
    </row>
    <row r="660" customFormat="false" ht="12.8" hidden="false" customHeight="false" outlineLevel="0" collapsed="false">
      <c r="A660" s="1" t="n">
        <v>656</v>
      </c>
      <c r="B660" s="37" t="n">
        <v>44201</v>
      </c>
      <c r="C660" s="38" t="n">
        <f aca="false">V$26-V$26*SIN(2*PI()/365*A660)</f>
        <v>27.6995024804664</v>
      </c>
      <c r="D660" s="2" t="n">
        <f aca="false">IF((E660+F660)&gt;C660,C660,E660+F660)</f>
        <v>3.28661533526346</v>
      </c>
      <c r="E660" s="38" t="n">
        <f aca="false">(V$23+V$24*SIN(2*PI()/365*A660))*V$25/100*V$7*V$8/100</f>
        <v>2.71223173881519</v>
      </c>
      <c r="F660" s="38" t="n">
        <f aca="false">(V$23+V$24*SIN(2*PI()/365*A660))*V$25/100*V$9*(1-V$14/100)*(1-V$16/100)</f>
        <v>0.574383596448269</v>
      </c>
      <c r="G660" s="38" t="n">
        <f aca="false">IF(C660&gt;E660,100,C660/E660*100)</f>
        <v>100</v>
      </c>
      <c r="H660" s="38" t="n">
        <f aca="false">L660/F660*100</f>
        <v>100</v>
      </c>
      <c r="I660" s="38" t="n">
        <f aca="false">(V$23+V$24*SIN(2*PI()/365*A660))*V$25/100*V$7*V$8/100*(1-V$15/100)</f>
        <v>2.41388624754552</v>
      </c>
      <c r="J660" s="38" t="n">
        <f aca="false">(V$23+V$24*SIN(2*PI()/365*A660))*V$25/100*V$9*(1-V$14/100)</f>
        <v>0.645374827469965</v>
      </c>
      <c r="K660" s="39" t="n">
        <f aca="false">IF(E660/C660*100&lt;100,E660/C660*100,100)</f>
        <v>9.7916261879716</v>
      </c>
      <c r="L660" s="2" t="n">
        <f aca="false">IF(((C660-E660)&gt;0)AND(F660&gt;(C660-E660)),(C660-E660),IF(C660&lt;E660,0,F660))</f>
        <v>0.574383596448269</v>
      </c>
      <c r="M660" s="2" t="n">
        <f aca="false">IF(C660&lt;(E660+F660),0,C660-E660-F660)</f>
        <v>24.4128871452029</v>
      </c>
      <c r="N660" s="2" t="n">
        <f aca="false">IF(C660&lt;(E660+F660),0,(C660-E660-F660)/(1-V$16/100))</f>
        <v>27.4302102755089</v>
      </c>
      <c r="O660" s="2" t="n">
        <f aca="false">L660+M660</f>
        <v>24.9872707416512</v>
      </c>
      <c r="P660" s="2" t="n">
        <f aca="false">IF( N660=0,I660*(1-G660/100)+J660*(1-H660/100),-N660)</f>
        <v>-27.4302102755089</v>
      </c>
      <c r="Q660" s="47" t="n">
        <f aca="false">IF(P659&gt;0,Q659+P659*(1-V$20/100),Q659+P659)</f>
        <v>1559.95986444993</v>
      </c>
      <c r="R660" s="48" t="n">
        <f aca="false">R$4+Q660/V$28</f>
        <v>58.4520152953266</v>
      </c>
    </row>
    <row r="661" customFormat="false" ht="12.8" hidden="false" customHeight="false" outlineLevel="0" collapsed="false">
      <c r="A661" s="1" t="n">
        <v>657</v>
      </c>
      <c r="B661" s="37" t="n">
        <v>44202</v>
      </c>
      <c r="C661" s="38" t="n">
        <f aca="false">V$26-V$26*SIN(2*PI()/365*A661)</f>
        <v>27.6261796784389</v>
      </c>
      <c r="D661" s="2" t="n">
        <f aca="false">IF((E661+F661)&gt;C661,C661,E661+F661)</f>
        <v>3.36123511824881</v>
      </c>
      <c r="E661" s="38" t="n">
        <f aca="false">(V$23+V$24*SIN(2*PI()/365*A661))*V$25/100*V$7*V$8/100</f>
        <v>2.77381063476473</v>
      </c>
      <c r="F661" s="38" t="n">
        <f aca="false">(V$23+V$24*SIN(2*PI()/365*A661))*V$25/100*V$9*(1-V$14/100)*(1-V$16/100)</f>
        <v>0.587424483484074</v>
      </c>
      <c r="G661" s="38" t="n">
        <f aca="false">IF(C661&gt;E661,100,C661/E661*100)</f>
        <v>100</v>
      </c>
      <c r="H661" s="38" t="n">
        <f aca="false">L661/F661*100</f>
        <v>100</v>
      </c>
      <c r="I661" s="38" t="n">
        <f aca="false">(V$23+V$24*SIN(2*PI()/365*A661))*V$25/100*V$7*V$8/100*(1-V$15/100)</f>
        <v>2.46869146494061</v>
      </c>
      <c r="J661" s="38" t="n">
        <f aca="false">(V$23+V$24*SIN(2*PI()/365*A661))*V$25/100*V$9*(1-V$14/100)</f>
        <v>0.660027509532667</v>
      </c>
      <c r="K661" s="39" t="n">
        <f aca="false">IF(E661/C661*100&lt;100,E661/C661*100,100)</f>
        <v>10.0405147112309</v>
      </c>
      <c r="L661" s="2" t="n">
        <f aca="false">IF(((C661-E661)&gt;0)AND(F661&gt;(C661-E661)),(C661-E661),IF(C661&lt;E661,0,F661))</f>
        <v>0.587424483484074</v>
      </c>
      <c r="M661" s="2" t="n">
        <f aca="false">IF(C661&lt;(E661+F661),0,C661-E661-F661)</f>
        <v>24.2649445601901</v>
      </c>
      <c r="N661" s="2" t="n">
        <f aca="false">IF(C661&lt;(E661+F661),0,(C661-E661-F661)/(1-V$16/100))</f>
        <v>27.263982651899</v>
      </c>
      <c r="O661" s="2" t="n">
        <f aca="false">L661+M661</f>
        <v>24.8523690436741</v>
      </c>
      <c r="P661" s="2" t="n">
        <f aca="false">IF( N661=0,I661*(1-G661/100)+J661*(1-H661/100),-N661)</f>
        <v>-27.263982651899</v>
      </c>
      <c r="Q661" s="47" t="n">
        <f aca="false">IF(P660&gt;0,Q660+P660*(1-V$20/100),Q660+P660)</f>
        <v>1532.52965417442</v>
      </c>
      <c r="R661" s="48" t="n">
        <f aca="false">R$4+Q661/V$28</f>
        <v>58.1275565248849</v>
      </c>
    </row>
    <row r="662" customFormat="false" ht="12.8" hidden="false" customHeight="false" outlineLevel="0" collapsed="false">
      <c r="A662" s="1" t="n">
        <v>658</v>
      </c>
      <c r="B662" s="37" t="n">
        <v>44203</v>
      </c>
      <c r="C662" s="38" t="n">
        <f aca="false">V$26-V$26*SIN(2*PI()/365*A662)</f>
        <v>27.5488664381943</v>
      </c>
      <c r="D662" s="2" t="n">
        <f aca="false">IF((E662+F662)&gt;C662,C662,E662+F662)</f>
        <v>3.43991592489312</v>
      </c>
      <c r="E662" s="38" t="n">
        <f aca="false">(V$23+V$24*SIN(2*PI()/365*A662))*V$25/100*V$7*V$8/100</f>
        <v>2.83874083171435</v>
      </c>
      <c r="F662" s="38" t="n">
        <f aca="false">(V$23+V$24*SIN(2*PI()/365*A662))*V$25/100*V$9*(1-V$14/100)*(1-V$16/100)</f>
        <v>0.601175093178769</v>
      </c>
      <c r="G662" s="38" t="n">
        <f aca="false">IF(C662&gt;E662,100,C662/E662*100)</f>
        <v>100</v>
      </c>
      <c r="H662" s="38" t="n">
        <f aca="false">L662/F662*100</f>
        <v>100</v>
      </c>
      <c r="I662" s="38" t="n">
        <f aca="false">(V$23+V$24*SIN(2*PI()/365*A662))*V$25/100*V$7*V$8/100*(1-V$15/100)</f>
        <v>2.52647934022577</v>
      </c>
      <c r="J662" s="38" t="n">
        <f aca="false">(V$23+V$24*SIN(2*PI()/365*A662))*V$25/100*V$9*(1-V$14/100)</f>
        <v>0.675477632785134</v>
      </c>
      <c r="K662" s="39" t="n">
        <f aca="false">IF(E662/C662*100&lt;100,E662/C662*100,100)</f>
        <v>10.304383441994</v>
      </c>
      <c r="L662" s="2" t="n">
        <f aca="false">IF(((C662-E662)&gt;0)AND(F662&gt;(C662-E662)),(C662-E662),IF(C662&lt;E662,0,F662))</f>
        <v>0.601175093178769</v>
      </c>
      <c r="M662" s="2" t="n">
        <f aca="false">IF(C662&lt;(E662+F662),0,C662-E662-F662)</f>
        <v>24.1089505133012</v>
      </c>
      <c r="N662" s="2" t="n">
        <f aca="false">IF(C662&lt;(E662+F662),0,(C662-E662-F662)/(1-V$16/100))</f>
        <v>27.0887084419114</v>
      </c>
      <c r="O662" s="2" t="n">
        <f aca="false">L662+M662</f>
        <v>24.7101256064799</v>
      </c>
      <c r="P662" s="2" t="n">
        <f aca="false">IF( N662=0,I662*(1-G662/100)+J662*(1-H662/100),-N662)</f>
        <v>-27.0887084419114</v>
      </c>
      <c r="Q662" s="47" t="n">
        <f aca="false">IF(P661&gt;0,Q661+P661*(1-V$20/100),Q661+P661)</f>
        <v>1505.26567152252</v>
      </c>
      <c r="R662" s="48" t="n">
        <f aca="false">R$4+Q662/V$28</f>
        <v>57.8050639810901</v>
      </c>
    </row>
    <row r="663" customFormat="false" ht="12.8" hidden="false" customHeight="false" outlineLevel="0" collapsed="false">
      <c r="A663" s="1" t="n">
        <v>659</v>
      </c>
      <c r="B663" s="37" t="n">
        <v>44204</v>
      </c>
      <c r="C663" s="38" t="n">
        <f aca="false">V$26-V$26*SIN(2*PI()/365*A663)</f>
        <v>27.4675856693143</v>
      </c>
      <c r="D663" s="2" t="n">
        <f aca="false">IF((E663+F663)&gt;C663,C663,E663+F663)</f>
        <v>3.52263444037531</v>
      </c>
      <c r="E663" s="38" t="n">
        <f aca="false">(V$23+V$24*SIN(2*PI()/365*A663))*V$25/100*V$7*V$8/100</f>
        <v>2.90700308944537</v>
      </c>
      <c r="F663" s="38" t="n">
        <f aca="false">(V$23+V$24*SIN(2*PI()/365*A663))*V$25/100*V$9*(1-V$14/100)*(1-V$16/100)</f>
        <v>0.615631350929943</v>
      </c>
      <c r="G663" s="38" t="n">
        <f aca="false">IF(C663&gt;E663,100,C663/E663*100)</f>
        <v>100</v>
      </c>
      <c r="H663" s="38" t="n">
        <f aca="false">L663/F663*100</f>
        <v>100</v>
      </c>
      <c r="I663" s="38" t="n">
        <f aca="false">(V$23+V$24*SIN(2*PI()/365*A663))*V$25/100*V$7*V$8/100*(1-V$15/100)</f>
        <v>2.58723274960638</v>
      </c>
      <c r="J663" s="38" t="n">
        <f aca="false">(V$23+V$24*SIN(2*PI()/365*A663))*V$25/100*V$9*(1-V$14/100)</f>
        <v>0.691720619022407</v>
      </c>
      <c r="K663" s="39" t="n">
        <f aca="false">IF(E663/C663*100&lt;100,E663/C663*100,100)</f>
        <v>10.5833950039991</v>
      </c>
      <c r="L663" s="2" t="n">
        <f aca="false">IF(((C663-E663)&gt;0)AND(F663&gt;(C663-E663)),(C663-E663),IF(C663&lt;E663,0,F663))</f>
        <v>0.615631350929943</v>
      </c>
      <c r="M663" s="2" t="n">
        <f aca="false">IF(C663&lt;(E663+F663),0,C663-E663-F663)</f>
        <v>23.9449512289389</v>
      </c>
      <c r="N663" s="2" t="n">
        <f aca="false">IF(C663&lt;(E663+F663),0,(C663-E663-F663)/(1-V$16/100))</f>
        <v>26.9044395830775</v>
      </c>
      <c r="O663" s="2" t="n">
        <f aca="false">L663+M663</f>
        <v>24.5605825798689</v>
      </c>
      <c r="P663" s="2" t="n">
        <f aca="false">IF( N663=0,I663*(1-G663/100)+J663*(1-H663/100),-N663)</f>
        <v>-26.9044395830775</v>
      </c>
      <c r="Q663" s="47" t="n">
        <f aca="false">IF(P662&gt;0,Q662+P662*(1-V$20/100),Q662+P662)</f>
        <v>1478.17696308061</v>
      </c>
      <c r="R663" s="48" t="n">
        <f aca="false">R$4+Q663/V$28</f>
        <v>57.4846446716631</v>
      </c>
    </row>
    <row r="664" customFormat="false" ht="12.8" hidden="false" customHeight="false" outlineLevel="0" collapsed="false">
      <c r="A664" s="1" t="n">
        <v>660</v>
      </c>
      <c r="B664" s="37" t="n">
        <v>44205</v>
      </c>
      <c r="C664" s="38" t="n">
        <f aca="false">V$26-V$26*SIN(2*PI()/365*A664)</f>
        <v>27.3823614570448</v>
      </c>
      <c r="D664" s="2" t="n">
        <f aca="false">IF((E664+F664)&gt;C664,C664,E664+F664)</f>
        <v>3.60936615341406</v>
      </c>
      <c r="E664" s="38" t="n">
        <f aca="false">(V$23+V$24*SIN(2*PI()/365*A664))*V$25/100*V$7*V$8/100</f>
        <v>2.97857718037763</v>
      </c>
      <c r="F664" s="38" t="n">
        <f aca="false">(V$23+V$24*SIN(2*PI()/365*A664))*V$25/100*V$9*(1-V$14/100)*(1-V$16/100)</f>
        <v>0.63078897303643</v>
      </c>
      <c r="G664" s="38" t="n">
        <f aca="false">IF(C664&gt;E664,100,C664/E664*100)</f>
        <v>100</v>
      </c>
      <c r="H664" s="38" t="n">
        <f aca="false">L664/F664*100</f>
        <v>100</v>
      </c>
      <c r="I664" s="38" t="n">
        <f aca="false">(V$23+V$24*SIN(2*PI()/365*A664))*V$25/100*V$7*V$8/100*(1-V$15/100)</f>
        <v>2.65093369053609</v>
      </c>
      <c r="J664" s="38" t="n">
        <f aca="false">(V$23+V$24*SIN(2*PI()/365*A664))*V$25/100*V$9*(1-V$14/100)</f>
        <v>0.708751655097113</v>
      </c>
      <c r="K664" s="39" t="n">
        <f aca="false">IF(E664/C664*100&lt;100,E664/C664*100,100)</f>
        <v>10.8777220878125</v>
      </c>
      <c r="L664" s="2" t="n">
        <f aca="false">IF(((C664-E664)&gt;0)AND(F664&gt;(C664-E664)),(C664-E664),IF(C664&lt;E664,0,F664))</f>
        <v>0.63078897303643</v>
      </c>
      <c r="M664" s="2" t="n">
        <f aca="false">IF(C664&lt;(E664+F664),0,C664-E664-F664)</f>
        <v>23.7729953036307</v>
      </c>
      <c r="N664" s="2" t="n">
        <f aca="false">IF(C664&lt;(E664+F664),0,(C664-E664-F664)/(1-V$16/100))</f>
        <v>26.7112306782367</v>
      </c>
      <c r="O664" s="2" t="n">
        <f aca="false">L664+M664</f>
        <v>24.4037842766671</v>
      </c>
      <c r="P664" s="2" t="n">
        <f aca="false">IF( N664=0,I664*(1-G664/100)+J664*(1-H664/100),-N664)</f>
        <v>-26.7112306782367</v>
      </c>
      <c r="Q664" s="47" t="n">
        <f aca="false">IF(P663&gt;0,Q663+P663*(1-V$20/100),Q663+P663)</f>
        <v>1451.27252349753</v>
      </c>
      <c r="R664" s="48" t="n">
        <f aca="false">R$4+Q664/V$28</f>
        <v>57.1664049899812</v>
      </c>
    </row>
    <row r="665" customFormat="false" ht="12.8" hidden="false" customHeight="false" outlineLevel="0" collapsed="false">
      <c r="A665" s="1" t="n">
        <v>661</v>
      </c>
      <c r="B665" s="37" t="n">
        <v>44206</v>
      </c>
      <c r="C665" s="38" t="n">
        <f aca="false">V$26-V$26*SIN(2*PI()/365*A665)</f>
        <v>27.2932190551592</v>
      </c>
      <c r="D665" s="2" t="n">
        <f aca="false">IF((E665+F665)&gt;C665,C665,E665+F665)</f>
        <v>3.70008536353093</v>
      </c>
      <c r="E665" s="38" t="n">
        <f aca="false">(V$23+V$24*SIN(2*PI()/365*A665))*V$25/100*V$7*V$8/100</f>
        <v>3.05344189556326</v>
      </c>
      <c r="F665" s="38" t="n">
        <f aca="false">(V$23+V$24*SIN(2*PI()/365*A665))*V$25/100*V$9*(1-V$14/100)*(1-V$16/100)</f>
        <v>0.646643467967672</v>
      </c>
      <c r="G665" s="38" t="n">
        <f aca="false">IF(C665&gt;E665,100,C665/E665*100)</f>
        <v>100</v>
      </c>
      <c r="H665" s="38" t="n">
        <f aca="false">L665/F665*100</f>
        <v>100</v>
      </c>
      <c r="I665" s="38" t="n">
        <f aca="false">(V$23+V$24*SIN(2*PI()/365*A665))*V$25/100*V$7*V$8/100*(1-V$15/100)</f>
        <v>2.7175632870513</v>
      </c>
      <c r="J665" s="38" t="n">
        <f aca="false">(V$23+V$24*SIN(2*PI()/365*A665))*V$25/100*V$9*(1-V$14/100)</f>
        <v>0.726565694345699</v>
      </c>
      <c r="K665" s="39" t="n">
        <f aca="false">IF(E665/C665*100&lt;100,E665/C665*100,100)</f>
        <v>11.1875476813207</v>
      </c>
      <c r="L665" s="2" t="n">
        <f aca="false">IF(((C665-E665)&gt;0)AND(F665&gt;(C665-E665)),(C665-E665),IF(C665&lt;E665,0,F665))</f>
        <v>0.646643467967672</v>
      </c>
      <c r="M665" s="2" t="n">
        <f aca="false">IF(C665&lt;(E665+F665),0,C665-E665-F665)</f>
        <v>23.5931336916283</v>
      </c>
      <c r="N665" s="2" t="n">
        <f aca="false">IF(C665&lt;(E665+F665),0,(C665-E665-F665)/(1-V$16/100))</f>
        <v>26.5091389793576</v>
      </c>
      <c r="O665" s="2" t="n">
        <f aca="false">L665+M665</f>
        <v>24.239777159596</v>
      </c>
      <c r="P665" s="2" t="n">
        <f aca="false">IF( N665=0,I665*(1-G665/100)+J665*(1-H665/100),-N665)</f>
        <v>-26.5091389793576</v>
      </c>
      <c r="Q665" s="47" t="n">
        <f aca="false">IF(P664&gt;0,Q664+P664*(1-V$20/100),Q664+P664)</f>
        <v>1424.5612928193</v>
      </c>
      <c r="R665" s="48" t="n">
        <f aca="false">R$4+Q665/V$28</f>
        <v>56.8504506835506</v>
      </c>
    </row>
    <row r="666" customFormat="false" ht="12.8" hidden="false" customHeight="false" outlineLevel="0" collapsed="false">
      <c r="A666" s="1" t="n">
        <v>662</v>
      </c>
      <c r="B666" s="37" t="n">
        <v>44207</v>
      </c>
      <c r="C666" s="38" t="n">
        <f aca="false">V$26-V$26*SIN(2*PI()/365*A666)</f>
        <v>27.2001848784752</v>
      </c>
      <c r="D666" s="2" t="n">
        <f aca="false">IF((E666+F666)&gt;C666,C666,E666+F666)</f>
        <v>3.79476518866611</v>
      </c>
      <c r="E666" s="38" t="n">
        <f aca="false">(V$23+V$24*SIN(2*PI()/365*A666))*V$25/100*V$7*V$8/100</f>
        <v>3.13157505097145</v>
      </c>
      <c r="F666" s="38" t="n">
        <f aca="false">(V$23+V$24*SIN(2*PI()/365*A666))*V$25/100*V$9*(1-V$14/100)*(1-V$16/100)</f>
        <v>0.663190137694654</v>
      </c>
      <c r="G666" s="38" t="n">
        <f aca="false">IF(C666&gt;E666,100,C666/E666*100)</f>
        <v>100</v>
      </c>
      <c r="H666" s="38" t="n">
        <f aca="false">L666/F666*100</f>
        <v>100</v>
      </c>
      <c r="I666" s="38" t="n">
        <f aca="false">(V$23+V$24*SIN(2*PI()/365*A666))*V$25/100*V$7*V$8/100*(1-V$15/100)</f>
        <v>2.78710179536459</v>
      </c>
      <c r="J666" s="38" t="n">
        <f aca="false">(V$23+V$24*SIN(2*PI()/365*A666))*V$25/100*V$9*(1-V$14/100)</f>
        <v>0.745157458083881</v>
      </c>
      <c r="K666" s="39" t="n">
        <f aca="false">IF(E666/C666*100&lt;100,E666/C666*100,100)</f>
        <v>11.5130653154112</v>
      </c>
      <c r="L666" s="2" t="n">
        <f aca="false">IF(((C666-E666)&gt;0)AND(F666&gt;(C666-E666)),(C666-E666),IF(C666&lt;E666,0,F666))</f>
        <v>0.663190137694654</v>
      </c>
      <c r="M666" s="2" t="n">
        <f aca="false">IF(C666&lt;(E666+F666),0,C666-E666-F666)</f>
        <v>23.4054196898091</v>
      </c>
      <c r="N666" s="2" t="n">
        <f aca="false">IF(C666&lt;(E666+F666),0,(C666-E666-F666)/(1-V$16/100))</f>
        <v>26.298224370572</v>
      </c>
      <c r="O666" s="2" t="n">
        <f aca="false">L666+M666</f>
        <v>24.0686098275037</v>
      </c>
      <c r="P666" s="2" t="n">
        <f aca="false">IF( N666=0,I666*(1-G666/100)+J666*(1-H666/100),-N666)</f>
        <v>-26.298224370572</v>
      </c>
      <c r="Q666" s="47" t="n">
        <f aca="false">IF(P665&gt;0,Q665+P665*(1-V$20/100),Q665+P665)</f>
        <v>1398.05215383994</v>
      </c>
      <c r="R666" s="48" t="n">
        <f aca="false">R$4+Q666/V$28</f>
        <v>56.5368868226717</v>
      </c>
    </row>
    <row r="667" customFormat="false" ht="12.8" hidden="false" customHeight="false" outlineLevel="0" collapsed="false">
      <c r="A667" s="1" t="n">
        <v>663</v>
      </c>
      <c r="B667" s="37" t="n">
        <v>44208</v>
      </c>
      <c r="C667" s="38" t="n">
        <f aca="false">V$26-V$26*SIN(2*PI()/365*A667)</f>
        <v>27.103286495027</v>
      </c>
      <c r="D667" s="2" t="n">
        <f aca="false">IF((E667+F667)&gt;C667,C667,E667+F667)</f>
        <v>3.89337757314404</v>
      </c>
      <c r="E667" s="38" t="n">
        <f aca="false">(V$23+V$24*SIN(2*PI()/365*A667))*V$25/100*V$7*V$8/100</f>
        <v>3.21295349406201</v>
      </c>
      <c r="F667" s="38" t="n">
        <f aca="false">(V$23+V$24*SIN(2*PI()/365*A667))*V$25/100*V$9*(1-V$14/100)*(1-V$16/100)</f>
        <v>0.680424079082028</v>
      </c>
      <c r="G667" s="38" t="n">
        <f aca="false">IF(C667&gt;E667,100,C667/E667*100)</f>
        <v>100</v>
      </c>
      <c r="H667" s="38" t="n">
        <f aca="false">L667/F667*100</f>
        <v>100</v>
      </c>
      <c r="I667" s="38" t="n">
        <f aca="false">(V$23+V$24*SIN(2*PI()/365*A667))*V$25/100*V$7*V$8/100*(1-V$15/100)</f>
        <v>2.85952860971519</v>
      </c>
      <c r="J667" s="38" t="n">
        <f aca="false">(V$23+V$24*SIN(2*PI()/365*A667))*V$25/100*V$9*(1-V$14/100)</f>
        <v>0.764521437170818</v>
      </c>
      <c r="K667" s="39" t="n">
        <f aca="false">IF(E667/C667*100&lt;100,E667/C667*100,100)</f>
        <v>11.8544793254189</v>
      </c>
      <c r="L667" s="2" t="n">
        <f aca="false">IF(((C667-E667)&gt;0)AND(F667&gt;(C667-E667)),(C667-E667),IF(C667&lt;E667,0,F667))</f>
        <v>0.680424079082028</v>
      </c>
      <c r="M667" s="2" t="n">
        <f aca="false">IF(C667&lt;(E667+F667),0,C667-E667-F667)</f>
        <v>23.2099089218829</v>
      </c>
      <c r="N667" s="2" t="n">
        <f aca="false">IF(C667&lt;(E667+F667),0,(C667-E667-F667)/(1-V$16/100))</f>
        <v>26.0785493504302</v>
      </c>
      <c r="O667" s="2" t="n">
        <f aca="false">L667+M667</f>
        <v>23.8903330009649</v>
      </c>
      <c r="P667" s="2" t="n">
        <f aca="false">IF( N667=0,I667*(1-G667/100)+J667*(1-H667/100),-N667)</f>
        <v>-26.0785493504302</v>
      </c>
      <c r="Q667" s="47" t="n">
        <f aca="false">IF(P666&gt;0,Q666+P666*(1-V$20/100),Q666+P666)</f>
        <v>1371.75392946937</v>
      </c>
      <c r="R667" s="48" t="n">
        <f aca="false">R$4+Q667/V$28</f>
        <v>56.2258177693042</v>
      </c>
    </row>
    <row r="668" customFormat="false" ht="12.8" hidden="false" customHeight="false" outlineLevel="0" collapsed="false">
      <c r="A668" s="1" t="n">
        <v>664</v>
      </c>
      <c r="B668" s="37" t="n">
        <v>44209</v>
      </c>
      <c r="C668" s="38" t="n">
        <f aca="false">V$26-V$26*SIN(2*PI()/365*A668)</f>
        <v>27.0025526178969</v>
      </c>
      <c r="D668" s="2" t="n">
        <f aca="false">IF((E668+F668)&gt;C668,C668,E668+F668)</f>
        <v>3.99589329598699</v>
      </c>
      <c r="E668" s="38" t="n">
        <f aca="false">(V$23+V$24*SIN(2*PI()/365*A668))*V$25/100*V$7*V$8/100</f>
        <v>3.29755311064597</v>
      </c>
      <c r="F668" s="38" t="n">
        <f aca="false">(V$23+V$24*SIN(2*PI()/365*A668))*V$25/100*V$9*(1-V$14/100)*(1-V$16/100)</f>
        <v>0.698340185341024</v>
      </c>
      <c r="G668" s="38" t="n">
        <f aca="false">IF(C668&gt;E668,100,C668/E668*100)</f>
        <v>100</v>
      </c>
      <c r="H668" s="38" t="n">
        <f aca="false">L668/F668*100</f>
        <v>100</v>
      </c>
      <c r="I668" s="38" t="n">
        <f aca="false">(V$23+V$24*SIN(2*PI()/365*A668))*V$25/100*V$7*V$8/100*(1-V$15/100)</f>
        <v>2.93482226847491</v>
      </c>
      <c r="J668" s="38" t="n">
        <f aca="false">(V$23+V$24*SIN(2*PI()/365*A668))*V$25/100*V$9*(1-V$14/100)</f>
        <v>0.784651893641601</v>
      </c>
      <c r="K668" s="39" t="n">
        <f aca="false">IF(E668/C668*100&lt;100,E668/C668*100,100)</f>
        <v>12.2120051289536</v>
      </c>
      <c r="L668" s="2" t="n">
        <f aca="false">IF(((C668-E668)&gt;0)AND(F668&gt;(C668-E668)),(C668-E668),IF(C668&lt;E668,0,F668))</f>
        <v>0.698340185341024</v>
      </c>
      <c r="M668" s="2" t="n">
        <f aca="false">IF(C668&lt;(E668+F668),0,C668-E668-F668)</f>
        <v>23.0066593219099</v>
      </c>
      <c r="N668" s="2" t="n">
        <f aca="false">IF(C668&lt;(E668+F668),0,(C668-E668-F668)/(1-V$16/100))</f>
        <v>25.8501790133819</v>
      </c>
      <c r="O668" s="2" t="n">
        <f aca="false">L668+M668</f>
        <v>23.7049995072509</v>
      </c>
      <c r="P668" s="2" t="n">
        <f aca="false">IF( N668=0,I668*(1-G668/100)+J668*(1-H668/100),-N668)</f>
        <v>-25.8501790133819</v>
      </c>
      <c r="Q668" s="47" t="n">
        <f aca="false">IF(P667&gt;0,Q667+P667*(1-V$20/100),Q667+P667)</f>
        <v>1345.67538011894</v>
      </c>
      <c r="R668" s="48" t="n">
        <f aca="false">R$4+Q668/V$28</f>
        <v>55.9173471461425</v>
      </c>
    </row>
    <row r="669" customFormat="false" ht="12.8" hidden="false" customHeight="false" outlineLevel="0" collapsed="false">
      <c r="A669" s="1" t="n">
        <v>665</v>
      </c>
      <c r="B669" s="37" t="n">
        <v>44210</v>
      </c>
      <c r="C669" s="38" t="n">
        <f aca="false">V$26-V$26*SIN(2*PI()/365*A669)</f>
        <v>26.8980130967067</v>
      </c>
      <c r="D669" s="2" t="n">
        <f aca="false">IF((E669+F669)&gt;C669,C669,E669+F669)</f>
        <v>4.10228197957379</v>
      </c>
      <c r="E669" s="38" t="n">
        <f aca="false">(V$23+V$24*SIN(2*PI()/365*A669))*V$25/100*V$7*V$8/100</f>
        <v>3.3853488320311</v>
      </c>
      <c r="F669" s="38" t="n">
        <f aca="false">(V$23+V$24*SIN(2*PI()/365*A669))*V$25/100*V$9*(1-V$14/100)*(1-V$16/100)</f>
        <v>0.716933147542694</v>
      </c>
      <c r="G669" s="38" t="n">
        <f aca="false">IF(C669&gt;E669,100,C669/E669*100)</f>
        <v>100</v>
      </c>
      <c r="H669" s="38" t="n">
        <f aca="false">L669/F669*100</f>
        <v>100</v>
      </c>
      <c r="I669" s="38" t="n">
        <f aca="false">(V$23+V$24*SIN(2*PI()/365*A669))*V$25/100*V$7*V$8/100*(1-V$15/100)</f>
        <v>3.01296046050768</v>
      </c>
      <c r="J669" s="38" t="n">
        <f aca="false">(V$23+V$24*SIN(2*PI()/365*A669))*V$25/100*V$9*(1-V$14/100)</f>
        <v>0.805542862407522</v>
      </c>
      <c r="K669" s="39" t="n">
        <f aca="false">IF(E669/C669*100&lt;100,E669/C669*100,100)</f>
        <v>12.5858695207699</v>
      </c>
      <c r="L669" s="2" t="n">
        <f aca="false">IF(((C669-E669)&gt;0)AND(F669&gt;(C669-E669)),(C669-E669),IF(C669&lt;E669,0,F669))</f>
        <v>0.716933147542694</v>
      </c>
      <c r="M669" s="2" t="n">
        <f aca="false">IF(C669&lt;(E669+F669),0,C669-E669-F669)</f>
        <v>22.7957311171329</v>
      </c>
      <c r="N669" s="2" t="n">
        <f aca="false">IF(C669&lt;(E669+F669),0,(C669-E669-F669)/(1-V$16/100))</f>
        <v>25.6131810304864</v>
      </c>
      <c r="O669" s="2" t="n">
        <f aca="false">L669+M669</f>
        <v>23.5126642646756</v>
      </c>
      <c r="P669" s="2" t="n">
        <f aca="false">IF( N669=0,I669*(1-G669/100)+J669*(1-H669/100),-N669)</f>
        <v>-25.6131810304864</v>
      </c>
      <c r="Q669" s="47" t="n">
        <f aca="false">IF(P668&gt;0,Q668+P668*(1-V$20/100),Q668+P668)</f>
        <v>1319.82520110556</v>
      </c>
      <c r="R669" s="48" t="n">
        <f aca="false">R$4+Q669/V$28</f>
        <v>55.6115778059102</v>
      </c>
    </row>
    <row r="670" customFormat="false" ht="12.8" hidden="false" customHeight="false" outlineLevel="0" collapsed="false">
      <c r="A670" s="1" t="n">
        <v>666</v>
      </c>
      <c r="B670" s="37" t="n">
        <v>44211</v>
      </c>
      <c r="C670" s="38" t="n">
        <f aca="false">V$26-V$26*SIN(2*PI()/365*A670)</f>
        <v>26.7896989087727</v>
      </c>
      <c r="D670" s="2" t="n">
        <f aca="false">IF((E670+F670)&gt;C670,C670,E670+F670)</f>
        <v>4.21251209864144</v>
      </c>
      <c r="E670" s="38" t="n">
        <f aca="false">(V$23+V$24*SIN(2*PI()/365*A670))*V$25/100*V$7*V$8/100</f>
        <v>3.47631464245037</v>
      </c>
      <c r="F670" s="38" t="n">
        <f aca="false">(V$23+V$24*SIN(2*PI()/365*A670))*V$25/100*V$9*(1-V$14/100)*(1-V$16/100)</f>
        <v>0.73619745619107</v>
      </c>
      <c r="G670" s="38" t="n">
        <f aca="false">IF(C670&gt;E670,100,C670/E670*100)</f>
        <v>100</v>
      </c>
      <c r="H670" s="38" t="n">
        <f aca="false">L670/F670*100</f>
        <v>100</v>
      </c>
      <c r="I670" s="38" t="n">
        <f aca="false">(V$23+V$24*SIN(2*PI()/365*A670))*V$25/100*V$7*V$8/100*(1-V$15/100)</f>
        <v>3.09392003178083</v>
      </c>
      <c r="J670" s="38" t="n">
        <f aca="false">(V$23+V$24*SIN(2*PI()/365*A670))*V$25/100*V$9*(1-V$14/100)</f>
        <v>0.827188153023674</v>
      </c>
      <c r="K670" s="39" t="n">
        <f aca="false">IF(E670/C670*100&lt;100,E670/C670*100,100)</f>
        <v>12.976310985384</v>
      </c>
      <c r="L670" s="2" t="n">
        <f aca="false">IF(((C670-E670)&gt;0)AND(F670&gt;(C670-E670)),(C670-E670),IF(C670&lt;E670,0,F670))</f>
        <v>0.73619745619107</v>
      </c>
      <c r="M670" s="2" t="n">
        <f aca="false">IF(C670&lt;(E670+F670),0,C670-E670-F670)</f>
        <v>22.5771868101313</v>
      </c>
      <c r="N670" s="2" t="n">
        <f aca="false">IF(C670&lt;(E670+F670),0,(C670-E670-F670)/(1-V$16/100))</f>
        <v>25.367625629361</v>
      </c>
      <c r="O670" s="2" t="n">
        <f aca="false">L670+M670</f>
        <v>23.3133842663224</v>
      </c>
      <c r="P670" s="2" t="n">
        <f aca="false">IF( N670=0,I670*(1-G670/100)+J670*(1-H670/100),-N670)</f>
        <v>-25.367625629361</v>
      </c>
      <c r="Q670" s="47" t="n">
        <f aca="false">IF(P669&gt;0,Q669+P669*(1-V$20/100),Q669+P669)</f>
        <v>1294.21202007507</v>
      </c>
      <c r="R670" s="48" t="n">
        <f aca="false">R$4+Q670/V$28</f>
        <v>55.3086118008821</v>
      </c>
    </row>
    <row r="671" customFormat="false" ht="12.8" hidden="false" customHeight="false" outlineLevel="0" collapsed="false">
      <c r="A671" s="1" t="n">
        <v>667</v>
      </c>
      <c r="B671" s="37" t="n">
        <v>44212</v>
      </c>
      <c r="C671" s="38" t="n">
        <f aca="false">V$26-V$26*SIN(2*PI()/365*A671)</f>
        <v>26.6776421499265</v>
      </c>
      <c r="D671" s="2" t="n">
        <f aca="false">IF((E671+F671)&gt;C671,C671,E671+F671)</f>
        <v>4.32655098962672</v>
      </c>
      <c r="E671" s="38" t="n">
        <f aca="false">(V$23+V$24*SIN(2*PI()/365*A671))*V$25/100*V$7*V$8/100</f>
        <v>3.57042358677098</v>
      </c>
      <c r="F671" s="38" t="n">
        <f aca="false">(V$23+V$24*SIN(2*PI()/365*A671))*V$25/100*V$9*(1-V$14/100)*(1-V$16/100)</f>
        <v>0.756127402855743</v>
      </c>
      <c r="G671" s="38" t="n">
        <f aca="false">IF(C671&gt;E671,100,C671/E671*100)</f>
        <v>100</v>
      </c>
      <c r="H671" s="38" t="n">
        <f aca="false">L671/F671*100</f>
        <v>100</v>
      </c>
      <c r="I671" s="38" t="n">
        <f aca="false">(V$23+V$24*SIN(2*PI()/365*A671))*V$25/100*V$7*V$8/100*(1-V$15/100)</f>
        <v>3.17767699222617</v>
      </c>
      <c r="J671" s="38" t="n">
        <f aca="false">(V$23+V$24*SIN(2*PI()/365*A671))*V$25/100*V$9*(1-V$14/100)</f>
        <v>0.849581351523307</v>
      </c>
      <c r="K671" s="39" t="n">
        <f aca="false">IF(E671/C671*100&lt;100,E671/C671*100,100)</f>
        <v>13.3835800281953</v>
      </c>
      <c r="L671" s="2" t="n">
        <f aca="false">IF(((C671-E671)&gt;0)AND(F671&gt;(C671-E671)),(C671-E671),IF(C671&lt;E671,0,F671))</f>
        <v>0.756127402855743</v>
      </c>
      <c r="M671" s="2" t="n">
        <f aca="false">IF(C671&lt;(E671+F671),0,C671-E671-F671)</f>
        <v>22.3510911602997</v>
      </c>
      <c r="N671" s="2" t="n">
        <f aca="false">IF(C671&lt;(E671+F671),0,(C671-E671-F671)/(1-V$16/100))</f>
        <v>25.1135855733705</v>
      </c>
      <c r="O671" s="2" t="n">
        <f aca="false">L671+M671</f>
        <v>23.1072185631555</v>
      </c>
      <c r="P671" s="2" t="n">
        <f aca="false">IF( N671=0,I671*(1-G671/100)+J671*(1-H671/100),-N671)</f>
        <v>-25.1135855733705</v>
      </c>
      <c r="Q671" s="47" t="n">
        <f aca="false">IF(P670&gt;0,Q670+P670*(1-V$20/100),Q670+P670)</f>
        <v>1268.84439444571</v>
      </c>
      <c r="R671" s="48" t="n">
        <f aca="false">R$4+Q671/V$28</f>
        <v>55.0085503526447</v>
      </c>
    </row>
    <row r="672" customFormat="false" ht="12.8" hidden="false" customHeight="false" outlineLevel="0" collapsed="false">
      <c r="A672" s="1" t="n">
        <v>668</v>
      </c>
      <c r="B672" s="37" t="n">
        <v>44213</v>
      </c>
      <c r="C672" s="38" t="n">
        <f aca="false">V$26-V$26*SIN(2*PI()/365*A672)</f>
        <v>26.5618760250039</v>
      </c>
      <c r="D672" s="2" t="n">
        <f aca="false">IF((E672+F672)&gt;C672,C672,E672+F672)</f>
        <v>4.44436486034505</v>
      </c>
      <c r="E672" s="38" t="n">
        <f aca="false">(V$23+V$24*SIN(2*PI()/365*A672))*V$25/100*V$7*V$8/100</f>
        <v>3.66764777848166</v>
      </c>
      <c r="F672" s="38" t="n">
        <f aca="false">(V$23+V$24*SIN(2*PI()/365*A672))*V$25/100*V$9*(1-V$14/100)*(1-V$16/100)</f>
        <v>0.776717081863389</v>
      </c>
      <c r="G672" s="38" t="n">
        <f aca="false">IF(C672&gt;E672,100,C672/E672*100)</f>
        <v>100</v>
      </c>
      <c r="H672" s="38" t="n">
        <f aca="false">L672/F672*100</f>
        <v>100</v>
      </c>
      <c r="I672" s="38" t="n">
        <f aca="false">(V$23+V$24*SIN(2*PI()/365*A672))*V$25/100*V$7*V$8/100*(1-V$15/100)</f>
        <v>3.26420652284867</v>
      </c>
      <c r="J672" s="38" t="n">
        <f aca="false">(V$23+V$24*SIN(2*PI()/365*A672))*V$25/100*V$9*(1-V$14/100)</f>
        <v>0.872715822318414</v>
      </c>
      <c r="K672" s="39" t="n">
        <f aca="false">IF(E672/C672*100&lt;100,E672/C672*100,100)</f>
        <v>13.8079395259173</v>
      </c>
      <c r="L672" s="2" t="n">
        <f aca="false">IF(((C672-E672)&gt;0)AND(F672&gt;(C672-E672)),(C672-E672),IF(C672&lt;E672,0,F672))</f>
        <v>0.776717081863389</v>
      </c>
      <c r="M672" s="2" t="n">
        <f aca="false">IF(C672&lt;(E672+F672),0,C672-E672-F672)</f>
        <v>22.1175111646589</v>
      </c>
      <c r="N672" s="2" t="n">
        <f aca="false">IF(C672&lt;(E672+F672),0,(C672-E672-F672)/(1-V$16/100))</f>
        <v>24.8511361400662</v>
      </c>
      <c r="O672" s="2" t="n">
        <f aca="false">L672+M672</f>
        <v>22.8942282465223</v>
      </c>
      <c r="P672" s="2" t="n">
        <f aca="false">IF( N672=0,I672*(1-G672/100)+J672*(1-H672/100),-N672)</f>
        <v>-24.8511361400662</v>
      </c>
      <c r="Q672" s="47" t="n">
        <f aca="false">IF(P671&gt;0,Q671+P671*(1-V$20/100),Q671+P671)</f>
        <v>1243.73080887234</v>
      </c>
      <c r="R672" s="48" t="n">
        <f aca="false">R$4+Q672/V$28</f>
        <v>54.7114938221014</v>
      </c>
    </row>
    <row r="673" customFormat="false" ht="12.8" hidden="false" customHeight="false" outlineLevel="0" collapsed="false">
      <c r="A673" s="1" t="n">
        <v>669</v>
      </c>
      <c r="B673" s="37" t="n">
        <v>44214</v>
      </c>
      <c r="C673" s="38" t="n">
        <f aca="false">V$26-V$26*SIN(2*PI()/365*A673)</f>
        <v>26.4424348380064</v>
      </c>
      <c r="D673" s="2" t="n">
        <f aca="false">IF((E673+F673)&gt;C673,C673,E673+F673)</f>
        <v>4.5659188000039</v>
      </c>
      <c r="E673" s="38" t="n">
        <f aca="false">(V$23+V$24*SIN(2*PI()/365*A673))*V$25/100*V$7*V$8/100</f>
        <v>3.76795840795614</v>
      </c>
      <c r="F673" s="38" t="n">
        <f aca="false">(V$23+V$24*SIN(2*PI()/365*A673))*V$25/100*V$9*(1-V$14/100)*(1-V$16/100)</f>
        <v>0.797960392047758</v>
      </c>
      <c r="G673" s="38" t="n">
        <f aca="false">IF(C673&gt;E673,100,C673/E673*100)</f>
        <v>100</v>
      </c>
      <c r="H673" s="38" t="n">
        <f aca="false">L673/F673*100</f>
        <v>100</v>
      </c>
      <c r="I673" s="38" t="n">
        <f aca="false">(V$23+V$24*SIN(2*PI()/365*A673))*V$25/100*V$7*V$8/100*(1-V$15/100)</f>
        <v>3.35348298308096</v>
      </c>
      <c r="J673" s="38" t="n">
        <f aca="false">(V$23+V$24*SIN(2*PI()/365*A673))*V$25/100*V$9*(1-V$14/100)</f>
        <v>0.89658471016602</v>
      </c>
      <c r="K673" s="39" t="n">
        <f aca="false">IF(E673/C673*100&lt;100,E673/C673*100,100)</f>
        <v>14.2496650971807</v>
      </c>
      <c r="L673" s="2" t="n">
        <f aca="false">IF(((C673-E673)&gt;0)AND(F673&gt;(C673-E673)),(C673-E673),IF(C673&lt;E673,0,F673))</f>
        <v>0.797960392047758</v>
      </c>
      <c r="M673" s="2" t="n">
        <f aca="false">IF(C673&lt;(E673+F673),0,C673-E673-F673)</f>
        <v>21.8765160380025</v>
      </c>
      <c r="N673" s="2" t="n">
        <f aca="false">IF(C673&lt;(E673+F673),0,(C673-E673-F673)/(1-V$16/100))</f>
        <v>24.5803550988792</v>
      </c>
      <c r="O673" s="2" t="n">
        <f aca="false">L673+M673</f>
        <v>22.6744764300503</v>
      </c>
      <c r="P673" s="2" t="n">
        <f aca="false">IF( N673=0,I673*(1-G673/100)+J673*(1-H673/100),-N673)</f>
        <v>-24.5803550988792</v>
      </c>
      <c r="Q673" s="47" t="n">
        <f aca="false">IF(P672&gt;0,Q672+P672*(1-V$20/100),Q672+P672)</f>
        <v>1218.87967273227</v>
      </c>
      <c r="R673" s="48" t="n">
        <f aca="false">R$4+Q673/V$28</f>
        <v>54.4175416797336</v>
      </c>
    </row>
    <row r="674" customFormat="false" ht="12.8" hidden="false" customHeight="false" outlineLevel="0" collapsed="false">
      <c r="A674" s="1" t="n">
        <v>670</v>
      </c>
      <c r="B674" s="37" t="n">
        <v>44215</v>
      </c>
      <c r="C674" s="38" t="n">
        <f aca="false">V$26-V$26*SIN(2*PI()/365*A674)</f>
        <v>26.3193539819353</v>
      </c>
      <c r="D674" s="2" t="n">
        <f aca="false">IF((E674+F674)&gt;C674,C674,E674+F674)</f>
        <v>4.69117678954762</v>
      </c>
      <c r="E674" s="38" t="n">
        <f aca="false">(V$23+V$24*SIN(2*PI()/365*A674))*V$25/100*V$7*V$8/100</f>
        <v>3.87132575099004</v>
      </c>
      <c r="F674" s="38" t="n">
        <f aca="false">(V$23+V$24*SIN(2*PI()/365*A674))*V$25/100*V$9*(1-V$14/100)*(1-V$16/100)</f>
        <v>0.819851038557577</v>
      </c>
      <c r="G674" s="38" t="n">
        <f aca="false">IF(C674&gt;E674,100,C674/E674*100)</f>
        <v>100</v>
      </c>
      <c r="H674" s="38" t="n">
        <f aca="false">L674/F674*100</f>
        <v>100</v>
      </c>
      <c r="I674" s="38" t="n">
        <f aca="false">(V$23+V$24*SIN(2*PI()/365*A674))*V$25/100*V$7*V$8/100*(1-V$15/100)</f>
        <v>3.44547991838114</v>
      </c>
      <c r="J674" s="38" t="n">
        <f aca="false">(V$23+V$24*SIN(2*PI()/365*A674))*V$25/100*V$9*(1-V$14/100)</f>
        <v>0.921180942199525</v>
      </c>
      <c r="K674" s="39" t="n">
        <f aca="false">IF(E674/C674*100&lt;100,E674/C674*100,100)</f>
        <v>14.7090454942291</v>
      </c>
      <c r="L674" s="2" t="n">
        <f aca="false">IF(((C674-E674)&gt;0)AND(F674&gt;(C674-E674)),(C674-E674),IF(C674&lt;E674,0,F674))</f>
        <v>0.819851038557577</v>
      </c>
      <c r="M674" s="2" t="n">
        <f aca="false">IF(C674&lt;(E674+F674),0,C674-E674-F674)</f>
        <v>21.6281771923876</v>
      </c>
      <c r="N674" s="2" t="n">
        <f aca="false">IF(C674&lt;(E674+F674),0,(C674-E674-F674)/(1-V$16/100))</f>
        <v>24.301322688076</v>
      </c>
      <c r="O674" s="2" t="n">
        <f aca="false">L674+M674</f>
        <v>22.4480282309452</v>
      </c>
      <c r="P674" s="2" t="n">
        <f aca="false">IF( N674=0,I674*(1-G674/100)+J674*(1-H674/100),-N674)</f>
        <v>-24.301322688076</v>
      </c>
      <c r="Q674" s="47" t="n">
        <f aca="false">IF(P673&gt;0,Q673+P673*(1-V$20/100),Q673+P673)</f>
        <v>1194.29931763339</v>
      </c>
      <c r="R674" s="48" t="n">
        <f aca="false">R$4+Q674/V$28</f>
        <v>54.1267924761258</v>
      </c>
    </row>
    <row r="675" customFormat="false" ht="12.8" hidden="false" customHeight="false" outlineLevel="0" collapsed="false">
      <c r="A675" s="1" t="n">
        <v>671</v>
      </c>
      <c r="B675" s="37" t="n">
        <v>44216</v>
      </c>
      <c r="C675" s="38" t="n">
        <f aca="false">V$26-V$26*SIN(2*PI()/365*A675)</f>
        <v>26.1926699283046</v>
      </c>
      <c r="D675" s="2" t="n">
        <f aca="false">IF((E675+F675)&gt;C675,C675,E675+F675)</f>
        <v>4.8201017123306</v>
      </c>
      <c r="E675" s="38" t="n">
        <f aca="false">(V$23+V$24*SIN(2*PI()/365*A675))*V$25/100*V$7*V$8/100</f>
        <v>3.97771917760876</v>
      </c>
      <c r="F675" s="38" t="n">
        <f aca="false">(V$23+V$24*SIN(2*PI()/365*A675))*V$25/100*V$9*(1-V$14/100)*(1-V$16/100)</f>
        <v>0.842382534721843</v>
      </c>
      <c r="G675" s="38" t="n">
        <f aca="false">IF(C675&gt;E675,100,C675/E675*100)</f>
        <v>100</v>
      </c>
      <c r="H675" s="38" t="n">
        <f aca="false">L675/F675*100</f>
        <v>100</v>
      </c>
      <c r="I675" s="38" t="n">
        <f aca="false">(V$23+V$24*SIN(2*PI()/365*A675))*V$25/100*V$7*V$8/100*(1-V$15/100)</f>
        <v>3.5401700680718</v>
      </c>
      <c r="J675" s="38" t="n">
        <f aca="false">(V$23+V$24*SIN(2*PI()/365*A675))*V$25/100*V$9*(1-V$14/100)</f>
        <v>0.946497230024542</v>
      </c>
      <c r="K675" s="39" t="n">
        <f aca="false">IF(E675/C675*100&lt;100,E675/C675*100,100)</f>
        <v>15.1863830166864</v>
      </c>
      <c r="L675" s="2" t="n">
        <f aca="false">IF(((C675-E675)&gt;0)AND(F675&gt;(C675-E675)),(C675-E675),IF(C675&lt;E675,0,F675))</f>
        <v>0.842382534721843</v>
      </c>
      <c r="M675" s="2" t="n">
        <f aca="false">IF(C675&lt;(E675+F675),0,C675-E675-F675)</f>
        <v>21.372568215974</v>
      </c>
      <c r="N675" s="2" t="n">
        <f aca="false">IF(C675&lt;(E675+F675),0,(C675-E675-F675)/(1-V$16/100))</f>
        <v>24.014121590982</v>
      </c>
      <c r="O675" s="2" t="n">
        <f aca="false">L675+M675</f>
        <v>22.2149507506958</v>
      </c>
      <c r="P675" s="2" t="n">
        <f aca="false">IF( N675=0,I675*(1-G675/100)+J675*(1-H675/100),-N675)</f>
        <v>-24.014121590982</v>
      </c>
      <c r="Q675" s="47" t="n">
        <f aca="false">IF(P674&gt;0,Q674+P674*(1-V$20/100),Q674+P674)</f>
        <v>1169.99799494532</v>
      </c>
      <c r="R675" s="48" t="n">
        <f aca="false">R$4+Q675/V$28</f>
        <v>53.8393438127621</v>
      </c>
    </row>
    <row r="676" customFormat="false" ht="12.8" hidden="false" customHeight="false" outlineLevel="0" collapsed="false">
      <c r="A676" s="1" t="n">
        <v>672</v>
      </c>
      <c r="B676" s="37" t="n">
        <v>44217</v>
      </c>
      <c r="C676" s="38" t="n">
        <f aca="false">V$26-V$26*SIN(2*PI()/365*A676)</f>
        <v>26.0624202163334</v>
      </c>
      <c r="D676" s="2" t="n">
        <f aca="false">IF((E676+F676)&gt;C676,C676,E676+F676)</f>
        <v>4.9526553651158</v>
      </c>
      <c r="E676" s="38" t="n">
        <f aca="false">(V$23+V$24*SIN(2*PI()/365*A676))*V$25/100*V$7*V$8/100</f>
        <v>4.08710716114383</v>
      </c>
      <c r="F676" s="38" t="n">
        <f aca="false">(V$23+V$24*SIN(2*PI()/365*A676))*V$25/100*V$9*(1-V$14/100)*(1-V$16/100)</f>
        <v>0.865548203971973</v>
      </c>
      <c r="G676" s="38" t="n">
        <f aca="false">IF(C676&gt;E676,100,C676/E676*100)</f>
        <v>100</v>
      </c>
      <c r="H676" s="38" t="n">
        <f aca="false">L676/F676*100</f>
        <v>100</v>
      </c>
      <c r="I676" s="38" t="n">
        <f aca="false">(V$23+V$24*SIN(2*PI()/365*A676))*V$25/100*V$7*V$8/100*(1-V$15/100)</f>
        <v>3.63752537341801</v>
      </c>
      <c r="J676" s="38" t="n">
        <f aca="false">(V$23+V$24*SIN(2*PI()/365*A676))*V$25/100*V$9*(1-V$14/100)</f>
        <v>0.972526071878621</v>
      </c>
      <c r="K676" s="39" t="n">
        <f aca="false">IF(E676/C676*100&lt;100,E676/C676*100,100)</f>
        <v>15.6819939484455</v>
      </c>
      <c r="L676" s="2" t="n">
        <f aca="false">IF(((C676-E676)&gt;0)AND(F676&gt;(C676-E676)),(C676-E676),IF(C676&lt;E676,0,F676))</f>
        <v>0.865548203971973</v>
      </c>
      <c r="M676" s="2" t="n">
        <f aca="false">IF(C676&lt;(E676+F676),0,C676-E676-F676)</f>
        <v>21.1097648512176</v>
      </c>
      <c r="N676" s="2" t="n">
        <f aca="false">IF(C676&lt;(E676+F676),0,(C676-E676-F676)/(1-V$16/100))</f>
        <v>23.7188369114804</v>
      </c>
      <c r="O676" s="2" t="n">
        <f aca="false">L676+M676</f>
        <v>21.9753130551896</v>
      </c>
      <c r="P676" s="2" t="n">
        <f aca="false">IF( N676=0,I676*(1-G676/100)+J676*(1-H676/100),-N676)</f>
        <v>-23.7188369114804</v>
      </c>
      <c r="Q676" s="47" t="n">
        <f aca="false">IF(P675&gt;0,Q675+P675*(1-V$20/100),Q675+P675)</f>
        <v>1145.98387335433</v>
      </c>
      <c r="R676" s="48" t="n">
        <f aca="false">R$4+Q676/V$28</f>
        <v>53.5552923131058</v>
      </c>
    </row>
    <row r="677" customFormat="false" ht="12.8" hidden="false" customHeight="false" outlineLevel="0" collapsed="false">
      <c r="A677" s="1" t="n">
        <v>673</v>
      </c>
      <c r="B677" s="37" t="n">
        <v>44218</v>
      </c>
      <c r="C677" s="38" t="n">
        <f aca="false">V$26-V$26*SIN(2*PI()/365*A677)</f>
        <v>25.9286434418225</v>
      </c>
      <c r="D677" s="2" t="n">
        <f aca="false">IF((E677+F677)&gt;C677,C677,E677+F677)</f>
        <v>5.08879846939516</v>
      </c>
      <c r="E677" s="38" t="n">
        <f aca="false">(V$23+V$24*SIN(2*PI()/365*A677))*V$25/100*V$7*V$8/100</f>
        <v>4.19945728757495</v>
      </c>
      <c r="F677" s="38" t="n">
        <f aca="false">(V$23+V$24*SIN(2*PI()/365*A677))*V$25/100*V$9*(1-V$14/100)*(1-V$16/100)</f>
        <v>0.889341181820213</v>
      </c>
      <c r="G677" s="38" t="n">
        <f aca="false">IF(C677&gt;E677,100,C677/E677*100)</f>
        <v>100</v>
      </c>
      <c r="H677" s="38" t="n">
        <f aca="false">L677/F677*100</f>
        <v>100</v>
      </c>
      <c r="I677" s="38" t="n">
        <f aca="false">(V$23+V$24*SIN(2*PI()/365*A677))*V$25/100*V$7*V$8/100*(1-V$15/100)</f>
        <v>3.7375169859417</v>
      </c>
      <c r="J677" s="38" t="n">
        <f aca="false">(V$23+V$24*SIN(2*PI()/365*A677))*V$25/100*V$9*(1-V$14/100)</f>
        <v>0.999259754854172</v>
      </c>
      <c r="K677" s="39" t="n">
        <f aca="false">IF(E677/C677*100&lt;100,E677/C677*100,100)</f>
        <v>16.1962090187923</v>
      </c>
      <c r="L677" s="2" t="n">
        <f aca="false">IF(((C677-E677)&gt;0)AND(F677&gt;(C677-E677)),(C677-E677),IF(C677&lt;E677,0,F677))</f>
        <v>0.889341181820213</v>
      </c>
      <c r="M677" s="2" t="n">
        <f aca="false">IF(C677&lt;(E677+F677),0,C677-E677-F677)</f>
        <v>20.8398449724273</v>
      </c>
      <c r="N677" s="2" t="n">
        <f aca="false">IF(C677&lt;(E677+F677),0,(C677-E677-F677)/(1-V$16/100))</f>
        <v>23.4155561487947</v>
      </c>
      <c r="O677" s="2" t="n">
        <f aca="false">L677+M677</f>
        <v>21.7291861542475</v>
      </c>
      <c r="P677" s="2" t="n">
        <f aca="false">IF( N677=0,I677*(1-G677/100)+J677*(1-H677/100),-N677)</f>
        <v>-23.4155561487947</v>
      </c>
      <c r="Q677" s="47" t="n">
        <f aca="false">IF(P676&gt;0,Q676+P676*(1-V$20/100),Q676+P676)</f>
        <v>1122.26503644285</v>
      </c>
      <c r="R677" s="48" t="n">
        <f aca="false">R$4+Q677/V$28</f>
        <v>53.274733593967</v>
      </c>
    </row>
    <row r="678" customFormat="false" ht="12.8" hidden="false" customHeight="false" outlineLevel="0" collapsed="false">
      <c r="A678" s="1" t="n">
        <v>674</v>
      </c>
      <c r="B678" s="37" t="n">
        <v>44219</v>
      </c>
      <c r="C678" s="38" t="n">
        <f aca="false">V$26-V$26*SIN(2*PI()/365*A678)</f>
        <v>25.7913792457172</v>
      </c>
      <c r="D678" s="2" t="n">
        <f aca="false">IF((E678+F678)&gt;C678,C678,E678+F678)</f>
        <v>5.22849068302868</v>
      </c>
      <c r="E678" s="38" t="n">
        <f aca="false">(V$23+V$24*SIN(2*PI()/365*A678))*V$25/100*V$7*V$8/100</f>
        <v>4.31473626513495</v>
      </c>
      <c r="F678" s="38" t="n">
        <f aca="false">(V$23+V$24*SIN(2*PI()/365*A678))*V$25/100*V$9*(1-V$14/100)*(1-V$16/100)</f>
        <v>0.913754417893734</v>
      </c>
      <c r="G678" s="38" t="n">
        <f aca="false">IF(C678&gt;E678,100,C678/E678*100)</f>
        <v>100</v>
      </c>
      <c r="H678" s="38" t="n">
        <f aca="false">L678/F678*100</f>
        <v>100</v>
      </c>
      <c r="I678" s="38" t="n">
        <f aca="false">(V$23+V$24*SIN(2*PI()/365*A678))*V$25/100*V$7*V$8/100*(1-V$15/100)</f>
        <v>3.8401152759701</v>
      </c>
      <c r="J678" s="38" t="n">
        <f aca="false">(V$23+V$24*SIN(2*PI()/365*A678))*V$25/100*V$9*(1-V$14/100)</f>
        <v>1.02669035718397</v>
      </c>
      <c r="K678" s="39" t="n">
        <f aca="false">IF(E678/C678*100&lt;100,E678/C678*100,100)</f>
        <v>16.7293738889573</v>
      </c>
      <c r="L678" s="2" t="n">
        <f aca="false">IF(((C678-E678)&gt;0)AND(F678&gt;(C678-E678)),(C678-E678),IF(C678&lt;E678,0,F678))</f>
        <v>0.913754417893734</v>
      </c>
      <c r="M678" s="2" t="n">
        <f aca="false">IF(C678&lt;(E678+F678),0,C678-E678-F678)</f>
        <v>20.5628885626885</v>
      </c>
      <c r="N678" s="2" t="n">
        <f aca="false">IF(C678&lt;(E678+F678),0,(C678-E678-F678)/(1-V$16/100))</f>
        <v>23.1043691715601</v>
      </c>
      <c r="O678" s="2" t="n">
        <f aca="false">L678+M678</f>
        <v>21.4766429805822</v>
      </c>
      <c r="P678" s="2" t="n">
        <f aca="false">IF( N678=0,I678*(1-G678/100)+J678*(1-H678/100),-N678)</f>
        <v>-23.1043691715601</v>
      </c>
      <c r="Q678" s="47" t="n">
        <f aca="false">IF(P677&gt;0,Q677+P677*(1-V$20/100),Q677+P677)</f>
        <v>1098.84948029406</v>
      </c>
      <c r="R678" s="48" t="n">
        <f aca="false">R$4+Q678/V$28</f>
        <v>52.9977622371697</v>
      </c>
    </row>
    <row r="679" customFormat="false" ht="12.8" hidden="false" customHeight="false" outlineLevel="0" collapsed="false">
      <c r="A679" s="1" t="n">
        <v>675</v>
      </c>
      <c r="B679" s="37" t="n">
        <v>44220</v>
      </c>
      <c r="C679" s="38" t="n">
        <f aca="false">V$26-V$26*SIN(2*PI()/365*A679)</f>
        <v>25.6506683023612</v>
      </c>
      <c r="D679" s="2" t="n">
        <f aca="false">IF((E679+F679)&gt;C679,C679,E679+F679)</f>
        <v>5.37169061219864</v>
      </c>
      <c r="E679" s="38" t="n">
        <f aca="false">(V$23+V$24*SIN(2*PI()/365*A679))*V$25/100*V$7*V$8/100</f>
        <v>4.43290993417484</v>
      </c>
      <c r="F679" s="38" t="n">
        <f aca="false">(V$23+V$24*SIN(2*PI()/365*A679))*V$25/100*V$9*(1-V$14/100)*(1-V$16/100)</f>
        <v>0.938780678023803</v>
      </c>
      <c r="G679" s="38" t="n">
        <f aca="false">IF(C679&gt;E679,100,C679/E679*100)</f>
        <v>100</v>
      </c>
      <c r="H679" s="38" t="n">
        <f aca="false">L679/F679*100</f>
        <v>100</v>
      </c>
      <c r="I679" s="38" t="n">
        <f aca="false">(V$23+V$24*SIN(2*PI()/365*A679))*V$25/100*V$7*V$8/100*(1-V$15/100)</f>
        <v>3.9452898414156</v>
      </c>
      <c r="J679" s="38" t="n">
        <f aca="false">(V$23+V$24*SIN(2*PI()/365*A679))*V$25/100*V$9*(1-V$14/100)</f>
        <v>1.05480975058854</v>
      </c>
      <c r="K679" s="39" t="n">
        <f aca="false">IF(E679/C679*100&lt;100,E679/C679*100,100)</f>
        <v>17.2818496653624</v>
      </c>
      <c r="L679" s="2" t="n">
        <f aca="false">IF(((C679-E679)&gt;0)AND(F679&gt;(C679-E679)),(C679-E679),IF(C679&lt;E679,0,F679))</f>
        <v>0.938780678023803</v>
      </c>
      <c r="M679" s="2" t="n">
        <f aca="false">IF(C679&lt;(E679+F679),0,C679-E679-F679)</f>
        <v>20.2789776901626</v>
      </c>
      <c r="N679" s="2" t="n">
        <f aca="false">IF(C679&lt;(E679+F679),0,(C679-E679-F679)/(1-V$16/100))</f>
        <v>22.7853681911939</v>
      </c>
      <c r="O679" s="2" t="n">
        <f aca="false">L679+M679</f>
        <v>21.2177583681864</v>
      </c>
      <c r="P679" s="2" t="n">
        <f aca="false">IF( N679=0,I679*(1-G679/100)+J679*(1-H679/100),-N679)</f>
        <v>-22.7853681911939</v>
      </c>
      <c r="Q679" s="47" t="n">
        <f aca="false">IF(P678&gt;0,Q678+P678*(1-V$20/100),Q678+P678)</f>
        <v>1075.7451111225</v>
      </c>
      <c r="R679" s="48" t="n">
        <f aca="false">R$4+Q679/V$28</f>
        <v>52.7244717615248</v>
      </c>
    </row>
    <row r="680" customFormat="false" ht="12.8" hidden="false" customHeight="false" outlineLevel="0" collapsed="false">
      <c r="A680" s="1" t="n">
        <v>676</v>
      </c>
      <c r="B680" s="37" t="n">
        <v>44221</v>
      </c>
      <c r="C680" s="38" t="n">
        <f aca="false">V$26-V$26*SIN(2*PI()/365*A680)</f>
        <v>25.506552307444</v>
      </c>
      <c r="D680" s="2" t="n">
        <f aca="false">IF((E680+F680)&gt;C680,C680,E680+F680)</f>
        <v>5.51835582367552</v>
      </c>
      <c r="E680" s="38" t="n">
        <f aca="false">(V$23+V$24*SIN(2*PI()/365*A680))*V$25/100*V$7*V$8/100</f>
        <v>4.55394327728608</v>
      </c>
      <c r="F680" s="38" t="n">
        <f aca="false">(V$23+V$24*SIN(2*PI()/365*A680))*V$25/100*V$9*(1-V$14/100)*(1-V$16/100)</f>
        <v>0.964412546389434</v>
      </c>
      <c r="G680" s="38" t="n">
        <f aca="false">IF(C680&gt;E680,100,C680/E680*100)</f>
        <v>100</v>
      </c>
      <c r="H680" s="38" t="n">
        <f aca="false">L680/F680*100</f>
        <v>100</v>
      </c>
      <c r="I680" s="38" t="n">
        <f aca="false">(V$23+V$24*SIN(2*PI()/365*A680))*V$25/100*V$7*V$8/100*(1-V$15/100)</f>
        <v>4.05300951678462</v>
      </c>
      <c r="J680" s="38" t="n">
        <f aca="false">(V$23+V$24*SIN(2*PI()/365*A680))*V$25/100*V$9*(1-V$14/100)</f>
        <v>1.08360960268476</v>
      </c>
      <c r="K680" s="39" t="n">
        <f aca="false">IF(E680/C680*100&lt;100,E680/C680*100,100)</f>
        <v>17.854013440919</v>
      </c>
      <c r="L680" s="2" t="n">
        <f aca="false">IF(((C680-E680)&gt;0)AND(F680&gt;(C680-E680)),(C680-E680),IF(C680&lt;E680,0,F680))</f>
        <v>0.964412546389434</v>
      </c>
      <c r="M680" s="2" t="n">
        <f aca="false">IF(C680&lt;(E680+F680),0,C680-E680-F680)</f>
        <v>19.9881964837685</v>
      </c>
      <c r="N680" s="2" t="n">
        <f aca="false">IF(C680&lt;(E680+F680),0,(C680-E680-F680)/(1-V$16/100))</f>
        <v>22.4586477345713</v>
      </c>
      <c r="O680" s="2" t="n">
        <f aca="false">L680+M680</f>
        <v>20.9526090301579</v>
      </c>
      <c r="P680" s="2" t="n">
        <f aca="false">IF( N680=0,I680*(1-G680/100)+J680*(1-H680/100),-N680)</f>
        <v>-22.4586477345713</v>
      </c>
      <c r="Q680" s="47" t="n">
        <f aca="false">IF(P679&gt;0,Q679+P679*(1-V$20/100),Q679+P679)</f>
        <v>1052.95974293131</v>
      </c>
      <c r="R680" s="48" t="n">
        <f aca="false">R$4+Q680/V$28</f>
        <v>52.4549545951188</v>
      </c>
    </row>
    <row r="681" customFormat="false" ht="12.8" hidden="false" customHeight="false" outlineLevel="0" collapsed="false">
      <c r="A681" s="1" t="n">
        <v>677</v>
      </c>
      <c r="B681" s="37" t="n">
        <v>44222</v>
      </c>
      <c r="C681" s="38" t="n">
        <f aca="false">V$26-V$26*SIN(2*PI()/365*A681)</f>
        <v>25.359073965645</v>
      </c>
      <c r="D681" s="2" t="n">
        <f aca="false">IF((E681+F681)&gt;C681,C681,E681+F681)</f>
        <v>5.66844285739189</v>
      </c>
      <c r="E681" s="38" t="n">
        <f aca="false">(V$23+V$24*SIN(2*PI()/365*A681))*V$25/100*V$7*V$8/100</f>
        <v>4.67780042967704</v>
      </c>
      <c r="F681" s="38" t="n">
        <f aca="false">(V$23+V$24*SIN(2*PI()/365*A681))*V$25/100*V$9*(1-V$14/100)*(1-V$16/100)</f>
        <v>0.990642427714852</v>
      </c>
      <c r="G681" s="38" t="n">
        <f aca="false">IF(C681&gt;E681,100,C681/E681*100)</f>
        <v>100</v>
      </c>
      <c r="H681" s="38" t="n">
        <f aca="false">L681/F681*100</f>
        <v>100</v>
      </c>
      <c r="I681" s="38" t="n">
        <f aca="false">(V$23+V$24*SIN(2*PI()/365*A681))*V$25/100*V$7*V$8/100*(1-V$15/100)</f>
        <v>4.16324238241256</v>
      </c>
      <c r="J681" s="38" t="n">
        <f aca="false">(V$23+V$24*SIN(2*PI()/365*A681))*V$25/100*V$9*(1-V$14/100)</f>
        <v>1.11308137945489</v>
      </c>
      <c r="K681" s="39" t="n">
        <f aca="false">IF(E681/C681*100&lt;100,E681/C681*100,100)</f>
        <v>18.4462588658176</v>
      </c>
      <c r="L681" s="2" t="n">
        <f aca="false">IF(((C681-E681)&gt;0)AND(F681&gt;(C681-E681)),(C681-E681),IF(C681&lt;E681,0,F681))</f>
        <v>0.990642427714852</v>
      </c>
      <c r="M681" s="2" t="n">
        <f aca="false">IF(C681&lt;(E681+F681),0,C681-E681-F681)</f>
        <v>19.6906311082531</v>
      </c>
      <c r="N681" s="2" t="n">
        <f aca="false">IF(C681&lt;(E681+F681),0,(C681-E681-F681)/(1-V$16/100))</f>
        <v>22.1243046160147</v>
      </c>
      <c r="O681" s="2" t="n">
        <f aca="false">L681+M681</f>
        <v>20.681273535968</v>
      </c>
      <c r="P681" s="2" t="n">
        <f aca="false">IF( N681=0,I681*(1-G681/100)+J681*(1-H681/100),-N681)</f>
        <v>-22.1243046160147</v>
      </c>
      <c r="Q681" s="47" t="n">
        <f aca="false">IF(P680&gt;0,Q680+P680*(1-V$20/100),Q680+P680)</f>
        <v>1030.50109519673</v>
      </c>
      <c r="R681" s="48" t="n">
        <f aca="false">R$4+Q681/V$28</f>
        <v>52.1893020479254</v>
      </c>
    </row>
    <row r="682" customFormat="false" ht="12.8" hidden="false" customHeight="false" outlineLevel="0" collapsed="false">
      <c r="A682" s="1" t="n">
        <v>678</v>
      </c>
      <c r="B682" s="37" t="n">
        <v>44223</v>
      </c>
      <c r="C682" s="38" t="n">
        <f aca="false">V$26-V$26*SIN(2*PI()/365*A682)</f>
        <v>25.2082769779798</v>
      </c>
      <c r="D682" s="2" t="n">
        <f aca="false">IF((E682+F682)&gt;C682,C682,E682+F682)</f>
        <v>5.82190723932048</v>
      </c>
      <c r="E682" s="38" t="n">
        <f aca="false">(V$23+V$24*SIN(2*PI()/365*A682))*V$25/100*V$7*V$8/100</f>
        <v>4.80444468980035</v>
      </c>
      <c r="F682" s="38" t="n">
        <f aca="false">(V$23+V$24*SIN(2*PI()/365*A682))*V$25/100*V$9*(1-V$14/100)*(1-V$16/100)</f>
        <v>1.01746254952013</v>
      </c>
      <c r="G682" s="38" t="n">
        <f aca="false">IF(C682&gt;E682,100,C682/E682*100)</f>
        <v>100</v>
      </c>
      <c r="H682" s="38" t="n">
        <f aca="false">L682/F682*100</f>
        <v>100</v>
      </c>
      <c r="I682" s="38" t="n">
        <f aca="false">(V$23+V$24*SIN(2*PI()/365*A682))*V$25/100*V$7*V$8/100*(1-V$15/100)</f>
        <v>4.27595577392231</v>
      </c>
      <c r="J682" s="38" t="n">
        <f aca="false">(V$23+V$24*SIN(2*PI()/365*A682))*V$25/100*V$9*(1-V$14/100)</f>
        <v>1.14321634777543</v>
      </c>
      <c r="K682" s="39" t="n">
        <f aca="false">IF(E682/C682*100&lt;100,E682/C682*100,100)</f>
        <v>19.0589967493502</v>
      </c>
      <c r="L682" s="2" t="n">
        <f aca="false">IF(((C682-E682)&gt;0)AND(F682&gt;(C682-E682)),(C682-E682),IF(C682&lt;E682,0,F682))</f>
        <v>1.01746254952013</v>
      </c>
      <c r="M682" s="2" t="n">
        <f aca="false">IF(C682&lt;(E682+F682),0,C682-E682-F682)</f>
        <v>19.3863697386593</v>
      </c>
      <c r="N682" s="2" t="n">
        <f aca="false">IF(C682&lt;(E682+F682),0,(C682-E682-F682)/(1-V$16/100))</f>
        <v>21.7824379086059</v>
      </c>
      <c r="O682" s="2" t="n">
        <f aca="false">L682+M682</f>
        <v>20.4038322881794</v>
      </c>
      <c r="P682" s="2" t="n">
        <f aca="false">IF( N682=0,I682*(1-G682/100)+J682*(1-H682/100),-N682)</f>
        <v>-21.7824379086059</v>
      </c>
      <c r="Q682" s="47" t="n">
        <f aca="false">IF(P681&gt;0,Q681+P681*(1-V$20/100),Q681+P681)</f>
        <v>1008.37679058072</v>
      </c>
      <c r="R682" s="48" t="n">
        <f aca="false">R$4+Q682/V$28</f>
        <v>51.9276042847479</v>
      </c>
    </row>
    <row r="683" customFormat="false" ht="12.8" hidden="false" customHeight="false" outlineLevel="0" collapsed="false">
      <c r="A683" s="1" t="n">
        <v>679</v>
      </c>
      <c r="B683" s="37" t="n">
        <v>44224</v>
      </c>
      <c r="C683" s="38" t="n">
        <f aca="false">V$26-V$26*SIN(2*PI()/365*A683)</f>
        <v>25.0542060288502</v>
      </c>
      <c r="D683" s="2" t="n">
        <f aca="false">IF((E683+F683)&gt;C683,C683,E683+F683)</f>
        <v>5.97870349465291</v>
      </c>
      <c r="E683" s="38" t="n">
        <f aca="false">(V$23+V$24*SIN(2*PI()/365*A683))*V$25/100*V$7*V$8/100</f>
        <v>4.93383853022856</v>
      </c>
      <c r="F683" s="38" t="n">
        <f aca="false">(V$23+V$24*SIN(2*PI()/365*A683))*V$25/100*V$9*(1-V$14/100)*(1-V$16/100)</f>
        <v>1.04486496442435</v>
      </c>
      <c r="G683" s="38" t="n">
        <f aca="false">IF(C683&gt;E683,100,C683/E683*100)</f>
        <v>100</v>
      </c>
      <c r="H683" s="38" t="n">
        <f aca="false">L683/F683*100</f>
        <v>100</v>
      </c>
      <c r="I683" s="38" t="n">
        <f aca="false">(V$23+V$24*SIN(2*PI()/365*A683))*V$25/100*V$7*V$8/100*(1-V$15/100)</f>
        <v>4.39111629190342</v>
      </c>
      <c r="J683" s="38" t="n">
        <f aca="false">(V$23+V$24*SIN(2*PI()/365*A683))*V$25/100*V$9*(1-V$14/100)</f>
        <v>1.17400557800489</v>
      </c>
      <c r="K683" s="39" t="n">
        <f aca="false">IF(E683/C683*100&lt;100,E683/C683*100,100)</f>
        <v>19.6926556944059</v>
      </c>
      <c r="L683" s="2" t="n">
        <f aca="false">IF(((C683-E683)&gt;0)AND(F683&gt;(C683-E683)),(C683-E683),IF(C683&lt;E683,0,F683))</f>
        <v>1.04486496442435</v>
      </c>
      <c r="M683" s="2" t="n">
        <f aca="false">IF(C683&lt;(E683+F683),0,C683-E683-F683)</f>
        <v>19.0755025341973</v>
      </c>
      <c r="N683" s="2" t="n">
        <f aca="false">IF(C683&lt;(E683+F683),0,(C683-E683-F683)/(1-V$16/100))</f>
        <v>21.4331489148284</v>
      </c>
      <c r="O683" s="2" t="n">
        <f aca="false">L683+M683</f>
        <v>20.1203674986216</v>
      </c>
      <c r="P683" s="2" t="n">
        <f aca="false">IF( N683=0,I683*(1-G683/100)+J683*(1-H683/100),-N683)</f>
        <v>-21.4331489148284</v>
      </c>
      <c r="Q683" s="47" t="n">
        <f aca="false">IF(P682&gt;0,Q682+P682*(1-V$20/100),Q682+P682)</f>
        <v>986.594352672113</v>
      </c>
      <c r="R683" s="48" t="n">
        <f aca="false">R$4+Q683/V$28</f>
        <v>51.669950298502</v>
      </c>
    </row>
    <row r="684" customFormat="false" ht="12.8" hidden="false" customHeight="false" outlineLevel="0" collapsed="false">
      <c r="A684" s="1" t="n">
        <v>680</v>
      </c>
      <c r="B684" s="37" t="n">
        <v>44225</v>
      </c>
      <c r="C684" s="38" t="n">
        <f aca="false">V$26-V$26*SIN(2*PI()/365*A684)</f>
        <v>24.8969067728037</v>
      </c>
      <c r="D684" s="2" t="n">
        <f aca="false">IF((E684+F684)&gt;C684,C684,E684+F684)</f>
        <v>6.1387851612748</v>
      </c>
      <c r="E684" s="38" t="n">
        <f aca="false">(V$23+V$24*SIN(2*PI()/365*A684))*V$25/100*V$7*V$8/100</f>
        <v>5.06594360877421</v>
      </c>
      <c r="F684" s="38" t="n">
        <f aca="false">(V$23+V$24*SIN(2*PI()/365*A684))*V$25/100*V$9*(1-V$14/100)*(1-V$16/100)</f>
        <v>1.07284155250059</v>
      </c>
      <c r="G684" s="38" t="n">
        <f aca="false">IF(C684&gt;E684,100,C684/E684*100)</f>
        <v>100</v>
      </c>
      <c r="H684" s="38" t="n">
        <f aca="false">L684/F684*100</f>
        <v>100</v>
      </c>
      <c r="I684" s="38" t="n">
        <f aca="false">(V$23+V$24*SIN(2*PI()/365*A684))*V$25/100*V$7*V$8/100*(1-V$15/100)</f>
        <v>4.50868981180905</v>
      </c>
      <c r="J684" s="38" t="n">
        <f aca="false">(V$23+V$24*SIN(2*PI()/365*A684))*V$25/100*V$9*(1-V$14/100)</f>
        <v>1.20543994662987</v>
      </c>
      <c r="K684" s="39" t="n">
        <f aca="false">IF(E684/C684*100&lt;100,E684/C684*100,100)</f>
        <v>20.347682766391</v>
      </c>
      <c r="L684" s="2" t="n">
        <f aca="false">IF(((C684-E684)&gt;0)AND(F684&gt;(C684-E684)),(C684-E684),IF(C684&lt;E684,0,F684))</f>
        <v>1.07284155250059</v>
      </c>
      <c r="M684" s="2" t="n">
        <f aca="false">IF(C684&lt;(E684+F684),0,C684-E684-F684)</f>
        <v>18.7581216115289</v>
      </c>
      <c r="N684" s="2" t="n">
        <f aca="false">IF(C684&lt;(E684+F684),0,(C684-E684-F684)/(1-V$16/100))</f>
        <v>21.0765411365493</v>
      </c>
      <c r="O684" s="2" t="n">
        <f aca="false">L684+M684</f>
        <v>19.8309631640294</v>
      </c>
      <c r="P684" s="2" t="n">
        <f aca="false">IF( N684=0,I684*(1-G684/100)+J684*(1-H684/100),-N684)</f>
        <v>-21.0765411365493</v>
      </c>
      <c r="Q684" s="47" t="n">
        <f aca="false">IF(P683&gt;0,Q683+P683*(1-V$20/100),Q683+P683)</f>
        <v>965.161203757285</v>
      </c>
      <c r="R684" s="48" t="n">
        <f aca="false">R$4+Q684/V$28</f>
        <v>51.416427883845</v>
      </c>
    </row>
    <row r="685" customFormat="false" ht="12.8" hidden="false" customHeight="false" outlineLevel="0" collapsed="false">
      <c r="A685" s="1" t="n">
        <v>681</v>
      </c>
      <c r="B685" s="37" t="n">
        <v>44226</v>
      </c>
      <c r="C685" s="38" t="n">
        <f aca="false">V$26-V$26*SIN(2*PI()/365*A685)</f>
        <v>24.7364258210045</v>
      </c>
      <c r="D685" s="2" t="n">
        <f aca="false">IF((E685+F685)&gt;C685,C685,E685+F685)</f>
        <v>6.30210480353345</v>
      </c>
      <c r="E685" s="38" t="n">
        <f aca="false">(V$23+V$24*SIN(2*PI()/365*A685))*V$25/100*V$7*V$8/100</f>
        <v>5.20072077985145</v>
      </c>
      <c r="F685" s="38" t="n">
        <f aca="false">(V$23+V$24*SIN(2*PI()/365*A685))*V$25/100*V$9*(1-V$14/100)*(1-V$16/100)</f>
        <v>1.10138402368201</v>
      </c>
      <c r="G685" s="38" t="n">
        <f aca="false">IF(C685&gt;E685,100,C685/E685*100)</f>
        <v>100</v>
      </c>
      <c r="H685" s="38" t="n">
        <f aca="false">L685/F685*100</f>
        <v>100</v>
      </c>
      <c r="I685" s="38" t="n">
        <f aca="false">(V$23+V$24*SIN(2*PI()/365*A685))*V$25/100*V$7*V$8/100*(1-V$15/100)</f>
        <v>4.62864149406779</v>
      </c>
      <c r="J685" s="38" t="n">
        <f aca="false">(V$23+V$24*SIN(2*PI()/365*A685))*V$25/100*V$9*(1-V$14/100)</f>
        <v>1.23751013896855</v>
      </c>
      <c r="K685" s="39" t="n">
        <f aca="false">IF(E685/C685*100&lt;100,E685/C685*100,100)</f>
        <v>21.0245441984401</v>
      </c>
      <c r="L685" s="2" t="n">
        <f aca="false">IF(((C685-E685)&gt;0)AND(F685&gt;(C685-E685)),(C685-E685),IF(C685&lt;E685,0,F685))</f>
        <v>1.10138402368201</v>
      </c>
      <c r="M685" s="2" t="n">
        <f aca="false">IF(C685&lt;(E685+F685),0,C685-E685-F685)</f>
        <v>18.4343210174711</v>
      </c>
      <c r="N685" s="2" t="n">
        <f aca="false">IF(C685&lt;(E685+F685),0,(C685-E685-F685)/(1-V$16/100))</f>
        <v>20.7127202443495</v>
      </c>
      <c r="O685" s="2" t="n">
        <f aca="false">L685+M685</f>
        <v>19.5357050411531</v>
      </c>
      <c r="P685" s="2" t="n">
        <f aca="false">IF( N685=0,I685*(1-G685/100)+J685*(1-H685/100),-N685)</f>
        <v>-20.7127202443495</v>
      </c>
      <c r="Q685" s="47" t="n">
        <f aca="false">IF(P684&gt;0,Q684+P684*(1-V$20/100),Q684+P684)</f>
        <v>944.084662620736</v>
      </c>
      <c r="R685" s="48" t="n">
        <f aca="false">R$4+Q685/V$28</f>
        <v>51.1671236111602</v>
      </c>
    </row>
    <row r="686" customFormat="false" ht="12.8" hidden="false" customHeight="false" outlineLevel="0" collapsed="false">
      <c r="A686" s="1" t="n">
        <v>682</v>
      </c>
      <c r="B686" s="37" t="n">
        <v>44227</v>
      </c>
      <c r="C686" s="38" t="n">
        <f aca="false">V$26-V$26*SIN(2*PI()/365*A686)</f>
        <v>24.5728107274222</v>
      </c>
      <c r="D686" s="2" t="n">
        <f aca="false">IF((E686+F686)&gt;C686,C686,E686+F686)</f>
        <v>6.46861402629416</v>
      </c>
      <c r="E686" s="38" t="n">
        <f aca="false">(V$23+V$24*SIN(2*PI()/365*A686))*V$25/100*V$7*V$8/100</f>
        <v>5.33813010607576</v>
      </c>
      <c r="F686" s="38" t="n">
        <f aca="false">(V$23+V$24*SIN(2*PI()/365*A686))*V$25/100*V$9*(1-V$14/100)*(1-V$16/100)</f>
        <v>1.1304839202184</v>
      </c>
      <c r="G686" s="38" t="n">
        <f aca="false">IF(C686&gt;E686,100,C686/E686*100)</f>
        <v>100</v>
      </c>
      <c r="H686" s="38" t="n">
        <f aca="false">L686/F686*100</f>
        <v>100</v>
      </c>
      <c r="I686" s="38" t="n">
        <f aca="false">(V$23+V$24*SIN(2*PI()/365*A686))*V$25/100*V$7*V$8/100*(1-V$15/100)</f>
        <v>4.75093579440742</v>
      </c>
      <c r="J686" s="38" t="n">
        <f aca="false">(V$23+V$24*SIN(2*PI()/365*A686))*V$25/100*V$9*(1-V$14/100)</f>
        <v>1.27020665193079</v>
      </c>
      <c r="K686" s="39" t="n">
        <f aca="false">IF(E686/C686*100&lt;100,E686/C686*100,100)</f>
        <v>21.7237261349131</v>
      </c>
      <c r="L686" s="2" t="n">
        <f aca="false">IF(((C686-E686)&gt;0)AND(F686&gt;(C686-E686)),(C686-E686),IF(C686&lt;E686,0,F686))</f>
        <v>1.1304839202184</v>
      </c>
      <c r="M686" s="2" t="n">
        <f aca="false">IF(C686&lt;(E686+F686),0,C686-E686-F686)</f>
        <v>18.1041967011281</v>
      </c>
      <c r="N686" s="2" t="n">
        <f aca="false">IF(C686&lt;(E686+F686),0,(C686-E686-F686)/(1-V$16/100))</f>
        <v>20.3417940462113</v>
      </c>
      <c r="O686" s="2" t="n">
        <f aca="false">L686+M686</f>
        <v>19.2346806213465</v>
      </c>
      <c r="P686" s="2" t="n">
        <f aca="false">IF( N686=0,I686*(1-G686/100)+J686*(1-H686/100),-N686)</f>
        <v>-20.3417940462113</v>
      </c>
      <c r="Q686" s="47" t="n">
        <f aca="false">IF(P685&gt;0,Q685+P685*(1-V$20/100),Q685+P685)</f>
        <v>923.371942376386</v>
      </c>
      <c r="R686" s="48" t="n">
        <f aca="false">R$4+Q686/V$28</f>
        <v>50.9221228009045</v>
      </c>
    </row>
    <row r="687" customFormat="false" ht="12.8" hidden="false" customHeight="false" outlineLevel="0" collapsed="false">
      <c r="A687" s="1" t="n">
        <v>683</v>
      </c>
      <c r="B687" s="37" t="n">
        <v>44228</v>
      </c>
      <c r="C687" s="38" t="n">
        <f aca="false">V$26-V$26*SIN(2*PI()/365*A687)</f>
        <v>24.4061099747401</v>
      </c>
      <c r="D687" s="2" t="n">
        <f aca="false">IF((E687+F687)&gt;C687,C687,E687+F687)</f>
        <v>6.63826348928064</v>
      </c>
      <c r="E687" s="38" t="n">
        <f aca="false">(V$23+V$24*SIN(2*PI()/365*A687))*V$25/100*V$7*V$8/100</f>
        <v>5.47813087009824</v>
      </c>
      <c r="F687" s="38" t="n">
        <f aca="false">(V$23+V$24*SIN(2*PI()/365*A687))*V$25/100*V$9*(1-V$14/100)*(1-V$16/100)</f>
        <v>1.1601326191824</v>
      </c>
      <c r="G687" s="38" t="n">
        <f aca="false">IF(C687&gt;E687,100,C687/E687*100)</f>
        <v>100</v>
      </c>
      <c r="H687" s="38" t="n">
        <f aca="false">L687/F687*100</f>
        <v>100</v>
      </c>
      <c r="I687" s="38" t="n">
        <f aca="false">(V$23+V$24*SIN(2*PI()/365*A687))*V$25/100*V$7*V$8/100*(1-V$15/100)</f>
        <v>4.87553647438743</v>
      </c>
      <c r="J687" s="38" t="n">
        <f aca="false">(V$23+V$24*SIN(2*PI()/365*A687))*V$25/100*V$9*(1-V$14/100)</f>
        <v>1.30351979683416</v>
      </c>
      <c r="K687" s="39" t="n">
        <f aca="false">IF(E687/C687*100&lt;100,E687/C687*100,100)</f>
        <v>22.4457354153038</v>
      </c>
      <c r="L687" s="2" t="n">
        <f aca="false">IF(((C687-E687)&gt;0)AND(F687&gt;(C687-E687)),(C687-E687),IF(C687&lt;E687,0,F687))</f>
        <v>1.1601326191824</v>
      </c>
      <c r="M687" s="2" t="n">
        <f aca="false">IF(C687&lt;(E687+F687),0,C687-E687-F687)</f>
        <v>17.7678464854595</v>
      </c>
      <c r="N687" s="2" t="n">
        <f aca="false">IF(C687&lt;(E687+F687),0,(C687-E687-F687)/(1-V$16/100))</f>
        <v>19.9638724555725</v>
      </c>
      <c r="O687" s="2" t="n">
        <f aca="false">L687+M687</f>
        <v>18.9279791046419</v>
      </c>
      <c r="P687" s="2" t="n">
        <f aca="false">IF( N687=0,I687*(1-G687/100)+J687*(1-H687/100),-N687)</f>
        <v>-19.9638724555725</v>
      </c>
      <c r="Q687" s="47" t="n">
        <f aca="false">IF(P686&gt;0,Q686+P686*(1-V$20/100),Q686+P686)</f>
        <v>903.030148330175</v>
      </c>
      <c r="R687" s="48" t="n">
        <f aca="false">R$4+Q687/V$28</f>
        <v>50.6815094983261</v>
      </c>
    </row>
    <row r="688" customFormat="false" ht="12.8" hidden="false" customHeight="false" outlineLevel="0" collapsed="false">
      <c r="A688" s="1" t="n">
        <v>684</v>
      </c>
      <c r="B688" s="37" t="n">
        <v>44229</v>
      </c>
      <c r="C688" s="38" t="n">
        <f aca="false">V$26-V$26*SIN(2*PI()/365*A688)</f>
        <v>24.236372959989</v>
      </c>
      <c r="D688" s="2" t="n">
        <f aca="false">IF((E688+F688)&gt;C688,C688,E688+F688)</f>
        <v>6.81100292169572</v>
      </c>
      <c r="E688" s="38" t="n">
        <f aca="false">(V$23+V$24*SIN(2*PI()/365*A688))*V$25/100*V$7*V$8/100</f>
        <v>5.62068158667108</v>
      </c>
      <c r="F688" s="38" t="n">
        <f aca="false">(V$23+V$24*SIN(2*PI()/365*A688))*V$25/100*V$9*(1-V$14/100)*(1-V$16/100)</f>
        <v>1.19032133502464</v>
      </c>
      <c r="G688" s="38" t="n">
        <f aca="false">IF(C688&gt;E688,100,C688/E688*100)</f>
        <v>100</v>
      </c>
      <c r="H688" s="38" t="n">
        <f aca="false">L688/F688*100</f>
        <v>100</v>
      </c>
      <c r="I688" s="38" t="n">
        <f aca="false">(V$23+V$24*SIN(2*PI()/365*A688))*V$25/100*V$7*V$8/100*(1-V$15/100)</f>
        <v>5.00240661213726</v>
      </c>
      <c r="J688" s="38" t="n">
        <f aca="false">(V$23+V$24*SIN(2*PI()/365*A688))*V$25/100*V$9*(1-V$14/100)</f>
        <v>1.33743970227488</v>
      </c>
      <c r="K688" s="39" t="n">
        <f aca="false">IF(E688/C688*100&lt;100,E688/C688*100,100)</f>
        <v>23.1911004008317</v>
      </c>
      <c r="L688" s="2" t="n">
        <f aca="false">IF(((C688-E688)&gt;0)AND(F688&gt;(C688-E688)),(C688-E688),IF(C688&lt;E688,0,F688))</f>
        <v>1.19032133502464</v>
      </c>
      <c r="M688" s="2" t="n">
        <f aca="false">IF(C688&lt;(E688+F688),0,C688-E688-F688)</f>
        <v>17.4253700382932</v>
      </c>
      <c r="N688" s="2" t="n">
        <f aca="false">IF(C688&lt;(E688+F688),0,(C688-E688-F688)/(1-V$16/100))</f>
        <v>19.5790674587565</v>
      </c>
      <c r="O688" s="2" t="n">
        <f aca="false">L688+M688</f>
        <v>18.6156913733179</v>
      </c>
      <c r="P688" s="2" t="n">
        <f aca="false">IF( N688=0,I688*(1-G688/100)+J688*(1-H688/100),-N688)</f>
        <v>-19.5790674587565</v>
      </c>
      <c r="Q688" s="47" t="n">
        <f aca="false">IF(P687&gt;0,Q687+P687*(1-V$20/100),Q687+P687)</f>
        <v>883.066275874602</v>
      </c>
      <c r="R688" s="48" t="n">
        <f aca="false">R$4+Q688/V$28</f>
        <v>50.4453664485598</v>
      </c>
    </row>
    <row r="689" customFormat="false" ht="12.8" hidden="false" customHeight="false" outlineLevel="0" collapsed="false">
      <c r="A689" s="1" t="n">
        <v>685</v>
      </c>
      <c r="B689" s="37" t="n">
        <v>44230</v>
      </c>
      <c r="C689" s="38" t="n">
        <f aca="false">V$26-V$26*SIN(2*PI()/365*A689)</f>
        <v>24.0636499799094</v>
      </c>
      <c r="D689" s="2" t="n">
        <f aca="false">IF((E689+F689)&gt;C689,C689,E689+F689)</f>
        <v>6.98678113711749</v>
      </c>
      <c r="E689" s="38" t="n">
        <f aca="false">(V$23+V$24*SIN(2*PI()/365*A689))*V$25/100*V$7*V$8/100</f>
        <v>5.76574001494041</v>
      </c>
      <c r="F689" s="38" t="n">
        <f aca="false">(V$23+V$24*SIN(2*PI()/365*A689))*V$25/100*V$9*(1-V$14/100)*(1-V$16/100)</f>
        <v>1.22104112217707</v>
      </c>
      <c r="G689" s="38" t="n">
        <f aca="false">IF(C689&gt;E689,100,C689/E689*100)</f>
        <v>100</v>
      </c>
      <c r="H689" s="38" t="n">
        <f aca="false">L689/F689*100</f>
        <v>100</v>
      </c>
      <c r="I689" s="38" t="n">
        <f aca="false">(V$23+V$24*SIN(2*PI()/365*A689))*V$25/100*V$7*V$8/100*(1-V$15/100)</f>
        <v>5.13150861329697</v>
      </c>
      <c r="J689" s="38" t="n">
        <f aca="false">(V$23+V$24*SIN(2*PI()/365*A689))*V$25/100*V$9*(1-V$14/100)</f>
        <v>1.37195631705289</v>
      </c>
      <c r="K689" s="39" t="n">
        <f aca="false">IF(E689/C689*100&lt;100,E689/C689*100,100)</f>
        <v>23.9603718461422</v>
      </c>
      <c r="L689" s="2" t="n">
        <f aca="false">IF(((C689-E689)&gt;0)AND(F689&gt;(C689-E689)),(C689-E689),IF(C689&lt;E689,0,F689))</f>
        <v>1.22104112217707</v>
      </c>
      <c r="M689" s="2" t="n">
        <f aca="false">IF(C689&lt;(E689+F689),0,C689-E689-F689)</f>
        <v>17.0768688427919</v>
      </c>
      <c r="N689" s="2" t="n">
        <f aca="false">IF(C689&lt;(E689+F689),0,(C689-E689-F689)/(1-V$16/100))</f>
        <v>19.1874930817887</v>
      </c>
      <c r="O689" s="2" t="n">
        <f aca="false">L689+M689</f>
        <v>18.297909964969</v>
      </c>
      <c r="P689" s="2" t="n">
        <f aca="false">IF( N689=0,I689*(1-G689/100)+J689*(1-H689/100),-N689)</f>
        <v>-19.1874930817887</v>
      </c>
      <c r="Q689" s="47" t="n">
        <f aca="false">IF(P688&gt;0,Q688+P688*(1-V$20/100),Q688+P688)</f>
        <v>863.487208415846</v>
      </c>
      <c r="R689" s="48" t="n">
        <f aca="false">R$4+Q689/V$28</f>
        <v>50.2137750721082</v>
      </c>
    </row>
    <row r="690" customFormat="false" ht="12.8" hidden="false" customHeight="false" outlineLevel="0" collapsed="false">
      <c r="A690" s="1" t="n">
        <v>686</v>
      </c>
      <c r="B690" s="37" t="n">
        <v>44231</v>
      </c>
      <c r="C690" s="38" t="n">
        <f aca="false">V$26-V$26*SIN(2*PI()/365*A690)</f>
        <v>23.8879922160481</v>
      </c>
      <c r="D690" s="2" t="n">
        <f aca="false">IF((E690+F690)&gt;C690,C690,E690+F690)</f>
        <v>7.16554604866714</v>
      </c>
      <c r="E690" s="38" t="n">
        <f aca="false">(V$23+V$24*SIN(2*PI()/365*A690))*V$25/100*V$7*V$8/100</f>
        <v>5.91326317096336</v>
      </c>
      <c r="F690" s="38" t="n">
        <f aca="false">(V$23+V$24*SIN(2*PI()/365*A690))*V$25/100*V$9*(1-V$14/100)*(1-V$16/100)</f>
        <v>1.25228287770379</v>
      </c>
      <c r="G690" s="38" t="n">
        <f aca="false">IF(C690&gt;E690,100,C690/E690*100)</f>
        <v>100</v>
      </c>
      <c r="H690" s="38" t="n">
        <f aca="false">L690/F690*100</f>
        <v>100</v>
      </c>
      <c r="I690" s="38" t="n">
        <f aca="false">(V$23+V$24*SIN(2*PI()/365*A690))*V$25/100*V$7*V$8/100*(1-V$15/100)</f>
        <v>5.26280422215739</v>
      </c>
      <c r="J690" s="38" t="n">
        <f aca="false">(V$23+V$24*SIN(2*PI()/365*A690))*V$25/100*V$9*(1-V$14/100)</f>
        <v>1.40705941315032</v>
      </c>
      <c r="K690" s="39" t="n">
        <f aca="false">IF(E690/C690*100&lt;100,E690/C690*100,100)</f>
        <v>24.7541238187058</v>
      </c>
      <c r="L690" s="2" t="n">
        <f aca="false">IF(((C690-E690)&gt;0)AND(F690&gt;(C690-E690)),(C690-E690),IF(C690&lt;E690,0,F690))</f>
        <v>1.25228287770379</v>
      </c>
      <c r="M690" s="2" t="n">
        <f aca="false">IF(C690&lt;(E690+F690),0,C690-E690-F690)</f>
        <v>16.722446167381</v>
      </c>
      <c r="N690" s="2" t="n">
        <f aca="false">IF(C690&lt;(E690+F690),0,(C690-E690-F690)/(1-V$16/100))</f>
        <v>18.7892653566078</v>
      </c>
      <c r="O690" s="2" t="n">
        <f aca="false">L690+M690</f>
        <v>17.9747290450848</v>
      </c>
      <c r="P690" s="2" t="n">
        <f aca="false">IF( N690=0,I690*(1-G690/100)+J690*(1-H690/100),-N690)</f>
        <v>-18.7892653566078</v>
      </c>
      <c r="Q690" s="47" t="n">
        <f aca="false">IF(P689&gt;0,Q689+P689*(1-V$20/100),Q689+P689)</f>
        <v>844.299715334057</v>
      </c>
      <c r="R690" s="48" t="n">
        <f aca="false">R$4+Q690/V$28</f>
        <v>49.9868154407148</v>
      </c>
    </row>
    <row r="691" customFormat="false" ht="12.8" hidden="false" customHeight="false" outlineLevel="0" collapsed="false">
      <c r="A691" s="1" t="n">
        <v>687</v>
      </c>
      <c r="B691" s="37" t="n">
        <v>44232</v>
      </c>
      <c r="C691" s="38" t="n">
        <f aca="false">V$26-V$26*SIN(2*PI()/365*A691)</f>
        <v>23.7094517195915</v>
      </c>
      <c r="D691" s="2" t="n">
        <f aca="false">IF((E691+F691)&gt;C691,C691,E691+F691)</f>
        <v>7.34724468444335</v>
      </c>
      <c r="E691" s="38" t="n">
        <f aca="false">(V$23+V$24*SIN(2*PI()/365*A691))*V$25/100*V$7*V$8/100</f>
        <v>6.06320734044498</v>
      </c>
      <c r="F691" s="38" t="n">
        <f aca="false">(V$23+V$24*SIN(2*PI()/365*A691))*V$25/100*V$9*(1-V$14/100)*(1-V$16/100)</f>
        <v>1.28403734399837</v>
      </c>
      <c r="G691" s="38" t="n">
        <f aca="false">IF(C691&gt;E691,100,C691/E691*100)</f>
        <v>100</v>
      </c>
      <c r="H691" s="38" t="n">
        <f aca="false">L691/F691*100</f>
        <v>100</v>
      </c>
      <c r="I691" s="38" t="n">
        <f aca="false">(V$23+V$24*SIN(2*PI()/365*A691))*V$25/100*V$7*V$8/100*(1-V$15/100)</f>
        <v>5.39625453299603</v>
      </c>
      <c r="J691" s="38" t="n">
        <f aca="false">(V$23+V$24*SIN(2*PI()/365*A691))*V$25/100*V$9*(1-V$14/100)</f>
        <v>1.44273858876221</v>
      </c>
      <c r="K691" s="39" t="n">
        <f aca="false">IF(E691/C691*100&lt;100,E691/C691*100,100)</f>
        <v>25.5729546686853</v>
      </c>
      <c r="L691" s="2" t="n">
        <f aca="false">IF(((C691-E691)&gt;0)AND(F691&gt;(C691-E691)),(C691-E691),IF(C691&lt;E691,0,F691))</f>
        <v>1.28403734399837</v>
      </c>
      <c r="M691" s="2" t="n">
        <f aca="false">IF(C691&lt;(E691+F691),0,C691-E691-F691)</f>
        <v>16.3622070351482</v>
      </c>
      <c r="N691" s="2" t="n">
        <f aca="false">IF(C691&lt;(E691+F691),0,(C691-E691-F691)/(1-V$16/100))</f>
        <v>18.3845022866834</v>
      </c>
      <c r="O691" s="2" t="n">
        <f aca="false">L691+M691</f>
        <v>17.6462443791465</v>
      </c>
      <c r="P691" s="2" t="n">
        <f aca="false">IF( N691=0,I691*(1-G691/100)+J691*(1-H691/100),-N691)</f>
        <v>-18.3845022866834</v>
      </c>
      <c r="Q691" s="47" t="n">
        <f aca="false">IF(P690&gt;0,Q690+P690*(1-V$20/100),Q690+P690)</f>
        <v>825.51044997745</v>
      </c>
      <c r="R691" s="48" t="n">
        <f aca="false">R$4+Q691/V$28</f>
        <v>49.7645662536369</v>
      </c>
    </row>
    <row r="692" customFormat="false" ht="12.8" hidden="false" customHeight="false" outlineLevel="0" collapsed="false">
      <c r="A692" s="1" t="n">
        <v>688</v>
      </c>
      <c r="B692" s="37" t="n">
        <v>44233</v>
      </c>
      <c r="C692" s="38" t="n">
        <f aca="false">V$26-V$26*SIN(2*PI()/365*A692)</f>
        <v>23.528081395942</v>
      </c>
      <c r="D692" s="2" t="n">
        <f aca="false">IF((E692+F692)&gt;C692,C692,E692+F692)</f>
        <v>7.5318232032189</v>
      </c>
      <c r="E692" s="38" t="n">
        <f aca="false">(V$23+V$24*SIN(2*PI()/365*A692))*V$25/100*V$7*V$8/100</f>
        <v>6.21552809169177</v>
      </c>
      <c r="F692" s="38" t="n">
        <f aca="false">(V$23+V$24*SIN(2*PI()/365*A692))*V$25/100*V$9*(1-V$14/100)*(1-V$16/100)</f>
        <v>1.31629511152713</v>
      </c>
      <c r="G692" s="38" t="n">
        <f aca="false">IF(C692&gt;E692,100,C692/E692*100)</f>
        <v>100</v>
      </c>
      <c r="H692" s="38" t="n">
        <f aca="false">L692/F692*100</f>
        <v>100</v>
      </c>
      <c r="I692" s="38" t="n">
        <f aca="false">(V$23+V$24*SIN(2*PI()/365*A692))*V$25/100*V$7*V$8/100*(1-V$15/100)</f>
        <v>5.53182000160568</v>
      </c>
      <c r="J692" s="38" t="n">
        <f aca="false">(V$23+V$24*SIN(2*PI()/365*A692))*V$25/100*V$9*(1-V$14/100)</f>
        <v>1.4789832713788</v>
      </c>
      <c r="K692" s="39" t="n">
        <f aca="false">IF(E692/C692*100&lt;100,E692/C692*100,100)</f>
        <v>26.4174880522293</v>
      </c>
      <c r="L692" s="2" t="n">
        <f aca="false">IF(((C692-E692)&gt;0)AND(F692&gt;(C692-E692)),(C692-E692),IF(C692&lt;E692,0,F692))</f>
        <v>1.31629511152713</v>
      </c>
      <c r="M692" s="2" t="n">
        <f aca="false">IF(C692&lt;(E692+F692),0,C692-E692-F692)</f>
        <v>15.9962581927231</v>
      </c>
      <c r="N692" s="2" t="n">
        <f aca="false">IF(C692&lt;(E692+F692),0,(C692-E692-F692)/(1-V$16/100))</f>
        <v>17.9733238120484</v>
      </c>
      <c r="O692" s="2" t="n">
        <f aca="false">L692+M692</f>
        <v>17.3125533042502</v>
      </c>
      <c r="P692" s="2" t="n">
        <f aca="false">IF( N692=0,I692*(1-G692/100)+J692*(1-H692/100),-N692)</f>
        <v>-17.9733238120484</v>
      </c>
      <c r="Q692" s="47" t="n">
        <f aca="false">IF(P691&gt;0,Q691+P691*(1-V$20/100),Q691+P691)</f>
        <v>807.125947690766</v>
      </c>
      <c r="R692" s="48" t="n">
        <f aca="false">R$4+Q692/V$28</f>
        <v>49.5471048143258</v>
      </c>
    </row>
    <row r="693" customFormat="false" ht="12.8" hidden="false" customHeight="false" outlineLevel="0" collapsed="false">
      <c r="A693" s="1" t="n">
        <v>689</v>
      </c>
      <c r="B693" s="37" t="n">
        <v>44234</v>
      </c>
      <c r="C693" s="38" t="n">
        <f aca="false">V$26-V$26*SIN(2*PI()/365*A693)</f>
        <v>23.3439349890407</v>
      </c>
      <c r="D693" s="2" t="n">
        <f aca="false">IF((E693+F693)&gt;C693,C693,E693+F693)</f>
        <v>7.71922691039519</v>
      </c>
      <c r="E693" s="38" t="n">
        <f aca="false">(V$23+V$24*SIN(2*PI()/365*A693))*V$25/100*V$7*V$8/100</f>
        <v>6.3701802887778</v>
      </c>
      <c r="F693" s="38" t="n">
        <f aca="false">(V$23+V$24*SIN(2*PI()/365*A693))*V$25/100*V$9*(1-V$14/100)*(1-V$16/100)</f>
        <v>1.34904662161738</v>
      </c>
      <c r="G693" s="38" t="n">
        <f aca="false">IF(C693&gt;E693,100,C693/E693*100)</f>
        <v>100</v>
      </c>
      <c r="H693" s="38" t="n">
        <f aca="false">L693/F693*100</f>
        <v>100</v>
      </c>
      <c r="I693" s="38" t="n">
        <f aca="false">(V$23+V$24*SIN(2*PI()/365*A693))*V$25/100*V$7*V$8/100*(1-V$15/100)</f>
        <v>5.66946045701225</v>
      </c>
      <c r="J693" s="38" t="n">
        <f aca="false">(V$23+V$24*SIN(2*PI()/365*A693))*V$25/100*V$9*(1-V$14/100)</f>
        <v>1.51578272091841</v>
      </c>
      <c r="K693" s="39" t="n">
        <f aca="false">IF(E693/C693*100&lt;100,E693/C693*100,100)</f>
        <v>27.2883740113585</v>
      </c>
      <c r="L693" s="2" t="n">
        <f aca="false">IF(((C693-E693)&gt;0)AND(F693&gt;(C693-E693)),(C693-E693),IF(C693&lt;E693,0,F693))</f>
        <v>1.34904662161738</v>
      </c>
      <c r="M693" s="2" t="n">
        <f aca="false">IF(C693&lt;(E693+F693),0,C693-E693-F693)</f>
        <v>15.6247080786455</v>
      </c>
      <c r="N693" s="2" t="n">
        <f aca="false">IF(C693&lt;(E693+F693),0,(C693-E693-F693)/(1-V$16/100))</f>
        <v>17.555851773759</v>
      </c>
      <c r="O693" s="2" t="n">
        <f aca="false">L693+M693</f>
        <v>16.9737547002629</v>
      </c>
      <c r="P693" s="2" t="n">
        <f aca="false">IF( N693=0,I693*(1-G693/100)+J693*(1-H693/100),-N693)</f>
        <v>-17.555851773759</v>
      </c>
      <c r="Q693" s="47" t="n">
        <f aca="false">IF(P692&gt;0,Q692+P692*(1-V$20/100),Q692+P692)</f>
        <v>789.152623878718</v>
      </c>
      <c r="R693" s="48" t="n">
        <f aca="false">R$4+Q693/V$28</f>
        <v>49.3345070075196</v>
      </c>
    </row>
    <row r="694" customFormat="false" ht="12.8" hidden="false" customHeight="false" outlineLevel="0" collapsed="false">
      <c r="A694" s="1" t="n">
        <v>690</v>
      </c>
      <c r="B694" s="37" t="n">
        <v>44235</v>
      </c>
      <c r="C694" s="38" t="n">
        <f aca="false">V$26-V$26*SIN(2*PI()/365*A694)</f>
        <v>23.1570670654421</v>
      </c>
      <c r="D694" s="2" t="n">
        <f aca="false">IF((E694+F694)&gt;C694,C694,E694+F694)</f>
        <v>7.90940027420928</v>
      </c>
      <c r="E694" s="38" t="n">
        <f aca="false">(V$23+V$24*SIN(2*PI()/365*A694))*V$25/100*V$7*V$8/100</f>
        <v>6.52711810491943</v>
      </c>
      <c r="F694" s="38" t="n">
        <f aca="false">(V$23+V$24*SIN(2*PI()/365*A694))*V$25/100*V$9*(1-V$14/100)*(1-V$16/100)</f>
        <v>1.38228216928985</v>
      </c>
      <c r="G694" s="38" t="n">
        <f aca="false">IF(C694&gt;E694,100,C694/E694*100)</f>
        <v>100</v>
      </c>
      <c r="H694" s="38" t="n">
        <f aca="false">L694/F694*100</f>
        <v>100</v>
      </c>
      <c r="I694" s="38" t="n">
        <f aca="false">(V$23+V$24*SIN(2*PI()/365*A694))*V$25/100*V$7*V$8/100*(1-V$15/100)</f>
        <v>5.80913511337829</v>
      </c>
      <c r="J694" s="38" t="n">
        <f aca="false">(V$23+V$24*SIN(2*PI()/365*A694))*V$25/100*V$9*(1-V$14/100)</f>
        <v>1.55312603290994</v>
      </c>
      <c r="K694" s="39" t="n">
        <f aca="false">IF(E694/C694*100&lt;100,E694/C694*100,100)</f>
        <v>28.1862901138288</v>
      </c>
      <c r="L694" s="2" t="n">
        <f aca="false">IF(((C694-E694)&gt;0)AND(F694&gt;(C694-E694)),(C694-E694),IF(C694&lt;E694,0,F694))</f>
        <v>1.38228216928985</v>
      </c>
      <c r="M694" s="2" t="n">
        <f aca="false">IF(C694&lt;(E694+F694),0,C694-E694-F694)</f>
        <v>15.2476667912329</v>
      </c>
      <c r="N694" s="2" t="n">
        <f aca="false">IF(C694&lt;(E694+F694),0,(C694-E694-F694)/(1-V$16/100))</f>
        <v>17.1322098777897</v>
      </c>
      <c r="O694" s="2" t="n">
        <f aca="false">L694+M694</f>
        <v>16.6299489605227</v>
      </c>
      <c r="P694" s="2" t="n">
        <f aca="false">IF( N694=0,I694*(1-G694/100)+J694*(1-H694/100),-N694)</f>
        <v>-17.1322098777897</v>
      </c>
      <c r="Q694" s="47" t="n">
        <f aca="false">IF(P693&gt;0,Q693+P693*(1-V$20/100),Q693+P693)</f>
        <v>771.596772104959</v>
      </c>
      <c r="R694" s="48" t="n">
        <f aca="false">R$4+Q694/V$28</f>
        <v>49.1268472767572</v>
      </c>
    </row>
    <row r="695" customFormat="false" ht="12.8" hidden="false" customHeight="false" outlineLevel="0" collapsed="false">
      <c r="A695" s="1" t="n">
        <v>691</v>
      </c>
      <c r="B695" s="37" t="n">
        <v>44236</v>
      </c>
      <c r="C695" s="38" t="n">
        <f aca="false">V$26-V$26*SIN(2*PI()/365*A695)</f>
        <v>22.9675329981451</v>
      </c>
      <c r="D695" s="2" t="n">
        <f aca="false">IF((E695+F695)&gt;C695,C695,E695+F695)</f>
        <v>8.10228694218916</v>
      </c>
      <c r="E695" s="38" t="n">
        <f aca="false">(V$23+V$24*SIN(2*PI()/365*A695))*V$25/100*V$7*V$8/100</f>
        <v>6.6862950360547</v>
      </c>
      <c r="F695" s="38" t="n">
        <f aca="false">(V$23+V$24*SIN(2*PI()/365*A695))*V$25/100*V$9*(1-V$14/100)*(1-V$16/100)</f>
        <v>1.41599190613446</v>
      </c>
      <c r="G695" s="38" t="n">
        <f aca="false">IF(C695&gt;E695,100,C695/E695*100)</f>
        <v>100</v>
      </c>
      <c r="H695" s="38" t="n">
        <f aca="false">L695/F695*100</f>
        <v>100</v>
      </c>
      <c r="I695" s="38" t="n">
        <f aca="false">(V$23+V$24*SIN(2*PI()/365*A695))*V$25/100*V$7*V$8/100*(1-V$15/100)</f>
        <v>5.95080258208868</v>
      </c>
      <c r="J695" s="38" t="n">
        <f aca="false">(V$23+V$24*SIN(2*PI()/365*A695))*V$25/100*V$9*(1-V$14/100)</f>
        <v>1.59100214172412</v>
      </c>
      <c r="K695" s="39" t="n">
        <f aca="false">IF(E695/C695*100&lt;100,E695/C695*100,100)</f>
        <v>29.1119426565957</v>
      </c>
      <c r="L695" s="2" t="n">
        <f aca="false">IF(((C695-E695)&gt;0)AND(F695&gt;(C695-E695)),(C695-E695),IF(C695&lt;E695,0,F695))</f>
        <v>1.41599190613446</v>
      </c>
      <c r="M695" s="2" t="n">
        <f aca="false">IF(C695&lt;(E695+F695),0,C695-E695-F695)</f>
        <v>14.8652460559559</v>
      </c>
      <c r="N695" s="2" t="n">
        <f aca="false">IF(C695&lt;(E695+F695),0,(C695-E695-F695)/(1-V$16/100))</f>
        <v>16.7025236583775</v>
      </c>
      <c r="O695" s="2" t="n">
        <f aca="false">L695+M695</f>
        <v>16.2812379620904</v>
      </c>
      <c r="P695" s="2" t="n">
        <f aca="false">IF( N695=0,I695*(1-G695/100)+J695*(1-H695/100),-N695)</f>
        <v>-16.7025236583775</v>
      </c>
      <c r="Q695" s="47" t="n">
        <f aca="false">IF(P694&gt;0,Q694+P694*(1-V$20/100),Q694+P694)</f>
        <v>754.464562227169</v>
      </c>
      <c r="R695" s="48" t="n">
        <f aca="false">R$4+Q695/V$28</f>
        <v>48.9241986023189</v>
      </c>
    </row>
    <row r="696" customFormat="false" ht="12.8" hidden="false" customHeight="false" outlineLevel="0" collapsed="false">
      <c r="A696" s="1" t="n">
        <v>692</v>
      </c>
      <c r="B696" s="37" t="n">
        <v>44237</v>
      </c>
      <c r="C696" s="38" t="n">
        <f aca="false">V$26-V$26*SIN(2*PI()/365*A696)</f>
        <v>22.7753889501842</v>
      </c>
      <c r="D696" s="2" t="n">
        <f aca="false">IF((E696+F696)&gt;C696,C696,E696+F696)</f>
        <v>8.2978297578523</v>
      </c>
      <c r="E696" s="38" t="n">
        <f aca="false">(V$23+V$24*SIN(2*PI()/365*A696))*V$25/100*V$7*V$8/100</f>
        <v>6.84766391462361</v>
      </c>
      <c r="F696" s="38" t="n">
        <f aca="false">(V$23+V$24*SIN(2*PI()/365*A696))*V$25/100*V$9*(1-V$14/100)*(1-V$16/100)</f>
        <v>1.45016584322869</v>
      </c>
      <c r="G696" s="38" t="n">
        <f aca="false">IF(C696&gt;E696,100,C696/E696*100)</f>
        <v>100</v>
      </c>
      <c r="H696" s="38" t="n">
        <f aca="false">L696/F696*100</f>
        <v>100</v>
      </c>
      <c r="I696" s="38" t="n">
        <f aca="false">(V$23+V$24*SIN(2*PI()/365*A696))*V$25/100*V$7*V$8/100*(1-V$15/100)</f>
        <v>6.09442088401501</v>
      </c>
      <c r="J696" s="38" t="n">
        <f aca="false">(V$23+V$24*SIN(2*PI()/365*A696))*V$25/100*V$9*(1-V$14/100)</f>
        <v>1.62939982385246</v>
      </c>
      <c r="K696" s="39" t="n">
        <f aca="false">IF(E696/C696*100&lt;100,E696/C696*100,100)</f>
        <v>30.0660679367596</v>
      </c>
      <c r="L696" s="2" t="n">
        <f aca="false">IF(((C696-E696)&gt;0)AND(F696&gt;(C696-E696)),(C696-E696),IF(C696&lt;E696,0,F696))</f>
        <v>1.45016584322869</v>
      </c>
      <c r="M696" s="2" t="n">
        <f aca="false">IF(C696&lt;(E696+F696),0,C696-E696-F696)</f>
        <v>14.4775591923319</v>
      </c>
      <c r="N696" s="2" t="n">
        <f aca="false">IF(C696&lt;(E696+F696),0,(C696-E696-F696)/(1-V$16/100))</f>
        <v>16.2669204408223</v>
      </c>
      <c r="O696" s="2" t="n">
        <f aca="false">L696+M696</f>
        <v>15.9277250355606</v>
      </c>
      <c r="P696" s="2" t="n">
        <f aca="false">IF( N696=0,I696*(1-G696/100)+J696*(1-H696/100),-N696)</f>
        <v>-16.2669204408223</v>
      </c>
      <c r="Q696" s="47" t="n">
        <f aca="false">IF(P695&gt;0,Q695+P695*(1-V$20/100),Q695+P695)</f>
        <v>737.762038568792</v>
      </c>
      <c r="R696" s="48" t="n">
        <f aca="false">R$4+Q696/V$28</f>
        <v>48.7266324796009</v>
      </c>
    </row>
    <row r="697" customFormat="false" ht="12.8" hidden="false" customHeight="false" outlineLevel="0" collapsed="false">
      <c r="A697" s="1" t="n">
        <v>693</v>
      </c>
      <c r="B697" s="37" t="n">
        <v>44238</v>
      </c>
      <c r="C697" s="38" t="n">
        <f aca="false">V$26-V$26*SIN(2*PI()/365*A697)</f>
        <v>22.5806918579876</v>
      </c>
      <c r="D697" s="2" t="n">
        <f aca="false">IF((E697+F697)&gt;C697,C697,E697+F697)</f>
        <v>8.49597077764225</v>
      </c>
      <c r="E697" s="38" t="n">
        <f aca="false">(V$23+V$24*SIN(2*PI()/365*A697))*V$25/100*V$7*V$8/100</f>
        <v>7.01117692354482</v>
      </c>
      <c r="F697" s="38" t="n">
        <f aca="false">(V$23+V$24*SIN(2*PI()/365*A697))*V$25/100*V$9*(1-V$14/100)*(1-V$16/100)</f>
        <v>1.48479385409743</v>
      </c>
      <c r="G697" s="38" t="n">
        <f aca="false">IF(C697&gt;E697,100,C697/E697*100)</f>
        <v>100</v>
      </c>
      <c r="H697" s="38" t="n">
        <f aca="false">L697/F697*100</f>
        <v>100</v>
      </c>
      <c r="I697" s="38" t="n">
        <f aca="false">(V$23+V$24*SIN(2*PI()/365*A697))*V$25/100*V$7*V$8/100*(1-V$15/100)</f>
        <v>6.23994746195489</v>
      </c>
      <c r="J697" s="38" t="n">
        <f aca="false">(V$23+V$24*SIN(2*PI()/365*A697))*V$25/100*V$9*(1-V$14/100)</f>
        <v>1.66830770123307</v>
      </c>
      <c r="K697" s="39" t="n">
        <f aca="false">IF(E697/C697*100&lt;100,E697/C697*100,100)</f>
        <v>31.049433594147</v>
      </c>
      <c r="L697" s="2" t="n">
        <f aca="false">IF(((C697-E697)&gt;0)AND(F697&gt;(C697-E697)),(C697-E697),IF(C697&lt;E697,0,F697))</f>
        <v>1.48479385409743</v>
      </c>
      <c r="M697" s="2" t="n">
        <f aca="false">IF(C697&lt;(E697+F697),0,C697-E697-F697)</f>
        <v>14.0847210803454</v>
      </c>
      <c r="N697" s="2" t="n">
        <f aca="false">IF(C697&lt;(E697+F697),0,(C697-E697-F697)/(1-V$16/100))</f>
        <v>15.8255293037588</v>
      </c>
      <c r="O697" s="2" t="n">
        <f aca="false">L697+M697</f>
        <v>15.5695149344428</v>
      </c>
      <c r="P697" s="2" t="n">
        <f aca="false">IF( N697=0,I697*(1-G697/100)+J697*(1-H697/100),-N697)</f>
        <v>-15.8255293037588</v>
      </c>
      <c r="Q697" s="47" t="n">
        <f aca="false">IF(P696&gt;0,Q696+P696*(1-V$20/100),Q696+P696)</f>
        <v>721.495118127969</v>
      </c>
      <c r="R697" s="48" t="n">
        <f aca="false">R$4+Q697/V$28</f>
        <v>48.5342188979299</v>
      </c>
    </row>
    <row r="698" customFormat="false" ht="12.8" hidden="false" customHeight="false" outlineLevel="0" collapsed="false">
      <c r="A698" s="1" t="n">
        <v>694</v>
      </c>
      <c r="B698" s="37" t="n">
        <v>44239</v>
      </c>
      <c r="C698" s="38" t="n">
        <f aca="false">V$26-V$26*SIN(2*PI()/365*A698)</f>
        <v>22.3834994145057</v>
      </c>
      <c r="D698" s="2" t="n">
        <f aca="false">IF((E698+F698)&gt;C698,C698,E698+F698)</f>
        <v>8.69665128809864</v>
      </c>
      <c r="E698" s="38" t="n">
        <f aca="false">(V$23+V$24*SIN(2*PI()/365*A698))*V$25/100*V$7*V$8/100</f>
        <v>7.1767856103849</v>
      </c>
      <c r="F698" s="38" t="n">
        <f aca="false">(V$23+V$24*SIN(2*PI()/365*A698))*V$25/100*V$9*(1-V$14/100)*(1-V$16/100)</f>
        <v>1.51986567771374</v>
      </c>
      <c r="G698" s="38" t="n">
        <f aca="false">IF(C698&gt;E698,100,C698/E698*100)</f>
        <v>100</v>
      </c>
      <c r="H698" s="38" t="n">
        <f aca="false">L698/F698*100</f>
        <v>100</v>
      </c>
      <c r="I698" s="38" t="n">
        <f aca="false">(V$23+V$24*SIN(2*PI()/365*A698))*V$25/100*V$7*V$8/100*(1-V$15/100)</f>
        <v>6.38733919324256</v>
      </c>
      <c r="J698" s="38" t="n">
        <f aca="false">(V$23+V$24*SIN(2*PI()/365*A698))*V$25/100*V$9*(1-V$14/100)</f>
        <v>1.70771424462218</v>
      </c>
      <c r="K698" s="39" t="n">
        <f aca="false">IF(E698/C698*100&lt;100,E698/C698*100,100)</f>
        <v>32.062840029982</v>
      </c>
      <c r="L698" s="2" t="n">
        <f aca="false">IF(((C698-E698)&gt;0)AND(F698&gt;(C698-E698)),(C698-E698),IF(C698&lt;E698,0,F698))</f>
        <v>1.51986567771374</v>
      </c>
      <c r="M698" s="2" t="n">
        <f aca="false">IF(C698&lt;(E698+F698),0,C698-E698-F698)</f>
        <v>13.686848126407</v>
      </c>
      <c r="N698" s="2" t="n">
        <f aca="false">IF(C698&lt;(E698+F698),0,(C698-E698-F698)/(1-V$16/100))</f>
        <v>15.3784810409068</v>
      </c>
      <c r="O698" s="2" t="n">
        <f aca="false">L698+M698</f>
        <v>15.2067138041208</v>
      </c>
      <c r="P698" s="2" t="n">
        <f aca="false">IF( N698=0,I698*(1-G698/100)+J698*(1-H698/100),-N698)</f>
        <v>-15.3784810409068</v>
      </c>
      <c r="Q698" s="47" t="n">
        <f aca="false">IF(P697&gt;0,Q697+P697*(1-V$20/100),Q697+P697)</f>
        <v>705.66958882421</v>
      </c>
      <c r="R698" s="48" t="n">
        <f aca="false">R$4+Q698/V$28</f>
        <v>48.347026319823</v>
      </c>
    </row>
    <row r="699" customFormat="false" ht="12.8" hidden="false" customHeight="false" outlineLevel="0" collapsed="false">
      <c r="A699" s="1" t="n">
        <v>695</v>
      </c>
      <c r="B699" s="37" t="n">
        <v>44240</v>
      </c>
      <c r="C699" s="38" t="n">
        <f aca="false">V$26-V$26*SIN(2*PI()/365*A699)</f>
        <v>22.1838700521152</v>
      </c>
      <c r="D699" s="2" t="n">
        <f aca="false">IF((E699+F699)&gt;C699,C699,E699+F699)</f>
        <v>8.89981182325514</v>
      </c>
      <c r="E699" s="38" t="n">
        <f aca="false">(V$23+V$24*SIN(2*PI()/365*A699))*V$25/100*V$7*V$8/100</f>
        <v>7.34444090171578</v>
      </c>
      <c r="F699" s="38" t="n">
        <f aca="false">(V$23+V$24*SIN(2*PI()/365*A699))*V$25/100*V$9*(1-V$14/100)*(1-V$16/100)</f>
        <v>1.55537092153936</v>
      </c>
      <c r="G699" s="38" t="n">
        <f aca="false">IF(C699&gt;E699,100,C699/E699*100)</f>
        <v>100</v>
      </c>
      <c r="H699" s="38" t="n">
        <f aca="false">L699/F699*100</f>
        <v>100</v>
      </c>
      <c r="I699" s="38" t="n">
        <f aca="false">(V$23+V$24*SIN(2*PI()/365*A699))*V$25/100*V$7*V$8/100*(1-V$15/100)</f>
        <v>6.53655240252705</v>
      </c>
      <c r="J699" s="38" t="n">
        <f aca="false">(V$23+V$24*SIN(2*PI()/365*A699))*V$25/100*V$9*(1-V$14/100)</f>
        <v>1.74760777701052</v>
      </c>
      <c r="K699" s="39" t="n">
        <f aca="false">IF(E699/C699*100&lt;100,E699/C699*100,100)</f>
        <v>33.107121906421</v>
      </c>
      <c r="L699" s="2" t="n">
        <f aca="false">IF(((C699-E699)&gt;0)AND(F699&gt;(C699-E699)),(C699-E699),IF(C699&lt;E699,0,F699))</f>
        <v>1.55537092153936</v>
      </c>
      <c r="M699" s="2" t="n">
        <f aca="false">IF(C699&lt;(E699+F699),0,C699-E699-F699)</f>
        <v>13.28405822886</v>
      </c>
      <c r="N699" s="2" t="n">
        <f aca="false">IF(C699&lt;(E699+F699),0,(C699-E699-F699)/(1-V$16/100))</f>
        <v>14.9259081223146</v>
      </c>
      <c r="O699" s="2" t="n">
        <f aca="false">L699+M699</f>
        <v>14.8394291503994</v>
      </c>
      <c r="P699" s="2" t="n">
        <f aca="false">IF( N699=0,I699*(1-G699/100)+J699*(1-H699/100),-N699)</f>
        <v>-14.9259081223146</v>
      </c>
      <c r="Q699" s="47" t="n">
        <f aca="false">IF(P698&gt;0,Q698+P698*(1-V$20/100),Q698+P698)</f>
        <v>690.291107783304</v>
      </c>
      <c r="R699" s="48" t="n">
        <f aca="false">R$4+Q699/V$28</f>
        <v>48.1651216607017</v>
      </c>
    </row>
    <row r="700" customFormat="false" ht="12.8" hidden="false" customHeight="false" outlineLevel="0" collapsed="false">
      <c r="A700" s="1" t="n">
        <v>696</v>
      </c>
      <c r="B700" s="37" t="n">
        <v>44241</v>
      </c>
      <c r="C700" s="38" t="n">
        <f aca="false">V$26-V$26*SIN(2*PI()/365*A700)</f>
        <v>21.9818629253045</v>
      </c>
      <c r="D700" s="2" t="n">
        <f aca="false">IF((E700+F700)&gt;C700,C700,E700+F700)</f>
        <v>9.10539218226064</v>
      </c>
      <c r="E700" s="38" t="n">
        <f aca="false">(V$23+V$24*SIN(2*PI()/365*A700))*V$25/100*V$7*V$8/100</f>
        <v>7.51409311765636</v>
      </c>
      <c r="F700" s="38" t="n">
        <f aca="false">(V$23+V$24*SIN(2*PI()/365*A700))*V$25/100*V$9*(1-V$14/100)*(1-V$16/100)</f>
        <v>1.59129906460428</v>
      </c>
      <c r="G700" s="38" t="n">
        <f aca="false">IF(C700&gt;E700,100,C700/E700*100)</f>
        <v>100</v>
      </c>
      <c r="H700" s="38" t="n">
        <f aca="false">L700/F700*100</f>
        <v>100</v>
      </c>
      <c r="I700" s="38" t="n">
        <f aca="false">(V$23+V$24*SIN(2*PI()/365*A700))*V$25/100*V$7*V$8/100*(1-V$15/100)</f>
        <v>6.68754287471416</v>
      </c>
      <c r="J700" s="38" t="n">
        <f aca="false">(V$23+V$24*SIN(2*PI()/365*A700))*V$25/100*V$9*(1-V$14/100)</f>
        <v>1.78797647708346</v>
      </c>
      <c r="K700" s="39" t="n">
        <f aca="false">IF(E700/C700*100&lt;100,E700/C700*100,100)</f>
        <v>34.1831497320751</v>
      </c>
      <c r="L700" s="2" t="n">
        <f aca="false">IF(((C700-E700)&gt;0)AND(F700&gt;(C700-E700)),(C700-E700),IF(C700&lt;E700,0,F700))</f>
        <v>1.59129906460428</v>
      </c>
      <c r="M700" s="2" t="n">
        <f aca="false">IF(C700&lt;(E700+F700),0,C700-E700-F700)</f>
        <v>12.8764707430439</v>
      </c>
      <c r="N700" s="2" t="n">
        <f aca="false">IF(C700&lt;(E700+F700),0,(C700-E700-F700)/(1-V$16/100))</f>
        <v>14.4679446551055</v>
      </c>
      <c r="O700" s="2" t="n">
        <f aca="false">L700+M700</f>
        <v>14.4677698076482</v>
      </c>
      <c r="P700" s="2" t="n">
        <f aca="false">IF( N700=0,I700*(1-G700/100)+J700*(1-H700/100),-N700)</f>
        <v>-14.4679446551055</v>
      </c>
      <c r="Q700" s="47" t="n">
        <f aca="false">IF(P699&gt;0,Q699+P699*(1-V$20/100),Q699+P699)</f>
        <v>675.365199660989</v>
      </c>
      <c r="R700" s="48" t="n">
        <f aca="false">R$4+Q700/V$28</f>
        <v>47.9885702690627</v>
      </c>
    </row>
    <row r="701" customFormat="false" ht="12.8" hidden="false" customHeight="false" outlineLevel="0" collapsed="false">
      <c r="A701" s="1" t="n">
        <v>697</v>
      </c>
      <c r="B701" s="37" t="n">
        <v>44242</v>
      </c>
      <c r="C701" s="38" t="n">
        <f aca="false">V$26-V$26*SIN(2*PI()/365*A701)</f>
        <v>21.7775378931451</v>
      </c>
      <c r="D701" s="2" t="n">
        <f aca="false">IF((E701+F701)&gt;C701,C701,E701+F701)</f>
        <v>9.31333144721799</v>
      </c>
      <c r="E701" s="38" t="n">
        <f aca="false">(V$23+V$24*SIN(2*PI()/365*A701))*V$25/100*V$7*V$8/100</f>
        <v>7.68569198659367</v>
      </c>
      <c r="F701" s="38" t="n">
        <f aca="false">(V$23+V$24*SIN(2*PI()/365*A701))*V$25/100*V$9*(1-V$14/100)*(1-V$16/100)</f>
        <v>1.62763946062432</v>
      </c>
      <c r="G701" s="38" t="n">
        <f aca="false">IF(C701&gt;E701,100,C701/E701*100)</f>
        <v>100</v>
      </c>
      <c r="H701" s="38" t="n">
        <f aca="false">L701/F701*100</f>
        <v>100</v>
      </c>
      <c r="I701" s="38" t="n">
        <f aca="false">(V$23+V$24*SIN(2*PI()/365*A701))*V$25/100*V$7*V$8/100*(1-V$15/100)</f>
        <v>6.84026586806837</v>
      </c>
      <c r="J701" s="38" t="n">
        <f aca="false">(V$23+V$24*SIN(2*PI()/365*A701))*V$25/100*V$9*(1-V$14/100)</f>
        <v>1.82880838272395</v>
      </c>
      <c r="K701" s="39" t="n">
        <f aca="false">IF(E701/C701*100&lt;100,E701/C701*100,100)</f>
        <v>35.2918315390139</v>
      </c>
      <c r="L701" s="2" t="n">
        <f aca="false">IF(((C701-E701)&gt;0)AND(F701&gt;(C701-E701)),(C701-E701),IF(C701&lt;E701,0,F701))</f>
        <v>1.62763946062432</v>
      </c>
      <c r="M701" s="2" t="n">
        <f aca="false">IF(C701&lt;(E701+F701),0,C701-E701-F701)</f>
        <v>12.4642064459271</v>
      </c>
      <c r="N701" s="2" t="n">
        <f aca="false">IF(C701&lt;(E701+F701),0,(C701-E701-F701)/(1-V$16/100))</f>
        <v>14.0047263437383</v>
      </c>
      <c r="O701" s="2" t="n">
        <f aca="false">L701+M701</f>
        <v>14.0918459065514</v>
      </c>
      <c r="P701" s="2" t="n">
        <f aca="false">IF( N701=0,I701*(1-G701/100)+J701*(1-H701/100),-N701)</f>
        <v>-14.0047263437383</v>
      </c>
      <c r="Q701" s="47" t="n">
        <f aca="false">IF(P700&gt;0,Q700+P700*(1-V$20/100),Q700+P700)</f>
        <v>660.897255005884</v>
      </c>
      <c r="R701" s="48" t="n">
        <f aca="false">R$4+Q701/V$28</f>
        <v>47.8174359071142</v>
      </c>
    </row>
    <row r="702" customFormat="false" ht="12.8" hidden="false" customHeight="false" outlineLevel="0" collapsed="false">
      <c r="A702" s="1" t="n">
        <v>698</v>
      </c>
      <c r="B702" s="37" t="n">
        <v>44243</v>
      </c>
      <c r="C702" s="38" t="n">
        <f aca="false">V$26-V$26*SIN(2*PI()/365*A702)</f>
        <v>21.5709555015535</v>
      </c>
      <c r="D702" s="2" t="n">
        <f aca="false">IF((E702+F702)&gt;C702,C702,E702+F702)</f>
        <v>9.52356800123526</v>
      </c>
      <c r="E702" s="38" t="n">
        <f aca="false">(V$23+V$24*SIN(2*PI()/365*A702))*V$25/100*V$7*V$8/100</f>
        <v>7.85918666007941</v>
      </c>
      <c r="F702" s="38" t="n">
        <f aca="false">(V$23+V$24*SIN(2*PI()/365*A702))*V$25/100*V$9*(1-V$14/100)*(1-V$16/100)</f>
        <v>1.66438134115584</v>
      </c>
      <c r="G702" s="38" t="n">
        <f aca="false">IF(C702&gt;E702,100,C702/E702*100)</f>
        <v>100</v>
      </c>
      <c r="H702" s="38" t="n">
        <f aca="false">L702/F702*100</f>
        <v>100</v>
      </c>
      <c r="I702" s="38" t="n">
        <f aca="false">(V$23+V$24*SIN(2*PI()/365*A702))*V$25/100*V$7*V$8/100*(1-V$15/100)</f>
        <v>6.99467612747068</v>
      </c>
      <c r="J702" s="38" t="n">
        <f aca="false">(V$23+V$24*SIN(2*PI()/365*A702))*V$25/100*V$9*(1-V$14/100)</f>
        <v>1.87009139455713</v>
      </c>
      <c r="K702" s="39" t="n">
        <f aca="false">IF(E702/C702*100&lt;100,E702/C702*100,100)</f>
        <v>36.4341146571527</v>
      </c>
      <c r="L702" s="2" t="n">
        <f aca="false">IF(((C702-E702)&gt;0)AND(F702&gt;(C702-E702)),(C702-E702),IF(C702&lt;E702,0,F702))</f>
        <v>1.66438134115584</v>
      </c>
      <c r="M702" s="2" t="n">
        <f aca="false">IF(C702&lt;(E702+F702),0,C702-E702-F702)</f>
        <v>12.0473875003183</v>
      </c>
      <c r="N702" s="2" t="n">
        <f aca="false">IF(C702&lt;(E702+F702),0,(C702-E702-F702)/(1-V$16/100))</f>
        <v>13.5363904497958</v>
      </c>
      <c r="O702" s="2" t="n">
        <f aca="false">L702+M702</f>
        <v>13.7117688414741</v>
      </c>
      <c r="P702" s="2" t="n">
        <f aca="false">IF( N702=0,I702*(1-G702/100)+J702*(1-H702/100),-N702)</f>
        <v>-13.5363904497958</v>
      </c>
      <c r="Q702" s="47" t="n">
        <f aca="false">IF(P701&gt;0,Q701+P701*(1-V$20/100),Q701+P701)</f>
        <v>646.892528662145</v>
      </c>
      <c r="R702" s="48" t="n">
        <f aca="false">R$4+Q702/V$28</f>
        <v>47.6517807318815</v>
      </c>
    </row>
    <row r="703" customFormat="false" ht="12.8" hidden="false" customHeight="false" outlineLevel="0" collapsed="false">
      <c r="A703" s="1" t="n">
        <v>699</v>
      </c>
      <c r="B703" s="37" t="n">
        <v>44244</v>
      </c>
      <c r="C703" s="38" t="n">
        <f aca="false">V$26-V$26*SIN(2*PI()/365*A703)</f>
        <v>21.362176965351</v>
      </c>
      <c r="D703" s="2" t="n">
        <f aca="false">IF((E703+F703)&gt;C703,C703,E703+F703)</f>
        <v>9.73603954668423</v>
      </c>
      <c r="E703" s="38" t="n">
        <f aca="false">(V$23+V$24*SIN(2*PI()/365*A703))*V$25/100*V$7*V$8/100</f>
        <v>8.03452572789753</v>
      </c>
      <c r="F703" s="38" t="n">
        <f aca="false">(V$23+V$24*SIN(2*PI()/365*A703))*V$25/100*V$9*(1-V$14/100)*(1-V$16/100)</f>
        <v>1.7015138187867</v>
      </c>
      <c r="G703" s="38" t="n">
        <f aca="false">IF(C703&gt;E703,100,C703/E703*100)</f>
        <v>100</v>
      </c>
      <c r="H703" s="38" t="n">
        <f aca="false">L703/F703*100</f>
        <v>100</v>
      </c>
      <c r="I703" s="38" t="n">
        <f aca="false">(V$23+V$24*SIN(2*PI()/365*A703))*V$25/100*V$7*V$8/100*(1-V$15/100)</f>
        <v>7.1507278978288</v>
      </c>
      <c r="J703" s="38" t="n">
        <f aca="false">(V$23+V$24*SIN(2*PI()/365*A703))*V$25/100*V$9*(1-V$14/100)</f>
        <v>1.91181327953562</v>
      </c>
      <c r="K703" s="39" t="n">
        <f aca="false">IF(E703/C703*100&lt;100,E703/C703*100,100)</f>
        <v>37.6109875923665</v>
      </c>
      <c r="L703" s="2" t="n">
        <f aca="false">IF(((C703-E703)&gt;0)AND(F703&gt;(C703-E703)),(C703-E703),IF(C703&lt;E703,0,F703))</f>
        <v>1.7015138187867</v>
      </c>
      <c r="M703" s="2" t="n">
        <f aca="false">IF(C703&lt;(E703+F703),0,C703-E703-F703)</f>
        <v>11.6261374186667</v>
      </c>
      <c r="N703" s="2" t="n">
        <f aca="false">IF(C703&lt;(E703+F703),0,(C703-E703-F703)/(1-V$16/100))</f>
        <v>13.063075751311</v>
      </c>
      <c r="O703" s="2" t="n">
        <f aca="false">L703+M703</f>
        <v>13.3276512374534</v>
      </c>
      <c r="P703" s="2" t="n">
        <f aca="false">IF( N703=0,I703*(1-G703/100)+J703*(1-H703/100),-N703)</f>
        <v>-13.063075751311</v>
      </c>
      <c r="Q703" s="47" t="n">
        <f aca="false">IF(P702&gt;0,Q702+P702*(1-V$20/100),Q702+P702)</f>
        <v>633.35613821235</v>
      </c>
      <c r="R703" s="48" t="n">
        <f aca="false">R$4+Q703/V$28</f>
        <v>47.4916652767885</v>
      </c>
    </row>
    <row r="704" customFormat="false" ht="12.8" hidden="false" customHeight="false" outlineLevel="0" collapsed="false">
      <c r="A704" s="1" t="n">
        <v>700</v>
      </c>
      <c r="B704" s="37" t="n">
        <v>44245</v>
      </c>
      <c r="C704" s="38" t="n">
        <f aca="false">V$26-V$26*SIN(2*PI()/365*A704)</f>
        <v>21.1512641501234</v>
      </c>
      <c r="D704" s="2" t="n">
        <f aca="false">IF((E704+F704)&gt;C704,C704,E704+F704)</f>
        <v>9.95068312366049</v>
      </c>
      <c r="E704" s="38" t="n">
        <f aca="false">(V$23+V$24*SIN(2*PI()/365*A704))*V$25/100*V$7*V$8/100</f>
        <v>8.21165723329811</v>
      </c>
      <c r="F704" s="38" t="n">
        <f aca="false">(V$23+V$24*SIN(2*PI()/365*A704))*V$25/100*V$9*(1-V$14/100)*(1-V$16/100)</f>
        <v>1.73902589036239</v>
      </c>
      <c r="G704" s="38" t="n">
        <f aca="false">IF(C704&gt;E704,100,C704/E704*100)</f>
        <v>100</v>
      </c>
      <c r="H704" s="38" t="n">
        <f aca="false">L704/F704*100</f>
        <v>100</v>
      </c>
      <c r="I704" s="38" t="n">
        <f aca="false">(V$23+V$24*SIN(2*PI()/365*A704))*V$25/100*V$7*V$8/100*(1-V$15/100)</f>
        <v>7.30837493763531</v>
      </c>
      <c r="J704" s="38" t="n">
        <f aca="false">(V$23+V$24*SIN(2*PI()/365*A704))*V$25/100*V$9*(1-V$14/100)</f>
        <v>1.95396167456448</v>
      </c>
      <c r="K704" s="39" t="n">
        <f aca="false">IF(E704/C704*100&lt;100,E704/C704*100,100)</f>
        <v>38.8234820151408</v>
      </c>
      <c r="L704" s="2" t="n">
        <f aca="false">IF(((C704-E704)&gt;0)AND(F704&gt;(C704-E704)),(C704-E704),IF(C704&lt;E704,0,F704))</f>
        <v>1.73902589036239</v>
      </c>
      <c r="M704" s="2" t="n">
        <f aca="false">IF(C704&lt;(E704+F704),0,C704-E704-F704)</f>
        <v>11.200581026463</v>
      </c>
      <c r="N704" s="2" t="n">
        <f aca="false">IF(C704&lt;(E704+F704),0,(C704-E704-F704)/(1-V$16/100))</f>
        <v>12.5849225016438</v>
      </c>
      <c r="O704" s="2" t="n">
        <f aca="false">L704+M704</f>
        <v>12.9396069168253</v>
      </c>
      <c r="P704" s="2" t="n">
        <f aca="false">IF( N704=0,I704*(1-G704/100)+J704*(1-H704/100),-N704)</f>
        <v>-12.5849225016438</v>
      </c>
      <c r="Q704" s="47" t="n">
        <f aca="false">IF(P703&gt;0,Q703+P703*(1-V$20/100),Q703+P703)</f>
        <v>620.293062461039</v>
      </c>
      <c r="R704" s="48" t="n">
        <f aca="false">R$4+Q704/V$28</f>
        <v>47.3371484337207</v>
      </c>
    </row>
    <row r="705" customFormat="false" ht="12.8" hidden="false" customHeight="false" outlineLevel="0" collapsed="false">
      <c r="A705" s="1" t="n">
        <v>701</v>
      </c>
      <c r="B705" s="37" t="n">
        <v>44246</v>
      </c>
      <c r="C705" s="38" t="n">
        <f aca="false">V$26-V$26*SIN(2*PI()/365*A705)</f>
        <v>20.93827955389</v>
      </c>
      <c r="D705" s="2" t="n">
        <f aca="false">IF((E705+F705)&gt;C705,C705,E705+F705)</f>
        <v>10.1674351286398</v>
      </c>
      <c r="E705" s="38" t="n">
        <f aca="false">(V$23+V$24*SIN(2*PI()/365*A705))*V$25/100*V$7*V$8/100</f>
        <v>8.39052868839326</v>
      </c>
      <c r="F705" s="38" t="n">
        <f aca="false">(V$23+V$24*SIN(2*PI()/365*A705))*V$25/100*V$9*(1-V$14/100)*(1-V$16/100)</f>
        <v>1.77690644024651</v>
      </c>
      <c r="G705" s="38" t="n">
        <f aca="false">IF(C705&gt;E705,100,C705/E705*100)</f>
        <v>100</v>
      </c>
      <c r="H705" s="38" t="n">
        <f aca="false">L705/F705*100</f>
        <v>100</v>
      </c>
      <c r="I705" s="38" t="n">
        <f aca="false">(V$23+V$24*SIN(2*PI()/365*A705))*V$25/100*V$7*V$8/100*(1-V$15/100)</f>
        <v>7.46757053267</v>
      </c>
      <c r="J705" s="38" t="n">
        <f aca="false">(V$23+V$24*SIN(2*PI()/365*A705))*V$25/100*V$9*(1-V$14/100)</f>
        <v>1.99652409016462</v>
      </c>
      <c r="K705" s="39" t="n">
        <f aca="false">IF(E705/C705*100&lt;100,E705/C705*100,100)</f>
        <v>40.0726748670925</v>
      </c>
      <c r="L705" s="2" t="n">
        <f aca="false">IF(((C705-E705)&gt;0)AND(F705&gt;(C705-E705)),(C705-E705),IF(C705&lt;E705,0,F705))</f>
        <v>1.77690644024651</v>
      </c>
      <c r="M705" s="2" t="n">
        <f aca="false">IF(C705&lt;(E705+F705),0,C705-E705-F705)</f>
        <v>10.7708444252503</v>
      </c>
      <c r="N705" s="2" t="n">
        <f aca="false">IF(C705&lt;(E705+F705),0,(C705-E705-F705)/(1-V$16/100))</f>
        <v>12.1020723879216</v>
      </c>
      <c r="O705" s="2" t="n">
        <f aca="false">L705+M705</f>
        <v>12.5477508654968</v>
      </c>
      <c r="P705" s="2" t="n">
        <f aca="false">IF( N705=0,I705*(1-G705/100)+J705*(1-H705/100),-N705)</f>
        <v>-12.1020723879216</v>
      </c>
      <c r="Q705" s="47" t="n">
        <f aca="false">IF(P704&gt;0,Q704+P704*(1-V$20/100),Q704+P704)</f>
        <v>607.708139959395</v>
      </c>
      <c r="R705" s="48" t="n">
        <f aca="false">R$4+Q705/V$28</f>
        <v>47.188287435574</v>
      </c>
    </row>
    <row r="706" customFormat="false" ht="12.8" hidden="false" customHeight="false" outlineLevel="0" collapsed="false">
      <c r="A706" s="1" t="n">
        <v>702</v>
      </c>
      <c r="B706" s="37" t="n">
        <v>44247</v>
      </c>
      <c r="C706" s="38" t="n">
        <f aca="false">V$26-V$26*SIN(2*PI()/365*A706)</f>
        <v>20.7232862885831</v>
      </c>
      <c r="D706" s="2" t="n">
        <f aca="false">IF((E706+F706)&gt;C706,C706,E706+F706)</f>
        <v>10.3862313333251</v>
      </c>
      <c r="E706" s="38" t="n">
        <f aca="false">(V$23+V$24*SIN(2*PI()/365*A706))*V$25/100*V$7*V$8/100</f>
        <v>8.57108708971049</v>
      </c>
      <c r="F706" s="38" t="n">
        <f aca="false">(V$23+V$24*SIN(2*PI()/365*A706))*V$25/100*V$9*(1-V$14/100)*(1-V$16/100)</f>
        <v>1.81514424361461</v>
      </c>
      <c r="G706" s="38" t="n">
        <f aca="false">IF(C706&gt;E706,100,C706/E706*100)</f>
        <v>100</v>
      </c>
      <c r="H706" s="38" t="n">
        <f aca="false">L706/F706*100</f>
        <v>100</v>
      </c>
      <c r="I706" s="38" t="n">
        <f aca="false">(V$23+V$24*SIN(2*PI()/365*A706))*V$25/100*V$7*V$8/100*(1-V$15/100)</f>
        <v>7.62826750984233</v>
      </c>
      <c r="J706" s="38" t="n">
        <f aca="false">(V$23+V$24*SIN(2*PI()/365*A706))*V$25/100*V$9*(1-V$14/100)</f>
        <v>2.03948791417372</v>
      </c>
      <c r="K706" s="39" t="n">
        <f aca="false">IF(E706/C706*100&lt;100,E706/C706*100,100)</f>
        <v>41.3596905932457</v>
      </c>
      <c r="L706" s="2" t="n">
        <f aca="false">IF(((C706-E706)&gt;0)AND(F706&gt;(C706-E706)),(C706-E706),IF(C706&lt;E706,0,F706))</f>
        <v>1.81514424361461</v>
      </c>
      <c r="M706" s="2" t="n">
        <f aca="false">IF(C706&lt;(E706+F706),0,C706-E706-F706)</f>
        <v>10.337054955258</v>
      </c>
      <c r="N706" s="2" t="n">
        <f aca="false">IF(C706&lt;(E706+F706),0,(C706-E706-F706)/(1-V$16/100))</f>
        <v>11.6146684890539</v>
      </c>
      <c r="O706" s="2" t="n">
        <f aca="false">L706+M706</f>
        <v>12.1521991988726</v>
      </c>
      <c r="P706" s="2" t="n">
        <f aca="false">IF( N706=0,I706*(1-G706/100)+J706*(1-H706/100),-N706)</f>
        <v>-11.6146684890539</v>
      </c>
      <c r="Q706" s="47" t="n">
        <f aca="false">IF(P705&gt;0,Q705+P705*(1-V$20/100),Q705+P705)</f>
        <v>595.606067571473</v>
      </c>
      <c r="R706" s="48" t="n">
        <f aca="false">R$4+Q706/V$28</f>
        <v>47.0451378392953</v>
      </c>
    </row>
    <row r="707" customFormat="false" ht="12.8" hidden="false" customHeight="false" outlineLevel="0" collapsed="false">
      <c r="A707" s="1" t="n">
        <v>703</v>
      </c>
      <c r="B707" s="37" t="n">
        <v>44248</v>
      </c>
      <c r="C707" s="38" t="n">
        <f aca="false">V$26-V$26*SIN(2*PI()/365*A707)</f>
        <v>20.5063480613472</v>
      </c>
      <c r="D707" s="2" t="n">
        <f aca="false">IF((E707+F707)&gt;C707,C707,E707+F707)</f>
        <v>10.607006903679</v>
      </c>
      <c r="E707" s="38" t="n">
        <f aca="false">(V$23+V$24*SIN(2*PI()/365*A707))*V$25/100*V$7*V$8/100</f>
        <v>8.75327893389872</v>
      </c>
      <c r="F707" s="38" t="n">
        <f aca="false">(V$23+V$24*SIN(2*PI()/365*A707))*V$25/100*V$9*(1-V$14/100)*(1-V$16/100)</f>
        <v>1.85372796978032</v>
      </c>
      <c r="G707" s="38" t="n">
        <f aca="false">IF(C707&gt;E707,100,C707/E707*100)</f>
        <v>100</v>
      </c>
      <c r="H707" s="38" t="n">
        <f aca="false">L707/F707*100</f>
        <v>100</v>
      </c>
      <c r="I707" s="38" t="n">
        <f aca="false">(V$23+V$24*SIN(2*PI()/365*A707))*V$25/100*V$7*V$8/100*(1-V$15/100)</f>
        <v>7.79041825116986</v>
      </c>
      <c r="J707" s="38" t="n">
        <f aca="false">(V$23+V$24*SIN(2*PI()/365*A707))*V$25/100*V$9*(1-V$14/100)</f>
        <v>2.0828404154835</v>
      </c>
      <c r="K707" s="39" t="n">
        <f aca="false">IF(E707/C707*100&lt;100,E707/C707*100,100)</f>
        <v>42.6857035085538</v>
      </c>
      <c r="L707" s="2" t="n">
        <f aca="false">IF(((C707-E707)&gt;0)AND(F707&gt;(C707-E707)),(C707-E707),IF(C707&lt;E707,0,F707))</f>
        <v>1.85372796978032</v>
      </c>
      <c r="M707" s="2" t="n">
        <f aca="false">IF(C707&lt;(E707+F707),0,C707-E707-F707)</f>
        <v>9.89934115766814</v>
      </c>
      <c r="N707" s="2" t="n">
        <f aca="false">IF(C707&lt;(E707+F707),0,(C707-E707-F707)/(1-V$16/100))</f>
        <v>11.122855233335</v>
      </c>
      <c r="O707" s="2" t="n">
        <f aca="false">L707+M707</f>
        <v>11.7530691274485</v>
      </c>
      <c r="P707" s="2" t="n">
        <f aca="false">IF( N707=0,I707*(1-G707/100)+J707*(1-H707/100),-N707)</f>
        <v>-11.122855233335</v>
      </c>
      <c r="Q707" s="47" t="n">
        <f aca="false">IF(P706&gt;0,Q706+P706*(1-V$20/100),Q706+P706)</f>
        <v>583.991399082419</v>
      </c>
      <c r="R707" s="48" t="n">
        <f aca="false">R$4+Q707/V$28</f>
        <v>46.9077535094197</v>
      </c>
    </row>
    <row r="708" customFormat="false" ht="12.8" hidden="false" customHeight="false" outlineLevel="0" collapsed="false">
      <c r="A708" s="1" t="n">
        <v>704</v>
      </c>
      <c r="B708" s="37" t="n">
        <v>44249</v>
      </c>
      <c r="C708" s="38" t="n">
        <f aca="false">V$26-V$26*SIN(2*PI()/365*A708)</f>
        <v>20.2875291556608</v>
      </c>
      <c r="D708" s="2" t="n">
        <f aca="false">IF((E708+F708)&gt;C708,C708,E708+F708)</f>
        <v>10.8296964191354</v>
      </c>
      <c r="E708" s="38" t="n">
        <f aca="false">(V$23+V$24*SIN(2*PI()/365*A708))*V$25/100*V$7*V$8/100</f>
        <v>8.93705023358251</v>
      </c>
      <c r="F708" s="38" t="n">
        <f aca="false">(V$23+V$24*SIN(2*PI()/365*A708))*V$25/100*V$9*(1-V$14/100)*(1-V$16/100)</f>
        <v>1.89264618555286</v>
      </c>
      <c r="G708" s="38" t="n">
        <f aca="false">IF(C708&gt;E708,100,C708/E708*100)</f>
        <v>100</v>
      </c>
      <c r="H708" s="38" t="n">
        <f aca="false">L708/F708*100</f>
        <v>100</v>
      </c>
      <c r="I708" s="38" t="n">
        <f aca="false">(V$23+V$24*SIN(2*PI()/365*A708))*V$25/100*V$7*V$8/100*(1-V$15/100)</f>
        <v>7.95397470788844</v>
      </c>
      <c r="J708" s="38" t="n">
        <f aca="false">(V$23+V$24*SIN(2*PI()/365*A708))*V$25/100*V$9*(1-V$14/100)</f>
        <v>2.1265687478122</v>
      </c>
      <c r="K708" s="39" t="n">
        <f aca="false">IF(E708/C708*100&lt;100,E708/C708*100,100)</f>
        <v>44.0519403078162</v>
      </c>
      <c r="L708" s="2" t="n">
        <f aca="false">IF(((C708-E708)&gt;0)AND(F708&gt;(C708-E708)),(C708-E708),IF(C708&lt;E708,0,F708))</f>
        <v>1.89264618555286</v>
      </c>
      <c r="M708" s="2" t="n">
        <f aca="false">IF(C708&lt;(E708+F708),0,C708-E708-F708)</f>
        <v>9.45783273652545</v>
      </c>
      <c r="N708" s="2" t="n">
        <f aca="false">IF(C708&lt;(E708+F708),0,(C708-E708-F708)/(1-V$16/100))</f>
        <v>10.6267783556466</v>
      </c>
      <c r="O708" s="2" t="n">
        <f aca="false">L708+M708</f>
        <v>11.3504789220783</v>
      </c>
      <c r="P708" s="2" t="n">
        <f aca="false">IF( N708=0,I708*(1-G708/100)+J708*(1-H708/100),-N708)</f>
        <v>-10.6267783556466</v>
      </c>
      <c r="Q708" s="47" t="n">
        <f aca="false">IF(P707&gt;0,Q707+P707*(1-V$20/100),Q707+P707)</f>
        <v>572.868543849084</v>
      </c>
      <c r="R708" s="48" t="n">
        <f aca="false">R$4+Q708/V$28</f>
        <v>46.7761866021099</v>
      </c>
    </row>
    <row r="709" customFormat="false" ht="12.8" hidden="false" customHeight="false" outlineLevel="0" collapsed="false">
      <c r="A709" s="1" t="n">
        <v>705</v>
      </c>
      <c r="B709" s="37" t="n">
        <v>44250</v>
      </c>
      <c r="C709" s="38" t="n">
        <f aca="false">V$26-V$26*SIN(2*PI()/365*A709)</f>
        <v>20.0668944122884</v>
      </c>
      <c r="D709" s="2" t="n">
        <f aca="false">IF((E709+F709)&gt;C709,C709,E709+F709)</f>
        <v>11.0542338919846</v>
      </c>
      <c r="E709" s="38" t="n">
        <f aca="false">(V$23+V$24*SIN(2*PI()/365*A709))*V$25/100*V$7*V$8/100</f>
        <v>9.12234653335963</v>
      </c>
      <c r="F709" s="38" t="n">
        <f aca="false">(V$23+V$24*SIN(2*PI()/365*A709))*V$25/100*V$9*(1-V$14/100)*(1-V$16/100)</f>
        <v>1.93188735862498</v>
      </c>
      <c r="G709" s="38" t="n">
        <f aca="false">IF(C709&gt;E709,100,C709/E709*100)</f>
        <v>100</v>
      </c>
      <c r="H709" s="38" t="n">
        <f aca="false">L709/F709*100</f>
        <v>100</v>
      </c>
      <c r="I709" s="38" t="n">
        <f aca="false">(V$23+V$24*SIN(2*PI()/365*A709))*V$25/100*V$7*V$8/100*(1-V$15/100)</f>
        <v>8.11888841469007</v>
      </c>
      <c r="J709" s="38" t="n">
        <f aca="false">(V$23+V$24*SIN(2*PI()/365*A709))*V$25/100*V$9*(1-V$14/100)</f>
        <v>2.17065995351121</v>
      </c>
      <c r="K709" s="39" t="n">
        <f aca="false">IF(E709/C709*100&lt;100,E709/C709*100,100)</f>
        <v>45.4596827288501</v>
      </c>
      <c r="L709" s="2" t="n">
        <f aca="false">IF(((C709-E709)&gt;0)AND(F709&gt;(C709-E709)),(C709-E709),IF(C709&lt;E709,0,F709))</f>
        <v>1.93188735862498</v>
      </c>
      <c r="M709" s="2" t="n">
        <f aca="false">IF(C709&lt;(E709+F709),0,C709-E709-F709)</f>
        <v>9.01266052030375</v>
      </c>
      <c r="N709" s="2" t="n">
        <f aca="false">IF(C709&lt;(E709+F709),0,(C709-E709-F709)/(1-V$16/100))</f>
        <v>10.1265848542739</v>
      </c>
      <c r="O709" s="2" t="n">
        <f aca="false">L709+M709</f>
        <v>10.9445478789287</v>
      </c>
      <c r="P709" s="2" t="n">
        <f aca="false">IF( N709=0,I709*(1-G709/100)+J709*(1-H709/100),-N709)</f>
        <v>-10.1265848542739</v>
      </c>
      <c r="Q709" s="47" t="n">
        <f aca="false">IF(P708&gt;0,Q708+P708*(1-V$20/100),Q708+P708)</f>
        <v>562.241765493438</v>
      </c>
      <c r="R709" s="48" t="n">
        <f aca="false">R$4+Q709/V$28</f>
        <v>46.6504875497002</v>
      </c>
    </row>
    <row r="710" customFormat="false" ht="12.8" hidden="false" customHeight="false" outlineLevel="0" collapsed="false">
      <c r="A710" s="1" t="n">
        <v>706</v>
      </c>
      <c r="B710" s="37" t="n">
        <v>44251</v>
      </c>
      <c r="C710" s="38" t="n">
        <f aca="false">V$26-V$26*SIN(2*PI()/365*A710)</f>
        <v>19.8445092100659</v>
      </c>
      <c r="D710" s="2" t="n">
        <f aca="false">IF((E710+F710)&gt;C710,C710,E710+F710)</f>
        <v>11.2805527869276</v>
      </c>
      <c r="E710" s="38" t="n">
        <f aca="false">(V$23+V$24*SIN(2*PI()/365*A710))*V$25/100*V$7*V$8/100</f>
        <v>9.30911292593745</v>
      </c>
      <c r="F710" s="38" t="n">
        <f aca="false">(V$23+V$24*SIN(2*PI()/365*A710))*V$25/100*V$9*(1-V$14/100)*(1-V$16/100)</f>
        <v>1.9714398609902</v>
      </c>
      <c r="G710" s="38" t="n">
        <f aca="false">IF(C710&gt;E710,100,C710/E710*100)</f>
        <v>100</v>
      </c>
      <c r="H710" s="38" t="n">
        <f aca="false">L710/F710*100</f>
        <v>100</v>
      </c>
      <c r="I710" s="38" t="n">
        <f aca="false">(V$23+V$24*SIN(2*PI()/365*A710))*V$25/100*V$7*V$8/100*(1-V$15/100)</f>
        <v>8.28511050408433</v>
      </c>
      <c r="J710" s="38" t="n">
        <f aca="false">(V$23+V$24*SIN(2*PI()/365*A710))*V$25/100*V$9*(1-V$14/100)</f>
        <v>2.21510096740472</v>
      </c>
      <c r="K710" s="39" t="n">
        <f aca="false">IF(E710/C710*100&lt;100,E710/C710*100,100)</f>
        <v>46.9102703795542</v>
      </c>
      <c r="L710" s="2" t="n">
        <f aca="false">IF(((C710-E710)&gt;0)AND(F710&gt;(C710-E710)),(C710-E710),IF(C710&lt;E710,0,F710))</f>
        <v>1.9714398609902</v>
      </c>
      <c r="M710" s="2" t="n">
        <f aca="false">IF(C710&lt;(E710+F710),0,C710-E710-F710)</f>
        <v>8.56395642313826</v>
      </c>
      <c r="N710" s="2" t="n">
        <f aca="false">IF(C710&lt;(E710+F710),0,(C710-E710-F710)/(1-V$16/100))</f>
        <v>9.62242294734635</v>
      </c>
      <c r="O710" s="2" t="n">
        <f aca="false">L710+M710</f>
        <v>10.5353962841285</v>
      </c>
      <c r="P710" s="2" t="n">
        <f aca="false">IF( N710=0,I710*(1-G710/100)+J710*(1-H710/100),-N710)</f>
        <v>-9.62242294734635</v>
      </c>
      <c r="Q710" s="47" t="n">
        <f aca="false">IF(P709&gt;0,Q709+P709*(1-V$20/100),Q709+P709)</f>
        <v>552.115180639164</v>
      </c>
      <c r="R710" s="48" t="n">
        <f aca="false">R$4+Q710/V$28</f>
        <v>46.5307050457533</v>
      </c>
    </row>
    <row r="711" customFormat="false" ht="12.8" hidden="false" customHeight="false" outlineLevel="0" collapsed="false">
      <c r="A711" s="1" t="n">
        <v>707</v>
      </c>
      <c r="B711" s="37" t="n">
        <v>44252</v>
      </c>
      <c r="C711" s="38" t="n">
        <f aca="false">V$26-V$26*SIN(2*PI()/365*A711)</f>
        <v>19.6204394465283</v>
      </c>
      <c r="D711" s="2" t="n">
        <f aca="false">IF((E711+F711)&gt;C711,C711,E711+F711)</f>
        <v>11.5085860407916</v>
      </c>
      <c r="E711" s="38" t="n">
        <f aca="false">(V$23+V$24*SIN(2*PI()/365*A711))*V$25/100*V$7*V$8/100</f>
        <v>9.4972940684031</v>
      </c>
      <c r="F711" s="38" t="n">
        <f aca="false">(V$23+V$24*SIN(2*PI()/365*A711))*V$25/100*V$9*(1-V$14/100)*(1-V$16/100)</f>
        <v>2.01129197238846</v>
      </c>
      <c r="G711" s="38" t="n">
        <f aca="false">IF(C711&gt;E711,100,C711/E711*100)</f>
        <v>100</v>
      </c>
      <c r="H711" s="38" t="n">
        <f aca="false">L711/F711*100</f>
        <v>100</v>
      </c>
      <c r="I711" s="38" t="n">
        <f aca="false">(V$23+V$24*SIN(2*PI()/365*A711))*V$25/100*V$7*V$8/100*(1-V$15/100)</f>
        <v>8.45259172087876</v>
      </c>
      <c r="J711" s="38" t="n">
        <f aca="false">(V$23+V$24*SIN(2*PI()/365*A711))*V$25/100*V$9*(1-V$14/100)</f>
        <v>2.25987862066119</v>
      </c>
      <c r="K711" s="39" t="n">
        <f aca="false">IF(E711/C711*100&lt;100,E711/C711*100,100)</f>
        <v>48.4051037403425</v>
      </c>
      <c r="L711" s="2" t="n">
        <f aca="false">IF(((C711-E711)&gt;0)AND(F711&gt;(C711-E711)),(C711-E711),IF(C711&lt;E711,0,F711))</f>
        <v>2.01129197238846</v>
      </c>
      <c r="M711" s="2" t="n">
        <f aca="false">IF(C711&lt;(E711+F711),0,C711-E711-F711)</f>
        <v>8.11185340573675</v>
      </c>
      <c r="N711" s="2" t="n">
        <f aca="false">IF(C711&lt;(E711+F711),0,(C711-E711-F711)/(1-V$16/100))</f>
        <v>9.1144420289177</v>
      </c>
      <c r="O711" s="2" t="n">
        <f aca="false">L711+M711</f>
        <v>10.1231453781252</v>
      </c>
      <c r="P711" s="2" t="n">
        <f aca="false">IF( N711=0,I711*(1-G711/100)+J711*(1-H711/100),-N711)</f>
        <v>-9.1144420289177</v>
      </c>
      <c r="Q711" s="47" t="n">
        <f aca="false">IF(P710&gt;0,Q710+P710*(1-V$20/100),Q710+P710)</f>
        <v>542.492757691817</v>
      </c>
      <c r="R711" s="48" t="n">
        <f aca="false">R$4+Q711/V$28</f>
        <v>46.4168860306307</v>
      </c>
    </row>
    <row r="712" customFormat="false" ht="12.8" hidden="false" customHeight="false" outlineLevel="0" collapsed="false">
      <c r="A712" s="1" t="n">
        <v>708</v>
      </c>
      <c r="B712" s="37" t="n">
        <v>44253</v>
      </c>
      <c r="C712" s="38" t="n">
        <f aca="false">V$26-V$26*SIN(2*PI()/365*A712)</f>
        <v>19.3947515183824</v>
      </c>
      <c r="D712" s="2" t="n">
        <f aca="false">IF((E712+F712)&gt;C712,C712,E712+F712)</f>
        <v>11.7382660824018</v>
      </c>
      <c r="E712" s="38" t="n">
        <f aca="false">(V$23+V$24*SIN(2*PI()/365*A712))*V$25/100*V$7*V$8/100</f>
        <v>9.68683419862277</v>
      </c>
      <c r="F712" s="38" t="n">
        <f aca="false">(V$23+V$24*SIN(2*PI()/365*A712))*V$25/100*V$9*(1-V$14/100)*(1-V$16/100)</f>
        <v>2.05143188377907</v>
      </c>
      <c r="G712" s="38" t="n">
        <f aca="false">IF(C712&gt;E712,100,C712/E712*100)</f>
        <v>100</v>
      </c>
      <c r="H712" s="38" t="n">
        <f aca="false">L712/F712*100</f>
        <v>100</v>
      </c>
      <c r="I712" s="38" t="n">
        <f aca="false">(V$23+V$24*SIN(2*PI()/365*A712))*V$25/100*V$7*V$8/100*(1-V$15/100)</f>
        <v>8.62128243677427</v>
      </c>
      <c r="J712" s="38" t="n">
        <f aca="false">(V$23+V$24*SIN(2*PI()/365*A712))*V$25/100*V$9*(1-V$14/100)</f>
        <v>2.30497964469559</v>
      </c>
      <c r="K712" s="39" t="n">
        <f aca="false">IF(E712/C712*100&lt;100,E712/C712*100,100)</f>
        <v>49.9456473543451</v>
      </c>
      <c r="L712" s="2" t="n">
        <f aca="false">IF(((C712-E712)&gt;0)AND(F712&gt;(C712-E712)),(C712-E712),IF(C712&lt;E712,0,F712))</f>
        <v>2.05143188377907</v>
      </c>
      <c r="M712" s="2" t="n">
        <f aca="false">IF(C712&lt;(E712+F712),0,C712-E712-F712)</f>
        <v>7.65648543598056</v>
      </c>
      <c r="N712" s="2" t="n">
        <f aca="false">IF(C712&lt;(E712+F712),0,(C712-E712-F712)/(1-V$16/100))</f>
        <v>8.60279262469726</v>
      </c>
      <c r="O712" s="2" t="n">
        <f aca="false">L712+M712</f>
        <v>9.70791731975964</v>
      </c>
      <c r="P712" s="2" t="n">
        <f aca="false">IF( N712=0,I712*(1-G712/100)+J712*(1-H712/100),-N712)</f>
        <v>-8.60279262469726</v>
      </c>
      <c r="Q712" s="47" t="n">
        <f aca="false">IF(P711&gt;0,Q711+P711*(1-V$20/100),Q711+P711)</f>
        <v>533.3783156629</v>
      </c>
      <c r="R712" s="48" t="n">
        <f aca="false">R$4+Q712/V$28</f>
        <v>46.3090756775834</v>
      </c>
    </row>
    <row r="713" customFormat="false" ht="12.8" hidden="false" customHeight="false" outlineLevel="0" collapsed="false">
      <c r="A713" s="1" t="n">
        <v>709</v>
      </c>
      <c r="B713" s="37" t="n">
        <v>44254</v>
      </c>
      <c r="C713" s="38" t="n">
        <f aca="false">V$26-V$26*SIN(2*PI()/365*A713)</f>
        <v>19.167512301832</v>
      </c>
      <c r="D713" s="2" t="n">
        <f aca="false">IF((E713+F713)&gt;C713,C713,E713+F713)</f>
        <v>11.9695248526053</v>
      </c>
      <c r="E713" s="38" t="n">
        <f aca="false">(V$23+V$24*SIN(2*PI()/365*A713))*V$25/100*V$7*V$8/100</f>
        <v>9.87767715176528</v>
      </c>
      <c r="F713" s="38" t="n">
        <f aca="false">(V$23+V$24*SIN(2*PI()/365*A713))*V$25/100*V$9*(1-V$14/100)*(1-V$16/100)</f>
        <v>2.09184770084</v>
      </c>
      <c r="G713" s="38" t="n">
        <f aca="false">IF(C713&gt;E713,100,C713/E713*100)</f>
        <v>100</v>
      </c>
      <c r="H713" s="38" t="n">
        <f aca="false">L713/F713*100</f>
        <v>100</v>
      </c>
      <c r="I713" s="38" t="n">
        <f aca="false">(V$23+V$24*SIN(2*PI()/365*A713))*V$25/100*V$7*V$8/100*(1-V$15/100)</f>
        <v>8.7911326650711</v>
      </c>
      <c r="J713" s="38" t="n">
        <f aca="false">(V$23+V$24*SIN(2*PI()/365*A713))*V$25/100*V$9*(1-V$14/100)</f>
        <v>2.35039067510113</v>
      </c>
      <c r="K713" s="39" t="n">
        <f aca="false">IF(E713/C713*100&lt;100,E713/C713*100,100)</f>
        <v>51.533433218776</v>
      </c>
      <c r="L713" s="2" t="n">
        <f aca="false">IF(((C713-E713)&gt;0)AND(F713&gt;(C713-E713)),(C713-E713),IF(C713&lt;E713,0,F713))</f>
        <v>2.09184770084</v>
      </c>
      <c r="M713" s="2" t="n">
        <f aca="false">IF(C713&lt;(E713+F713),0,C713-E713-F713)</f>
        <v>7.19798744922673</v>
      </c>
      <c r="N713" s="2" t="n">
        <f aca="false">IF(C713&lt;(E713+F713),0,(C713-E713-F713)/(1-V$16/100))</f>
        <v>8.08762634744577</v>
      </c>
      <c r="O713" s="2" t="n">
        <f aca="false">L713+M713</f>
        <v>9.28983515006674</v>
      </c>
      <c r="P713" s="2" t="n">
        <f aca="false">IF( N713=0,I713*(1-G713/100)+J713*(1-H713/100),-N713)</f>
        <v>-8.08762634744577</v>
      </c>
      <c r="Q713" s="47" t="n">
        <f aca="false">IF(P712&gt;0,Q712+P712*(1-V$20/100),Q712+P712)</f>
        <v>524.775523038202</v>
      </c>
      <c r="R713" s="48" t="n">
        <f aca="false">R$4+Q713/V$28</f>
        <v>46.2073173793663</v>
      </c>
    </row>
    <row r="714" customFormat="false" ht="12.8" hidden="false" customHeight="false" outlineLevel="0" collapsed="false">
      <c r="A714" s="1" t="n">
        <v>710</v>
      </c>
      <c r="B714" s="37" t="n">
        <v>44255</v>
      </c>
      <c r="C714" s="38" t="n">
        <f aca="false">V$26-V$26*SIN(2*PI()/365*A714)</f>
        <v>18.9387891327612</v>
      </c>
      <c r="D714" s="2" t="n">
        <f aca="false">IF((E714+F714)&gt;C714,C714,E714+F714)</f>
        <v>12.2022938244373</v>
      </c>
      <c r="E714" s="38" t="n">
        <f aca="false">(V$23+V$24*SIN(2*PI()/365*A714))*V$25/100*V$7*V$8/100</f>
        <v>10.0697663769449</v>
      </c>
      <c r="F714" s="38" t="n">
        <f aca="false">(V$23+V$24*SIN(2*PI()/365*A714))*V$25/100*V$9*(1-V$14/100)*(1-V$16/100)</f>
        <v>2.13252744749241</v>
      </c>
      <c r="G714" s="38" t="n">
        <f aca="false">IF(C714&gt;E714,100,C714/E714*100)</f>
        <v>100</v>
      </c>
      <c r="H714" s="38" t="n">
        <f aca="false">L714/F714*100</f>
        <v>100</v>
      </c>
      <c r="I714" s="38" t="n">
        <f aca="false">(V$23+V$24*SIN(2*PI()/365*A714))*V$25/100*V$7*V$8/100*(1-V$15/100)</f>
        <v>8.96209207548096</v>
      </c>
      <c r="J714" s="38" t="n">
        <f aca="false">(V$23+V$24*SIN(2*PI()/365*A714))*V$25/100*V$9*(1-V$14/100)</f>
        <v>2.39609825560945</v>
      </c>
      <c r="K714" s="39" t="n">
        <f aca="false">IF(E714/C714*100&lt;100,E714/C714*100,100)</f>
        <v>53.1700643919508</v>
      </c>
      <c r="L714" s="2" t="n">
        <f aca="false">IF(((C714-E714)&gt;0)AND(F714&gt;(C714-E714)),(C714-E714),IF(C714&lt;E714,0,F714))</f>
        <v>2.13252744749241</v>
      </c>
      <c r="M714" s="2" t="n">
        <f aca="false">IF(C714&lt;(E714+F714),0,C714-E714-F714)</f>
        <v>6.73649530832388</v>
      </c>
      <c r="N714" s="2" t="n">
        <f aca="false">IF(C714&lt;(E714+F714),0,(C714-E714-F714)/(1-V$16/100))</f>
        <v>7.5690958520493</v>
      </c>
      <c r="O714" s="2" t="n">
        <f aca="false">L714+M714</f>
        <v>8.86902275581629</v>
      </c>
      <c r="P714" s="2" t="n">
        <f aca="false">IF( N714=0,I714*(1-G714/100)+J714*(1-H714/100),-N714)</f>
        <v>-7.5690958520493</v>
      </c>
      <c r="Q714" s="47" t="n">
        <f aca="false">IF(P713&gt;0,Q713+P713*(1-V$20/100),Q713+P713)</f>
        <v>516.687896690757</v>
      </c>
      <c r="R714" s="48" t="n">
        <f aca="false">R$4+Q714/V$28</f>
        <v>46.1116527353797</v>
      </c>
    </row>
    <row r="715" customFormat="false" ht="12.8" hidden="false" customHeight="false" outlineLevel="0" collapsed="false">
      <c r="A715" s="1" t="n">
        <v>711</v>
      </c>
      <c r="B715" s="37" t="n">
        <v>44256</v>
      </c>
      <c r="C715" s="38" t="n">
        <f aca="false">V$26-V$26*SIN(2*PI()/365*A715)</f>
        <v>18.7086497867812</v>
      </c>
      <c r="D715" s="2" t="n">
        <f aca="false">IF((E715+F715)&gt;C715,C715,E715+F715)</f>
        <v>12.436504023428</v>
      </c>
      <c r="E715" s="38" t="n">
        <f aca="false">(V$23+V$24*SIN(2*PI()/365*A715))*V$25/100*V$7*V$8/100</f>
        <v>10.2630449539785</v>
      </c>
      <c r="F715" s="38" t="n">
        <f aca="false">(V$23+V$24*SIN(2*PI()/365*A715))*V$25/100*V$9*(1-V$14/100)*(1-V$16/100)</f>
        <v>2.17345906944942</v>
      </c>
      <c r="G715" s="38" t="n">
        <f aca="false">IF(C715&gt;E715,100,C715/E715*100)</f>
        <v>100</v>
      </c>
      <c r="H715" s="38" t="n">
        <f aca="false">L715/F715*100</f>
        <v>100</v>
      </c>
      <c r="I715" s="38" t="n">
        <f aca="false">(V$23+V$24*SIN(2*PI()/365*A715))*V$25/100*V$7*V$8/100*(1-V$15/100)</f>
        <v>9.13411000904089</v>
      </c>
      <c r="J715" s="38" t="n">
        <f aca="false">(V$23+V$24*SIN(2*PI()/365*A715))*V$25/100*V$9*(1-V$14/100)</f>
        <v>2.442088842078</v>
      </c>
      <c r="K715" s="39" t="n">
        <f aca="false">IF(E715/C715*100&lt;100,E715/C715*100,100)</f>
        <v>54.8572188316336</v>
      </c>
      <c r="L715" s="2" t="n">
        <f aca="false">IF(((C715-E715)&gt;0)AND(F715&gt;(C715-E715)),(C715-E715),IF(C715&lt;E715,0,F715))</f>
        <v>2.17345906944942</v>
      </c>
      <c r="M715" s="2" t="n">
        <f aca="false">IF(C715&lt;(E715+F715),0,C715-E715-F715)</f>
        <v>6.27214576335326</v>
      </c>
      <c r="N715" s="2" t="n">
        <f aca="false">IF(C715&lt;(E715+F715),0,(C715-E715-F715)/(1-V$16/100))</f>
        <v>7.04735479028457</v>
      </c>
      <c r="O715" s="2" t="n">
        <f aca="false">L715+M715</f>
        <v>8.44560483280269</v>
      </c>
      <c r="P715" s="2" t="n">
        <f aca="false">IF( N715=0,I715*(1-G715/100)+J715*(1-H715/100),-N715)</f>
        <v>-7.04735479028457</v>
      </c>
      <c r="Q715" s="47" t="n">
        <f aca="false">IF(P714&gt;0,Q714+P714*(1-V$20/100),Q714+P714)</f>
        <v>509.118800838707</v>
      </c>
      <c r="R715" s="48" t="n">
        <f aca="false">R$4+Q715/V$28</f>
        <v>46.0221215393428</v>
      </c>
    </row>
    <row r="716" customFormat="false" ht="12.8" hidden="false" customHeight="false" outlineLevel="0" collapsed="false">
      <c r="A716" s="1" t="n">
        <v>712</v>
      </c>
      <c r="B716" s="37" t="n">
        <v>44257</v>
      </c>
      <c r="C716" s="38" t="n">
        <f aca="false">V$26-V$26*SIN(2*PI()/365*A716)</f>
        <v>18.4771624591471</v>
      </c>
      <c r="D716" s="2" t="n">
        <f aca="false">IF((E716+F716)&gt;C716,C716,E716+F716)</f>
        <v>12.6720860480406</v>
      </c>
      <c r="E716" s="38" t="n">
        <f aca="false">(V$23+V$24*SIN(2*PI()/365*A716))*V$25/100*V$7*V$8/100</f>
        <v>10.4574556102526</v>
      </c>
      <c r="F716" s="38" t="n">
        <f aca="false">(V$23+V$24*SIN(2*PI()/365*A716))*V$25/100*V$9*(1-V$14/100)*(1-V$16/100)</f>
        <v>2.21463043778807</v>
      </c>
      <c r="G716" s="38" t="n">
        <f aca="false">IF(C716&gt;E716,100,C716/E716*100)</f>
        <v>100</v>
      </c>
      <c r="H716" s="38" t="n">
        <f aca="false">L716/F716*100</f>
        <v>100</v>
      </c>
      <c r="I716" s="38" t="n">
        <f aca="false">(V$23+V$24*SIN(2*PI()/365*A716))*V$25/100*V$7*V$8/100*(1-V$15/100)</f>
        <v>9.30713549312477</v>
      </c>
      <c r="J716" s="38" t="n">
        <f aca="false">(V$23+V$24*SIN(2*PI()/365*A716))*V$25/100*V$9*(1-V$14/100)</f>
        <v>2.48834880650345</v>
      </c>
      <c r="K716" s="39" t="n">
        <f aca="false">IF(E716/C716*100&lt;100,E716/C716*100,100)</f>
        <v>56.5966534816908</v>
      </c>
      <c r="L716" s="2" t="n">
        <f aca="false">IF(((C716-E716)&gt;0)AND(F716&gt;(C716-E716)),(C716-E716),IF(C716&lt;E716,0,F716))</f>
        <v>2.21463043778807</v>
      </c>
      <c r="M716" s="2" t="n">
        <f aca="false">IF(C716&lt;(E716+F716),0,C716-E716-F716)</f>
        <v>5.8050764111065</v>
      </c>
      <c r="N716" s="2" t="n">
        <f aca="false">IF(C716&lt;(E716+F716),0,(C716-E716-F716)/(1-V$16/100))</f>
        <v>6.5225577652882</v>
      </c>
      <c r="O716" s="2" t="n">
        <f aca="false">L716+M716</f>
        <v>8.01970684889457</v>
      </c>
      <c r="P716" s="2" t="n">
        <f aca="false">IF( N716=0,I716*(1-G716/100)+J716*(1-H716/100),-N716)</f>
        <v>-6.5225577652882</v>
      </c>
      <c r="Q716" s="47" t="n">
        <f aca="false">IF(P715&gt;0,Q715+P715*(1-V$20/100),Q715+P715)</f>
        <v>502.071446048423</v>
      </c>
      <c r="R716" s="48" t="n">
        <f aca="false">R$4+Q716/V$28</f>
        <v>45.9387617675016</v>
      </c>
    </row>
    <row r="717" customFormat="false" ht="12.8" hidden="false" customHeight="false" outlineLevel="0" collapsed="false">
      <c r="A717" s="1" t="n">
        <v>713</v>
      </c>
      <c r="B717" s="37" t="n">
        <v>44258</v>
      </c>
      <c r="C717" s="38" t="n">
        <f aca="false">V$26-V$26*SIN(2*PI()/365*A717)</f>
        <v>18.24439574455</v>
      </c>
      <c r="D717" s="2" t="n">
        <f aca="false">IF((E717+F717)&gt;C717,C717,E717+F717)</f>
        <v>12.9089700902371</v>
      </c>
      <c r="E717" s="38" t="n">
        <f aca="false">(V$23+V$24*SIN(2*PI()/365*A717))*V$25/100*V$7*V$8/100</f>
        <v>10.6529407376938</v>
      </c>
      <c r="F717" s="38" t="n">
        <f aca="false">(V$23+V$24*SIN(2*PI()/365*A717))*V$25/100*V$9*(1-V$14/100)*(1-V$16/100)</f>
        <v>2.25602935254338</v>
      </c>
      <c r="G717" s="38" t="n">
        <f aca="false">IF(C717&gt;E717,100,C717/E717*100)</f>
        <v>100</v>
      </c>
      <c r="H717" s="38" t="n">
        <f aca="false">L717/F717*100</f>
        <v>100</v>
      </c>
      <c r="I717" s="38" t="n">
        <f aca="false">(V$23+V$24*SIN(2*PI()/365*A717))*V$25/100*V$7*V$8/100*(1-V$15/100)</f>
        <v>9.48111725654745</v>
      </c>
      <c r="J717" s="38" t="n">
        <f aca="false">(V$23+V$24*SIN(2*PI()/365*A717))*V$25/100*V$9*(1-V$14/100)</f>
        <v>2.53486444105997</v>
      </c>
      <c r="K717" s="39" t="n">
        <f aca="false">IF(E717/C717*100&lt;100,E717/C717*100,100)</f>
        <v>58.3902086254407</v>
      </c>
      <c r="L717" s="2" t="n">
        <f aca="false">IF(((C717-E717)&gt;0)AND(F717&gt;(C717-E717)),(C717-E717),IF(C717&lt;E717,0,F717))</f>
        <v>2.25602935254338</v>
      </c>
      <c r="M717" s="2" t="n">
        <f aca="false">IF(C717&lt;(E717+F717),0,C717-E717-F717)</f>
        <v>5.33542565431284</v>
      </c>
      <c r="N717" s="2" t="n">
        <f aca="false">IF(C717&lt;(E717+F717),0,(C717-E717-F717)/(1-V$16/100))</f>
        <v>5.99486028574476</v>
      </c>
      <c r="O717" s="2" t="n">
        <f aca="false">L717+M717</f>
        <v>7.59145500685622</v>
      </c>
      <c r="P717" s="2" t="n">
        <f aca="false">IF( N717=0,I717*(1-G717/100)+J717*(1-H717/100),-N717)</f>
        <v>-5.99486028574476</v>
      </c>
      <c r="Q717" s="47" t="n">
        <f aca="false">IF(P716&gt;0,Q716+P716*(1-V$20/100),Q716+P716)</f>
        <v>495.548888283135</v>
      </c>
      <c r="R717" s="48" t="n">
        <f aca="false">R$4+Q717/V$28</f>
        <v>45.8616095673761</v>
      </c>
    </row>
    <row r="718" customFormat="false" ht="12.8" hidden="false" customHeight="false" outlineLevel="0" collapsed="false">
      <c r="A718" s="1" t="n">
        <v>714</v>
      </c>
      <c r="B718" s="37" t="n">
        <v>44259</v>
      </c>
      <c r="C718" s="38" t="n">
        <f aca="false">V$26-V$26*SIN(2*PI()/365*A718)</f>
        <v>18.0104186167908</v>
      </c>
      <c r="D718" s="2" t="n">
        <f aca="false">IF((E718+F718)&gt;C718,C718,E718+F718)</f>
        <v>13.1470859561635</v>
      </c>
      <c r="E718" s="38" t="n">
        <f aca="false">(V$23+V$24*SIN(2*PI()/365*A718))*V$25/100*V$7*V$8/100</f>
        <v>10.84944240984</v>
      </c>
      <c r="F718" s="38" t="n">
        <f aca="false">(V$23+V$24*SIN(2*PI()/365*A718))*V$25/100*V$9*(1-V$14/100)*(1-V$16/100)</f>
        <v>2.29764354632343</v>
      </c>
      <c r="G718" s="38" t="n">
        <f aca="false">IF(C718&gt;E718,100,C718/E718*100)</f>
        <v>100</v>
      </c>
      <c r="H718" s="38" t="n">
        <f aca="false">L718/F718*100</f>
        <v>100</v>
      </c>
      <c r="I718" s="38" t="n">
        <f aca="false">(V$23+V$24*SIN(2*PI()/365*A718))*V$25/100*V$7*V$8/100*(1-V$15/100)</f>
        <v>9.65600374475762</v>
      </c>
      <c r="J718" s="38" t="n">
        <f aca="false">(V$23+V$24*SIN(2*PI()/365*A718))*V$25/100*V$9*(1-V$14/100)</f>
        <v>2.58162196216116</v>
      </c>
      <c r="K718" s="39" t="n">
        <f aca="false">IF(E718/C718*100&lt;100,E718/C718*100,100)</f>
        <v>60.2398125256526</v>
      </c>
      <c r="L718" s="2" t="n">
        <f aca="false">IF(((C718-E718)&gt;0)AND(F718&gt;(C718-E718)),(C718-E718),IF(C718&lt;E718,0,F718))</f>
        <v>2.29764354632343</v>
      </c>
      <c r="M718" s="2" t="n">
        <f aca="false">IF(C718&lt;(E718+F718),0,C718-E718-F718)</f>
        <v>4.86333266062737</v>
      </c>
      <c r="N718" s="2" t="n">
        <f aca="false">IF(C718&lt;(E718+F718),0,(C718-E718-F718)/(1-V$16/100))</f>
        <v>5.46441871980603</v>
      </c>
      <c r="O718" s="2" t="n">
        <f aca="false">L718+M718</f>
        <v>7.1609762069508</v>
      </c>
      <c r="P718" s="2" t="n">
        <f aca="false">IF( N718=0,I718*(1-G718/100)+J718*(1-H718/100),-N718)</f>
        <v>-5.46441871980603</v>
      </c>
      <c r="Q718" s="47" t="n">
        <f aca="false">IF(P717&gt;0,Q717+P717*(1-V$20/100),Q717+P717)</f>
        <v>489.55402799739</v>
      </c>
      <c r="R718" s="48" t="n">
        <f aca="false">R$4+Q718/V$28</f>
        <v>45.7906992470488</v>
      </c>
    </row>
    <row r="719" customFormat="false" ht="12.8" hidden="false" customHeight="false" outlineLevel="0" collapsed="false">
      <c r="A719" s="1" t="n">
        <v>715</v>
      </c>
      <c r="B719" s="37" t="n">
        <v>44260</v>
      </c>
      <c r="C719" s="38" t="n">
        <f aca="false">V$26-V$26*SIN(2*PI()/365*A719)</f>
        <v>17.7753004083423</v>
      </c>
      <c r="D719" s="2" t="n">
        <f aca="false">IF((E719+F719)&gt;C719,C719,E719+F719)</f>
        <v>13.3863630869495</v>
      </c>
      <c r="E719" s="38" t="n">
        <f aca="false">(V$23+V$24*SIN(2*PI()/365*A719))*V$25/100*V$7*V$8/100</f>
        <v>11.046902399005</v>
      </c>
      <c r="F719" s="38" t="n">
        <f aca="false">(V$23+V$24*SIN(2*PI()/365*A719))*V$25/100*V$9*(1-V$14/100)*(1-V$16/100)</f>
        <v>2.3394606879445</v>
      </c>
      <c r="G719" s="38" t="n">
        <f aca="false">IF(C719&gt;E719,100,C719/E719*100)</f>
        <v>100</v>
      </c>
      <c r="H719" s="38" t="n">
        <f aca="false">L719/F719*100</f>
        <v>100</v>
      </c>
      <c r="I719" s="38" t="n">
        <f aca="false">(V$23+V$24*SIN(2*PI()/365*A719))*V$25/100*V$7*V$8/100*(1-V$15/100)</f>
        <v>9.83174313511443</v>
      </c>
      <c r="J719" s="38" t="n">
        <f aca="false">(V$23+V$24*SIN(2*PI()/365*A719))*V$25/100*V$9*(1-V$14/100)</f>
        <v>2.62860751454438</v>
      </c>
      <c r="K719" s="39" t="n">
        <f aca="false">IF(E719/C719*100&lt;100,E719/C719*100,100)</f>
        <v>62.1474863728348</v>
      </c>
      <c r="L719" s="2" t="n">
        <f aca="false">IF(((C719-E719)&gt;0)AND(F719&gt;(C719-E719)),(C719-E719),IF(C719&lt;E719,0,F719))</f>
        <v>2.3394606879445</v>
      </c>
      <c r="M719" s="2" t="n">
        <f aca="false">IF(C719&lt;(E719+F719),0,C719-E719-F719)</f>
        <v>4.38893732139281</v>
      </c>
      <c r="N719" s="2" t="n">
        <f aca="false">IF(C719&lt;(E719+F719),0,(C719-E719-F719)/(1-V$16/100))</f>
        <v>4.93139024875596</v>
      </c>
      <c r="O719" s="2" t="n">
        <f aca="false">L719+M719</f>
        <v>6.72839800933731</v>
      </c>
      <c r="P719" s="2" t="n">
        <f aca="false">IF( N719=0,I719*(1-G719/100)+J719*(1-H719/100),-N719)</f>
        <v>-4.93139024875596</v>
      </c>
      <c r="Q719" s="47" t="n">
        <f aca="false">IF(P718&gt;0,Q718+P718*(1-V$20/100),Q718+P718)</f>
        <v>484.089609277584</v>
      </c>
      <c r="R719" s="48" t="n">
        <f aca="false">R$4+Q719/V$28</f>
        <v>45.7260632649984</v>
      </c>
    </row>
    <row r="720" customFormat="false" ht="12.8" hidden="false" customHeight="false" outlineLevel="0" collapsed="false">
      <c r="A720" s="1" t="n">
        <v>716</v>
      </c>
      <c r="B720" s="37" t="n">
        <v>44261</v>
      </c>
      <c r="C720" s="38" t="n">
        <f aca="false">V$26-V$26*SIN(2*PI()/365*A720)</f>
        <v>17.5391107898038</v>
      </c>
      <c r="D720" s="2" t="n">
        <f aca="false">IF((E720+F720)&gt;C720,C720,E720+F720)</f>
        <v>13.6267305796174</v>
      </c>
      <c r="E720" s="38" t="n">
        <f aca="false">(V$23+V$24*SIN(2*PI()/365*A720))*V$25/100*V$7*V$8/100</f>
        <v>11.2452621935323</v>
      </c>
      <c r="F720" s="38" t="n">
        <f aca="false">(V$23+V$24*SIN(2*PI()/365*A720))*V$25/100*V$9*(1-V$14/100)*(1-V$16/100)</f>
        <v>2.38146838608504</v>
      </c>
      <c r="G720" s="38" t="n">
        <f aca="false">IF(C720&gt;E720,100,C720/E720*100)</f>
        <v>100</v>
      </c>
      <c r="H720" s="38" t="n">
        <f aca="false">L720/F720*100</f>
        <v>100</v>
      </c>
      <c r="I720" s="38" t="n">
        <f aca="false">(V$23+V$24*SIN(2*PI()/365*A720))*V$25/100*V$7*V$8/100*(1-V$15/100)</f>
        <v>10.0082833522438</v>
      </c>
      <c r="J720" s="38" t="n">
        <f aca="false">(V$23+V$24*SIN(2*PI()/365*A720))*V$25/100*V$9*(1-V$14/100)</f>
        <v>2.67580717537645</v>
      </c>
      <c r="K720" s="39" t="n">
        <f aca="false">IF(E720/C720*100&lt;100,E720/C720*100,100)</f>
        <v>64.1153495653249</v>
      </c>
      <c r="L720" s="2" t="n">
        <f aca="false">IF(((C720-E720)&gt;0)AND(F720&gt;(C720-E720)),(C720-E720),IF(C720&lt;E720,0,F720))</f>
        <v>2.38146838608504</v>
      </c>
      <c r="M720" s="2" t="n">
        <f aca="false">IF(C720&lt;(E720+F720),0,C720-E720-F720)</f>
        <v>3.91238021018642</v>
      </c>
      <c r="N720" s="2" t="n">
        <f aca="false">IF(C720&lt;(E720+F720),0,(C720-E720-F720)/(1-V$16/100))</f>
        <v>4.39593282043418</v>
      </c>
      <c r="O720" s="2" t="n">
        <f aca="false">L720+M720</f>
        <v>6.29384859627146</v>
      </c>
      <c r="P720" s="2" t="n">
        <f aca="false">IF( N720=0,I720*(1-G720/100)+J720*(1-H720/100),-N720)</f>
        <v>-4.39593282043418</v>
      </c>
      <c r="Q720" s="47" t="n">
        <f aca="false">IF(P719&gt;0,Q719+P719*(1-V$20/100),Q719+P719)</f>
        <v>479.158219028828</v>
      </c>
      <c r="R720" s="48" t="n">
        <f aca="false">R$4+Q720/V$28</f>
        <v>45.6677322204819</v>
      </c>
    </row>
    <row r="721" customFormat="false" ht="12.8" hidden="false" customHeight="false" outlineLevel="0" collapsed="false">
      <c r="A721" s="1" t="n">
        <v>717</v>
      </c>
      <c r="B721" s="37" t="n">
        <v>44262</v>
      </c>
      <c r="C721" s="38" t="n">
        <f aca="false">V$26-V$26*SIN(2*PI()/365*A721)</f>
        <v>17.3019197492566</v>
      </c>
      <c r="D721" s="2" t="n">
        <f aca="false">IF((E721+F721)&gt;C721,C721,E721+F721)</f>
        <v>13.8681172080915</v>
      </c>
      <c r="E721" s="38" t="n">
        <f aca="false">(V$23+V$24*SIN(2*PI()/365*A721))*V$25/100*V$7*V$8/100</f>
        <v>11.444463015134</v>
      </c>
      <c r="F721" s="38" t="n">
        <f aca="false">(V$23+V$24*SIN(2*PI()/365*A721))*V$25/100*V$9*(1-V$14/100)*(1-V$16/100)</f>
        <v>2.42365419295751</v>
      </c>
      <c r="G721" s="38" t="n">
        <f aca="false">IF(C721&gt;E721,100,C721/E721*100)</f>
        <v>100</v>
      </c>
      <c r="H721" s="38" t="n">
        <f aca="false">L721/F721*100</f>
        <v>100</v>
      </c>
      <c r="I721" s="38" t="n">
        <f aca="false">(V$23+V$24*SIN(2*PI()/365*A721))*V$25/100*V$7*V$8/100*(1-V$15/100)</f>
        <v>10.1855720834692</v>
      </c>
      <c r="J721" s="38" t="n">
        <f aca="false">(V$23+V$24*SIN(2*PI()/365*A721))*V$25/100*V$9*(1-V$14/100)</f>
        <v>2.72320695837922</v>
      </c>
      <c r="K721" s="39" t="n">
        <f aca="false">IF(E721/C721*100&lt;100,E721/C721*100,100)</f>
        <v>66.1456253467231</v>
      </c>
      <c r="L721" s="2" t="n">
        <f aca="false">IF(((C721-E721)&gt;0)AND(F721&gt;(C721-E721)),(C721-E721),IF(C721&lt;E721,0,F721))</f>
        <v>2.42365419295751</v>
      </c>
      <c r="M721" s="2" t="n">
        <f aca="false">IF(C721&lt;(E721+F721),0,C721-E721-F721)</f>
        <v>3.43380254116515</v>
      </c>
      <c r="N721" s="2" t="n">
        <f aca="false">IF(C721&lt;(E721+F721),0,(C721-E721-F721)/(1-V$16/100))</f>
        <v>3.85820510243275</v>
      </c>
      <c r="O721" s="2" t="n">
        <f aca="false">L721+M721</f>
        <v>5.85745673412265</v>
      </c>
      <c r="P721" s="2" t="n">
        <f aca="false">IF( N721=0,I721*(1-G721/100)+J721*(1-H721/100),-N721)</f>
        <v>-3.85820510243275</v>
      </c>
      <c r="Q721" s="47" t="n">
        <f aca="false">IF(P720&gt;0,Q720+P720*(1-V$20/100),Q720+P720)</f>
        <v>474.762286208394</v>
      </c>
      <c r="R721" s="48" t="n">
        <f aca="false">R$4+Q721/V$28</f>
        <v>45.615734844467</v>
      </c>
    </row>
    <row r="722" customFormat="false" ht="12.8" hidden="false" customHeight="false" outlineLevel="0" collapsed="false">
      <c r="A722" s="1" t="n">
        <v>718</v>
      </c>
      <c r="B722" s="37" t="n">
        <v>44263</v>
      </c>
      <c r="C722" s="38" t="n">
        <f aca="false">V$26-V$26*SIN(2*PI()/365*A722)</f>
        <v>17.0637975715252</v>
      </c>
      <c r="D722" s="2" t="n">
        <f aca="false">IF((E722+F722)&gt;C722,C722,E722+F722)</f>
        <v>14.1104514443043</v>
      </c>
      <c r="E722" s="38" t="n">
        <f aca="false">(V$23+V$24*SIN(2*PI()/365*A722))*V$25/100*V$7*V$8/100</f>
        <v>11.6444458363074</v>
      </c>
      <c r="F722" s="38" t="n">
        <f aca="false">(V$23+V$24*SIN(2*PI()/365*A722))*V$25/100*V$9*(1-V$14/100)*(1-V$16/100)</f>
        <v>2.46600560799686</v>
      </c>
      <c r="G722" s="38" t="n">
        <f aca="false">IF(C722&gt;E722,100,C722/E722*100)</f>
        <v>100</v>
      </c>
      <c r="H722" s="38" t="n">
        <f aca="false">L722/F722*100</f>
        <v>100</v>
      </c>
      <c r="I722" s="38" t="n">
        <f aca="false">(V$23+V$24*SIN(2*PI()/365*A722))*V$25/100*V$7*V$8/100*(1-V$15/100)</f>
        <v>10.3635567943136</v>
      </c>
      <c r="J722" s="38" t="n">
        <f aca="false">(V$23+V$24*SIN(2*PI()/365*A722))*V$25/100*V$9*(1-V$14/100)</f>
        <v>2.770792817974</v>
      </c>
      <c r="K722" s="39" t="n">
        <f aca="false">IF(E722/C722*100&lt;100,E722/C722*100,100)</f>
        <v>68.2406468284573</v>
      </c>
      <c r="L722" s="2" t="n">
        <f aca="false">IF(((C722-E722)&gt;0)AND(F722&gt;(C722-E722)),(C722-E722),IF(C722&lt;E722,0,F722))</f>
        <v>2.46600560799686</v>
      </c>
      <c r="M722" s="2" t="n">
        <f aca="false">IF(C722&lt;(E722+F722),0,C722-E722-F722)</f>
        <v>2.95334612722097</v>
      </c>
      <c r="N722" s="2" t="n">
        <f aca="false">IF(C722&lt;(E722+F722),0,(C722-E722-F722)/(1-V$16/100))</f>
        <v>3.31836643507975</v>
      </c>
      <c r="O722" s="2" t="n">
        <f aca="false">L722+M722</f>
        <v>5.41935173521783</v>
      </c>
      <c r="P722" s="2" t="n">
        <f aca="false">IF( N722=0,I722*(1-G722/100)+J722*(1-H722/100),-N722)</f>
        <v>-3.31836643507975</v>
      </c>
      <c r="Q722" s="47" t="n">
        <f aca="false">IF(P721&gt;0,Q721+P721*(1-V$20/100),Q721+P721)</f>
        <v>470.904081105961</v>
      </c>
      <c r="R722" s="48" t="n">
        <f aca="false">R$4+Q722/V$28</f>
        <v>45.570097991119</v>
      </c>
    </row>
    <row r="723" customFormat="false" ht="12.8" hidden="false" customHeight="false" outlineLevel="0" collapsed="false">
      <c r="A723" s="1" t="n">
        <v>719</v>
      </c>
      <c r="B723" s="37" t="n">
        <v>44264</v>
      </c>
      <c r="C723" s="38" t="n">
        <f aca="false">V$26-V$26*SIN(2*PI()/365*A723)</f>
        <v>16.8248148173499</v>
      </c>
      <c r="D723" s="2" t="n">
        <f aca="false">IF((E723+F723)&gt;C723,C723,E723+F723)</f>
        <v>14.3536614793915</v>
      </c>
      <c r="E723" s="38" t="n">
        <f aca="false">(V$23+V$24*SIN(2*PI()/365*A723))*V$25/100*V$7*V$8/100</f>
        <v>11.8451513978267</v>
      </c>
      <c r="F723" s="38" t="n">
        <f aca="false">(V$23+V$24*SIN(2*PI()/365*A723))*V$25/100*V$9*(1-V$14/100)*(1-V$16/100)</f>
        <v>2.5085100815648</v>
      </c>
      <c r="G723" s="38" t="n">
        <f aca="false">IF(C723&gt;E723,100,C723/E723*100)</f>
        <v>100</v>
      </c>
      <c r="H723" s="38" t="n">
        <f aca="false">L723/F723*100</f>
        <v>100</v>
      </c>
      <c r="I723" s="38" t="n">
        <f aca="false">(V$23+V$24*SIN(2*PI()/365*A723))*V$25/100*V$7*V$8/100*(1-V$15/100)</f>
        <v>10.5421847440658</v>
      </c>
      <c r="J723" s="38" t="n">
        <f aca="false">(V$23+V$24*SIN(2*PI()/365*A723))*V$25/100*V$9*(1-V$14/100)</f>
        <v>2.8185506534436</v>
      </c>
      <c r="K723" s="39" t="n">
        <f aca="false">IF(E723/C723*100&lt;100,E723/C723*100,100)</f>
        <v>70.4028634277262</v>
      </c>
      <c r="L723" s="2" t="n">
        <f aca="false">IF(((C723-E723)&gt;0)AND(F723&gt;(C723-E723)),(C723-E723),IF(C723&lt;E723,0,F723))</f>
        <v>2.5085100815648</v>
      </c>
      <c r="M723" s="2" t="n">
        <f aca="false">IF(C723&lt;(E723+F723),0,C723-E723-F723)</f>
        <v>2.4711533379584</v>
      </c>
      <c r="N723" s="2" t="n">
        <f aca="false">IF(C723&lt;(E723+F723),0,(C723-E723-F723)/(1-V$16/100))</f>
        <v>2.77657678422292</v>
      </c>
      <c r="O723" s="2" t="n">
        <f aca="false">L723+M723</f>
        <v>4.9796634195232</v>
      </c>
      <c r="P723" s="2" t="n">
        <f aca="false">IF( N723=0,I723*(1-G723/100)+J723*(1-H723/100),-N723)</f>
        <v>-2.77657678422292</v>
      </c>
      <c r="Q723" s="47" t="n">
        <f aca="false">IF(P722&gt;0,Q722+P722*(1-V$20/100),Q722+P722)</f>
        <v>467.585714670881</v>
      </c>
      <c r="R723" s="48" t="n">
        <f aca="false">R$4+Q723/V$28</f>
        <v>45.530846629843</v>
      </c>
    </row>
    <row r="724" customFormat="false" ht="12.8" hidden="false" customHeight="false" outlineLevel="0" collapsed="false">
      <c r="A724" s="1" t="n">
        <v>720</v>
      </c>
      <c r="B724" s="37" t="n">
        <v>44265</v>
      </c>
      <c r="C724" s="38" t="n">
        <f aca="false">V$26-V$26*SIN(2*PI()/365*A724)</f>
        <v>16.5850423024783</v>
      </c>
      <c r="D724" s="2" t="n">
        <f aca="false">IF((E724+F724)&gt;C724,C724,E724+F724)</f>
        <v>14.5976752449709</v>
      </c>
      <c r="E724" s="38" t="n">
        <f aca="false">(V$23+V$24*SIN(2*PI()/365*A724))*V$25/100*V$7*V$8/100</f>
        <v>12.0465202263024</v>
      </c>
      <c r="F724" s="38" t="n">
        <f aca="false">(V$23+V$24*SIN(2*PI()/365*A724))*V$25/100*V$9*(1-V$14/100)*(1-V$16/100)</f>
        <v>2.55115501866851</v>
      </c>
      <c r="G724" s="38" t="n">
        <f aca="false">IF(C724&gt;E724,100,C724/E724*100)</f>
        <v>100</v>
      </c>
      <c r="H724" s="38" t="n">
        <f aca="false">L724/F724*100</f>
        <v>100</v>
      </c>
      <c r="I724" s="38" t="n">
        <f aca="false">(V$23+V$24*SIN(2*PI()/365*A724))*V$25/100*V$7*V$8/100*(1-V$15/100)</f>
        <v>10.7214030014091</v>
      </c>
      <c r="J724" s="38" t="n">
        <f aca="false">(V$23+V$24*SIN(2*PI()/365*A724))*V$25/100*V$9*(1-V$14/100)</f>
        <v>2.86646631311069</v>
      </c>
      <c r="K724" s="39" t="n">
        <f aca="false">IF(E724/C724*100&lt;100,E724/C724*100,100)</f>
        <v>72.6348477537635</v>
      </c>
      <c r="L724" s="2" t="n">
        <f aca="false">IF(((C724-E724)&gt;0)AND(F724&gt;(C724-E724)),(C724-E724),IF(C724&lt;E724,0,F724))</f>
        <v>2.55115501866851</v>
      </c>
      <c r="M724" s="2" t="n">
        <f aca="false">IF(C724&lt;(E724+F724),0,C724-E724-F724)</f>
        <v>1.98736705750741</v>
      </c>
      <c r="N724" s="2" t="n">
        <f aca="false">IF(C724&lt;(E724+F724),0,(C724-E724-F724)/(1-V$16/100))</f>
        <v>2.23299669382855</v>
      </c>
      <c r="O724" s="2" t="n">
        <f aca="false">L724+M724</f>
        <v>4.53852207617592</v>
      </c>
      <c r="P724" s="2" t="n">
        <f aca="false">IF( N724=0,I724*(1-G724/100)+J724*(1-H724/100),-N724)</f>
        <v>-2.23299669382855</v>
      </c>
      <c r="Q724" s="47" t="n">
        <f aca="false">IF(P723&gt;0,Q723+P723*(1-V$20/100),Q723+P723)</f>
        <v>464.809137886658</v>
      </c>
      <c r="R724" s="48" t="n">
        <f aca="false">R$4+Q724/V$28</f>
        <v>45.4980038378849</v>
      </c>
    </row>
    <row r="725" customFormat="false" ht="12.8" hidden="false" customHeight="false" outlineLevel="0" collapsed="false">
      <c r="A725" s="1" t="n">
        <v>721</v>
      </c>
      <c r="B725" s="37" t="n">
        <v>44266</v>
      </c>
      <c r="C725" s="38" t="n">
        <f aca="false">V$26-V$26*SIN(2*PI()/365*A725)</f>
        <v>16.3445510766815</v>
      </c>
      <c r="D725" s="2" t="n">
        <f aca="false">IF((E725+F725)&gt;C725,C725,E725+F725)</f>
        <v>14.8424204344975</v>
      </c>
      <c r="E725" s="38" t="n">
        <f aca="false">(V$23+V$24*SIN(2*PI()/365*A725))*V$25/100*V$7*V$8/100</f>
        <v>12.2484926518048</v>
      </c>
      <c r="F725" s="38" t="n">
        <f aca="false">(V$23+V$24*SIN(2*PI()/365*A725))*V$25/100*V$9*(1-V$14/100)*(1-V$16/100)</f>
        <v>2.59392778269276</v>
      </c>
      <c r="G725" s="38" t="n">
        <f aca="false">IF(C725&gt;E725,100,C725/E725*100)</f>
        <v>100</v>
      </c>
      <c r="H725" s="38" t="n">
        <f aca="false">L725/F725*100</f>
        <v>100</v>
      </c>
      <c r="I725" s="38" t="n">
        <f aca="false">(V$23+V$24*SIN(2*PI()/365*A725))*V$25/100*V$7*V$8/100*(1-V$15/100)</f>
        <v>10.9011584601062</v>
      </c>
      <c r="J725" s="38" t="n">
        <f aca="false">(V$23+V$24*SIN(2*PI()/365*A725))*V$25/100*V$9*(1-V$14/100)</f>
        <v>2.91452559853119</v>
      </c>
      <c r="K725" s="39" t="n">
        <f aca="false">IF(E725/C725*100&lt;100,E725/C725*100,100)</f>
        <v>74.9393029783455</v>
      </c>
      <c r="L725" s="2" t="n">
        <f aca="false">IF(((C725-E725)&gt;0)AND(F725&gt;(C725-E725)),(C725-E725),IF(C725&lt;E725,0,F725))</f>
        <v>2.59392778269276</v>
      </c>
      <c r="M725" s="2" t="n">
        <f aca="false">IF(C725&lt;(E725+F725),0,C725-E725-F725)</f>
        <v>1.50213064218395</v>
      </c>
      <c r="N725" s="2" t="n">
        <f aca="false">IF(C725&lt;(E725+F725),0,(C725-E725-F725)/(1-V$16/100))</f>
        <v>1.68778723840894</v>
      </c>
      <c r="O725" s="2" t="n">
        <f aca="false">L725+M725</f>
        <v>4.09605842487671</v>
      </c>
      <c r="P725" s="2" t="n">
        <f aca="false">IF( N725=0,I725*(1-G725/100)+J725*(1-H725/100),-N725)</f>
        <v>-1.68778723840894</v>
      </c>
      <c r="Q725" s="47" t="n">
        <f aca="false">IF(P724&gt;0,Q724+P724*(1-V$20/100),Q724+P724)</f>
        <v>462.57614119283</v>
      </c>
      <c r="R725" s="48" t="n">
        <f aca="false">R$4+Q725/V$28</f>
        <v>45.4715907934933</v>
      </c>
    </row>
    <row r="726" customFormat="false" ht="12.8" hidden="false" customHeight="false" outlineLevel="0" collapsed="false">
      <c r="A726" s="1" t="n">
        <v>722</v>
      </c>
      <c r="B726" s="37" t="n">
        <v>44267</v>
      </c>
      <c r="C726" s="38" t="n">
        <f aca="false">V$26-V$26*SIN(2*PI()/365*A726)</f>
        <v>16.1034124026997</v>
      </c>
      <c r="D726" s="2" t="n">
        <f aca="false">IF((E726+F726)&gt;C726,C726,E726+F726)</f>
        <v>15.0878245246896</v>
      </c>
      <c r="E726" s="38" t="n">
        <f aca="false">(V$23+V$24*SIN(2*PI()/365*A726))*V$25/100*V$7*V$8/100</f>
        <v>12.4510088255451</v>
      </c>
      <c r="F726" s="38" t="n">
        <f aca="false">(V$23+V$24*SIN(2*PI()/365*A726))*V$25/100*V$9*(1-V$14/100)*(1-V$16/100)</f>
        <v>2.63681569914445</v>
      </c>
      <c r="G726" s="38" t="n">
        <f aca="false">IF(C726&gt;E726,100,C726/E726*100)</f>
        <v>100</v>
      </c>
      <c r="H726" s="38" t="n">
        <f aca="false">L726/F726*100</f>
        <v>100</v>
      </c>
      <c r="I726" s="38" t="n">
        <f aca="false">(V$23+V$24*SIN(2*PI()/365*A726))*V$25/100*V$7*V$8/100*(1-V$15/100)</f>
        <v>11.0813978547352</v>
      </c>
      <c r="J726" s="38" t="n">
        <f aca="false">(V$23+V$24*SIN(2*PI()/365*A726))*V$25/100*V$9*(1-V$14/100)</f>
        <v>2.96271426870163</v>
      </c>
      <c r="K726" s="39" t="n">
        <f aca="false">IF(E726/C726*100&lt;100,E726/C726*100,100)</f>
        <v>77.3190707297402</v>
      </c>
      <c r="L726" s="2" t="n">
        <f aca="false">IF(((C726-E726)&gt;0)AND(F726&gt;(C726-E726)),(C726-E726),IF(C726&lt;E726,0,F726))</f>
        <v>2.63681569914445</v>
      </c>
      <c r="M726" s="2" t="n">
        <f aca="false">IF(C726&lt;(E726+F726),0,C726-E726-F726)</f>
        <v>1.01558787801011</v>
      </c>
      <c r="N726" s="2" t="n">
        <f aca="false">IF(C726&lt;(E726+F726),0,(C726-E726-F726)/(1-V$16/100))</f>
        <v>1.14110997529226</v>
      </c>
      <c r="O726" s="2" t="n">
        <f aca="false">L726+M726</f>
        <v>3.65240357715456</v>
      </c>
      <c r="P726" s="2" t="n">
        <f aca="false">IF( N726=0,I726*(1-G726/100)+J726*(1-H726/100),-N726)</f>
        <v>-1.14110997529226</v>
      </c>
      <c r="Q726" s="47" t="n">
        <f aca="false">IF(P725&gt;0,Q725+P725*(1-V$20/100),Q725+P725)</f>
        <v>460.888353954421</v>
      </c>
      <c r="R726" s="48" t="n">
        <f aca="false">R$4+Q726/V$28</f>
        <v>45.4516267696436</v>
      </c>
      <c r="S726" s="79" t="s">
        <v>1</v>
      </c>
    </row>
    <row r="727" customFormat="false" ht="12.45" hidden="false" customHeight="true" outlineLevel="0" collapsed="false">
      <c r="A727" s="1" t="n">
        <v>723</v>
      </c>
      <c r="B727" s="37" t="n">
        <v>44268</v>
      </c>
      <c r="C727" s="38" t="n">
        <f aca="false">V$26-V$26*SIN(2*PI()/365*A727)</f>
        <v>15.8616977351263</v>
      </c>
      <c r="D727" s="2" t="n">
        <f aca="false">IF((E727+F727)&gt;C727,C727,E727+F727)</f>
        <v>15.333814797019</v>
      </c>
      <c r="E727" s="38" t="n">
        <f aca="false">(V$23+V$24*SIN(2*PI()/365*A727))*V$25/100*V$7*V$8/100</f>
        <v>12.6540087376106</v>
      </c>
      <c r="F727" s="38" t="n">
        <f aca="false">(V$23+V$24*SIN(2*PI()/365*A727))*V$25/100*V$9*(1-V$14/100)*(1-V$16/100)</f>
        <v>2.67980605940836</v>
      </c>
      <c r="G727" s="38" t="n">
        <f aca="false">IF(C727&gt;E727,100,C727/E727*100)</f>
        <v>100</v>
      </c>
      <c r="H727" s="38" t="n">
        <f aca="false">L727/F727*100</f>
        <v>100</v>
      </c>
      <c r="I727" s="38" t="n">
        <f aca="false">(V$23+V$24*SIN(2*PI()/365*A727))*V$25/100*V$7*V$8/100*(1-V$15/100)</f>
        <v>11.2620677764734</v>
      </c>
      <c r="J727" s="38" t="n">
        <f aca="false">(V$23+V$24*SIN(2*PI()/365*A727))*V$25/100*V$9*(1-V$14/100)</f>
        <v>3.01101804427905</v>
      </c>
      <c r="K727" s="39" t="n">
        <f aca="false">IF(E727/C727*100&lt;100,E727/C727*100,100)</f>
        <v>79.7771395528981</v>
      </c>
      <c r="L727" s="2" t="n">
        <f aca="false">IF(((C727-E727)&gt;0)AND(F727&gt;(C727-E727)),(C727-E727),IF(C727&lt;E727,0,F727))</f>
        <v>2.67980605940836</v>
      </c>
      <c r="M727" s="2" t="n">
        <f aca="false">IF(C727&lt;(E727+F727),0,C727-E727-F727)</f>
        <v>0.527882938107358</v>
      </c>
      <c r="N727" s="2" t="n">
        <f aca="false">IF(C727&lt;(E727+F727),0,(C727-E727-F727)/(1-V$16/100))</f>
        <v>0.59312689674984</v>
      </c>
      <c r="O727" s="2" t="n">
        <f aca="false">L727+M727</f>
        <v>3.20768899751571</v>
      </c>
      <c r="P727" s="2" t="n">
        <f aca="false">IF( N727=0,I727*(1-G727/100)+J727*(1-H727/100),-N727)</f>
        <v>-0.59312689674984</v>
      </c>
      <c r="Q727" s="47" t="n">
        <f aca="false">IF(P726&gt;0,Q726+P726*(1-V$20/100),Q726+P726)</f>
        <v>459.747243979129</v>
      </c>
      <c r="R727" s="48" t="n">
        <f aca="false">R$4+Q727/V$28</f>
        <v>45.4381291283276</v>
      </c>
    </row>
    <row r="728" customFormat="false" ht="12.8" hidden="false" customHeight="false" outlineLevel="0" collapsed="false">
      <c r="A728" s="1" t="n">
        <v>724</v>
      </c>
      <c r="B728" s="37" t="n">
        <v>44269</v>
      </c>
      <c r="C728" s="38" t="n">
        <f aca="false">V$26-V$26*SIN(2*PI()/365*A728)</f>
        <v>15.619478699234</v>
      </c>
      <c r="D728" s="2" t="n">
        <f aca="false">IF((E728+F728)&gt;C728,C728,E728+F728)</f>
        <v>15.5803183592591</v>
      </c>
      <c r="E728" s="38" t="n">
        <f aca="false">(V$23+V$24*SIN(2*PI()/365*A728))*V$25/100*V$7*V$8/100</f>
        <v>12.8574322347462</v>
      </c>
      <c r="F728" s="38" t="n">
        <f aca="false">(V$23+V$24*SIN(2*PI()/365*A728))*V$25/100*V$9*(1-V$14/100)*(1-V$16/100)</f>
        <v>2.72288612451291</v>
      </c>
      <c r="G728" s="38" t="n">
        <f aca="false">IF(C728&gt;E728,100,C728/E728*100)</f>
        <v>100</v>
      </c>
      <c r="H728" s="38" t="n">
        <f aca="false">L728/F728*100</f>
        <v>100</v>
      </c>
      <c r="I728" s="38" t="n">
        <f aca="false">(V$23+V$24*SIN(2*PI()/365*A728))*V$25/100*V$7*V$8/100*(1-V$15/100)</f>
        <v>11.4431146889241</v>
      </c>
      <c r="J728" s="38" t="n">
        <f aca="false">(V$23+V$24*SIN(2*PI()/365*A728))*V$25/100*V$9*(1-V$14/100)</f>
        <v>3.05942261181226</v>
      </c>
      <c r="K728" s="39" t="n">
        <f aca="false">IF(E728/C728*100&lt;100,E728/C728*100,100)</f>
        <v>82.3166539826758</v>
      </c>
      <c r="L728" s="2" t="n">
        <f aca="false">IF(((C728-E728)&gt;0)AND(F728&gt;(C728-E728)),(C728-E728),IF(C728&lt;E728,0,F728))</f>
        <v>2.72288612451291</v>
      </c>
      <c r="M728" s="2" t="n">
        <f aca="false">IF(C728&lt;(E728+F728),0,C728-E728-F728)</f>
        <v>0.0391603399748717</v>
      </c>
      <c r="N728" s="2" t="n">
        <f aca="false">IF(C728&lt;(E728+F728),0,(C728-E728-F728)/(1-V$16/100))</f>
        <v>0.0440003819942378</v>
      </c>
      <c r="O728" s="2" t="n">
        <f aca="false">L728+M728</f>
        <v>2.76204646448779</v>
      </c>
      <c r="P728" s="2" t="n">
        <f aca="false">IF( N728=0,I728*(1-G728/100)+J728*(1-H728/100),-N728)</f>
        <v>-0.0440003819942378</v>
      </c>
      <c r="Q728" s="47" t="n">
        <f aca="false">IF(P727&gt;0,Q727+P727*(1-V$20/100),Q727+P727)</f>
        <v>459.154117082379</v>
      </c>
      <c r="R728" s="48" t="n">
        <f aca="false">R$4+Q728/V$28</f>
        <v>45.4311133154081</v>
      </c>
    </row>
    <row r="729" customFormat="false" ht="12.8" hidden="false" customHeight="false" outlineLevel="0" collapsed="false">
      <c r="A729" s="1" t="n">
        <v>725</v>
      </c>
      <c r="B729" s="37" t="n">
        <v>44270</v>
      </c>
      <c r="C729" s="38" t="n">
        <f aca="false">V$26-V$26*SIN(2*PI()/365*A729)</f>
        <v>15.3768270697505</v>
      </c>
      <c r="D729" s="2" t="n">
        <f aca="false">IF((E729+F729)&gt;C729,C729,E729+F729)</f>
        <v>15.3768270697505</v>
      </c>
      <c r="E729" s="38" t="n">
        <f aca="false">(V$23+V$24*SIN(2*PI()/365*A729))*V$25/100*V$7*V$8/100</f>
        <v>13.0612190381793</v>
      </c>
      <c r="F729" s="38" t="n">
        <f aca="false">(V$23+V$24*SIN(2*PI()/365*A729))*V$25/100*V$9*(1-V$14/100)*(1-V$16/100)</f>
        <v>2.76604312890509</v>
      </c>
      <c r="G729" s="38" t="n">
        <f aca="false">IF(C729&gt;E729,100,C729/E729*100)</f>
        <v>100</v>
      </c>
      <c r="H729" s="38" t="n">
        <f aca="false">L729/F729*100</f>
        <v>83.7155432383939</v>
      </c>
      <c r="I729" s="38" t="n">
        <f aca="false">(V$23+V$24*SIN(2*PI()/365*A729))*V$25/100*V$7*V$8/100*(1-V$15/100)</f>
        <v>11.6244849439796</v>
      </c>
      <c r="J729" s="38" t="n">
        <f aca="false">(V$23+V$24*SIN(2*PI()/365*A729))*V$25/100*V$9*(1-V$14/100)</f>
        <v>3.10791362798325</v>
      </c>
      <c r="K729" s="39" t="n">
        <f aca="false">IF(E729/C729*100&lt;100,E729/C729*100,100)</f>
        <v>84.9409242812748</v>
      </c>
      <c r="L729" s="2" t="n">
        <f aca="false">IF(((C729-E729)&gt;0)AND(F729&gt;(C729-E729)),(C729-E729),IF(C729&lt;E729,0,F729))</f>
        <v>2.31560803157116</v>
      </c>
      <c r="M729" s="2" t="n">
        <f aca="false">IF(C729&lt;(E729+F729),0,C729-E729-F729)</f>
        <v>0</v>
      </c>
      <c r="N729" s="2" t="n">
        <f aca="false">IF(C729&lt;(E729+F729),0,(C729-E729-F729)/(1-V$16/100))</f>
        <v>0</v>
      </c>
      <c r="O729" s="2" t="n">
        <f aca="false">L729+M729</f>
        <v>2.31560803157116</v>
      </c>
      <c r="P729" s="2" t="n">
        <f aca="false">IF( N729=0,I729*(1-G729/100)+J729*(1-H729/100),-N729)</f>
        <v>0.506106850936996</v>
      </c>
      <c r="Q729" s="47" t="n">
        <f aca="false">IF(P728&gt;0,Q728+P728*(1-V$20/100),Q728+P728)</f>
        <v>459.110116700384</v>
      </c>
      <c r="R729" s="48" t="n">
        <f aca="false">R$4+Q729/V$28</f>
        <v>45.4305928560424</v>
      </c>
    </row>
    <row r="730" customFormat="false" ht="12.8" hidden="false" customHeight="false" outlineLevel="0" collapsed="false">
      <c r="A730" s="1" t="n">
        <v>726</v>
      </c>
      <c r="B730" s="37" t="n">
        <v>44271</v>
      </c>
      <c r="C730" s="38" t="n">
        <f aca="false">V$26-V$26*SIN(2*PI()/365*A730)</f>
        <v>15.1338147495906</v>
      </c>
      <c r="D730" s="2" t="n">
        <f aca="false">IF((E730+F730)&gt;C730,C730,E730+F730)</f>
        <v>15.1338147495906</v>
      </c>
      <c r="E730" s="38" t="n">
        <f aca="false">(V$23+V$24*SIN(2*PI()/365*A730))*V$25/100*V$7*V$8/100</f>
        <v>13.2653087614822</v>
      </c>
      <c r="F730" s="38" t="n">
        <f aca="false">(V$23+V$24*SIN(2*PI()/365*A730))*V$25/100*V$9*(1-V$14/100)*(1-V$16/100)</f>
        <v>2.80926428423308</v>
      </c>
      <c r="G730" s="38" t="n">
        <f aca="false">IF(C730&gt;E730,100,C730/E730*100)</f>
        <v>100</v>
      </c>
      <c r="H730" s="38" t="n">
        <f aca="false">L730/F730*100</f>
        <v>66.5122893063264</v>
      </c>
      <c r="I730" s="38" t="n">
        <f aca="false">(V$23+V$24*SIN(2*PI()/365*A730))*V$25/100*V$7*V$8/100*(1-V$15/100)</f>
        <v>11.8061247977192</v>
      </c>
      <c r="J730" s="38" t="n">
        <f aca="false">(V$23+V$24*SIN(2*PI()/365*A730))*V$25/100*V$9*(1-V$14/100)</f>
        <v>3.15647672385739</v>
      </c>
      <c r="K730" s="39" t="n">
        <f aca="false">IF(E730/C730*100&lt;100,E730/C730*100,100)</f>
        <v>87.6534368959489</v>
      </c>
      <c r="L730" s="2" t="n">
        <f aca="false">IF(((C730-E730)&gt;0)AND(F730&gt;(C730-E730)),(C730-E730),IF(C730&lt;E730,0,F730))</f>
        <v>1.8685059881084</v>
      </c>
      <c r="M730" s="2" t="n">
        <f aca="false">IF(C730&lt;(E730+F730),0,C730-E730-F730)</f>
        <v>0</v>
      </c>
      <c r="N730" s="2" t="n">
        <f aca="false">IF(C730&lt;(E730+F730),0,(C730-E730-F730)/(1-V$16/100))</f>
        <v>0</v>
      </c>
      <c r="O730" s="2" t="n">
        <f aca="false">L730+M730</f>
        <v>1.8685059881084</v>
      </c>
      <c r="P730" s="2" t="n">
        <f aca="false">IF( N730=0,I730*(1-G730/100)+J730*(1-H730/100),-N730)</f>
        <v>1.05703179339851</v>
      </c>
      <c r="Q730" s="47" t="n">
        <f aca="false">IF(P729&gt;0,Q729+P729*(1-V$20/100),Q729+P729)</f>
        <v>459.580796071756</v>
      </c>
      <c r="R730" s="48" t="n">
        <f aca="false">R$4+Q730/V$28</f>
        <v>45.4361602960501</v>
      </c>
    </row>
    <row r="731" customFormat="false" ht="12.8" hidden="false" customHeight="false" outlineLevel="0" collapsed="false">
      <c r="A731" s="1" t="n">
        <v>727</v>
      </c>
      <c r="B731" s="37" t="n">
        <v>44272</v>
      </c>
      <c r="C731" s="38" t="n">
        <f aca="false">V$26-V$26*SIN(2*PI()/365*A731)</f>
        <v>14.8905137485493</v>
      </c>
      <c r="D731" s="2" t="n">
        <f aca="false">IF((E731+F731)&gt;C731,C731,E731+F731)</f>
        <v>14.8905137485493</v>
      </c>
      <c r="E731" s="38" t="n">
        <f aca="false">(V$23+V$24*SIN(2*PI()/365*A731))*V$25/100*V$7*V$8/100</f>
        <v>13.4696409284651</v>
      </c>
      <c r="F731" s="38" t="n">
        <f aca="false">(V$23+V$24*SIN(2*PI()/365*A731))*V$25/100*V$9*(1-V$14/100)*(1-V$16/100)</f>
        <v>2.85253678313577</v>
      </c>
      <c r="G731" s="38" t="n">
        <f aca="false">IF(C731&gt;E731,100,C731/E731*100)</f>
        <v>100</v>
      </c>
      <c r="H731" s="38" t="n">
        <f aca="false">L731/F731*100</f>
        <v>49.8108500645603</v>
      </c>
      <c r="I731" s="38" t="n">
        <f aca="false">(V$23+V$24*SIN(2*PI()/365*A731))*V$25/100*V$7*V$8/100*(1-V$15/100)</f>
        <v>11.987980426334</v>
      </c>
      <c r="J731" s="38" t="n">
        <f aca="false">(V$23+V$24*SIN(2*PI()/365*A731))*V$25/100*V$9*(1-V$14/100)</f>
        <v>3.20509750914131</v>
      </c>
      <c r="K731" s="39" t="n">
        <f aca="false">IF(E731/C731*100&lt;100,E731/C731*100,100)</f>
        <v>90.457865698404</v>
      </c>
      <c r="L731" s="2" t="n">
        <f aca="false">IF(((C731-E731)&gt;0)AND(F731&gt;(C731-E731)),(C731-E731),IF(C731&lt;E731,0,F731))</f>
        <v>1.42087282008419</v>
      </c>
      <c r="M731" s="2" t="n">
        <f aca="false">IF(C731&lt;(E731+F731),0,C731-E731-F731)</f>
        <v>0</v>
      </c>
      <c r="N731" s="2" t="n">
        <f aca="false">IF(C731&lt;(E731+F731),0,(C731-E731-F731)/(1-V$16/100))</f>
        <v>0</v>
      </c>
      <c r="O731" s="2" t="n">
        <f aca="false">L731+M731</f>
        <v>1.42087282008419</v>
      </c>
      <c r="P731" s="2" t="n">
        <f aca="false">IF( N731=0,I731*(1-G731/100)+J731*(1-H731/100),-N731)</f>
        <v>1.60861119443998</v>
      </c>
      <c r="Q731" s="47" t="n">
        <f aca="false">IF(P730&gt;0,Q730+P730*(1-V$20/100),Q730+P730)</f>
        <v>460.563835639617</v>
      </c>
      <c r="R731" s="48" t="n">
        <f aca="false">R$4+Q731/V$28</f>
        <v>45.447788198508</v>
      </c>
    </row>
    <row r="732" customFormat="false" ht="12.8" hidden="false" customHeight="false" outlineLevel="0" collapsed="false">
      <c r="A732" s="1" t="n">
        <v>728</v>
      </c>
      <c r="B732" s="37" t="n">
        <v>44273</v>
      </c>
      <c r="C732" s="38" t="n">
        <f aca="false">V$26-V$26*SIN(2*PI()/365*A732)</f>
        <v>14.6469961619642</v>
      </c>
      <c r="D732" s="2" t="n">
        <f aca="false">IF((E732+F732)&gt;C732,C732,E732+F732)</f>
        <v>14.6469961619642</v>
      </c>
      <c r="E732" s="38" t="n">
        <f aca="false">(V$23+V$24*SIN(2*PI()/365*A732))*V$25/100*V$7*V$8/100</f>
        <v>13.6741549910972</v>
      </c>
      <c r="F732" s="38" t="n">
        <f aca="false">(V$23+V$24*SIN(2*PI()/365*A732))*V$25/100*V$9*(1-V$14/100)*(1-V$16/100)</f>
        <v>2.89584780303783</v>
      </c>
      <c r="G732" s="38" t="n">
        <f aca="false">IF(C732&gt;E732,100,C732/E732*100)</f>
        <v>100</v>
      </c>
      <c r="H732" s="38" t="n">
        <f aca="false">L732/F732*100</f>
        <v>33.5943473909947</v>
      </c>
      <c r="I732" s="38" t="n">
        <f aca="false">(V$23+V$24*SIN(2*PI()/365*A732))*V$25/100*V$7*V$8/100*(1-V$15/100)</f>
        <v>12.1699979420765</v>
      </c>
      <c r="J732" s="38" t="n">
        <f aca="false">(V$23+V$24*SIN(2*PI()/365*A732))*V$25/100*V$9*(1-V$14/100)</f>
        <v>3.253761576447</v>
      </c>
      <c r="K732" s="39" t="n">
        <f aca="false">IF(E732/C732*100&lt;100,E732/C732*100,100)</f>
        <v>93.3580840732838</v>
      </c>
      <c r="L732" s="2" t="n">
        <f aca="false">IF(((C732-E732)&gt;0)AND(F732&gt;(C732-E732)),(C732-E732),IF(C732&lt;E732,0,F732))</f>
        <v>0.972841170867016</v>
      </c>
      <c r="M732" s="2" t="n">
        <f aca="false">IF(C732&lt;(E732+F732),0,C732-E732-F732)</f>
        <v>0</v>
      </c>
      <c r="N732" s="2" t="n">
        <f aca="false">IF(C732&lt;(E732+F732),0,(C732-E732-F732)/(1-V$16/100))</f>
        <v>0</v>
      </c>
      <c r="O732" s="2" t="n">
        <f aca="false">L732+M732</f>
        <v>0.972841170867016</v>
      </c>
      <c r="P732" s="2" t="n">
        <f aca="false">IF( N732=0,I732*(1-G732/100)+J732*(1-H732/100),-N732)</f>
        <v>2.16068160918069</v>
      </c>
      <c r="Q732" s="47" t="n">
        <f aca="false">IF(P731&gt;0,Q731+P731*(1-V$20/100),Q731+P731)</f>
        <v>462.059844050446</v>
      </c>
      <c r="R732" s="48" t="n">
        <f aca="false">R$4+Q732/V$28</f>
        <v>45.4654837628027</v>
      </c>
    </row>
    <row r="733" customFormat="false" ht="12.8" hidden="false" customHeight="false" outlineLevel="0" collapsed="false">
      <c r="A733" s="1" t="n">
        <v>729</v>
      </c>
      <c r="B733" s="37" t="n">
        <v>44274</v>
      </c>
      <c r="C733" s="38" t="n">
        <f aca="false">V$26-V$26*SIN(2*PI()/365*A733)</f>
        <v>14.4033341493516</v>
      </c>
      <c r="D733" s="2" t="n">
        <f aca="false">IF((E733+F733)&gt;C733,C733,E733+F733)</f>
        <v>14.4033341493516</v>
      </c>
      <c r="E733" s="38" t="n">
        <f aca="false">(V$23+V$24*SIN(2*PI()/365*A733))*V$25/100*V$7*V$8/100</f>
        <v>13.8787903474478</v>
      </c>
      <c r="F733" s="38" t="n">
        <f aca="false">(V$23+V$24*SIN(2*PI()/365*A733))*V$25/100*V$9*(1-V$14/100)*(1-V$16/100)</f>
        <v>2.93918450994935</v>
      </c>
      <c r="G733" s="38" t="n">
        <f aca="false">IF(C733&gt;E733,100,C733/E733*100)</f>
        <v>100</v>
      </c>
      <c r="H733" s="38" t="n">
        <f aca="false">L733/F733*100</f>
        <v>17.846576154991</v>
      </c>
      <c r="I733" s="38" t="n">
        <f aca="false">(V$23+V$24*SIN(2*PI()/365*A733))*V$25/100*V$7*V$8/100*(1-V$15/100)</f>
        <v>12.3521234092285</v>
      </c>
      <c r="J733" s="38" t="n">
        <f aca="false">(V$23+V$24*SIN(2*PI()/365*A733))*V$25/100*V$9*(1-V$14/100)</f>
        <v>3.30245450556106</v>
      </c>
      <c r="K733" s="39" t="n">
        <f aca="false">IF(E733/C733*100&lt;100,E733/C733*100,100)</f>
        <v>96.358177929744</v>
      </c>
      <c r="L733" s="2" t="n">
        <f aca="false">IF(((C733-E733)&gt;0)AND(F733&gt;(C733-E733)),(C733-E733),IF(C733&lt;E733,0,F733))</f>
        <v>0.52454380190381</v>
      </c>
      <c r="M733" s="2" t="n">
        <f aca="false">IF(C733&lt;(E733+F733),0,C733-E733-F733)</f>
        <v>0</v>
      </c>
      <c r="N733" s="2" t="n">
        <f aca="false">IF(C733&lt;(E733+F733),0,(C733-E733-F733)/(1-V$16/100))</f>
        <v>0</v>
      </c>
      <c r="O733" s="2" t="n">
        <f aca="false">L733+M733</f>
        <v>0.52454380190381</v>
      </c>
      <c r="P733" s="2" t="n">
        <f aca="false">IF( N733=0,I733*(1-G733/100)+J733*(1-H733/100),-N733)</f>
        <v>2.71307944724218</v>
      </c>
      <c r="Q733" s="47" t="n">
        <f aca="false">IF(P732&gt;0,Q732+P732*(1-V$20/100),Q732+P732)</f>
        <v>464.069277946984</v>
      </c>
      <c r="R733" s="48" t="n">
        <f aca="false">R$4+Q733/V$28</f>
        <v>45.4892523903417</v>
      </c>
    </row>
    <row r="734" customFormat="false" ht="12.8" hidden="false" customHeight="false" outlineLevel="0" collapsed="false">
      <c r="A734" s="1" t="n">
        <v>730</v>
      </c>
      <c r="B734" s="37" t="n">
        <v>44275</v>
      </c>
      <c r="C734" s="38" t="n">
        <f aca="false">V$26-V$26*SIN(2*PI()/365*A734)</f>
        <v>14.1595999130246</v>
      </c>
      <c r="D734" s="2" t="n">
        <f aca="false">IF((E734+F734)&gt;C734,C734,E734+F734)</f>
        <v>14.1595999130246</v>
      </c>
      <c r="E734" s="38" t="n">
        <f aca="false">(V$23+V$24*SIN(2*PI()/365*A734))*V$25/100*V$7*V$8/100</f>
        <v>14.0834863596446</v>
      </c>
      <c r="F734" s="38" t="n">
        <f aca="false">(V$23+V$24*SIN(2*PI()/365*A734))*V$25/100*V$9*(1-V$14/100)*(1-V$16/100)</f>
        <v>2.98253406226878</v>
      </c>
      <c r="G734" s="38" t="n">
        <f aca="false">IF(C734&gt;E734,100,C734/E734*100)</f>
        <v>100</v>
      </c>
      <c r="H734" s="38" t="n">
        <f aca="false">L734/F734*100</f>
        <v>2.55197599728705</v>
      </c>
      <c r="I734" s="38" t="n">
        <f aca="false">(V$23+V$24*SIN(2*PI()/365*A734))*V$25/100*V$7*V$8/100*(1-V$15/100)</f>
        <v>12.5343028600837</v>
      </c>
      <c r="J734" s="38" t="n">
        <f aca="false">(V$23+V$24*SIN(2*PI()/365*A734))*V$25/100*V$9*(1-V$14/100)</f>
        <v>3.35116186771773</v>
      </c>
      <c r="K734" s="39" t="n">
        <f aca="false">IF(E734/C734*100&lt;100,E734/C734*100,100)</f>
        <v>99.4624597174529</v>
      </c>
      <c r="L734" s="2" t="n">
        <f aca="false">IF(((C734-E734)&gt;0)AND(F734&gt;(C734-E734)),(C734-E734),IF(C734&lt;E734,0,F734))</f>
        <v>0.0761135533800097</v>
      </c>
      <c r="M734" s="2" t="n">
        <f aca="false">IF(C734&lt;(E734+F734),0,C734-E734-F734)</f>
        <v>0</v>
      </c>
      <c r="N734" s="2" t="n">
        <f aca="false">IF(C734&lt;(E734+F734),0,(C734-E734-F734)/(1-V$16/100))</f>
        <v>0</v>
      </c>
      <c r="O734" s="2" t="n">
        <f aca="false">L734+M734</f>
        <v>0.0761135533800097</v>
      </c>
      <c r="P734" s="2" t="n">
        <f aca="false">IF( N734=0,I734*(1-G734/100)+J734*(1-H734/100),-N734)</f>
        <v>3.26564102122334</v>
      </c>
      <c r="Q734" s="47" t="n">
        <f aca="false">IF(P733&gt;0,Q733+P733*(1-V$20/100),Q733+P733)</f>
        <v>466.592441832919</v>
      </c>
      <c r="R734" s="48" t="n">
        <f aca="false">R$4+Q734/V$28</f>
        <v>45.5190976829527</v>
      </c>
      <c r="S734" s="48" t="s">
        <v>1</v>
      </c>
    </row>
    <row r="735" customFormat="false" ht="12.8" hidden="false" customHeight="false" outlineLevel="0" collapsed="false">
      <c r="A735" s="1" t="n">
        <v>731</v>
      </c>
      <c r="B735" s="37" t="n">
        <v>44276</v>
      </c>
      <c r="C735" s="38" t="n">
        <f aca="false">V$26-V$26*SIN(2*PI()/365*A735)</f>
        <v>13.9158656766976</v>
      </c>
      <c r="D735" s="2" t="n">
        <f aca="false">IF((E735+F735)&gt;C735,C735,E735+F735)</f>
        <v>13.9158656766976</v>
      </c>
      <c r="E735" s="38" t="n">
        <f aca="false">(V$23+V$24*SIN(2*PI()/365*A735))*V$25/100*V$7*V$8/100</f>
        <v>14.2881823718413</v>
      </c>
      <c r="F735" s="38" t="n">
        <f aca="false">(V$23+V$24*SIN(2*PI()/365*A735))*V$25/100*V$9*(1-V$14/100)*(1-V$16/100)</f>
        <v>3.02588361458821</v>
      </c>
      <c r="G735" s="38" t="n">
        <f aca="false">IF(C735&gt;E735,100,C735/E735*100)</f>
        <v>97.394233321955</v>
      </c>
      <c r="H735" s="38" t="n">
        <f aca="false">L735/F735*100</f>
        <v>0</v>
      </c>
      <c r="I735" s="38" t="n">
        <f aca="false">(V$23+V$24*SIN(2*PI()/365*A735))*V$25/100*V$7*V$8/100*(1-V$15/100)</f>
        <v>12.7164823109388</v>
      </c>
      <c r="J735" s="38" t="n">
        <f aca="false">(V$23+V$24*SIN(2*PI()/365*A735))*V$25/100*V$9*(1-V$14/100)</f>
        <v>3.39986922987439</v>
      </c>
      <c r="K735" s="39" t="n">
        <f aca="false">IF(E735/C735*100&lt;100,E735/C735*100,100)</f>
        <v>100</v>
      </c>
      <c r="L735" s="2" t="n">
        <f aca="false">IF(((C735-E735)&gt;0)AND(F735&gt;(C735-E735)),(C735-E735),IF(C735&lt;E735,0,F735))</f>
        <v>0</v>
      </c>
      <c r="M735" s="2" t="n">
        <f aca="false">IF(C735&lt;(E735+F735),0,C735-E735-F735)</f>
        <v>0</v>
      </c>
      <c r="N735" s="2" t="n">
        <f aca="false">IF(C735&lt;(E735+F735),0,(C735-E735-F735)/(1-V$16/100))</f>
        <v>0</v>
      </c>
      <c r="O735" s="2" t="n">
        <f aca="false">L735+M735</f>
        <v>0</v>
      </c>
      <c r="P735" s="2" t="n">
        <f aca="false">IF( N735=0,I735*(1-G735/100)+J735*(1-H735/100),-N735)</f>
        <v>3.73123108855233</v>
      </c>
      <c r="Q735" s="47" t="n">
        <f aca="false">IF(P734&gt;0,Q734+P734*(1-V$20/100),Q734+P734)</f>
        <v>469.629487982657</v>
      </c>
      <c r="R735" s="48" t="n">
        <f aca="false">R$4+Q735/V$28</f>
        <v>45.5550214418164</v>
      </c>
      <c r="S735" s="80" t="s">
        <v>91</v>
      </c>
    </row>
    <row r="736" customFormat="false" ht="12.8" hidden="false" customHeight="false" outlineLevel="0" collapsed="false">
      <c r="A736" s="81" t="s">
        <v>92</v>
      </c>
      <c r="B736" s="80"/>
      <c r="C736" s="80" t="n">
        <f aca="false">SUM(C4:C734)/2</f>
        <v>5175.33376821048</v>
      </c>
      <c r="D736" s="82" t="n">
        <f aca="false">SUM(D4:D734)/2</f>
        <v>2369.25611541297</v>
      </c>
      <c r="E736" s="80" t="n">
        <f aca="false">SUM(E4:E734)/2</f>
        <v>5147.51426445008</v>
      </c>
      <c r="F736" s="80" t="n">
        <f aca="false">SUM(F4:F734)/2</f>
        <v>1090.11619975924</v>
      </c>
      <c r="G736" s="80"/>
      <c r="H736" s="80"/>
      <c r="I736" s="80"/>
      <c r="J736" s="80"/>
      <c r="K736" s="80"/>
      <c r="L736" s="80"/>
      <c r="M736" s="80"/>
      <c r="N736" s="80"/>
      <c r="O736" s="82" t="n">
        <f aca="false">SUM(O4:O734)/2</f>
        <v>3040.66878216048</v>
      </c>
      <c r="P736" s="80"/>
      <c r="Q736" s="80"/>
      <c r="R736" s="80"/>
      <c r="S736" s="3"/>
    </row>
    <row r="737" customFormat="false" ht="12.8" hidden="false" customHeight="false" outlineLevel="0" collapsed="false">
      <c r="C737" s="83" t="s">
        <v>93</v>
      </c>
      <c r="D737" s="84" t="n">
        <f aca="false">D736/C736*100</f>
        <v>45.7797742430863</v>
      </c>
      <c r="E737" s="85" t="s">
        <v>27</v>
      </c>
      <c r="T737" s="3"/>
    </row>
    <row r="739" customFormat="false" ht="89.55" hidden="false" customHeight="true" outlineLevel="0" collapsed="false">
      <c r="A739" s="86" t="s">
        <v>3</v>
      </c>
      <c r="B739" s="87" t="s">
        <v>4</v>
      </c>
      <c r="C739" s="88" t="s">
        <v>5</v>
      </c>
      <c r="D739" s="89" t="s">
        <v>6</v>
      </c>
      <c r="E739" s="90" t="s">
        <v>7</v>
      </c>
      <c r="F739" s="90" t="s">
        <v>8</v>
      </c>
      <c r="G739" s="90" t="s">
        <v>9</v>
      </c>
      <c r="H739" s="90" t="s">
        <v>10</v>
      </c>
      <c r="I739" s="91" t="s">
        <v>11</v>
      </c>
      <c r="J739" s="91" t="s">
        <v>12</v>
      </c>
      <c r="K739" s="92" t="s">
        <v>13</v>
      </c>
      <c r="L739" s="93" t="s">
        <v>14</v>
      </c>
      <c r="M739" s="93" t="s">
        <v>15</v>
      </c>
      <c r="N739" s="93" t="s">
        <v>16</v>
      </c>
      <c r="O739" s="93" t="s">
        <v>17</v>
      </c>
      <c r="P739" s="94" t="s">
        <v>18</v>
      </c>
      <c r="Q739" s="95" t="s">
        <v>19</v>
      </c>
      <c r="R739" s="95" t="s">
        <v>20</v>
      </c>
    </row>
  </sheetData>
  <mergeCells count="1">
    <mergeCell ref="A1:E1"/>
  </mergeCells>
  <hyperlinks>
    <hyperlink ref="X4" r:id="rId1" display="https://de.wikipedia.org/wiki/Berlin"/>
    <hyperlink ref="X5" r:id="rId2" display="https://heliogaia.de/Heizspiegel-fuer-Deutschland-2018.pdf"/>
    <hyperlink ref="X7" r:id="rId3" display="https://heliogaia.de/Solare_Flächenpotenziale_Berlin_k806.pdf"/>
    <hyperlink ref="X10" r:id="rId4" display="https://www.dwd.de/DE/leistungen/solarenergie/strahlungskarten_sum.html?nn=16102"/>
    <hyperlink ref="X11" r:id="rId5" display="https://www.dwd.de/DE/leistungen/solarenergie/strahlungskarten_sum.html?nn=16102"/>
    <hyperlink ref="X12" r:id="rId6" display="http://www.solarkeymark.nl/DBF/PDF_Downloads/DS_47.pdf"/>
    <hyperlink ref="X15" r:id="rId7" display="https://irp.cdn-website.com/d00f2507/files/uploaded/RisikenUndWirtschaftlichkeitVonNWP.pdf"/>
    <hyperlink ref="X16" r:id="rId8" display="https://irp.cdn-website.com/d00f2507/files/uploaded/RisikenUndWirtschaftlichkeitVonNWP.pdf"/>
    <hyperlink ref="X21" r:id="rId9" display="https://heliogaia.de/Geothermisches_Potenzial_spezifische_Wärmeleitfähigkeit_und_spezifische_Entzugsleistung_Berlin_k218.pdf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8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T2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5" width="13.34"/>
    <col collapsed="false" customWidth="true" hidden="false" outlineLevel="0" max="2" min="2" style="96" width="15.74"/>
    <col collapsed="false" customWidth="true" hidden="false" outlineLevel="0" max="3" min="3" style="55" width="55.02"/>
    <col collapsed="false" customWidth="true" hidden="false" outlineLevel="0" max="4" min="4" style="55" width="11.81"/>
    <col collapsed="false" customWidth="true" hidden="false" outlineLevel="0" max="5" min="5" style="96" width="12.12"/>
    <col collapsed="false" customWidth="true" hidden="false" outlineLevel="0" max="6" min="6" style="55" width="10.28"/>
    <col collapsed="false" customWidth="true" hidden="false" outlineLevel="0" max="7" min="7" style="55" width="88.57"/>
    <col collapsed="false" customWidth="true" hidden="false" outlineLevel="0" max="8" min="8" style="55" width="67.46"/>
    <col collapsed="false" customWidth="false" hidden="false" outlineLevel="0" max="479" min="9" style="55" width="11.52"/>
  </cols>
  <sheetData>
    <row r="1" customFormat="false" ht="26.65" hidden="false" customHeight="true" outlineLevel="0" collapsed="false">
      <c r="A1" s="97" t="s">
        <v>94</v>
      </c>
      <c r="B1" s="98"/>
      <c r="C1" s="97" t="s">
        <v>95</v>
      </c>
      <c r="D1" s="97" t="s">
        <v>96</v>
      </c>
      <c r="E1" s="97" t="s">
        <v>97</v>
      </c>
      <c r="F1" s="97" t="s">
        <v>98</v>
      </c>
      <c r="G1" s="99" t="s">
        <v>99</v>
      </c>
      <c r="H1" s="99" t="s">
        <v>99</v>
      </c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</row>
    <row r="2" customFormat="false" ht="12.8" hidden="false" customHeight="false" outlineLevel="0" collapsed="false">
      <c r="A2" s="97"/>
      <c r="B2" s="101"/>
      <c r="C2" s="102"/>
      <c r="D2" s="102"/>
      <c r="E2" s="102"/>
      <c r="F2" s="102" t="s">
        <v>100</v>
      </c>
      <c r="G2" s="103" t="s">
        <v>101</v>
      </c>
      <c r="H2" s="104" t="s">
        <v>102</v>
      </c>
    </row>
    <row r="3" customFormat="false" ht="12.8" hidden="false" customHeight="false" outlineLevel="0" collapsed="false">
      <c r="A3" s="7"/>
      <c r="B3" s="41"/>
      <c r="C3" s="31" t="s">
        <v>103</v>
      </c>
      <c r="D3" s="31" t="s">
        <v>104</v>
      </c>
      <c r="E3" s="29" t="n">
        <f aca="false">e!V4</f>
        <v>3644826</v>
      </c>
      <c r="F3" s="29" t="n">
        <f aca="false">D28</f>
        <v>892</v>
      </c>
      <c r="G3" s="105" t="n">
        <f aca="false">E3*D31</f>
        <v>18836460768</v>
      </c>
      <c r="H3" s="42" t="n">
        <v>18.8</v>
      </c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6"/>
      <c r="OG3" s="46"/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6"/>
      <c r="OS3" s="46"/>
      <c r="OT3" s="46"/>
      <c r="OU3" s="46"/>
      <c r="OV3" s="46"/>
      <c r="OW3" s="46"/>
      <c r="OX3" s="46"/>
      <c r="OY3" s="46"/>
      <c r="OZ3" s="46"/>
      <c r="PA3" s="46"/>
      <c r="PB3" s="46"/>
      <c r="PC3" s="46"/>
      <c r="PD3" s="46"/>
      <c r="PE3" s="46"/>
      <c r="PF3" s="46"/>
      <c r="PG3" s="46"/>
      <c r="PH3" s="46"/>
      <c r="PI3" s="46"/>
      <c r="PJ3" s="46"/>
      <c r="PK3" s="46"/>
      <c r="PL3" s="46"/>
      <c r="PM3" s="46"/>
      <c r="PN3" s="46"/>
      <c r="PO3" s="46"/>
      <c r="PP3" s="46"/>
      <c r="PQ3" s="46"/>
      <c r="PR3" s="46"/>
      <c r="PS3" s="46"/>
      <c r="PT3" s="46"/>
      <c r="PU3" s="46"/>
      <c r="PV3" s="46"/>
      <c r="PW3" s="46"/>
      <c r="PX3" s="46"/>
      <c r="PY3" s="46"/>
      <c r="PZ3" s="46"/>
      <c r="QA3" s="46"/>
      <c r="QB3" s="46"/>
      <c r="QC3" s="46"/>
      <c r="QD3" s="46"/>
      <c r="QE3" s="46"/>
      <c r="QF3" s="46"/>
      <c r="QG3" s="46"/>
      <c r="QH3" s="46"/>
      <c r="QI3" s="46"/>
      <c r="QJ3" s="46"/>
      <c r="QK3" s="46"/>
      <c r="QL3" s="46"/>
      <c r="QM3" s="46"/>
      <c r="QN3" s="46"/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6"/>
      <c r="RE3" s="46"/>
      <c r="RF3" s="46"/>
      <c r="RG3" s="46"/>
      <c r="RH3" s="46"/>
      <c r="RI3" s="46"/>
      <c r="RJ3" s="46"/>
      <c r="RK3" s="46"/>
    </row>
    <row r="4" customFormat="false" ht="37.3" hidden="false" customHeight="false" outlineLevel="0" collapsed="false">
      <c r="A4" s="106" t="s">
        <v>105</v>
      </c>
      <c r="B4" s="107" t="s">
        <v>1</v>
      </c>
      <c r="C4" s="108" t="s">
        <v>106</v>
      </c>
      <c r="D4" s="107"/>
      <c r="E4" s="107"/>
      <c r="F4" s="107"/>
      <c r="G4" s="107"/>
      <c r="H4" s="107"/>
    </row>
    <row r="5" customFormat="false" ht="22.35" hidden="false" customHeight="false" outlineLevel="0" collapsed="false">
      <c r="A5" s="109" t="s">
        <v>107</v>
      </c>
      <c r="B5" s="110"/>
      <c r="C5" s="111" t="s">
        <v>22</v>
      </c>
      <c r="D5" s="111" t="s">
        <v>23</v>
      </c>
      <c r="E5" s="111" t="s">
        <v>24</v>
      </c>
      <c r="F5" s="111" t="s">
        <v>108</v>
      </c>
      <c r="G5" s="112" t="s">
        <v>109</v>
      </c>
      <c r="H5" s="113" t="s">
        <v>110</v>
      </c>
      <c r="RC5" s="3"/>
      <c r="RD5" s="3"/>
      <c r="RE5" s="3"/>
      <c r="RF5" s="3"/>
      <c r="RG5" s="3"/>
      <c r="RH5" s="3"/>
      <c r="RI5" s="3"/>
      <c r="RJ5" s="3"/>
      <c r="RK5" s="3"/>
    </row>
    <row r="6" customFormat="false" ht="12.8" hidden="false" customHeight="false" outlineLevel="0" collapsed="false">
      <c r="A6" s="7" t="s">
        <v>111</v>
      </c>
      <c r="B6" s="110"/>
      <c r="C6" s="75"/>
      <c r="D6" s="114" t="s">
        <v>112</v>
      </c>
      <c r="E6" s="31"/>
      <c r="F6" s="31"/>
      <c r="G6" s="75"/>
      <c r="RC6" s="3"/>
      <c r="RD6" s="3"/>
      <c r="RE6" s="3"/>
      <c r="RF6" s="3"/>
      <c r="RG6" s="3"/>
      <c r="RH6" s="3"/>
      <c r="RI6" s="3"/>
      <c r="RJ6" s="3"/>
      <c r="RK6" s="3"/>
    </row>
    <row r="7" customFormat="false" ht="12.8" hidden="false" customHeight="false" outlineLevel="0" collapsed="false">
      <c r="A7" s="7"/>
      <c r="B7" s="110" t="s">
        <v>113</v>
      </c>
      <c r="C7" s="75"/>
      <c r="D7" s="31"/>
      <c r="E7" s="31"/>
      <c r="F7" s="31"/>
      <c r="G7" s="75"/>
      <c r="RC7" s="3"/>
      <c r="RD7" s="3"/>
      <c r="RE7" s="3"/>
      <c r="RF7" s="3"/>
      <c r="RG7" s="3"/>
      <c r="RH7" s="3"/>
      <c r="RI7" s="3"/>
      <c r="RJ7" s="3"/>
      <c r="RK7" s="3"/>
    </row>
    <row r="8" customFormat="false" ht="12.8" hidden="false" customHeight="false" outlineLevel="0" collapsed="false">
      <c r="A8" s="7" t="s">
        <v>1</v>
      </c>
      <c r="B8" s="110"/>
      <c r="C8" s="42" t="s">
        <v>31</v>
      </c>
      <c r="D8" s="115" t="n">
        <f aca="false">e!V4</f>
        <v>3644826</v>
      </c>
      <c r="E8" s="41" t="s">
        <v>32</v>
      </c>
      <c r="F8" s="42" t="s">
        <v>1</v>
      </c>
      <c r="G8" s="44" t="s">
        <v>33</v>
      </c>
      <c r="H8" s="45"/>
      <c r="RC8" s="3"/>
      <c r="RD8" s="3"/>
      <c r="RE8" s="3"/>
      <c r="RF8" s="3"/>
      <c r="RG8" s="3"/>
      <c r="RH8" s="3"/>
      <c r="RI8" s="3"/>
      <c r="RJ8" s="3"/>
      <c r="RK8" s="3"/>
    </row>
    <row r="9" customFormat="false" ht="12.8" hidden="false" customHeight="false" outlineLevel="0" collapsed="false">
      <c r="A9" s="7"/>
      <c r="B9" s="110"/>
      <c r="C9" s="42" t="s">
        <v>34</v>
      </c>
      <c r="D9" s="115" t="n">
        <f aca="false">e!V5</f>
        <v>80</v>
      </c>
      <c r="E9" s="41" t="s">
        <v>35</v>
      </c>
      <c r="F9" s="42" t="s">
        <v>1</v>
      </c>
      <c r="G9" s="50" t="s">
        <v>36</v>
      </c>
      <c r="H9" s="45" t="s">
        <v>37</v>
      </c>
      <c r="RC9" s="3"/>
      <c r="RD9" s="3"/>
      <c r="RE9" s="3"/>
      <c r="RF9" s="3"/>
      <c r="RG9" s="3"/>
      <c r="RH9" s="3"/>
      <c r="RI9" s="3"/>
      <c r="RJ9" s="3"/>
      <c r="RK9" s="3"/>
    </row>
    <row r="10" customFormat="false" ht="12.8" hidden="false" customHeight="false" outlineLevel="0" collapsed="false">
      <c r="A10" s="7"/>
      <c r="B10" s="110"/>
      <c r="C10" s="42" t="s">
        <v>38</v>
      </c>
      <c r="D10" s="116" t="n">
        <v>64.6</v>
      </c>
      <c r="E10" s="41" t="s">
        <v>39</v>
      </c>
      <c r="F10" s="42" t="s">
        <v>1</v>
      </c>
      <c r="G10" s="42" t="s">
        <v>40</v>
      </c>
      <c r="H10" s="42" t="s">
        <v>41</v>
      </c>
      <c r="RC10" s="3"/>
      <c r="RD10" s="3"/>
      <c r="RE10" s="3"/>
      <c r="RF10" s="3"/>
      <c r="RG10" s="3"/>
      <c r="RH10" s="3"/>
      <c r="RI10" s="3"/>
      <c r="RJ10" s="3"/>
      <c r="RK10" s="3"/>
    </row>
    <row r="11" customFormat="false" ht="12.8" hidden="false" customHeight="false" outlineLevel="0" collapsed="false">
      <c r="A11" s="7"/>
      <c r="B11" s="110"/>
      <c r="C11" s="42" t="s">
        <v>42</v>
      </c>
      <c r="D11" s="117" t="n">
        <f aca="false">e!V7</f>
        <v>13.78</v>
      </c>
      <c r="E11" s="54" t="s">
        <v>43</v>
      </c>
      <c r="F11" s="42" t="s">
        <v>1</v>
      </c>
      <c r="G11" s="55" t="s">
        <v>44</v>
      </c>
      <c r="H11" s="45" t="s">
        <v>45</v>
      </c>
      <c r="RC11" s="3"/>
      <c r="RD11" s="3"/>
      <c r="RE11" s="3"/>
      <c r="RF11" s="3"/>
      <c r="RG11" s="3"/>
      <c r="RH11" s="3"/>
      <c r="RI11" s="3"/>
      <c r="RJ11" s="3"/>
      <c r="RK11" s="3"/>
    </row>
    <row r="12" customFormat="false" ht="12.8" hidden="false" customHeight="false" outlineLevel="0" collapsed="false">
      <c r="A12" s="7"/>
      <c r="B12" s="110"/>
      <c r="C12" s="42" t="s">
        <v>46</v>
      </c>
      <c r="D12" s="115" t="n">
        <f aca="false">e!V8</f>
        <v>95</v>
      </c>
      <c r="E12" s="54" t="s">
        <v>27</v>
      </c>
      <c r="F12" s="42" t="s">
        <v>1</v>
      </c>
      <c r="G12" s="42" t="s">
        <v>47</v>
      </c>
      <c r="H12" s="45"/>
      <c r="RC12" s="3"/>
      <c r="RD12" s="3"/>
      <c r="RE12" s="3"/>
      <c r="RF12" s="3"/>
      <c r="RG12" s="3"/>
      <c r="RH12" s="3"/>
      <c r="RI12" s="3"/>
      <c r="RJ12" s="3"/>
      <c r="RK12" s="3"/>
    </row>
    <row r="13" customFormat="false" ht="12.8" hidden="false" customHeight="false" outlineLevel="0" collapsed="false">
      <c r="A13" s="7"/>
      <c r="B13" s="110"/>
      <c r="C13" s="42" t="s">
        <v>114</v>
      </c>
      <c r="D13" s="116" t="n">
        <f aca="false">e!V9</f>
        <v>3.5</v>
      </c>
      <c r="E13" s="54" t="s">
        <v>43</v>
      </c>
      <c r="F13" s="42" t="s">
        <v>1</v>
      </c>
      <c r="G13" s="42" t="s">
        <v>50</v>
      </c>
      <c r="H13" s="45"/>
      <c r="RC13" s="3"/>
      <c r="RD13" s="3"/>
      <c r="RE13" s="3"/>
      <c r="RF13" s="3"/>
      <c r="RG13" s="3"/>
      <c r="RH13" s="3"/>
      <c r="RI13" s="3"/>
      <c r="RJ13" s="3"/>
      <c r="RK13" s="3"/>
    </row>
    <row r="14" customFormat="false" ht="12.8" hidden="false" customHeight="false" outlineLevel="0" collapsed="false">
      <c r="A14" s="7"/>
      <c r="B14" s="110"/>
      <c r="C14" s="58" t="s">
        <v>51</v>
      </c>
      <c r="D14" s="115" t="n">
        <f aca="false">e!V10</f>
        <v>13</v>
      </c>
      <c r="E14" s="41" t="s">
        <v>52</v>
      </c>
      <c r="F14" s="42" t="s">
        <v>1</v>
      </c>
      <c r="G14" s="42"/>
      <c r="H14" s="45"/>
      <c r="RC14" s="3"/>
      <c r="RD14" s="3"/>
      <c r="RE14" s="3"/>
      <c r="RF14" s="3"/>
      <c r="RG14" s="3"/>
      <c r="RH14" s="3"/>
      <c r="RI14" s="3"/>
      <c r="RJ14" s="3"/>
      <c r="RK14" s="3"/>
    </row>
    <row r="15" customFormat="false" ht="12.8" hidden="false" customHeight="false" outlineLevel="0" collapsed="false">
      <c r="A15" s="7"/>
      <c r="B15" s="110"/>
      <c r="C15" s="58" t="s">
        <v>55</v>
      </c>
      <c r="D15" s="115" t="n">
        <f aca="false">e!V11</f>
        <v>166</v>
      </c>
      <c r="E15" s="41" t="s">
        <v>52</v>
      </c>
      <c r="F15" s="42" t="s">
        <v>1</v>
      </c>
      <c r="G15" s="42"/>
      <c r="H15" s="45"/>
      <c r="RC15" s="3"/>
      <c r="RD15" s="3"/>
      <c r="RE15" s="3"/>
      <c r="RF15" s="3"/>
      <c r="RG15" s="3"/>
      <c r="RH15" s="3"/>
      <c r="RI15" s="3"/>
      <c r="RJ15" s="3"/>
      <c r="RK15" s="3"/>
    </row>
    <row r="16" customFormat="false" ht="12.8" hidden="false" customHeight="false" outlineLevel="0" collapsed="false">
      <c r="A16" s="7"/>
      <c r="B16" s="110"/>
      <c r="C16" s="42" t="s">
        <v>57</v>
      </c>
      <c r="D16" s="115" t="n">
        <f aca="false">e!V12</f>
        <v>529</v>
      </c>
      <c r="E16" s="41" t="s">
        <v>35</v>
      </c>
      <c r="F16" s="42" t="s">
        <v>1</v>
      </c>
      <c r="G16" s="44" t="s">
        <v>58</v>
      </c>
      <c r="H16" s="42" t="s">
        <v>59</v>
      </c>
      <c r="RC16" s="3"/>
      <c r="RD16" s="3"/>
      <c r="RE16" s="3"/>
      <c r="RF16" s="3"/>
      <c r="RG16" s="3"/>
      <c r="RH16" s="3"/>
      <c r="RI16" s="3"/>
      <c r="RJ16" s="3"/>
      <c r="RK16" s="3"/>
    </row>
    <row r="17" customFormat="false" ht="12.8" hidden="false" customHeight="false" outlineLevel="0" collapsed="false">
      <c r="A17" s="7"/>
      <c r="B17" s="110"/>
      <c r="C17" s="58" t="s">
        <v>60</v>
      </c>
      <c r="D17" s="115" t="n">
        <f aca="false">e!V13</f>
        <v>85</v>
      </c>
      <c r="E17" s="41" t="s">
        <v>27</v>
      </c>
      <c r="F17" s="42" t="s">
        <v>1</v>
      </c>
      <c r="G17" s="42" t="s">
        <v>50</v>
      </c>
      <c r="H17" s="45"/>
      <c r="RC17" s="3"/>
      <c r="RD17" s="3"/>
      <c r="RE17" s="3"/>
      <c r="RF17" s="3"/>
      <c r="RG17" s="3"/>
      <c r="RH17" s="3"/>
      <c r="RI17" s="3"/>
      <c r="RJ17" s="3"/>
      <c r="RK17" s="3"/>
    </row>
    <row r="18" customFormat="false" ht="12.8" hidden="false" customHeight="false" outlineLevel="0" collapsed="false">
      <c r="A18" s="7" t="s">
        <v>1</v>
      </c>
      <c r="B18" s="110"/>
      <c r="C18" s="58" t="s">
        <v>61</v>
      </c>
      <c r="D18" s="115" t="n">
        <f aca="false">e!V14</f>
        <v>11</v>
      </c>
      <c r="E18" s="41" t="s">
        <v>27</v>
      </c>
      <c r="F18" s="42" t="s">
        <v>1</v>
      </c>
      <c r="G18" s="42" t="s">
        <v>62</v>
      </c>
      <c r="H18" s="45"/>
      <c r="RC18" s="3"/>
      <c r="RD18" s="3"/>
      <c r="RE18" s="3"/>
      <c r="RF18" s="3"/>
      <c r="RG18" s="3"/>
      <c r="RH18" s="3"/>
      <c r="RI18" s="3"/>
      <c r="RJ18" s="3"/>
      <c r="RK18" s="3"/>
    </row>
    <row r="19" customFormat="false" ht="12.8" hidden="false" customHeight="false" outlineLevel="0" collapsed="false">
      <c r="A19" s="7" t="s">
        <v>1</v>
      </c>
      <c r="B19" s="110"/>
      <c r="C19" s="58" t="s">
        <v>64</v>
      </c>
      <c r="D19" s="115" t="n">
        <f aca="false">e!V15</f>
        <v>11</v>
      </c>
      <c r="E19" s="41" t="s">
        <v>27</v>
      </c>
      <c r="F19" s="42" t="s">
        <v>1</v>
      </c>
      <c r="G19" s="44" t="s">
        <v>65</v>
      </c>
      <c r="H19" s="45"/>
      <c r="RC19" s="3"/>
      <c r="RD19" s="3"/>
      <c r="RE19" s="3"/>
      <c r="RF19" s="3"/>
      <c r="RG19" s="3"/>
      <c r="RH19" s="3"/>
      <c r="RI19" s="3"/>
      <c r="RJ19" s="3"/>
      <c r="RK19" s="3"/>
    </row>
    <row r="20" customFormat="false" ht="12.8" hidden="false" customHeight="false" outlineLevel="0" collapsed="false">
      <c r="A20" s="7" t="s">
        <v>1</v>
      </c>
      <c r="B20" s="110"/>
      <c r="C20" s="58" t="s">
        <v>66</v>
      </c>
      <c r="D20" s="115" t="n">
        <f aca="false">e!V16</f>
        <v>11</v>
      </c>
      <c r="E20" s="41" t="s">
        <v>27</v>
      </c>
      <c r="F20" s="42" t="s">
        <v>1</v>
      </c>
      <c r="G20" s="44" t="s">
        <v>65</v>
      </c>
      <c r="H20" s="45"/>
      <c r="RC20" s="3"/>
      <c r="RD20" s="3"/>
      <c r="RE20" s="3"/>
      <c r="RF20" s="3"/>
      <c r="RG20" s="3"/>
      <c r="RH20" s="3"/>
      <c r="RI20" s="3"/>
      <c r="RJ20" s="3"/>
      <c r="RK20" s="3"/>
    </row>
    <row r="21" customFormat="false" ht="12.8" hidden="false" customHeight="false" outlineLevel="0" collapsed="false">
      <c r="A21" s="7"/>
      <c r="B21" s="110"/>
      <c r="C21" s="58" t="s">
        <v>67</v>
      </c>
      <c r="D21" s="115" t="n">
        <f aca="false">e!V17</f>
        <v>40</v>
      </c>
      <c r="E21" s="41" t="s">
        <v>29</v>
      </c>
      <c r="F21" s="42" t="s">
        <v>1</v>
      </c>
      <c r="G21" s="42" t="s">
        <v>50</v>
      </c>
      <c r="H21" s="45"/>
      <c r="RC21" s="3"/>
      <c r="RD21" s="3"/>
      <c r="RE21" s="3"/>
      <c r="RF21" s="3"/>
      <c r="RG21" s="3"/>
      <c r="RH21" s="3"/>
      <c r="RI21" s="3"/>
      <c r="RJ21" s="3"/>
      <c r="RK21" s="3"/>
    </row>
    <row r="22" customFormat="false" ht="12.8" hidden="false" customHeight="false" outlineLevel="0" collapsed="false">
      <c r="A22" s="7"/>
      <c r="B22" s="110"/>
      <c r="C22" s="58" t="s">
        <v>68</v>
      </c>
      <c r="D22" s="115" t="n">
        <f aca="false">e!V18</f>
        <v>140</v>
      </c>
      <c r="E22" s="41" t="s">
        <v>69</v>
      </c>
      <c r="F22" s="42" t="s">
        <v>1</v>
      </c>
      <c r="G22" s="42" t="s">
        <v>70</v>
      </c>
      <c r="H22" s="45"/>
      <c r="RC22" s="3"/>
      <c r="RD22" s="3"/>
      <c r="RE22" s="3"/>
      <c r="RF22" s="3"/>
      <c r="RG22" s="3"/>
      <c r="RH22" s="3"/>
      <c r="RI22" s="3"/>
      <c r="RJ22" s="3"/>
      <c r="RK22" s="3"/>
    </row>
    <row r="23" customFormat="false" ht="12.8" hidden="false" customHeight="false" outlineLevel="0" collapsed="false">
      <c r="A23" s="7"/>
      <c r="B23" s="110"/>
      <c r="C23" s="58" t="s">
        <v>71</v>
      </c>
      <c r="D23" s="115" t="n">
        <f aca="false">e!V19</f>
        <v>2141.6260753112</v>
      </c>
      <c r="E23" s="54" t="s">
        <v>69</v>
      </c>
      <c r="F23" s="42" t="s">
        <v>1</v>
      </c>
      <c r="G23" s="42" t="s">
        <v>72</v>
      </c>
      <c r="H23" s="42" t="s">
        <v>41</v>
      </c>
      <c r="RC23" s="3"/>
      <c r="RD23" s="3"/>
      <c r="RE23" s="3"/>
      <c r="RF23" s="3"/>
      <c r="RG23" s="3"/>
      <c r="RH23" s="3"/>
      <c r="RI23" s="3"/>
      <c r="RJ23" s="3"/>
      <c r="RK23" s="3"/>
    </row>
    <row r="24" customFormat="false" ht="12.8" hidden="false" customHeight="false" outlineLevel="0" collapsed="false">
      <c r="A24" s="7" t="s">
        <v>1</v>
      </c>
      <c r="B24" s="110"/>
      <c r="C24" s="58" t="s">
        <v>74</v>
      </c>
      <c r="D24" s="116" t="n">
        <f aca="false">e!V20</f>
        <v>7</v>
      </c>
      <c r="E24" s="54" t="s">
        <v>27</v>
      </c>
      <c r="F24" s="42" t="s">
        <v>1</v>
      </c>
      <c r="G24" s="42" t="s">
        <v>75</v>
      </c>
      <c r="H24" s="68" t="n">
        <f aca="false">F116</f>
        <v>0.0489631138424055</v>
      </c>
      <c r="RC24" s="3"/>
      <c r="RD24" s="3"/>
      <c r="RE24" s="3"/>
      <c r="RF24" s="3"/>
      <c r="RG24" s="3"/>
      <c r="RH24" s="3"/>
      <c r="RI24" s="3"/>
      <c r="RJ24" s="3"/>
      <c r="RK24" s="3"/>
    </row>
    <row r="25" customFormat="false" ht="12.8" hidden="false" customHeight="false" outlineLevel="0" collapsed="false">
      <c r="A25" s="7"/>
      <c r="B25" s="110"/>
      <c r="C25" s="58" t="s">
        <v>76</v>
      </c>
      <c r="D25" s="118" t="n">
        <f aca="false">e!V21</f>
        <v>0.611</v>
      </c>
      <c r="E25" s="41" t="s">
        <v>77</v>
      </c>
      <c r="F25" s="42" t="s">
        <v>1</v>
      </c>
      <c r="G25" s="55" t="s">
        <v>78</v>
      </c>
      <c r="H25" s="42" t="s">
        <v>79</v>
      </c>
      <c r="RC25" s="3"/>
      <c r="RD25" s="3"/>
      <c r="RE25" s="3"/>
      <c r="RF25" s="3"/>
      <c r="RG25" s="3"/>
      <c r="RH25" s="3"/>
      <c r="RI25" s="3"/>
      <c r="RJ25" s="3"/>
      <c r="RK25" s="3"/>
    </row>
    <row r="26" customFormat="false" ht="12.8" hidden="false" customHeight="false" outlineLevel="0" collapsed="false">
      <c r="A26" s="7"/>
      <c r="B26" s="110"/>
      <c r="C26" s="58" t="s">
        <v>90</v>
      </c>
      <c r="D26" s="115" t="n">
        <f aca="false">e!V29</f>
        <v>1086.36559139785</v>
      </c>
      <c r="E26" s="41" t="s">
        <v>35</v>
      </c>
      <c r="F26" s="3"/>
      <c r="G26" s="75"/>
      <c r="RC26" s="3"/>
      <c r="RD26" s="3"/>
      <c r="RE26" s="3"/>
      <c r="RF26" s="3"/>
      <c r="RG26" s="3"/>
      <c r="RH26" s="3"/>
      <c r="RI26" s="3"/>
      <c r="RJ26" s="3"/>
      <c r="RK26" s="3"/>
    </row>
    <row r="27" customFormat="false" ht="12.8" hidden="false" customHeight="false" outlineLevel="0" collapsed="false">
      <c r="A27" s="7"/>
      <c r="B27" s="110" t="s">
        <v>115</v>
      </c>
      <c r="C27" s="75"/>
      <c r="D27" s="119"/>
      <c r="E27" s="31"/>
      <c r="F27" s="31"/>
      <c r="G27" s="75" t="s">
        <v>1</v>
      </c>
      <c r="RC27" s="3"/>
      <c r="RD27" s="3"/>
      <c r="RE27" s="3"/>
      <c r="RF27" s="3"/>
      <c r="RG27" s="3"/>
      <c r="RH27" s="3"/>
      <c r="RI27" s="3"/>
      <c r="RJ27" s="3"/>
      <c r="RK27" s="3"/>
    </row>
    <row r="28" customFormat="false" ht="12.8" hidden="false" customHeight="false" outlineLevel="0" collapsed="false">
      <c r="A28" s="7"/>
      <c r="B28" s="110" t="s">
        <v>116</v>
      </c>
      <c r="C28" s="42" t="s">
        <v>117</v>
      </c>
      <c r="D28" s="120" t="n">
        <v>892</v>
      </c>
      <c r="E28" s="41" t="s">
        <v>100</v>
      </c>
      <c r="F28" s="42"/>
      <c r="G28" s="44" t="s">
        <v>118</v>
      </c>
      <c r="RC28" s="3"/>
      <c r="RD28" s="3"/>
      <c r="RE28" s="3"/>
      <c r="RF28" s="3"/>
      <c r="RG28" s="3"/>
      <c r="RH28" s="3"/>
      <c r="RI28" s="3"/>
      <c r="RJ28" s="3"/>
      <c r="RK28" s="3"/>
    </row>
    <row r="29" customFormat="false" ht="13.7" hidden="false" customHeight="true" outlineLevel="0" collapsed="false">
      <c r="A29" s="7"/>
      <c r="B29" s="110"/>
      <c r="C29" s="75" t="s">
        <v>119</v>
      </c>
      <c r="D29" s="121" t="n">
        <v>40.7</v>
      </c>
      <c r="E29" s="31" t="s">
        <v>43</v>
      </c>
      <c r="F29" s="31"/>
      <c r="G29" s="122" t="s">
        <v>120</v>
      </c>
      <c r="H29" s="75" t="s">
        <v>121</v>
      </c>
      <c r="RC29" s="3"/>
      <c r="RD29" s="3"/>
      <c r="RE29" s="3"/>
      <c r="RF29" s="3"/>
      <c r="RG29" s="3"/>
      <c r="RH29" s="3"/>
      <c r="RI29" s="3"/>
      <c r="RJ29" s="3"/>
      <c r="RK29" s="3"/>
    </row>
    <row r="30" customFormat="false" ht="12.8" hidden="false" customHeight="false" outlineLevel="0" collapsed="false">
      <c r="A30" s="7"/>
      <c r="B30" s="110"/>
      <c r="C30" s="42" t="s">
        <v>122</v>
      </c>
      <c r="D30" s="123" t="n">
        <v>37</v>
      </c>
      <c r="E30" s="41" t="s">
        <v>27</v>
      </c>
      <c r="F30" s="124" t="s">
        <v>1</v>
      </c>
      <c r="G30" s="124" t="s">
        <v>123</v>
      </c>
      <c r="RC30" s="3"/>
      <c r="RD30" s="3"/>
      <c r="RE30" s="3"/>
      <c r="RF30" s="3"/>
      <c r="RG30" s="3"/>
      <c r="RH30" s="3"/>
      <c r="RI30" s="3"/>
      <c r="RJ30" s="3"/>
      <c r="RK30" s="3"/>
    </row>
    <row r="31" customFormat="false" ht="12.8" hidden="false" customHeight="false" outlineLevel="0" collapsed="false">
      <c r="A31" s="7"/>
      <c r="B31" s="125"/>
      <c r="C31" s="42" t="s">
        <v>124</v>
      </c>
      <c r="D31" s="126" t="n">
        <f aca="false">D9*D10</f>
        <v>5168</v>
      </c>
      <c r="E31" s="41" t="s">
        <v>125</v>
      </c>
      <c r="F31" s="41"/>
      <c r="G31" s="42"/>
      <c r="RC31" s="3"/>
      <c r="RD31" s="3"/>
      <c r="RE31" s="3"/>
      <c r="RF31" s="3"/>
      <c r="RG31" s="3"/>
      <c r="RH31" s="3"/>
      <c r="RI31" s="3"/>
      <c r="RJ31" s="3"/>
      <c r="RK31" s="3"/>
    </row>
    <row r="32" customFormat="false" ht="12.8" hidden="false" customHeight="false" outlineLevel="0" collapsed="false">
      <c r="A32" s="7" t="s">
        <v>1</v>
      </c>
      <c r="B32" s="41"/>
      <c r="C32" s="42" t="s">
        <v>126</v>
      </c>
      <c r="D32" s="127" t="n">
        <v>10641</v>
      </c>
      <c r="E32" s="41" t="s">
        <v>125</v>
      </c>
      <c r="F32" s="41"/>
      <c r="G32" s="50" t="s">
        <v>127</v>
      </c>
      <c r="H32" s="128" t="s">
        <v>128</v>
      </c>
      <c r="RC32" s="3"/>
      <c r="RD32" s="3"/>
      <c r="RE32" s="3"/>
      <c r="RF32" s="3"/>
      <c r="RG32" s="3"/>
      <c r="RH32" s="3"/>
      <c r="RI32" s="3"/>
      <c r="RJ32" s="3"/>
      <c r="RK32" s="3"/>
    </row>
    <row r="33" customFormat="false" ht="12.8" hidden="false" customHeight="false" outlineLevel="0" collapsed="false">
      <c r="A33" s="7"/>
      <c r="B33" s="41"/>
      <c r="C33" s="42" t="s">
        <v>129</v>
      </c>
      <c r="D33" s="123" t="n">
        <v>1437</v>
      </c>
      <c r="E33" s="41" t="s">
        <v>125</v>
      </c>
      <c r="F33" s="124"/>
      <c r="G33" s="50" t="s">
        <v>130</v>
      </c>
      <c r="RC33" s="3"/>
      <c r="RD33" s="3"/>
      <c r="RE33" s="3"/>
      <c r="RF33" s="3"/>
      <c r="RG33" s="3"/>
      <c r="RH33" s="3"/>
      <c r="RI33" s="3"/>
      <c r="RJ33" s="3"/>
      <c r="RK33" s="3"/>
    </row>
    <row r="34" customFormat="false" ht="12.8" hidden="false" customHeight="false" outlineLevel="0" collapsed="false">
      <c r="A34" s="7" t="s">
        <v>1</v>
      </c>
      <c r="B34" s="110"/>
      <c r="C34" s="42" t="s">
        <v>131</v>
      </c>
      <c r="D34" s="129" t="n">
        <f aca="false">e!D737</f>
        <v>45.7797742430863</v>
      </c>
      <c r="E34" s="41" t="s">
        <v>27</v>
      </c>
      <c r="F34" s="41"/>
      <c r="G34" s="42" t="s">
        <v>132</v>
      </c>
      <c r="RC34" s="3"/>
      <c r="RD34" s="3"/>
      <c r="RE34" s="3"/>
      <c r="RF34" s="3"/>
      <c r="RG34" s="3"/>
      <c r="RH34" s="3"/>
      <c r="RI34" s="3"/>
      <c r="RJ34" s="3"/>
      <c r="RK34" s="3"/>
    </row>
    <row r="35" customFormat="false" ht="12.8" hidden="false" customHeight="false" outlineLevel="0" collapsed="false">
      <c r="A35" s="7" t="s">
        <v>1</v>
      </c>
      <c r="B35" s="110"/>
      <c r="C35" s="42" t="s">
        <v>133</v>
      </c>
      <c r="D35" s="129" t="n">
        <f aca="false">(D31-D33*6/12)/180/24*2</f>
        <v>2.0599537037037</v>
      </c>
      <c r="E35" s="41" t="s">
        <v>134</v>
      </c>
      <c r="F35" s="41"/>
      <c r="G35" s="42"/>
      <c r="RC35" s="3"/>
      <c r="RD35" s="3"/>
      <c r="RE35" s="3"/>
      <c r="RF35" s="3"/>
      <c r="RG35" s="3"/>
      <c r="RH35" s="3"/>
      <c r="RI35" s="3"/>
      <c r="RJ35" s="3"/>
      <c r="RK35" s="3"/>
    </row>
    <row r="36" customFormat="false" ht="12.8" hidden="false" customHeight="false" outlineLevel="0" collapsed="false">
      <c r="A36" s="7"/>
      <c r="B36" s="130"/>
      <c r="C36" s="42" t="s">
        <v>135</v>
      </c>
      <c r="D36" s="131" t="n">
        <v>20</v>
      </c>
      <c r="E36" s="41" t="s">
        <v>27</v>
      </c>
      <c r="F36" s="41"/>
      <c r="G36" s="44" t="s">
        <v>136</v>
      </c>
      <c r="RC36" s="3"/>
      <c r="RD36" s="3"/>
      <c r="RE36" s="3"/>
      <c r="RF36" s="3"/>
      <c r="RG36" s="3"/>
      <c r="RH36" s="3"/>
      <c r="RI36" s="3"/>
      <c r="RJ36" s="3"/>
      <c r="RK36" s="3"/>
    </row>
    <row r="37" customFormat="false" ht="12.95" hidden="false" customHeight="true" outlineLevel="0" collapsed="false">
      <c r="A37" s="7"/>
      <c r="B37" s="41"/>
      <c r="C37" s="42"/>
      <c r="D37" s="132"/>
      <c r="E37" s="41"/>
      <c r="F37" s="41"/>
      <c r="G37" s="124" t="s">
        <v>1</v>
      </c>
      <c r="H37" s="124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</row>
    <row r="38" customFormat="false" ht="13.6" hidden="false" customHeight="true" outlineLevel="0" collapsed="false">
      <c r="A38" s="7"/>
      <c r="B38" s="41" t="s">
        <v>137</v>
      </c>
      <c r="C38" s="42" t="s">
        <v>138</v>
      </c>
      <c r="D38" s="133" t="n">
        <v>1141</v>
      </c>
      <c r="E38" s="41" t="s">
        <v>52</v>
      </c>
      <c r="F38" s="42"/>
      <c r="G38" s="44" t="s">
        <v>139</v>
      </c>
      <c r="H38" s="128"/>
      <c r="RD38" s="3"/>
      <c r="RE38" s="3"/>
      <c r="RF38" s="3"/>
      <c r="RG38" s="3"/>
      <c r="RH38" s="3"/>
      <c r="RI38" s="3"/>
      <c r="RJ38" s="3"/>
      <c r="RK38" s="3"/>
    </row>
    <row r="39" customFormat="false" ht="12.8" hidden="false" customHeight="false" outlineLevel="0" collapsed="false">
      <c r="A39" s="7"/>
      <c r="B39" s="41"/>
      <c r="C39" s="42" t="s">
        <v>140</v>
      </c>
      <c r="D39" s="131" t="n">
        <v>7.5</v>
      </c>
      <c r="E39" s="41" t="s">
        <v>141</v>
      </c>
      <c r="F39" s="42" t="s">
        <v>1</v>
      </c>
      <c r="G39" s="44" t="s">
        <v>53</v>
      </c>
      <c r="H39" s="134" t="s">
        <v>142</v>
      </c>
      <c r="RD39" s="3"/>
      <c r="RE39" s="3"/>
      <c r="RF39" s="3"/>
      <c r="RG39" s="3"/>
      <c r="RH39" s="3"/>
      <c r="RI39" s="3"/>
      <c r="RJ39" s="3"/>
      <c r="RK39" s="3"/>
    </row>
    <row r="40" customFormat="false" ht="12.8" hidden="false" customHeight="false" outlineLevel="0" collapsed="false">
      <c r="A40" s="135"/>
      <c r="B40" s="136"/>
      <c r="C40" s="137" t="s">
        <v>143</v>
      </c>
      <c r="D40" s="126" t="n">
        <f aca="false">e!V12</f>
        <v>529</v>
      </c>
      <c r="E40" s="41" t="s">
        <v>35</v>
      </c>
      <c r="F40" s="41"/>
      <c r="G40" s="44" t="s">
        <v>58</v>
      </c>
      <c r="H40" s="134"/>
      <c r="RD40" s="3"/>
      <c r="RE40" s="3"/>
      <c r="RF40" s="3"/>
      <c r="RG40" s="3"/>
      <c r="RH40" s="3"/>
      <c r="RI40" s="3"/>
      <c r="RJ40" s="3"/>
      <c r="RK40" s="3"/>
    </row>
    <row r="41" customFormat="false" ht="12.8" hidden="false" customHeight="false" outlineLevel="0" collapsed="false">
      <c r="A41" s="135" t="s">
        <v>144</v>
      </c>
      <c r="B41" s="136"/>
      <c r="C41" s="137" t="s">
        <v>145</v>
      </c>
      <c r="D41" s="131" t="n">
        <v>370</v>
      </c>
      <c r="E41" s="41" t="s">
        <v>35</v>
      </c>
      <c r="F41" s="41"/>
      <c r="G41" s="44" t="s">
        <v>146</v>
      </c>
      <c r="H41" s="3"/>
      <c r="RD41" s="3"/>
      <c r="RE41" s="3"/>
      <c r="RF41" s="3"/>
      <c r="RG41" s="3"/>
      <c r="RH41" s="3"/>
      <c r="RI41" s="3"/>
      <c r="RJ41" s="3"/>
      <c r="RK41" s="3"/>
    </row>
    <row r="42" customFormat="false" ht="12.8" hidden="false" customHeight="false" outlineLevel="0" collapsed="false">
      <c r="A42" s="135" t="s">
        <v>1</v>
      </c>
      <c r="B42" s="136"/>
      <c r="C42" s="137" t="s">
        <v>147</v>
      </c>
      <c r="D42" s="131" t="n">
        <v>360</v>
      </c>
      <c r="E42" s="41" t="s">
        <v>148</v>
      </c>
      <c r="F42" s="53" t="n">
        <v>25</v>
      </c>
      <c r="G42" s="44" t="s">
        <v>149</v>
      </c>
      <c r="H42" s="138" t="s">
        <v>150</v>
      </c>
      <c r="RD42" s="3"/>
      <c r="RE42" s="3"/>
      <c r="RF42" s="3"/>
      <c r="RG42" s="3"/>
      <c r="RH42" s="3"/>
      <c r="RI42" s="3"/>
      <c r="RJ42" s="3"/>
      <c r="RK42" s="3"/>
    </row>
    <row r="43" customFormat="false" ht="12.8" hidden="false" customHeight="false" outlineLevel="0" collapsed="false">
      <c r="A43" s="135" t="s">
        <v>144</v>
      </c>
      <c r="B43" s="136"/>
      <c r="C43" s="137" t="s">
        <v>151</v>
      </c>
      <c r="D43" s="131" t="n">
        <v>124</v>
      </c>
      <c r="E43" s="41" t="s">
        <v>148</v>
      </c>
      <c r="F43" s="53" t="n">
        <v>25</v>
      </c>
      <c r="G43" s="44" t="s">
        <v>152</v>
      </c>
      <c r="H43" s="138" t="s">
        <v>150</v>
      </c>
      <c r="RD43" s="3"/>
      <c r="RE43" s="3"/>
      <c r="RF43" s="3"/>
      <c r="RG43" s="3"/>
      <c r="RH43" s="3"/>
      <c r="RI43" s="3"/>
      <c r="RJ43" s="3"/>
      <c r="RK43" s="3"/>
    </row>
    <row r="44" customFormat="false" ht="12.8" hidden="false" customHeight="false" outlineLevel="0" collapsed="false">
      <c r="A44" s="7" t="s">
        <v>1</v>
      </c>
      <c r="B44" s="41"/>
      <c r="C44" s="42" t="s">
        <v>153</v>
      </c>
      <c r="D44" s="131" t="n">
        <v>100</v>
      </c>
      <c r="E44" s="41" t="s">
        <v>27</v>
      </c>
      <c r="F44" s="41"/>
      <c r="G44" s="139"/>
      <c r="H44" s="138"/>
      <c r="RD44" s="3"/>
      <c r="RE44" s="3"/>
      <c r="RF44" s="3"/>
      <c r="RG44" s="3"/>
      <c r="RH44" s="3"/>
      <c r="RI44" s="3"/>
      <c r="RJ44" s="3"/>
      <c r="RK44" s="3"/>
    </row>
    <row r="45" customFormat="false" ht="12.8" hidden="false" customHeight="false" outlineLevel="0" collapsed="false">
      <c r="A45" s="7" t="s">
        <v>1</v>
      </c>
      <c r="B45" s="41"/>
      <c r="C45" s="42" t="s">
        <v>154</v>
      </c>
      <c r="D45" s="131" t="n">
        <v>2.75</v>
      </c>
      <c r="E45" s="41"/>
      <c r="F45" s="41"/>
      <c r="G45" s="42"/>
      <c r="H45" s="58" t="s">
        <v>1</v>
      </c>
      <c r="RD45" s="3"/>
      <c r="RE45" s="3"/>
      <c r="RF45" s="3"/>
      <c r="RG45" s="3"/>
      <c r="RH45" s="3"/>
      <c r="RI45" s="3"/>
      <c r="RJ45" s="3"/>
      <c r="RK45" s="3"/>
    </row>
    <row r="46" customFormat="false" ht="12.8" hidden="false" customHeight="false" outlineLevel="0" collapsed="false">
      <c r="A46" s="7"/>
      <c r="B46" s="41"/>
      <c r="C46" s="42" t="s">
        <v>155</v>
      </c>
      <c r="D46" s="131" t="n">
        <v>188</v>
      </c>
      <c r="E46" s="41" t="s">
        <v>148</v>
      </c>
      <c r="F46" s="53" t="n">
        <v>40</v>
      </c>
      <c r="G46" s="44" t="s">
        <v>156</v>
      </c>
      <c r="H46" s="58" t="s">
        <v>1</v>
      </c>
      <c r="RD46" s="3"/>
      <c r="RE46" s="3"/>
      <c r="RF46" s="3"/>
      <c r="RG46" s="3"/>
      <c r="RH46" s="3"/>
      <c r="RI46" s="3"/>
      <c r="RJ46" s="3"/>
      <c r="RK46" s="3"/>
    </row>
    <row r="47" customFormat="false" ht="12.8" hidden="false" customHeight="false" outlineLevel="0" collapsed="false">
      <c r="A47" s="7"/>
      <c r="B47" s="41"/>
      <c r="C47" s="42" t="s">
        <v>157</v>
      </c>
      <c r="D47" s="131" t="n">
        <v>20</v>
      </c>
      <c r="E47" s="41" t="s">
        <v>27</v>
      </c>
      <c r="F47" s="41"/>
      <c r="G47" s="42" t="s">
        <v>158</v>
      </c>
      <c r="H47" s="58"/>
      <c r="RD47" s="3"/>
      <c r="RE47" s="3"/>
      <c r="RF47" s="3"/>
      <c r="RG47" s="3"/>
      <c r="RH47" s="3"/>
      <c r="RI47" s="3"/>
      <c r="RJ47" s="3"/>
      <c r="RK47" s="3"/>
    </row>
    <row r="48" customFormat="false" ht="12.8" hidden="false" customHeight="false" outlineLevel="0" collapsed="false">
      <c r="A48" s="7" t="s">
        <v>1</v>
      </c>
      <c r="B48" s="41"/>
      <c r="C48" s="42" t="s">
        <v>159</v>
      </c>
      <c r="D48" s="131" t="n">
        <v>50</v>
      </c>
      <c r="E48" s="41" t="s">
        <v>148</v>
      </c>
      <c r="F48" s="41"/>
      <c r="G48" s="44" t="s">
        <v>160</v>
      </c>
      <c r="H48" s="58" t="s">
        <v>1</v>
      </c>
      <c r="RD48" s="3"/>
      <c r="RE48" s="3"/>
      <c r="RF48" s="3"/>
      <c r="RG48" s="3"/>
      <c r="RH48" s="3"/>
      <c r="RI48" s="3"/>
      <c r="RJ48" s="3"/>
      <c r="RK48" s="3"/>
    </row>
    <row r="49" customFormat="false" ht="12.8" hidden="false" customHeight="false" outlineLevel="0" collapsed="false">
      <c r="A49" s="7" t="s">
        <v>1</v>
      </c>
      <c r="B49" s="41"/>
      <c r="C49" s="42" t="s">
        <v>161</v>
      </c>
      <c r="D49" s="126" t="n">
        <f aca="false">D39*D11*D12/100*D16/D38*D17/100*3600/4.2/40*18/24</f>
        <v>621.838378184863</v>
      </c>
      <c r="E49" s="41" t="s">
        <v>162</v>
      </c>
      <c r="F49" s="41"/>
      <c r="G49" s="42"/>
      <c r="H49" s="58"/>
      <c r="RD49" s="3"/>
      <c r="RE49" s="3"/>
      <c r="RF49" s="3"/>
      <c r="RG49" s="3"/>
      <c r="RH49" s="3"/>
      <c r="RI49" s="3"/>
      <c r="RJ49" s="3"/>
      <c r="RK49" s="3"/>
    </row>
    <row r="50" customFormat="false" ht="12.8" hidden="false" customHeight="false" outlineLevel="0" collapsed="false">
      <c r="A50" s="7"/>
      <c r="B50" s="41"/>
      <c r="C50" s="42" t="s">
        <v>163</v>
      </c>
      <c r="D50" s="131" t="n">
        <v>1</v>
      </c>
      <c r="E50" s="41" t="s">
        <v>164</v>
      </c>
      <c r="F50" s="53" t="n">
        <v>25</v>
      </c>
      <c r="G50" s="42"/>
      <c r="H50" s="58"/>
      <c r="RD50" s="3"/>
      <c r="RE50" s="3"/>
      <c r="RF50" s="3"/>
      <c r="RG50" s="3"/>
      <c r="RH50" s="3"/>
      <c r="RI50" s="3"/>
      <c r="RJ50" s="3"/>
      <c r="RK50" s="3"/>
    </row>
    <row r="51" customFormat="false" ht="12.8" hidden="false" customHeight="false" outlineLevel="0" collapsed="false">
      <c r="A51" s="7"/>
      <c r="B51" s="41"/>
      <c r="C51" s="42"/>
      <c r="D51" s="140"/>
      <c r="E51" s="41"/>
      <c r="F51" s="41"/>
      <c r="G51" s="42"/>
      <c r="H51" s="141" t="s">
        <v>1</v>
      </c>
      <c r="RD51" s="3"/>
      <c r="RE51" s="3"/>
      <c r="RF51" s="3"/>
      <c r="RG51" s="3"/>
      <c r="RH51" s="3"/>
      <c r="RI51" s="3"/>
      <c r="RJ51" s="3"/>
      <c r="RK51" s="3"/>
    </row>
    <row r="52" customFormat="false" ht="12.8" hidden="false" customHeight="false" outlineLevel="0" collapsed="false">
      <c r="A52" s="7"/>
      <c r="B52" s="41" t="s">
        <v>165</v>
      </c>
      <c r="C52" s="42" t="s">
        <v>166</v>
      </c>
      <c r="D52" s="131" t="n">
        <v>2.7</v>
      </c>
      <c r="E52" s="41" t="s">
        <v>167</v>
      </c>
      <c r="F52" s="41"/>
      <c r="G52" s="55" t="s">
        <v>78</v>
      </c>
      <c r="H52" s="124"/>
      <c r="RD52" s="3"/>
      <c r="RE52" s="3"/>
      <c r="RF52" s="3"/>
      <c r="RG52" s="3"/>
      <c r="RH52" s="3"/>
      <c r="RI52" s="3"/>
      <c r="RJ52" s="3"/>
      <c r="RK52" s="3"/>
    </row>
    <row r="53" customFormat="false" ht="12.8" hidden="false" customHeight="false" outlineLevel="0" collapsed="false">
      <c r="A53" s="7"/>
      <c r="B53" s="41"/>
      <c r="C53" s="42" t="s">
        <v>168</v>
      </c>
      <c r="D53" s="131" t="n">
        <v>0.4</v>
      </c>
      <c r="E53" s="41" t="s">
        <v>167</v>
      </c>
      <c r="F53" s="41"/>
      <c r="G53" s="55" t="s">
        <v>78</v>
      </c>
      <c r="H53" s="124"/>
    </row>
    <row r="54" customFormat="false" ht="12.8" hidden="false" customHeight="false" outlineLevel="0" collapsed="false">
      <c r="A54" s="7"/>
      <c r="B54" s="41"/>
      <c r="C54" s="42" t="s">
        <v>169</v>
      </c>
      <c r="D54" s="131" t="n">
        <v>0.05</v>
      </c>
      <c r="E54" s="41" t="s">
        <v>170</v>
      </c>
      <c r="F54" s="41"/>
      <c r="G54" s="42" t="s">
        <v>50</v>
      </c>
      <c r="H54" s="124"/>
    </row>
    <row r="55" customFormat="false" ht="12.8" hidden="false" customHeight="false" outlineLevel="0" collapsed="false">
      <c r="A55" s="7"/>
      <c r="B55" s="41"/>
      <c r="C55" s="42" t="s">
        <v>171</v>
      </c>
      <c r="D55" s="131" t="n">
        <v>0.005</v>
      </c>
      <c r="E55" s="41" t="s">
        <v>170</v>
      </c>
      <c r="F55" s="41"/>
      <c r="G55" s="42" t="s">
        <v>50</v>
      </c>
      <c r="H55" s="124"/>
    </row>
    <row r="56" customFormat="false" ht="12.8" hidden="false" customHeight="false" outlineLevel="0" collapsed="false">
      <c r="A56" s="7"/>
      <c r="B56" s="41"/>
      <c r="C56" s="42" t="s">
        <v>172</v>
      </c>
      <c r="D56" s="131" t="n">
        <v>15</v>
      </c>
      <c r="E56" s="41" t="s">
        <v>27</v>
      </c>
      <c r="F56" s="41"/>
      <c r="G56" s="42" t="s">
        <v>50</v>
      </c>
      <c r="H56" s="124"/>
    </row>
    <row r="57" customFormat="false" ht="13.4" hidden="false" customHeight="false" outlineLevel="0" collapsed="false">
      <c r="A57" s="7"/>
      <c r="B57" s="110"/>
      <c r="C57" s="42" t="s">
        <v>173</v>
      </c>
      <c r="D57" s="131" t="n">
        <v>0.0001</v>
      </c>
      <c r="E57" s="41" t="s">
        <v>174</v>
      </c>
      <c r="F57" s="41"/>
      <c r="G57" s="42" t="s">
        <v>175</v>
      </c>
      <c r="H57" s="124"/>
    </row>
    <row r="58" customFormat="false" ht="12.8" hidden="false" customHeight="false" outlineLevel="0" collapsed="false">
      <c r="A58" s="7"/>
      <c r="B58" s="110"/>
      <c r="C58" s="42" t="s">
        <v>176</v>
      </c>
      <c r="D58" s="131" t="n">
        <v>0.5707</v>
      </c>
      <c r="E58" s="41" t="s">
        <v>177</v>
      </c>
      <c r="F58" s="41"/>
      <c r="G58" s="50" t="s">
        <v>33</v>
      </c>
      <c r="H58" s="124"/>
    </row>
    <row r="59" customFormat="false" ht="12.8" hidden="false" customHeight="false" outlineLevel="0" collapsed="false">
      <c r="A59" s="7"/>
      <c r="B59" s="110"/>
      <c r="C59" s="42" t="s">
        <v>178</v>
      </c>
      <c r="D59" s="131" t="n">
        <v>9.72</v>
      </c>
      <c r="E59" s="41" t="s">
        <v>29</v>
      </c>
      <c r="F59" s="41"/>
      <c r="G59" s="44" t="s">
        <v>179</v>
      </c>
      <c r="H59" s="124"/>
    </row>
    <row r="60" customFormat="false" ht="12.8" hidden="false" customHeight="false" outlineLevel="0" collapsed="false">
      <c r="A60" s="7"/>
      <c r="B60" s="110"/>
      <c r="C60" s="42" t="s">
        <v>180</v>
      </c>
      <c r="D60" s="131" t="n">
        <v>12</v>
      </c>
      <c r="E60" s="41" t="s">
        <v>29</v>
      </c>
      <c r="F60" s="41"/>
      <c r="G60" s="42" t="s">
        <v>50</v>
      </c>
      <c r="H60" s="124"/>
    </row>
    <row r="61" customFormat="false" ht="12.8" hidden="false" customHeight="false" outlineLevel="0" collapsed="false">
      <c r="A61" s="7"/>
      <c r="B61" s="110"/>
      <c r="C61" s="42" t="s">
        <v>181</v>
      </c>
      <c r="D61" s="131" t="n">
        <v>40</v>
      </c>
      <c r="E61" s="41" t="s">
        <v>182</v>
      </c>
      <c r="F61" s="41"/>
      <c r="G61" s="42" t="s">
        <v>50</v>
      </c>
      <c r="H61" s="124"/>
    </row>
    <row r="62" customFormat="false" ht="12.8" hidden="false" customHeight="false" outlineLevel="0" collapsed="false">
      <c r="A62" s="7" t="s">
        <v>1</v>
      </c>
      <c r="B62" s="110"/>
      <c r="C62" s="42" t="s">
        <v>183</v>
      </c>
      <c r="D62" s="131" t="n">
        <v>60</v>
      </c>
      <c r="E62" s="41" t="s">
        <v>29</v>
      </c>
      <c r="F62" s="41"/>
      <c r="G62" s="42" t="s">
        <v>50</v>
      </c>
      <c r="H62" s="124"/>
    </row>
    <row r="63" customFormat="false" ht="12.8" hidden="false" customHeight="false" outlineLevel="0" collapsed="false">
      <c r="A63" s="7"/>
      <c r="B63" s="41"/>
      <c r="C63" s="42" t="s">
        <v>184</v>
      </c>
      <c r="D63" s="131" t="n">
        <v>10</v>
      </c>
      <c r="E63" s="41" t="s">
        <v>69</v>
      </c>
      <c r="F63" s="41"/>
      <c r="G63" s="42" t="s">
        <v>50</v>
      </c>
      <c r="H63" s="124"/>
    </row>
    <row r="64" customFormat="false" ht="12.8" hidden="false" customHeight="false" outlineLevel="0" collapsed="false">
      <c r="A64" s="7"/>
      <c r="B64" s="41"/>
      <c r="C64" s="42" t="s">
        <v>185</v>
      </c>
      <c r="D64" s="131" t="n">
        <v>2</v>
      </c>
      <c r="E64" s="41" t="s">
        <v>69</v>
      </c>
      <c r="F64" s="41"/>
      <c r="G64" s="42" t="s">
        <v>50</v>
      </c>
      <c r="H64" s="124" t="s">
        <v>1</v>
      </c>
    </row>
    <row r="65" customFormat="false" ht="12.8" hidden="false" customHeight="false" outlineLevel="0" collapsed="false">
      <c r="A65" s="7" t="s">
        <v>1</v>
      </c>
      <c r="B65" s="41"/>
      <c r="C65" s="42" t="s">
        <v>186</v>
      </c>
      <c r="D65" s="126" t="n">
        <f aca="false">D35*E3/(1-D153/100)/4.2/(55-28)/1000*3600/D67</f>
        <v>8893.65507442008</v>
      </c>
      <c r="E65" s="41" t="s">
        <v>187</v>
      </c>
      <c r="F65" s="41"/>
      <c r="G65" s="42" t="s">
        <v>188</v>
      </c>
      <c r="H65" s="124"/>
    </row>
    <row r="66" customFormat="false" ht="12.8" hidden="false" customHeight="false" outlineLevel="0" collapsed="false">
      <c r="A66" s="7"/>
      <c r="B66" s="41"/>
      <c r="C66" s="42" t="s">
        <v>189</v>
      </c>
      <c r="D66" s="126" t="n">
        <f aca="false">D65*(D107*1.2)</f>
        <v>1494134.05250257</v>
      </c>
      <c r="E66" s="41" t="s">
        <v>69</v>
      </c>
      <c r="F66" s="41" t="s">
        <v>1</v>
      </c>
      <c r="G66" s="124" t="s">
        <v>40</v>
      </c>
      <c r="H66" s="124"/>
    </row>
    <row r="67" customFormat="false" ht="12.8" hidden="false" customHeight="false" outlineLevel="0" collapsed="false">
      <c r="A67" s="7"/>
      <c r="B67" s="110"/>
      <c r="C67" s="42" t="s">
        <v>190</v>
      </c>
      <c r="D67" s="131" t="n">
        <v>30</v>
      </c>
      <c r="E67" s="41" t="s">
        <v>191</v>
      </c>
      <c r="F67" s="41"/>
      <c r="G67" s="42" t="s">
        <v>192</v>
      </c>
      <c r="H67" s="128" t="s">
        <v>193</v>
      </c>
    </row>
    <row r="68" customFormat="false" ht="12.8" hidden="false" customHeight="false" outlineLevel="0" collapsed="false">
      <c r="A68" s="7"/>
      <c r="B68" s="110"/>
      <c r="C68" s="42" t="s">
        <v>194</v>
      </c>
      <c r="D68" s="131" t="n">
        <v>5.7</v>
      </c>
      <c r="E68" s="41" t="s">
        <v>195</v>
      </c>
      <c r="F68" s="41"/>
      <c r="G68" s="44" t="s">
        <v>196</v>
      </c>
      <c r="H68" s="124"/>
    </row>
    <row r="69" customFormat="false" ht="12.8" hidden="false" customHeight="false" outlineLevel="0" collapsed="false">
      <c r="A69" s="7"/>
      <c r="B69" s="110"/>
      <c r="C69" s="42" t="s">
        <v>197</v>
      </c>
      <c r="D69" s="131" t="n">
        <v>16</v>
      </c>
      <c r="E69" s="41" t="s">
        <v>148</v>
      </c>
      <c r="F69" s="53" t="n">
        <v>50</v>
      </c>
      <c r="G69" s="42" t="s">
        <v>198</v>
      </c>
      <c r="H69" s="124"/>
    </row>
    <row r="70" customFormat="false" ht="12.8" hidden="false" customHeight="false" outlineLevel="0" collapsed="false">
      <c r="A70" s="7"/>
      <c r="B70" s="110"/>
      <c r="C70" s="42" t="s">
        <v>199</v>
      </c>
      <c r="D70" s="131" t="n">
        <v>80</v>
      </c>
      <c r="E70" s="41" t="s">
        <v>148</v>
      </c>
      <c r="F70" s="53" t="n">
        <v>50</v>
      </c>
      <c r="G70" s="42" t="s">
        <v>200</v>
      </c>
      <c r="H70" s="124" t="s">
        <v>201</v>
      </c>
    </row>
    <row r="71" customFormat="false" ht="12.8" hidden="false" customHeight="false" outlineLevel="0" collapsed="false">
      <c r="A71" s="7"/>
      <c r="B71" s="110"/>
      <c r="C71" s="42" t="s">
        <v>202</v>
      </c>
      <c r="D71" s="131" t="n">
        <v>300</v>
      </c>
      <c r="E71" s="41" t="s">
        <v>203</v>
      </c>
      <c r="F71" s="53" t="n">
        <v>50</v>
      </c>
      <c r="G71" s="44" t="s">
        <v>204</v>
      </c>
      <c r="H71" s="124" t="s">
        <v>205</v>
      </c>
    </row>
    <row r="72" customFormat="false" ht="12.8" hidden="false" customHeight="false" outlineLevel="0" collapsed="false">
      <c r="A72" s="7"/>
      <c r="B72" s="110"/>
      <c r="C72" s="42" t="s">
        <v>206</v>
      </c>
      <c r="D72" s="131" t="n">
        <v>40</v>
      </c>
      <c r="E72" s="41" t="s">
        <v>27</v>
      </c>
      <c r="F72" s="41"/>
      <c r="G72" s="42" t="s">
        <v>158</v>
      </c>
      <c r="H72" s="124"/>
    </row>
    <row r="73" customFormat="false" ht="12.8" hidden="false" customHeight="false" outlineLevel="0" collapsed="false">
      <c r="A73" s="7"/>
      <c r="B73" s="110"/>
      <c r="C73" s="42" t="s">
        <v>207</v>
      </c>
      <c r="D73" s="131" t="n">
        <v>100</v>
      </c>
      <c r="E73" s="41" t="s">
        <v>195</v>
      </c>
      <c r="F73" s="53" t="n">
        <v>50</v>
      </c>
      <c r="G73" s="42" t="s">
        <v>208</v>
      </c>
      <c r="H73" s="50" t="s">
        <v>209</v>
      </c>
    </row>
    <row r="74" customFormat="false" ht="12.8" hidden="false" customHeight="false" outlineLevel="0" collapsed="false">
      <c r="A74" s="7"/>
      <c r="B74" s="110"/>
      <c r="C74" s="42" t="s">
        <v>210</v>
      </c>
      <c r="D74" s="123" t="n">
        <v>1000000</v>
      </c>
      <c r="E74" s="41" t="s">
        <v>211</v>
      </c>
      <c r="F74" s="53" t="n">
        <v>50</v>
      </c>
      <c r="G74" s="42" t="s">
        <v>212</v>
      </c>
      <c r="H74" s="124"/>
    </row>
    <row r="75" customFormat="false" ht="12.8" hidden="false" customHeight="false" outlineLevel="0" collapsed="false">
      <c r="A75" s="7"/>
      <c r="B75" s="110"/>
      <c r="C75" s="128" t="s">
        <v>213</v>
      </c>
      <c r="D75" s="131" t="n">
        <v>585</v>
      </c>
      <c r="E75" s="41" t="s">
        <v>214</v>
      </c>
      <c r="F75" s="53" t="n">
        <v>30</v>
      </c>
      <c r="G75" s="44" t="s">
        <v>215</v>
      </c>
      <c r="H75" s="124"/>
    </row>
    <row r="76" customFormat="false" ht="12.8" hidden="false" customHeight="false" outlineLevel="0" collapsed="false">
      <c r="A76" s="7"/>
      <c r="B76" s="110" t="s">
        <v>216</v>
      </c>
      <c r="C76" s="42" t="s">
        <v>217</v>
      </c>
      <c r="D76" s="131" t="n">
        <v>0.035</v>
      </c>
      <c r="E76" s="41" t="s">
        <v>69</v>
      </c>
      <c r="F76" s="41" t="s">
        <v>1</v>
      </c>
      <c r="G76" s="42" t="s">
        <v>218</v>
      </c>
      <c r="H76" s="124"/>
    </row>
    <row r="77" customFormat="false" ht="12.8" hidden="false" customHeight="false" outlineLevel="0" collapsed="false">
      <c r="A77" s="7"/>
      <c r="B77" s="110"/>
      <c r="C77" s="42" t="s">
        <v>219</v>
      </c>
      <c r="D77" s="131" t="n">
        <v>8.36</v>
      </c>
      <c r="E77" s="41" t="s">
        <v>220</v>
      </c>
      <c r="F77" s="41"/>
      <c r="G77" s="42" t="s">
        <v>221</v>
      </c>
      <c r="H77" s="124"/>
    </row>
    <row r="78" customFormat="false" ht="12.8" hidden="false" customHeight="false" outlineLevel="0" collapsed="false">
      <c r="A78" s="7"/>
      <c r="B78" s="110"/>
      <c r="C78" s="42" t="s">
        <v>222</v>
      </c>
      <c r="D78" s="131" t="n">
        <v>221</v>
      </c>
      <c r="E78" s="41" t="s">
        <v>220</v>
      </c>
      <c r="F78" s="41"/>
      <c r="G78" s="42" t="s">
        <v>221</v>
      </c>
      <c r="H78" s="124"/>
    </row>
    <row r="79" customFormat="false" ht="12.8" hidden="false" customHeight="false" outlineLevel="0" collapsed="false">
      <c r="A79" s="7"/>
      <c r="B79" s="110"/>
      <c r="C79" s="124" t="s">
        <v>223</v>
      </c>
      <c r="D79" s="142" t="n">
        <v>5000</v>
      </c>
      <c r="E79" s="110" t="s">
        <v>203</v>
      </c>
      <c r="F79" s="53" t="n">
        <v>25</v>
      </c>
      <c r="G79" s="124" t="s">
        <v>224</v>
      </c>
      <c r="H79" s="124" t="s">
        <v>225</v>
      </c>
    </row>
    <row r="80" customFormat="false" ht="12.8" hidden="false" customHeight="false" outlineLevel="0" collapsed="false">
      <c r="A80" s="7"/>
      <c r="B80" s="110"/>
      <c r="C80" s="124" t="s">
        <v>226</v>
      </c>
      <c r="D80" s="131" t="n">
        <v>222</v>
      </c>
      <c r="E80" s="41" t="s">
        <v>203</v>
      </c>
      <c r="F80" s="53" t="n">
        <v>25</v>
      </c>
      <c r="G80" s="50" t="s">
        <v>227</v>
      </c>
      <c r="H80" s="124"/>
    </row>
    <row r="81" customFormat="false" ht="12.8" hidden="false" customHeight="false" outlineLevel="0" collapsed="false">
      <c r="A81" s="7"/>
      <c r="B81" s="110"/>
      <c r="C81" s="124" t="s">
        <v>228</v>
      </c>
      <c r="D81" s="123" t="n">
        <v>3171</v>
      </c>
      <c r="E81" s="41" t="s">
        <v>211</v>
      </c>
      <c r="F81" s="53" t="n">
        <v>25</v>
      </c>
      <c r="G81" s="50" t="s">
        <v>227</v>
      </c>
      <c r="H81" s="124"/>
    </row>
    <row r="82" customFormat="false" ht="12.8" hidden="false" customHeight="false" outlineLevel="0" collapsed="false">
      <c r="A82" s="143"/>
      <c r="B82" s="144"/>
      <c r="C82" s="145" t="s">
        <v>229</v>
      </c>
      <c r="D82" s="146" t="n">
        <f aca="false">D103</f>
        <v>9639.16696612433</v>
      </c>
      <c r="E82" s="110" t="s">
        <v>230</v>
      </c>
      <c r="F82" s="41"/>
      <c r="G82" s="124"/>
      <c r="H82" s="124"/>
    </row>
    <row r="83" customFormat="false" ht="12.8" hidden="false" customHeight="false" outlineLevel="0" collapsed="false">
      <c r="A83" s="143"/>
      <c r="B83" s="144"/>
      <c r="C83" s="145" t="s">
        <v>231</v>
      </c>
      <c r="D83" s="147" t="n">
        <v>39</v>
      </c>
      <c r="E83" s="110" t="s">
        <v>27</v>
      </c>
      <c r="F83" s="41"/>
      <c r="G83" s="50" t="s">
        <v>232</v>
      </c>
      <c r="H83" s="124"/>
    </row>
    <row r="84" customFormat="false" ht="12.8" hidden="false" customHeight="false" outlineLevel="0" collapsed="false">
      <c r="A84" s="145"/>
      <c r="B84" s="144"/>
      <c r="C84" s="145" t="s">
        <v>233</v>
      </c>
      <c r="D84" s="146" t="n">
        <f aca="false">D82/(100-D83)*D83</f>
        <v>6162.74609309589</v>
      </c>
      <c r="E84" s="110" t="s">
        <v>234</v>
      </c>
      <c r="F84" s="41"/>
      <c r="G84" s="124"/>
      <c r="H84" s="124"/>
    </row>
    <row r="85" customFormat="false" ht="12.8" hidden="false" customHeight="false" outlineLevel="0" collapsed="false">
      <c r="A85" s="145" t="s">
        <v>1</v>
      </c>
      <c r="B85" s="144"/>
      <c r="C85" s="145" t="s">
        <v>235</v>
      </c>
      <c r="D85" s="148" t="n">
        <f aca="false">D84*D75/1000000</f>
        <v>3.60520646446109</v>
      </c>
      <c r="E85" s="110" t="s">
        <v>236</v>
      </c>
      <c r="F85" s="53" t="n">
        <v>30</v>
      </c>
      <c r="G85" s="44" t="s">
        <v>215</v>
      </c>
      <c r="H85" s="124"/>
    </row>
    <row r="86" customFormat="false" ht="12.8" hidden="false" customHeight="false" outlineLevel="0" collapsed="false">
      <c r="A86" s="7"/>
      <c r="B86" s="41"/>
      <c r="C86" s="124" t="s">
        <v>237</v>
      </c>
      <c r="D86" s="146" t="n">
        <f aca="false">D35*E3</f>
        <v>7508172.81805556</v>
      </c>
      <c r="E86" s="110" t="s">
        <v>238</v>
      </c>
      <c r="F86" s="124"/>
      <c r="G86" s="42"/>
      <c r="H86" s="0"/>
    </row>
    <row r="87" customFormat="false" ht="12.8" hidden="false" customHeight="false" outlineLevel="0" collapsed="false">
      <c r="A87" s="9" t="s">
        <v>1</v>
      </c>
      <c r="B87" s="41"/>
      <c r="C87" s="124" t="s">
        <v>239</v>
      </c>
      <c r="D87" s="131" t="n">
        <v>1</v>
      </c>
      <c r="E87" s="41" t="s">
        <v>214</v>
      </c>
      <c r="F87" s="53" t="n">
        <v>1</v>
      </c>
      <c r="G87" s="42" t="s">
        <v>240</v>
      </c>
      <c r="H87" s="42" t="s">
        <v>1</v>
      </c>
    </row>
    <row r="88" customFormat="false" ht="12.8" hidden="false" customHeight="false" outlineLevel="0" collapsed="false">
      <c r="A88" s="7" t="s">
        <v>1</v>
      </c>
      <c r="B88" s="41"/>
      <c r="C88" s="124" t="s">
        <v>241</v>
      </c>
      <c r="D88" s="131" t="n">
        <v>75</v>
      </c>
      <c r="E88" s="41" t="s">
        <v>27</v>
      </c>
      <c r="F88" s="41"/>
      <c r="G88" s="44" t="s">
        <v>242</v>
      </c>
      <c r="H88" s="124"/>
    </row>
    <row r="89" customFormat="false" ht="12.8" hidden="false" customHeight="false" outlineLevel="0" collapsed="false">
      <c r="A89" s="7"/>
      <c r="B89" s="110"/>
      <c r="C89" s="124" t="s">
        <v>243</v>
      </c>
      <c r="D89" s="131" t="n">
        <v>216</v>
      </c>
      <c r="E89" s="41" t="s">
        <v>214</v>
      </c>
      <c r="F89" s="53" t="n">
        <v>20</v>
      </c>
      <c r="G89" s="149" t="s">
        <v>244</v>
      </c>
      <c r="H89" s="124"/>
    </row>
    <row r="90" customFormat="false" ht="12.8" hidden="false" customHeight="false" outlineLevel="0" collapsed="false">
      <c r="A90" s="7" t="s">
        <v>245</v>
      </c>
      <c r="B90" s="110"/>
      <c r="C90" s="124"/>
      <c r="D90" s="124"/>
      <c r="E90" s="110"/>
      <c r="F90" s="124"/>
      <c r="G90" s="124"/>
      <c r="H90" s="124"/>
    </row>
    <row r="91" customFormat="false" ht="12.8" hidden="false" customHeight="false" outlineLevel="0" collapsed="false">
      <c r="A91" s="7"/>
      <c r="B91" s="31" t="s">
        <v>246</v>
      </c>
      <c r="C91" s="42" t="s">
        <v>247</v>
      </c>
      <c r="D91" s="126" t="n">
        <f aca="false">D100/(1-(D19*D11+D18*D13)/(D11+D13)/100)/((D44/100*D40+(1-D44/100)*D41)*(D17/100)*(D26/D38))</f>
        <v>59727094.5101615</v>
      </c>
      <c r="E91" s="110" t="s">
        <v>39</v>
      </c>
      <c r="F91" s="124"/>
      <c r="G91" s="42" t="s">
        <v>248</v>
      </c>
      <c r="H91" s="124"/>
    </row>
    <row r="92" customFormat="false" ht="12.8" hidden="false" customHeight="false" outlineLevel="0" collapsed="false">
      <c r="A92" s="7"/>
      <c r="B92" s="31"/>
      <c r="C92" s="42" t="s">
        <v>249</v>
      </c>
      <c r="D92" s="150" t="n">
        <f aca="false">D91/E3</f>
        <v>16.3868164104848</v>
      </c>
      <c r="E92" s="110" t="s">
        <v>43</v>
      </c>
      <c r="F92" s="124"/>
      <c r="G92" s="42"/>
      <c r="H92" s="124"/>
    </row>
    <row r="93" customFormat="false" ht="12.8" hidden="false" customHeight="false" outlineLevel="0" collapsed="false">
      <c r="A93" s="7" t="s">
        <v>1</v>
      </c>
      <c r="B93" s="31" t="s">
        <v>1</v>
      </c>
      <c r="C93" s="42" t="s">
        <v>250</v>
      </c>
      <c r="D93" s="150" t="n">
        <f aca="false">D11*D12/100</f>
        <v>13.091</v>
      </c>
      <c r="E93" s="110" t="s">
        <v>43</v>
      </c>
      <c r="F93" s="124"/>
      <c r="G93" s="42"/>
      <c r="H93" s="124"/>
    </row>
    <row r="94" customFormat="false" ht="12.8" hidden="false" customHeight="false" outlineLevel="0" collapsed="false">
      <c r="A94" s="7"/>
      <c r="B94" s="31"/>
      <c r="C94" s="42" t="s">
        <v>251</v>
      </c>
      <c r="D94" s="151" t="n">
        <f aca="false">D92-D93</f>
        <v>3.29581641048477</v>
      </c>
      <c r="E94" s="110" t="s">
        <v>43</v>
      </c>
      <c r="F94" s="124"/>
      <c r="G94" s="152" t="s">
        <v>252</v>
      </c>
      <c r="H94" s="124"/>
    </row>
    <row r="95" customFormat="false" ht="12.8" hidden="false" customHeight="false" outlineLevel="0" collapsed="false">
      <c r="A95" s="7"/>
      <c r="B95" s="31"/>
      <c r="C95" s="42" t="s">
        <v>253</v>
      </c>
      <c r="D95" s="150" t="n">
        <f aca="false">D13*E3*D45/1000000</f>
        <v>35.08145025</v>
      </c>
      <c r="E95" s="110" t="s">
        <v>100</v>
      </c>
      <c r="F95" s="124"/>
      <c r="G95" s="153" t="s">
        <v>1</v>
      </c>
      <c r="H95" s="124"/>
    </row>
    <row r="96" customFormat="false" ht="12.8" hidden="false" customHeight="false" outlineLevel="0" collapsed="false">
      <c r="A96" s="7"/>
      <c r="B96" s="31"/>
      <c r="C96" s="42" t="s">
        <v>254</v>
      </c>
      <c r="D96" s="150" t="n">
        <f aca="false">D95^0.5</f>
        <v>5.92295958537622</v>
      </c>
      <c r="E96" s="110" t="s">
        <v>255</v>
      </c>
      <c r="F96" s="124"/>
      <c r="G96" s="42"/>
      <c r="H96" s="124"/>
    </row>
    <row r="97" customFormat="false" ht="12.8" hidden="false" customHeight="false" outlineLevel="0" collapsed="false">
      <c r="A97" s="7"/>
      <c r="B97" s="31"/>
      <c r="C97" s="42" t="s">
        <v>256</v>
      </c>
      <c r="D97" s="150" t="n">
        <f aca="false">D95/D28*100</f>
        <v>3.93289801008969</v>
      </c>
      <c r="E97" s="110" t="s">
        <v>27</v>
      </c>
      <c r="F97" s="124"/>
      <c r="G97" s="42"/>
      <c r="H97" s="124"/>
    </row>
    <row r="98" customFormat="false" ht="12.8" hidden="false" customHeight="false" outlineLevel="0" collapsed="false">
      <c r="A98" s="7"/>
      <c r="B98" s="31"/>
      <c r="C98" s="42" t="s">
        <v>257</v>
      </c>
      <c r="D98" s="126" t="n">
        <f aca="false">D95*1000000/E3</f>
        <v>9.625</v>
      </c>
      <c r="E98" s="110" t="s">
        <v>43</v>
      </c>
      <c r="F98" s="141"/>
      <c r="G98" s="42" t="s">
        <v>1</v>
      </c>
      <c r="H98" s="124"/>
    </row>
    <row r="99" customFormat="false" ht="12.8" hidden="false" customHeight="false" outlineLevel="0" collapsed="false">
      <c r="A99" s="7"/>
      <c r="B99" s="31"/>
      <c r="C99" s="42"/>
      <c r="D99" s="126"/>
      <c r="E99" s="110"/>
      <c r="F99" s="141"/>
      <c r="G99" s="42"/>
      <c r="H99" s="124"/>
    </row>
    <row r="100" customFormat="false" ht="12.8" hidden="false" customHeight="false" outlineLevel="0" collapsed="false">
      <c r="A100" s="7" t="s">
        <v>1</v>
      </c>
      <c r="B100" s="41" t="s">
        <v>258</v>
      </c>
      <c r="C100" s="42" t="s">
        <v>259</v>
      </c>
      <c r="D100" s="126" t="n">
        <f aca="false">E3*D31/(1-D20/100)/(1-D24/100)</f>
        <v>22757594258.7894</v>
      </c>
      <c r="E100" s="110" t="s">
        <v>101</v>
      </c>
      <c r="F100" s="41"/>
      <c r="G100" s="42" t="s">
        <v>260</v>
      </c>
      <c r="H100" s="124"/>
    </row>
    <row r="101" customFormat="false" ht="12.8" hidden="false" customHeight="false" outlineLevel="0" collapsed="false">
      <c r="A101" s="7"/>
      <c r="B101" s="41"/>
      <c r="C101" s="42" t="s">
        <v>261</v>
      </c>
      <c r="D101" s="126" t="n">
        <f aca="false">D100*(1-D34/100)</f>
        <v>12339218983.958</v>
      </c>
      <c r="E101" s="110" t="s">
        <v>101</v>
      </c>
      <c r="F101" s="124"/>
      <c r="G101" s="124"/>
      <c r="H101" s="124"/>
    </row>
    <row r="102" customFormat="false" ht="12.8" hidden="false" customHeight="false" outlineLevel="0" collapsed="false">
      <c r="A102" s="7"/>
      <c r="B102" s="41"/>
      <c r="C102" s="42" t="s">
        <v>262</v>
      </c>
      <c r="D102" s="126" t="n">
        <f aca="false">D32*E3/(1-D20/100)</f>
        <v>43578194905.618</v>
      </c>
      <c r="E102" s="110" t="s">
        <v>101</v>
      </c>
      <c r="F102" s="124"/>
      <c r="G102" s="42" t="s">
        <v>263</v>
      </c>
      <c r="H102" s="124"/>
    </row>
    <row r="103" customFormat="false" ht="12.8" hidden="false" customHeight="false" outlineLevel="0" collapsed="false">
      <c r="A103" s="7" t="s">
        <v>1</v>
      </c>
      <c r="B103" s="41"/>
      <c r="C103" s="42" t="s">
        <v>264</v>
      </c>
      <c r="D103" s="126" t="n">
        <f aca="false">(D102-D100)/(180*24)/1000*2</f>
        <v>9639.16696612433</v>
      </c>
      <c r="E103" s="110" t="s">
        <v>230</v>
      </c>
      <c r="F103" s="124"/>
      <c r="G103" s="42"/>
      <c r="H103" s="124"/>
    </row>
    <row r="104" customFormat="false" ht="12.8" hidden="false" customHeight="false" outlineLevel="0" collapsed="false">
      <c r="A104" s="7"/>
      <c r="B104" s="41"/>
      <c r="C104" s="42"/>
      <c r="D104" s="126"/>
      <c r="E104" s="110"/>
      <c r="F104" s="124"/>
      <c r="G104" s="42"/>
      <c r="H104" s="124"/>
    </row>
    <row r="105" customFormat="false" ht="12.8" hidden="false" customHeight="false" outlineLevel="0" collapsed="false">
      <c r="A105" s="7"/>
      <c r="B105" s="41"/>
      <c r="C105" s="42" t="s">
        <v>265</v>
      </c>
      <c r="D105" s="126" t="n">
        <f aca="false">D101/D25/D61</f>
        <v>504878027.166859</v>
      </c>
      <c r="E105" s="110" t="s">
        <v>266</v>
      </c>
      <c r="F105" s="124"/>
      <c r="G105" s="128"/>
      <c r="H105" s="124"/>
    </row>
    <row r="106" customFormat="false" ht="12.8" hidden="false" customHeight="false" outlineLevel="0" collapsed="false">
      <c r="A106" s="154" t="s">
        <v>1</v>
      </c>
      <c r="B106" s="155"/>
      <c r="C106" s="156" t="s">
        <v>267</v>
      </c>
      <c r="D106" s="157" t="n">
        <f aca="false">(4*D105/3.14)^(1/3)</f>
        <v>863.188417968488</v>
      </c>
      <c r="E106" s="155" t="s">
        <v>69</v>
      </c>
      <c r="F106" s="155" t="s">
        <v>1</v>
      </c>
      <c r="G106" s="156" t="s">
        <v>268</v>
      </c>
      <c r="H106" s="158"/>
    </row>
    <row r="107" customFormat="false" ht="12.8" hidden="false" customHeight="false" outlineLevel="0" collapsed="false">
      <c r="A107" s="154" t="s">
        <v>1</v>
      </c>
      <c r="B107" s="155"/>
      <c r="C107" s="156" t="s">
        <v>269</v>
      </c>
      <c r="D107" s="157" t="n">
        <f aca="false">e!V18</f>
        <v>140</v>
      </c>
      <c r="E107" s="155" t="s">
        <v>69</v>
      </c>
      <c r="F107" s="155" t="s">
        <v>1</v>
      </c>
      <c r="G107" s="156" t="s">
        <v>270</v>
      </c>
      <c r="H107" s="158"/>
    </row>
    <row r="108" customFormat="false" ht="12.8" hidden="false" customHeight="false" outlineLevel="0" collapsed="false">
      <c r="A108" s="7"/>
      <c r="B108" s="41"/>
      <c r="C108" s="42" t="s">
        <v>271</v>
      </c>
      <c r="D108" s="126" t="n">
        <f aca="false">(D105/D107*4/PI())^0.5</f>
        <v>2142.81302006884</v>
      </c>
      <c r="E108" s="110" t="s">
        <v>69</v>
      </c>
      <c r="F108" s="124"/>
      <c r="G108" s="128"/>
      <c r="H108" s="124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  <c r="HG108" s="46"/>
      <c r="HH108" s="46"/>
      <c r="HI108" s="46"/>
      <c r="HJ108" s="46"/>
      <c r="HK108" s="46"/>
      <c r="HL108" s="46"/>
      <c r="HM108" s="46"/>
      <c r="HN108" s="46"/>
      <c r="HO108" s="46"/>
      <c r="HP108" s="46"/>
      <c r="HQ108" s="46"/>
      <c r="HR108" s="46"/>
      <c r="HS108" s="46"/>
      <c r="HT108" s="46"/>
      <c r="HU108" s="46"/>
      <c r="HV108" s="46"/>
      <c r="HW108" s="46"/>
      <c r="HX108" s="46"/>
      <c r="HY108" s="46"/>
      <c r="HZ108" s="46"/>
      <c r="IA108" s="46"/>
      <c r="IB108" s="46"/>
      <c r="IC108" s="46"/>
      <c r="ID108" s="46"/>
      <c r="IE108" s="46"/>
      <c r="IF108" s="46"/>
      <c r="IG108" s="46"/>
      <c r="IH108" s="46"/>
      <c r="II108" s="46"/>
      <c r="IJ108" s="46"/>
      <c r="IK108" s="46"/>
      <c r="IL108" s="46"/>
      <c r="IM108" s="46"/>
      <c r="IN108" s="46"/>
      <c r="IO108" s="46"/>
      <c r="IP108" s="46"/>
      <c r="IQ108" s="46"/>
      <c r="IR108" s="46"/>
      <c r="IS108" s="46"/>
      <c r="IT108" s="46"/>
      <c r="IU108" s="46"/>
      <c r="IV108" s="46"/>
      <c r="IW108" s="46"/>
      <c r="IX108" s="46"/>
      <c r="IY108" s="46"/>
      <c r="IZ108" s="46"/>
      <c r="JA108" s="46"/>
      <c r="JB108" s="46"/>
      <c r="JC108" s="46"/>
      <c r="JD108" s="46"/>
      <c r="JE108" s="46"/>
      <c r="JF108" s="46"/>
      <c r="JG108" s="46"/>
      <c r="JH108" s="46"/>
      <c r="JI108" s="46"/>
      <c r="JJ108" s="46"/>
      <c r="JK108" s="46"/>
      <c r="JL108" s="46"/>
      <c r="JM108" s="46"/>
      <c r="JN108" s="46"/>
      <c r="JO108" s="46"/>
      <c r="JP108" s="46"/>
      <c r="JQ108" s="46"/>
      <c r="JR108" s="46"/>
      <c r="JS108" s="46"/>
      <c r="JT108" s="46"/>
      <c r="JU108" s="46"/>
      <c r="JV108" s="46"/>
      <c r="JW108" s="46"/>
      <c r="JX108" s="46"/>
      <c r="JY108" s="46"/>
      <c r="JZ108" s="46"/>
      <c r="KA108" s="46"/>
      <c r="KB108" s="46"/>
      <c r="KC108" s="46"/>
      <c r="KD108" s="46"/>
      <c r="KE108" s="46"/>
      <c r="KF108" s="46"/>
      <c r="KG108" s="46"/>
      <c r="KH108" s="46"/>
      <c r="KI108" s="46"/>
      <c r="KJ108" s="46"/>
      <c r="KK108" s="46"/>
      <c r="KL108" s="46"/>
      <c r="KM108" s="46"/>
      <c r="KN108" s="46"/>
      <c r="KO108" s="46"/>
      <c r="KP108" s="46"/>
      <c r="KQ108" s="46"/>
      <c r="KR108" s="46"/>
      <c r="KS108" s="46"/>
      <c r="KT108" s="46"/>
      <c r="KU108" s="46"/>
      <c r="KV108" s="46"/>
      <c r="KW108" s="46"/>
      <c r="KX108" s="46"/>
      <c r="KY108" s="46"/>
      <c r="KZ108" s="46"/>
      <c r="LA108" s="46"/>
      <c r="LB108" s="46"/>
      <c r="LC108" s="46"/>
      <c r="LD108" s="46"/>
      <c r="LE108" s="46"/>
      <c r="LF108" s="46"/>
      <c r="LG108" s="46"/>
      <c r="LH108" s="46"/>
      <c r="LI108" s="46"/>
      <c r="LJ108" s="46"/>
      <c r="LK108" s="46"/>
      <c r="LL108" s="46"/>
      <c r="LM108" s="46"/>
      <c r="LN108" s="46"/>
      <c r="LO108" s="46"/>
      <c r="LP108" s="46"/>
      <c r="LQ108" s="46"/>
      <c r="LR108" s="46"/>
      <c r="LS108" s="46"/>
      <c r="LT108" s="46"/>
      <c r="LU108" s="46"/>
      <c r="LV108" s="46"/>
      <c r="LW108" s="46"/>
      <c r="LX108" s="46"/>
      <c r="LY108" s="46"/>
      <c r="LZ108" s="46"/>
      <c r="MA108" s="46"/>
      <c r="MB108" s="46"/>
      <c r="MC108" s="46"/>
      <c r="MD108" s="46"/>
      <c r="ME108" s="46"/>
      <c r="MF108" s="46"/>
      <c r="MG108" s="46"/>
      <c r="MH108" s="46"/>
      <c r="MI108" s="46"/>
      <c r="MJ108" s="46"/>
      <c r="MK108" s="46"/>
      <c r="ML108" s="46"/>
      <c r="MM108" s="46"/>
      <c r="MN108" s="46"/>
      <c r="MO108" s="46"/>
      <c r="MP108" s="46"/>
      <c r="MQ108" s="46"/>
      <c r="MR108" s="46"/>
      <c r="MS108" s="46"/>
      <c r="MT108" s="46"/>
      <c r="MU108" s="46"/>
      <c r="MV108" s="46"/>
      <c r="MW108" s="46"/>
      <c r="MX108" s="46"/>
      <c r="MY108" s="46"/>
      <c r="MZ108" s="46"/>
      <c r="NA108" s="46"/>
      <c r="NB108" s="46"/>
      <c r="NC108" s="46"/>
      <c r="ND108" s="46"/>
      <c r="NE108" s="46"/>
      <c r="NF108" s="46"/>
      <c r="NG108" s="46"/>
      <c r="NH108" s="46"/>
      <c r="NI108" s="46"/>
      <c r="NJ108" s="46"/>
      <c r="NK108" s="46"/>
      <c r="NL108" s="46"/>
      <c r="NM108" s="46"/>
      <c r="NN108" s="46"/>
      <c r="NO108" s="46"/>
      <c r="NP108" s="46"/>
      <c r="NQ108" s="46"/>
      <c r="NR108" s="46"/>
      <c r="NS108" s="46"/>
      <c r="NT108" s="46"/>
      <c r="NU108" s="46"/>
      <c r="NV108" s="46"/>
      <c r="NW108" s="46"/>
      <c r="NX108" s="46"/>
      <c r="NY108" s="46"/>
      <c r="NZ108" s="46"/>
      <c r="OA108" s="46"/>
      <c r="OB108" s="46"/>
      <c r="OC108" s="46"/>
      <c r="OD108" s="46"/>
      <c r="OE108" s="46"/>
      <c r="OF108" s="46"/>
      <c r="OG108" s="46"/>
      <c r="OH108" s="46"/>
      <c r="OI108" s="46"/>
      <c r="OJ108" s="46"/>
      <c r="OK108" s="46"/>
      <c r="OL108" s="46"/>
      <c r="OM108" s="46"/>
      <c r="ON108" s="46"/>
      <c r="OO108" s="46"/>
      <c r="OP108" s="46"/>
      <c r="OQ108" s="46"/>
      <c r="OR108" s="46"/>
      <c r="OS108" s="46"/>
      <c r="OT108" s="46"/>
      <c r="OU108" s="46"/>
      <c r="OV108" s="46"/>
      <c r="OW108" s="46"/>
      <c r="OX108" s="46"/>
      <c r="OY108" s="46"/>
      <c r="OZ108" s="46"/>
      <c r="PA108" s="46"/>
      <c r="PB108" s="46"/>
      <c r="PC108" s="46"/>
      <c r="PD108" s="46"/>
      <c r="PE108" s="46"/>
      <c r="PF108" s="46"/>
      <c r="PG108" s="46"/>
      <c r="PH108" s="46"/>
      <c r="PI108" s="46"/>
      <c r="PJ108" s="46"/>
      <c r="PK108" s="46"/>
      <c r="PL108" s="46"/>
      <c r="PM108" s="46"/>
      <c r="PN108" s="46"/>
      <c r="PO108" s="46"/>
      <c r="PP108" s="46"/>
      <c r="PQ108" s="46"/>
      <c r="PR108" s="46"/>
      <c r="PS108" s="46"/>
      <c r="PT108" s="46"/>
      <c r="PU108" s="46"/>
      <c r="PV108" s="46"/>
      <c r="PW108" s="46"/>
      <c r="PX108" s="46"/>
      <c r="PY108" s="46"/>
      <c r="PZ108" s="46"/>
      <c r="QA108" s="46"/>
      <c r="QB108" s="46"/>
      <c r="QC108" s="46"/>
      <c r="QD108" s="46"/>
      <c r="QE108" s="46"/>
      <c r="QF108" s="46"/>
      <c r="QG108" s="46"/>
      <c r="QH108" s="46"/>
      <c r="QI108" s="46"/>
      <c r="QJ108" s="46"/>
      <c r="QK108" s="46"/>
      <c r="QL108" s="46"/>
      <c r="QM108" s="46"/>
      <c r="QN108" s="46"/>
      <c r="QO108" s="46"/>
      <c r="QP108" s="46"/>
      <c r="QQ108" s="46"/>
      <c r="QR108" s="46"/>
      <c r="QS108" s="46"/>
      <c r="QT108" s="46"/>
      <c r="QU108" s="46"/>
      <c r="QV108" s="46"/>
      <c r="QW108" s="46"/>
      <c r="QX108" s="46"/>
      <c r="QY108" s="46"/>
      <c r="QZ108" s="46"/>
      <c r="RA108" s="46"/>
      <c r="RB108" s="46"/>
      <c r="RC108" s="46"/>
      <c r="RD108" s="46"/>
      <c r="RE108" s="46"/>
      <c r="RF108" s="46"/>
      <c r="RG108" s="46"/>
      <c r="RH108" s="46"/>
      <c r="RI108" s="46"/>
      <c r="RJ108" s="46"/>
      <c r="RK108" s="46"/>
    </row>
    <row r="109" customFormat="false" ht="12.8" hidden="false" customHeight="false" outlineLevel="0" collapsed="false">
      <c r="A109" s="7"/>
      <c r="B109" s="41"/>
      <c r="C109" s="42" t="s">
        <v>272</v>
      </c>
      <c r="D109" s="150" t="n">
        <f aca="false">D108^2*PI()/4/1000000</f>
        <v>3.60627162262042</v>
      </c>
      <c r="E109" s="110" t="s">
        <v>100</v>
      </c>
      <c r="F109" s="124"/>
      <c r="G109" s="128"/>
      <c r="H109" s="124"/>
    </row>
    <row r="110" customFormat="false" ht="12.8" hidden="false" customHeight="false" outlineLevel="0" collapsed="false">
      <c r="A110" s="7" t="s">
        <v>1</v>
      </c>
      <c r="B110" s="41"/>
      <c r="C110" s="42" t="s">
        <v>273</v>
      </c>
      <c r="D110" s="159" t="n">
        <f aca="false">D109/D28*100</f>
        <v>0.404290540652514</v>
      </c>
      <c r="E110" s="110" t="s">
        <v>27</v>
      </c>
      <c r="F110" s="124"/>
      <c r="G110" s="128"/>
      <c r="H110" s="124"/>
    </row>
    <row r="111" customFormat="false" ht="12.8" hidden="false" customHeight="false" outlineLevel="0" collapsed="false">
      <c r="A111" s="160"/>
      <c r="B111" s="144"/>
      <c r="C111" s="152" t="s">
        <v>274</v>
      </c>
      <c r="D111" s="126" t="n">
        <f aca="false">D53/D64*PI()/4*D108^2*(D62-D59)*24*365/1000</f>
        <v>317678486.748742</v>
      </c>
      <c r="E111" s="41" t="s">
        <v>101</v>
      </c>
      <c r="F111" s="58"/>
      <c r="G111" s="42" t="s">
        <v>275</v>
      </c>
      <c r="H111" s="58"/>
    </row>
    <row r="112" customFormat="false" ht="12.8" hidden="false" customHeight="false" outlineLevel="0" collapsed="false">
      <c r="A112" s="160"/>
      <c r="B112" s="144"/>
      <c r="C112" s="152" t="s">
        <v>276</v>
      </c>
      <c r="D112" s="126" t="n">
        <v>273000000</v>
      </c>
      <c r="E112" s="41" t="s">
        <v>101</v>
      </c>
      <c r="F112" s="58"/>
      <c r="G112" s="42" t="s">
        <v>275</v>
      </c>
      <c r="H112" s="58"/>
    </row>
    <row r="113" customFormat="false" ht="12.8" hidden="false" customHeight="false" outlineLevel="0" collapsed="false">
      <c r="A113" s="160"/>
      <c r="B113" s="144"/>
      <c r="C113" s="152" t="s">
        <v>277</v>
      </c>
      <c r="D113" s="126" t="n">
        <f aca="false">PI()*((D108/2+40)^2-(D108/2+D63)^2)*D58*1000*4.2*((D62/2+D60)/3-D59)/3600</f>
        <v>588940.146196532</v>
      </c>
      <c r="E113" s="41" t="s">
        <v>101</v>
      </c>
      <c r="F113" s="58" t="s">
        <v>1</v>
      </c>
      <c r="G113" s="42" t="s">
        <v>275</v>
      </c>
      <c r="H113" s="58"/>
    </row>
    <row r="114" customFormat="false" ht="12.8" hidden="false" customHeight="false" outlineLevel="0" collapsed="false">
      <c r="A114" s="160"/>
      <c r="B114" s="144"/>
      <c r="C114" s="152" t="s">
        <v>278</v>
      </c>
      <c r="D114" s="126" t="n">
        <f aca="false">((D107+40)*(D108+80)-(D107*D108))*(D54+D55)/2*365*D56/100*1000*4.2*((D62+D60)/3-D60)/3600</f>
        <v>2110246.79787105</v>
      </c>
      <c r="E114" s="41" t="s">
        <v>101</v>
      </c>
      <c r="F114" s="58"/>
      <c r="G114" s="42" t="s">
        <v>275</v>
      </c>
      <c r="H114" s="58"/>
    </row>
    <row r="115" customFormat="false" ht="12.8" hidden="false" customHeight="false" outlineLevel="0" collapsed="false">
      <c r="A115" s="160"/>
      <c r="B115" s="144"/>
      <c r="C115" s="152" t="s">
        <v>279</v>
      </c>
      <c r="D115" s="126" t="n">
        <f aca="false">-D57*D107/1000/30*((-0.0040125*23^2-0.028625*23+1000.3875)-(-0.0040125*D60^2-0.028625*D60+1000.3875))*PI()*((D108/2+30)^2-(D108/2)^2)*1000*D56/100 *4.2 *(23-D60) *24*365</f>
        <v>10788910.1450995</v>
      </c>
      <c r="E115" s="41" t="s">
        <v>101</v>
      </c>
      <c r="F115" s="58"/>
      <c r="G115" s="42" t="s">
        <v>275</v>
      </c>
      <c r="H115" s="58"/>
    </row>
    <row r="116" customFormat="false" ht="12.8" hidden="false" customHeight="false" outlineLevel="0" collapsed="false">
      <c r="A116" s="161"/>
      <c r="B116" s="41"/>
      <c r="C116" s="42" t="s">
        <v>280</v>
      </c>
      <c r="D116" s="126" t="n">
        <f aca="false">SUM(D111:D115)</f>
        <v>604166583.837909</v>
      </c>
      <c r="E116" s="41" t="s">
        <v>281</v>
      </c>
      <c r="F116" s="162" t="n">
        <f aca="false">D116/D101</f>
        <v>0.0489631138424055</v>
      </c>
      <c r="G116" s="42"/>
      <c r="H116" s="124"/>
    </row>
    <row r="117" customFormat="false" ht="15" hidden="false" customHeight="false" outlineLevel="0" collapsed="false">
      <c r="A117" s="7"/>
      <c r="B117" s="41"/>
      <c r="C117" s="128" t="s">
        <v>282</v>
      </c>
      <c r="D117" s="126" t="n">
        <f aca="false">((D39*(D40*D44/100+D41*(1-D44/100))/D38*D13*E3-D33/365*E3)*18/24*3600/4.2/55/1000)</f>
        <v>350752.170657875</v>
      </c>
      <c r="E117" s="110" t="s">
        <v>266</v>
      </c>
      <c r="F117" s="124"/>
      <c r="G117" s="163" t="s">
        <v>1</v>
      </c>
      <c r="H117" s="54" t="s">
        <v>1</v>
      </c>
    </row>
    <row r="118" customFormat="false" ht="12.8" hidden="false" customHeight="false" outlineLevel="0" collapsed="false">
      <c r="A118" s="7"/>
      <c r="B118" s="41" t="s">
        <v>1</v>
      </c>
      <c r="C118" s="42"/>
      <c r="D118" s="164"/>
      <c r="E118" s="41"/>
      <c r="F118" s="58"/>
      <c r="G118" s="139"/>
      <c r="H118" s="124"/>
    </row>
    <row r="119" customFormat="false" ht="12.8" hidden="false" customHeight="false" outlineLevel="0" collapsed="false">
      <c r="A119" s="7" t="s">
        <v>1</v>
      </c>
      <c r="B119" s="41" t="s">
        <v>216</v>
      </c>
      <c r="C119" s="42"/>
      <c r="D119" s="165"/>
      <c r="E119" s="41"/>
      <c r="F119" s="41"/>
      <c r="G119" s="42" t="s">
        <v>283</v>
      </c>
      <c r="H119" s="124"/>
    </row>
    <row r="120" customFormat="false" ht="12.8" hidden="false" customHeight="false" outlineLevel="0" collapsed="false">
      <c r="A120" s="7"/>
      <c r="B120" s="166" t="s">
        <v>284</v>
      </c>
      <c r="C120" s="167" t="s">
        <v>97</v>
      </c>
      <c r="D120" s="168" t="n">
        <v>100219</v>
      </c>
      <c r="E120" s="169" t="s">
        <v>32</v>
      </c>
      <c r="F120" s="167"/>
      <c r="G120" s="170" t="s">
        <v>285</v>
      </c>
      <c r="H120" s="124"/>
    </row>
    <row r="121" customFormat="false" ht="12.8" hidden="false" customHeight="false" outlineLevel="0" collapsed="false">
      <c r="A121" s="7"/>
      <c r="B121" s="171"/>
      <c r="C121" s="167" t="s">
        <v>286</v>
      </c>
      <c r="D121" s="168" t="n">
        <v>42.67</v>
      </c>
      <c r="E121" s="169" t="s">
        <v>100</v>
      </c>
      <c r="F121" s="167"/>
      <c r="G121" s="170" t="s">
        <v>287</v>
      </c>
      <c r="H121" s="124"/>
    </row>
    <row r="122" customFormat="false" ht="12.8" hidden="false" customHeight="false" outlineLevel="0" collapsed="false">
      <c r="A122" s="7"/>
      <c r="B122" s="171"/>
      <c r="C122" s="170" t="s">
        <v>288</v>
      </c>
      <c r="D122" s="172" t="n">
        <v>22000</v>
      </c>
      <c r="E122" s="173" t="s">
        <v>289</v>
      </c>
      <c r="F122" s="167"/>
      <c r="G122" s="170"/>
      <c r="H122" s="124"/>
    </row>
    <row r="123" customFormat="false" ht="12.8" hidden="false" customHeight="false" outlineLevel="0" collapsed="false">
      <c r="A123" s="7"/>
      <c r="B123" s="166"/>
      <c r="C123" s="167" t="s">
        <v>290</v>
      </c>
      <c r="D123" s="168" t="n">
        <f aca="false">(D121*1000000/D122)^0.5</f>
        <v>44.04027082734</v>
      </c>
      <c r="E123" s="169" t="s">
        <v>69</v>
      </c>
      <c r="F123" s="167"/>
      <c r="G123" s="170"/>
      <c r="H123" s="124"/>
    </row>
    <row r="124" customFormat="false" ht="12.8" hidden="false" customHeight="false" outlineLevel="0" collapsed="false">
      <c r="A124" s="7"/>
      <c r="B124" s="166"/>
      <c r="C124" s="167" t="s">
        <v>291</v>
      </c>
      <c r="D124" s="174" t="n">
        <f aca="false">D120/D122</f>
        <v>4.55540909090909</v>
      </c>
      <c r="E124" s="169" t="s">
        <v>32</v>
      </c>
      <c r="F124" s="167"/>
      <c r="G124" s="170"/>
      <c r="H124" s="124"/>
    </row>
    <row r="125" customFormat="false" ht="12.8" hidden="false" customHeight="false" outlineLevel="0" collapsed="false">
      <c r="A125" s="7"/>
      <c r="B125" s="166"/>
      <c r="C125" s="167" t="s">
        <v>292</v>
      </c>
      <c r="D125" s="174" t="n">
        <f aca="false">D123/D124</f>
        <v>9.66768734672547</v>
      </c>
      <c r="E125" s="169" t="s">
        <v>293</v>
      </c>
      <c r="F125" s="167"/>
      <c r="G125" s="170"/>
      <c r="H125" s="124"/>
    </row>
    <row r="126" customFormat="false" ht="12.8" hidden="false" customHeight="false" outlineLevel="0" collapsed="false">
      <c r="A126" s="7"/>
      <c r="B126" s="171" t="s">
        <v>1</v>
      </c>
      <c r="C126" s="170" t="s">
        <v>294</v>
      </c>
      <c r="D126" s="172" t="n">
        <v>19000000</v>
      </c>
      <c r="E126" s="173" t="s">
        <v>101</v>
      </c>
      <c r="F126" s="167" t="s">
        <v>295</v>
      </c>
      <c r="G126" s="170"/>
      <c r="H126" s="124"/>
    </row>
    <row r="127" customFormat="false" ht="12.8" hidden="false" customHeight="false" outlineLevel="0" collapsed="false">
      <c r="A127" s="7"/>
      <c r="B127" s="166"/>
      <c r="C127" s="167" t="s">
        <v>296</v>
      </c>
      <c r="D127" s="168" t="n">
        <v>54851412</v>
      </c>
      <c r="E127" s="169" t="s">
        <v>101</v>
      </c>
      <c r="F127" s="167"/>
      <c r="G127" s="170"/>
      <c r="H127" s="124"/>
    </row>
    <row r="128" customFormat="false" ht="12.8" hidden="false" customHeight="false" outlineLevel="0" collapsed="false">
      <c r="A128" s="7"/>
      <c r="B128" s="166"/>
      <c r="C128" s="167" t="s">
        <v>297</v>
      </c>
      <c r="D128" s="168" t="n">
        <v>300000000</v>
      </c>
      <c r="E128" s="169" t="s">
        <v>211</v>
      </c>
      <c r="F128" s="167" t="s">
        <v>298</v>
      </c>
      <c r="G128" s="170"/>
      <c r="H128" s="124"/>
    </row>
    <row r="129" customFormat="false" ht="12.8" hidden="false" customHeight="false" outlineLevel="0" collapsed="false">
      <c r="A129" s="7"/>
      <c r="B129" s="166"/>
      <c r="C129" s="167" t="s">
        <v>299</v>
      </c>
      <c r="D129" s="168" t="n">
        <v>4170243</v>
      </c>
      <c r="E129" s="169" t="s">
        <v>211</v>
      </c>
      <c r="F129" s="167" t="s">
        <v>1</v>
      </c>
      <c r="G129" s="170"/>
      <c r="H129" s="124"/>
    </row>
    <row r="130" customFormat="false" ht="12.8" hidden="false" customHeight="false" outlineLevel="0" collapsed="false">
      <c r="A130" s="175"/>
      <c r="B130" s="155"/>
      <c r="C130" s="176" t="s">
        <v>300</v>
      </c>
      <c r="D130" s="177" t="n">
        <f aca="false">D136/D125</f>
        <v>0.553987677914987</v>
      </c>
      <c r="E130" s="178"/>
      <c r="F130" s="155"/>
      <c r="G130" s="156" t="s">
        <v>301</v>
      </c>
      <c r="H130" s="158"/>
    </row>
    <row r="131" customFormat="false" ht="12.8" hidden="false" customHeight="false" outlineLevel="0" collapsed="false">
      <c r="A131" s="7"/>
      <c r="B131" s="166" t="s">
        <v>302</v>
      </c>
      <c r="C131" s="167" t="s">
        <v>97</v>
      </c>
      <c r="D131" s="168" t="n">
        <f aca="false">E3</f>
        <v>3644826</v>
      </c>
      <c r="E131" s="169" t="s">
        <v>32</v>
      </c>
      <c r="F131" s="173"/>
      <c r="G131" s="170"/>
      <c r="H131" s="124"/>
    </row>
    <row r="132" customFormat="false" ht="12.8" hidden="false" customHeight="false" outlineLevel="0" collapsed="false">
      <c r="A132" s="7"/>
      <c r="B132" s="166"/>
      <c r="C132" s="167" t="s">
        <v>286</v>
      </c>
      <c r="D132" s="179" t="n">
        <v>630</v>
      </c>
      <c r="E132" s="169" t="s">
        <v>100</v>
      </c>
      <c r="F132" s="173"/>
      <c r="G132" s="170" t="s">
        <v>303</v>
      </c>
      <c r="H132" s="124"/>
    </row>
    <row r="133" customFormat="false" ht="12.8" hidden="false" customHeight="false" outlineLevel="0" collapsed="false">
      <c r="A133" s="7"/>
      <c r="B133" s="166"/>
      <c r="C133" s="170" t="s">
        <v>288</v>
      </c>
      <c r="D133" s="123" t="n">
        <v>604865</v>
      </c>
      <c r="E133" s="173" t="s">
        <v>289</v>
      </c>
      <c r="F133" s="173"/>
      <c r="G133" s="180" t="s">
        <v>304</v>
      </c>
      <c r="H133" s="124" t="s">
        <v>305</v>
      </c>
    </row>
    <row r="134" customFormat="false" ht="12.8" hidden="false" customHeight="false" outlineLevel="0" collapsed="false">
      <c r="A134" s="7"/>
      <c r="B134" s="166"/>
      <c r="C134" s="167" t="s">
        <v>290</v>
      </c>
      <c r="D134" s="181" t="n">
        <f aca="false">(D132*1000000/D133)^0.5</f>
        <v>32.2731270113056</v>
      </c>
      <c r="E134" s="169" t="s">
        <v>69</v>
      </c>
      <c r="F134" s="173"/>
      <c r="G134" s="170" t="s">
        <v>306</v>
      </c>
      <c r="H134" s="124"/>
    </row>
    <row r="135" customFormat="false" ht="12.8" hidden="false" customHeight="false" outlineLevel="0" collapsed="false">
      <c r="A135" s="7"/>
      <c r="B135" s="166"/>
      <c r="C135" s="167" t="s">
        <v>291</v>
      </c>
      <c r="D135" s="181" t="n">
        <f aca="false">D131/D133</f>
        <v>6.02585039636944</v>
      </c>
      <c r="E135" s="169" t="s">
        <v>32</v>
      </c>
      <c r="F135" s="173"/>
      <c r="G135" s="170"/>
      <c r="H135" s="124"/>
    </row>
    <row r="136" customFormat="false" ht="12.8" hidden="false" customHeight="false" outlineLevel="0" collapsed="false">
      <c r="A136" s="7"/>
      <c r="B136" s="166"/>
      <c r="C136" s="167" t="s">
        <v>292</v>
      </c>
      <c r="D136" s="182" t="n">
        <f aca="false">D134/D135</f>
        <v>5.35577966402055</v>
      </c>
      <c r="E136" s="169" t="s">
        <v>293</v>
      </c>
      <c r="F136" s="173"/>
      <c r="G136" s="170"/>
      <c r="H136" s="124"/>
    </row>
    <row r="137" customFormat="false" ht="12.8" hidden="false" customHeight="false" outlineLevel="0" collapsed="false">
      <c r="A137" s="7"/>
      <c r="B137" s="166"/>
      <c r="C137" s="170" t="s">
        <v>294</v>
      </c>
      <c r="D137" s="172" t="n">
        <f aca="false">D126*D$130/D$120*D$131</f>
        <v>382807503.075657</v>
      </c>
      <c r="E137" s="173" t="s">
        <v>101</v>
      </c>
      <c r="F137" s="173"/>
      <c r="G137" s="170"/>
      <c r="H137" s="124"/>
    </row>
    <row r="138" customFormat="false" ht="12.8" hidden="false" customHeight="false" outlineLevel="0" collapsed="false">
      <c r="A138" s="7"/>
      <c r="B138" s="166"/>
      <c r="C138" s="167" t="s">
        <v>296</v>
      </c>
      <c r="D138" s="172" t="n">
        <f aca="false">D127*D$130/D$120*D$131</f>
        <v>1105133266.73127</v>
      </c>
      <c r="E138" s="169" t="s">
        <v>101</v>
      </c>
      <c r="F138" s="173"/>
      <c r="G138" s="170"/>
      <c r="H138" s="124"/>
    </row>
    <row r="139" customFormat="false" ht="12.8" hidden="false" customHeight="false" outlineLevel="0" collapsed="false">
      <c r="A139" s="7"/>
      <c r="B139" s="166"/>
      <c r="C139" s="167" t="s">
        <v>297</v>
      </c>
      <c r="D139" s="172" t="n">
        <f aca="false">D128*D$130/D$120*D$131</f>
        <v>6044328995.93142</v>
      </c>
      <c r="E139" s="169" t="s">
        <v>211</v>
      </c>
      <c r="F139" s="173"/>
      <c r="G139" s="170"/>
      <c r="H139" s="124"/>
    </row>
    <row r="140" customFormat="false" ht="12.8" hidden="false" customHeight="false" outlineLevel="0" collapsed="false">
      <c r="A140" s="7"/>
      <c r="B140" s="166"/>
      <c r="C140" s="167" t="s">
        <v>299</v>
      </c>
      <c r="D140" s="172" t="n">
        <f aca="false">D129*D$130/D$120*D$131</f>
        <v>84021068.9499335</v>
      </c>
      <c r="E140" s="169" t="s">
        <v>211</v>
      </c>
      <c r="F140" s="173"/>
      <c r="G140" s="170"/>
      <c r="H140" s="124"/>
    </row>
    <row r="141" customFormat="false" ht="12.8" hidden="false" customHeight="false" outlineLevel="0" collapsed="false">
      <c r="A141" s="7" t="s">
        <v>1</v>
      </c>
      <c r="B141" s="41"/>
      <c r="C141" s="42" t="s">
        <v>307</v>
      </c>
      <c r="D141" s="126" t="n">
        <f aca="false">D77*E3*24*365/1000</f>
        <v>266923729.3536</v>
      </c>
      <c r="E141" s="41" t="s">
        <v>101</v>
      </c>
      <c r="F141" s="41"/>
      <c r="G141" s="42"/>
      <c r="H141" s="124"/>
    </row>
    <row r="142" customFormat="false" ht="12.8" hidden="false" customHeight="false" outlineLevel="0" collapsed="false">
      <c r="A142" s="7"/>
      <c r="B142" s="41"/>
      <c r="C142" s="42"/>
      <c r="D142" s="126"/>
      <c r="E142" s="41"/>
      <c r="F142" s="41"/>
      <c r="G142" s="42"/>
      <c r="H142" s="124"/>
    </row>
    <row r="143" customFormat="false" ht="12.8" hidden="false" customHeight="false" outlineLevel="0" collapsed="false">
      <c r="A143" s="7"/>
      <c r="B143" s="41" t="s">
        <v>308</v>
      </c>
      <c r="C143" s="46" t="s">
        <v>309</v>
      </c>
      <c r="D143" s="126" t="n">
        <f aca="false">D116</f>
        <v>604166583.837909</v>
      </c>
      <c r="E143" s="1" t="s">
        <v>101</v>
      </c>
      <c r="F143" s="41"/>
      <c r="G143" s="42"/>
      <c r="H143" s="124"/>
    </row>
    <row r="144" customFormat="false" ht="12.8" hidden="false" customHeight="false" outlineLevel="0" collapsed="false">
      <c r="A144" s="7"/>
      <c r="B144" s="41"/>
      <c r="C144" s="46" t="s">
        <v>310</v>
      </c>
      <c r="D144" s="126" t="n">
        <f aca="false">1279505*25*5</f>
        <v>159938125</v>
      </c>
      <c r="E144" s="1" t="s">
        <v>101</v>
      </c>
      <c r="F144" s="41"/>
      <c r="G144" s="42" t="s">
        <v>311</v>
      </c>
      <c r="H144" s="124"/>
    </row>
    <row r="145" customFormat="false" ht="12.8" hidden="false" customHeight="false" outlineLevel="0" collapsed="false">
      <c r="A145" s="7"/>
      <c r="B145" s="41"/>
      <c r="C145" s="46" t="s">
        <v>312</v>
      </c>
      <c r="D145" s="126" t="n">
        <f aca="false">D138*1.5</f>
        <v>1657699900.0969</v>
      </c>
      <c r="E145" s="1" t="s">
        <v>101</v>
      </c>
      <c r="F145" s="41"/>
      <c r="G145" s="42" t="s">
        <v>313</v>
      </c>
      <c r="H145" s="124"/>
    </row>
    <row r="146" customFormat="false" ht="12.8" hidden="false" customHeight="false" outlineLevel="0" collapsed="false">
      <c r="A146" s="7" t="s">
        <v>1</v>
      </c>
      <c r="B146" s="41"/>
      <c r="C146" s="46" t="s">
        <v>314</v>
      </c>
      <c r="D146" s="126" t="n">
        <f aca="false">D138*D94*D131/D132/1000000*0.25</f>
        <v>5268098.95061189</v>
      </c>
      <c r="E146" s="1" t="s">
        <v>101</v>
      </c>
      <c r="F146" s="41"/>
      <c r="G146" s="42" t="s">
        <v>315</v>
      </c>
      <c r="H146" s="124"/>
    </row>
    <row r="147" customFormat="false" ht="12.8" hidden="false" customHeight="false" outlineLevel="0" collapsed="false">
      <c r="A147" s="183"/>
      <c r="B147" s="184"/>
      <c r="C147" s="185" t="s">
        <v>316</v>
      </c>
      <c r="D147" s="186" t="n">
        <f aca="false">SUM(D143:D146)</f>
        <v>2427072707.88542</v>
      </c>
      <c r="E147" s="187" t="s">
        <v>101</v>
      </c>
      <c r="F147" s="184"/>
      <c r="G147" s="188"/>
      <c r="H147" s="189"/>
    </row>
    <row r="148" customFormat="false" ht="12.8" hidden="false" customHeight="false" outlineLevel="0" collapsed="false">
      <c r="A148" s="7"/>
      <c r="B148" s="41"/>
      <c r="C148" s="46"/>
      <c r="D148" s="126"/>
      <c r="E148" s="1"/>
      <c r="F148" s="41"/>
      <c r="G148" s="42"/>
      <c r="H148" s="124"/>
    </row>
    <row r="149" customFormat="false" ht="12.8" hidden="false" customHeight="false" outlineLevel="0" collapsed="false">
      <c r="A149" s="7"/>
      <c r="B149" s="41"/>
      <c r="C149" s="46" t="s">
        <v>309</v>
      </c>
      <c r="D149" s="150" t="n">
        <f aca="false">D143/D$100*100</f>
        <v>2.65479108629669</v>
      </c>
      <c r="E149" s="1" t="s">
        <v>27</v>
      </c>
      <c r="F149" s="41"/>
      <c r="G149" s="42"/>
      <c r="H149" s="124"/>
    </row>
    <row r="150" customFormat="false" ht="12.8" hidden="false" customHeight="false" outlineLevel="0" collapsed="false">
      <c r="A150" s="7"/>
      <c r="B150" s="41"/>
      <c r="C150" s="46" t="s">
        <v>310</v>
      </c>
      <c r="D150" s="150" t="n">
        <f aca="false">D144/D$100*100</f>
        <v>0.70279012439212</v>
      </c>
      <c r="E150" s="1" t="s">
        <v>27</v>
      </c>
      <c r="F150" s="41"/>
      <c r="G150" s="42"/>
      <c r="H150" s="124"/>
    </row>
    <row r="151" customFormat="false" ht="12.8" hidden="false" customHeight="false" outlineLevel="0" collapsed="false">
      <c r="A151" s="7"/>
      <c r="B151" s="41"/>
      <c r="C151" s="46" t="s">
        <v>312</v>
      </c>
      <c r="D151" s="150" t="n">
        <f aca="false">D145/D$100*100</f>
        <v>7.28416141550932</v>
      </c>
      <c r="E151" s="1" t="s">
        <v>27</v>
      </c>
      <c r="F151" s="41"/>
      <c r="G151" s="42"/>
      <c r="H151" s="124"/>
    </row>
    <row r="152" customFormat="false" ht="12.8" hidden="false" customHeight="false" outlineLevel="0" collapsed="false">
      <c r="A152" s="7"/>
      <c r="B152" s="41"/>
      <c r="C152" s="46" t="s">
        <v>314</v>
      </c>
      <c r="D152" s="150" t="n">
        <f aca="false">D146/D$100*100</f>
        <v>0.023148751536324</v>
      </c>
      <c r="E152" s="1" t="s">
        <v>27</v>
      </c>
      <c r="F152" s="41"/>
      <c r="G152" s="42"/>
      <c r="H152" s="124"/>
    </row>
    <row r="153" customFormat="false" ht="12.8" hidden="false" customHeight="false" outlineLevel="0" collapsed="false">
      <c r="A153" s="183" t="s">
        <v>1</v>
      </c>
      <c r="B153" s="184"/>
      <c r="C153" s="185" t="s">
        <v>316</v>
      </c>
      <c r="D153" s="190" t="n">
        <f aca="false">D147/D$100*100</f>
        <v>10.6648913777345</v>
      </c>
      <c r="E153" s="187" t="s">
        <v>27</v>
      </c>
      <c r="F153" s="184"/>
      <c r="G153" s="188"/>
      <c r="H153" s="189"/>
    </row>
    <row r="154" customFormat="false" ht="12.8" hidden="false" customHeight="false" outlineLevel="0" collapsed="false">
      <c r="A154" s="7" t="s">
        <v>317</v>
      </c>
      <c r="B154" s="41"/>
      <c r="C154" s="191"/>
      <c r="D154" s="192"/>
      <c r="E154" s="1"/>
      <c r="F154" s="41"/>
      <c r="G154" s="42"/>
      <c r="H154" s="58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  <c r="HG154" s="46"/>
      <c r="HH154" s="46"/>
      <c r="HI154" s="46"/>
      <c r="HJ154" s="46"/>
      <c r="HK154" s="46"/>
      <c r="HL154" s="46"/>
      <c r="HM154" s="46"/>
      <c r="HN154" s="46"/>
      <c r="HO154" s="46"/>
      <c r="HP154" s="46"/>
      <c r="HQ154" s="46"/>
      <c r="HR154" s="46"/>
      <c r="HS154" s="46"/>
      <c r="HT154" s="46"/>
      <c r="HU154" s="46"/>
      <c r="HV154" s="46"/>
      <c r="HW154" s="46"/>
      <c r="HX154" s="46"/>
      <c r="HY154" s="46"/>
      <c r="HZ154" s="46"/>
      <c r="IA154" s="46"/>
      <c r="IB154" s="46"/>
      <c r="IC154" s="46"/>
      <c r="ID154" s="46"/>
      <c r="IE154" s="46"/>
      <c r="IF154" s="46"/>
      <c r="IG154" s="46"/>
      <c r="IH154" s="46"/>
      <c r="II154" s="46"/>
      <c r="IJ154" s="46"/>
      <c r="IK154" s="46"/>
      <c r="IL154" s="46"/>
      <c r="IM154" s="46"/>
      <c r="IN154" s="46"/>
      <c r="IO154" s="46"/>
      <c r="IP154" s="46"/>
      <c r="IQ154" s="46"/>
      <c r="IR154" s="46"/>
      <c r="IS154" s="46"/>
      <c r="IT154" s="46"/>
      <c r="IU154" s="46"/>
      <c r="IV154" s="46"/>
      <c r="IW154" s="46"/>
      <c r="IX154" s="46"/>
      <c r="IY154" s="46"/>
      <c r="IZ154" s="46"/>
      <c r="JA154" s="46"/>
      <c r="JB154" s="46"/>
      <c r="JC154" s="46"/>
      <c r="JD154" s="46"/>
      <c r="JE154" s="46"/>
      <c r="JF154" s="46"/>
      <c r="JG154" s="46"/>
      <c r="JH154" s="46"/>
      <c r="JI154" s="46"/>
      <c r="JJ154" s="46"/>
      <c r="JK154" s="46"/>
      <c r="JL154" s="46"/>
      <c r="JM154" s="46"/>
      <c r="JN154" s="46"/>
      <c r="JO154" s="46"/>
      <c r="JP154" s="46"/>
      <c r="JQ154" s="46"/>
      <c r="JR154" s="46"/>
      <c r="JS154" s="46"/>
      <c r="JT154" s="46"/>
      <c r="JU154" s="46"/>
      <c r="JV154" s="46"/>
      <c r="JW154" s="46"/>
      <c r="JX154" s="46"/>
      <c r="JY154" s="46"/>
      <c r="JZ154" s="46"/>
      <c r="KA154" s="46"/>
      <c r="KB154" s="46"/>
      <c r="KC154" s="46"/>
      <c r="KD154" s="46"/>
      <c r="KE154" s="46"/>
      <c r="KF154" s="46"/>
      <c r="KG154" s="46"/>
      <c r="KH154" s="46"/>
      <c r="KI154" s="46"/>
      <c r="KJ154" s="46"/>
      <c r="KK154" s="46"/>
      <c r="KL154" s="46"/>
      <c r="KM154" s="46"/>
      <c r="KN154" s="46"/>
      <c r="KO154" s="46"/>
      <c r="KP154" s="46"/>
      <c r="KQ154" s="46"/>
      <c r="KR154" s="46"/>
      <c r="KS154" s="46"/>
      <c r="KT154" s="46"/>
      <c r="KU154" s="46"/>
      <c r="KV154" s="46"/>
      <c r="KW154" s="46"/>
      <c r="KX154" s="46"/>
      <c r="KY154" s="46"/>
      <c r="KZ154" s="46"/>
      <c r="LA154" s="46"/>
      <c r="LB154" s="46"/>
      <c r="LC154" s="46"/>
      <c r="LD154" s="46"/>
      <c r="LE154" s="46"/>
      <c r="LF154" s="46"/>
      <c r="LG154" s="46"/>
      <c r="LH154" s="46"/>
      <c r="LI154" s="46"/>
      <c r="LJ154" s="46"/>
      <c r="LK154" s="46"/>
      <c r="LL154" s="46"/>
      <c r="LM154" s="46"/>
      <c r="LN154" s="46"/>
      <c r="LO154" s="46"/>
      <c r="LP154" s="46"/>
      <c r="LQ154" s="46"/>
      <c r="LR154" s="46"/>
      <c r="LS154" s="46"/>
      <c r="LT154" s="46"/>
      <c r="LU154" s="46"/>
      <c r="LV154" s="46"/>
      <c r="LW154" s="46"/>
      <c r="LX154" s="46"/>
      <c r="LY154" s="46"/>
      <c r="LZ154" s="46"/>
      <c r="MA154" s="46"/>
      <c r="MB154" s="46"/>
      <c r="MC154" s="46"/>
      <c r="MD154" s="46"/>
      <c r="ME154" s="46"/>
      <c r="MF154" s="46"/>
      <c r="MG154" s="46"/>
      <c r="MH154" s="46"/>
      <c r="MI154" s="46"/>
      <c r="MJ154" s="46"/>
      <c r="MK154" s="46"/>
      <c r="ML154" s="46"/>
      <c r="MM154" s="46"/>
      <c r="MN154" s="46"/>
      <c r="MO154" s="46"/>
      <c r="MP154" s="46"/>
      <c r="MQ154" s="46"/>
      <c r="MR154" s="46"/>
      <c r="MS154" s="46"/>
      <c r="MT154" s="46"/>
      <c r="MU154" s="46"/>
      <c r="MV154" s="46"/>
      <c r="MW154" s="46"/>
      <c r="MX154" s="46"/>
      <c r="MY154" s="46"/>
      <c r="MZ154" s="46"/>
      <c r="NA154" s="46"/>
      <c r="NB154" s="46"/>
      <c r="NC154" s="46"/>
      <c r="ND154" s="46"/>
      <c r="NE154" s="46"/>
      <c r="NF154" s="46"/>
      <c r="NG154" s="46"/>
      <c r="NH154" s="46"/>
      <c r="NI154" s="46"/>
      <c r="NJ154" s="46"/>
      <c r="NK154" s="46"/>
      <c r="NL154" s="46"/>
      <c r="NM154" s="46"/>
      <c r="NN154" s="46"/>
      <c r="NO154" s="46"/>
      <c r="NP154" s="46"/>
      <c r="NQ154" s="46"/>
      <c r="NR154" s="46"/>
      <c r="NS154" s="46"/>
      <c r="NT154" s="46"/>
      <c r="NU154" s="46"/>
      <c r="NV154" s="46"/>
      <c r="NW154" s="46"/>
      <c r="NX154" s="46"/>
      <c r="NY154" s="46"/>
      <c r="NZ154" s="46"/>
      <c r="OA154" s="46"/>
      <c r="OB154" s="46"/>
      <c r="OC154" s="46"/>
      <c r="OD154" s="46"/>
      <c r="OE154" s="46"/>
      <c r="OF154" s="46"/>
      <c r="OG154" s="46"/>
      <c r="OH154" s="46"/>
      <c r="OI154" s="46"/>
      <c r="OJ154" s="46"/>
      <c r="OK154" s="46"/>
      <c r="OL154" s="46"/>
      <c r="OM154" s="46"/>
      <c r="ON154" s="46"/>
      <c r="OO154" s="46"/>
      <c r="OP154" s="46"/>
      <c r="OQ154" s="46"/>
      <c r="OR154" s="46"/>
      <c r="OS154" s="46"/>
      <c r="OT154" s="46"/>
      <c r="OU154" s="46"/>
      <c r="OV154" s="46"/>
      <c r="OW154" s="46"/>
      <c r="OX154" s="46"/>
      <c r="OY154" s="46"/>
      <c r="OZ154" s="46"/>
      <c r="PA154" s="46"/>
      <c r="PB154" s="46"/>
      <c r="PC154" s="46"/>
      <c r="PD154" s="46"/>
      <c r="PE154" s="46"/>
      <c r="PF154" s="46"/>
      <c r="PG154" s="46"/>
      <c r="PH154" s="46"/>
      <c r="PI154" s="46"/>
      <c r="PJ154" s="46"/>
      <c r="PK154" s="46"/>
      <c r="PL154" s="46"/>
      <c r="PM154" s="46"/>
      <c r="PN154" s="46"/>
      <c r="PO154" s="46"/>
      <c r="PP154" s="46"/>
      <c r="PQ154" s="46"/>
      <c r="PR154" s="46"/>
      <c r="PS154" s="46"/>
      <c r="PT154" s="46"/>
      <c r="PU154" s="46"/>
      <c r="PV154" s="46"/>
      <c r="PW154" s="46"/>
      <c r="PX154" s="46"/>
      <c r="PY154" s="46"/>
      <c r="PZ154" s="46"/>
      <c r="QA154" s="46"/>
      <c r="QB154" s="46"/>
      <c r="QC154" s="46"/>
      <c r="QD154" s="46"/>
      <c r="QE154" s="46"/>
      <c r="QF154" s="46"/>
      <c r="QG154" s="46"/>
      <c r="QH154" s="46"/>
      <c r="QI154" s="46"/>
      <c r="QJ154" s="46"/>
      <c r="QK154" s="46"/>
      <c r="QL154" s="46"/>
      <c r="QM154" s="46"/>
      <c r="QN154" s="46"/>
      <c r="QO154" s="46"/>
      <c r="QP154" s="46"/>
      <c r="QQ154" s="46"/>
      <c r="QR154" s="46"/>
      <c r="QS154" s="46"/>
      <c r="QT154" s="46"/>
      <c r="QU154" s="46"/>
      <c r="QV154" s="46"/>
      <c r="QW154" s="46"/>
      <c r="QX154" s="46"/>
      <c r="QY154" s="46"/>
      <c r="QZ154" s="46"/>
      <c r="RA154" s="46"/>
      <c r="RB154" s="46"/>
      <c r="RC154" s="46"/>
      <c r="RD154" s="46"/>
      <c r="RE154" s="46"/>
      <c r="RF154" s="46"/>
      <c r="RG154" s="46"/>
      <c r="RH154" s="46"/>
      <c r="RI154" s="46"/>
      <c r="RJ154" s="46"/>
      <c r="RK154" s="46"/>
      <c r="RL154" s="193"/>
      <c r="RM154" s="193"/>
      <c r="RN154" s="193"/>
      <c r="RO154" s="193"/>
      <c r="RP154" s="193"/>
      <c r="RQ154" s="193"/>
      <c r="RR154" s="193"/>
      <c r="RS154" s="193"/>
      <c r="RT154" s="193"/>
    </row>
    <row r="155" customFormat="false" ht="12.8" hidden="false" customHeight="false" outlineLevel="0" collapsed="false">
      <c r="A155" s="7"/>
      <c r="B155" s="110" t="s">
        <v>318</v>
      </c>
      <c r="C155" s="128" t="s">
        <v>319</v>
      </c>
      <c r="D155" s="194" t="n">
        <v>0.05</v>
      </c>
      <c r="E155" s="41" t="s">
        <v>320</v>
      </c>
      <c r="F155" s="124"/>
      <c r="G155" s="128"/>
      <c r="H155" s="124"/>
    </row>
    <row r="156" customFormat="false" ht="12.8" hidden="false" customHeight="false" outlineLevel="0" collapsed="false">
      <c r="A156" s="9" t="s">
        <v>1</v>
      </c>
      <c r="B156" s="41"/>
      <c r="C156" s="124" t="s">
        <v>321</v>
      </c>
      <c r="D156" s="194" t="n">
        <v>0.22</v>
      </c>
      <c r="E156" s="41" t="s">
        <v>320</v>
      </c>
      <c r="F156" s="41"/>
      <c r="G156" s="124"/>
      <c r="H156" s="124"/>
    </row>
    <row r="157" customFormat="false" ht="12.8" hidden="false" customHeight="false" outlineLevel="0" collapsed="false">
      <c r="A157" s="9"/>
      <c r="B157" s="41"/>
      <c r="C157" s="124" t="s">
        <v>322</v>
      </c>
      <c r="D157" s="194" t="n">
        <v>0.05</v>
      </c>
      <c r="E157" s="41" t="s">
        <v>320</v>
      </c>
      <c r="F157" s="41"/>
      <c r="G157" s="124"/>
      <c r="H157" s="124"/>
    </row>
    <row r="158" customFormat="false" ht="12.8" hidden="false" customHeight="false" outlineLevel="0" collapsed="false">
      <c r="A158" s="9"/>
      <c r="B158" s="9"/>
      <c r="C158" s="124" t="s">
        <v>323</v>
      </c>
      <c r="D158" s="131" t="n">
        <v>160</v>
      </c>
      <c r="E158" s="41" t="s">
        <v>324</v>
      </c>
      <c r="F158" s="41"/>
      <c r="G158" s="50" t="s">
        <v>325</v>
      </c>
      <c r="H158" s="124"/>
    </row>
    <row r="159" customFormat="false" ht="12.8" hidden="false" customHeight="false" outlineLevel="0" collapsed="false">
      <c r="A159" s="9"/>
      <c r="B159" s="41"/>
      <c r="C159" s="124"/>
      <c r="D159" s="140"/>
      <c r="E159" s="41"/>
      <c r="F159" s="41"/>
      <c r="G159" s="124"/>
      <c r="H159" s="124"/>
    </row>
    <row r="160" customFormat="false" ht="12.8" hidden="false" customHeight="false" outlineLevel="0" collapsed="false">
      <c r="A160" s="195" t="s">
        <v>1</v>
      </c>
      <c r="B160" s="110" t="s">
        <v>326</v>
      </c>
      <c r="C160" s="128" t="s">
        <v>327</v>
      </c>
      <c r="D160" s="126" t="n">
        <f aca="false">PI()/4*(D108+D63*2)^2*(D69+D68*D64)</f>
        <v>100664976.129541</v>
      </c>
      <c r="E160" s="110" t="s">
        <v>211</v>
      </c>
      <c r="F160" s="124"/>
      <c r="G160" s="196" t="s">
        <v>1</v>
      </c>
      <c r="H160" s="141"/>
    </row>
    <row r="161" customFormat="false" ht="12.8" hidden="false" customHeight="false" outlineLevel="0" collapsed="false">
      <c r="A161" s="7"/>
      <c r="B161" s="110"/>
      <c r="C161" s="128" t="s">
        <v>328</v>
      </c>
      <c r="D161" s="126" t="n">
        <f aca="false">D66*D71*(1-D72/100)</f>
        <v>268944129.450463</v>
      </c>
      <c r="E161" s="110" t="s">
        <v>211</v>
      </c>
      <c r="F161" s="124"/>
      <c r="G161" s="196" t="s">
        <v>1</v>
      </c>
      <c r="H161" s="58"/>
    </row>
    <row r="162" customFormat="false" ht="12.8" hidden="false" customHeight="false" outlineLevel="0" collapsed="false">
      <c r="A162" s="7"/>
      <c r="B162" s="110"/>
      <c r="C162" s="128" t="s">
        <v>329</v>
      </c>
      <c r="D162" s="126" t="n">
        <f aca="false">PI()*D108*D107*D70</f>
        <v>75396671.1888862</v>
      </c>
      <c r="E162" s="110" t="s">
        <v>211</v>
      </c>
      <c r="F162" s="110"/>
      <c r="G162" s="196" t="s">
        <v>330</v>
      </c>
      <c r="H162" s="58"/>
    </row>
    <row r="163" customFormat="false" ht="12.8" hidden="false" customHeight="false" outlineLevel="0" collapsed="false">
      <c r="A163" s="7"/>
      <c r="B163" s="110"/>
      <c r="C163" s="128" t="s">
        <v>331</v>
      </c>
      <c r="D163" s="126" t="n">
        <f aca="false">D73*D117*2</f>
        <v>70150434.131575</v>
      </c>
      <c r="E163" s="110" t="s">
        <v>211</v>
      </c>
      <c r="F163" s="110"/>
      <c r="G163" s="196" t="s">
        <v>332</v>
      </c>
      <c r="H163" s="58"/>
    </row>
    <row r="164" customFormat="false" ht="12.8" hidden="false" customHeight="false" outlineLevel="0" collapsed="false">
      <c r="A164" s="7"/>
      <c r="B164" s="110"/>
      <c r="C164" s="128" t="s">
        <v>333</v>
      </c>
      <c r="D164" s="126" t="n">
        <f aca="false">D74</f>
        <v>1000000</v>
      </c>
      <c r="E164" s="110" t="s">
        <v>211</v>
      </c>
      <c r="F164" s="110" t="n">
        <f aca="false">F74</f>
        <v>50</v>
      </c>
      <c r="G164" s="196" t="s">
        <v>1</v>
      </c>
      <c r="H164" s="58"/>
    </row>
    <row r="165" customFormat="false" ht="12.8" hidden="false" customHeight="false" outlineLevel="0" collapsed="false">
      <c r="A165" s="195"/>
      <c r="B165" s="110" t="s">
        <v>1</v>
      </c>
      <c r="C165" s="197" t="s">
        <v>334</v>
      </c>
      <c r="D165" s="198" t="n">
        <f aca="false">SUM(D160:D164)</f>
        <v>516156210.900466</v>
      </c>
      <c r="E165" s="110" t="s">
        <v>211</v>
      </c>
      <c r="F165" s="49" t="n">
        <v>50</v>
      </c>
      <c r="G165" s="128"/>
      <c r="H165" s="58"/>
    </row>
    <row r="166" customFormat="false" ht="12.8" hidden="false" customHeight="false" outlineLevel="0" collapsed="false">
      <c r="A166" s="7" t="s">
        <v>1</v>
      </c>
      <c r="B166" s="110"/>
      <c r="C166" s="128" t="s">
        <v>335</v>
      </c>
      <c r="D166" s="126" t="n">
        <f aca="false">D140</f>
        <v>84021068.9499335</v>
      </c>
      <c r="E166" s="110" t="s">
        <v>211</v>
      </c>
      <c r="F166" s="41" t="n">
        <f aca="false">F89</f>
        <v>20</v>
      </c>
      <c r="G166" s="128"/>
      <c r="H166" s="58"/>
    </row>
    <row r="167" customFormat="false" ht="12.8" hidden="false" customHeight="false" outlineLevel="0" collapsed="false">
      <c r="A167" s="7"/>
      <c r="B167" s="110"/>
      <c r="C167" s="128" t="s">
        <v>336</v>
      </c>
      <c r="D167" s="126" t="n">
        <f aca="false">D78*E3*D89/1000</f>
        <v>173989413.936</v>
      </c>
      <c r="E167" s="110" t="s">
        <v>211</v>
      </c>
      <c r="F167" s="41" t="n">
        <f aca="false">F89</f>
        <v>20</v>
      </c>
      <c r="G167" s="128"/>
      <c r="H167" s="58"/>
    </row>
    <row r="168" customFormat="false" ht="12.8" hidden="false" customHeight="false" outlineLevel="0" collapsed="false">
      <c r="A168" s="7"/>
      <c r="B168" s="110"/>
      <c r="C168" s="42" t="s">
        <v>137</v>
      </c>
      <c r="D168" s="126" t="n">
        <f aca="false">D91*(D42*D44/100+D43*(1-D44/100))*(1-D47/100)</f>
        <v>17201403218.9265</v>
      </c>
      <c r="E168" s="41" t="s">
        <v>211</v>
      </c>
      <c r="F168" s="54" t="n">
        <f aca="false">F43</f>
        <v>25</v>
      </c>
      <c r="G168" s="42"/>
      <c r="H168" s="58"/>
    </row>
    <row r="169" customFormat="false" ht="12.8" hidden="false" customHeight="false" outlineLevel="0" collapsed="false">
      <c r="A169" s="7"/>
      <c r="B169" s="110"/>
      <c r="C169" s="42" t="s">
        <v>337</v>
      </c>
      <c r="D169" s="126" t="n">
        <f aca="false">D91*D46*(1-D47/100)</f>
        <v>8982955014.3283</v>
      </c>
      <c r="E169" s="41" t="s">
        <v>211</v>
      </c>
      <c r="F169" s="54" t="n">
        <f aca="false">F46</f>
        <v>40</v>
      </c>
      <c r="G169" s="42"/>
      <c r="H169" s="124"/>
    </row>
    <row r="170" customFormat="false" ht="12.8" hidden="false" customHeight="false" outlineLevel="0" collapsed="false">
      <c r="A170" s="7"/>
      <c r="B170" s="110"/>
      <c r="C170" s="42" t="s">
        <v>338</v>
      </c>
      <c r="D170" s="126" t="n">
        <f aca="false">D49*D50*E3</f>
        <v>2266492688.60602</v>
      </c>
      <c r="E170" s="41" t="s">
        <v>211</v>
      </c>
      <c r="F170" s="54" t="n">
        <f aca="false">F50</f>
        <v>25</v>
      </c>
      <c r="G170" s="42"/>
      <c r="H170" s="124"/>
    </row>
    <row r="171" customFormat="false" ht="12.8" hidden="false" customHeight="false" outlineLevel="0" collapsed="false">
      <c r="A171" s="7"/>
      <c r="B171" s="110"/>
      <c r="C171" s="42" t="s">
        <v>339</v>
      </c>
      <c r="D171" s="126" t="n">
        <f aca="false">D48*D95*1000000</f>
        <v>1754072512.5</v>
      </c>
      <c r="E171" s="41" t="s">
        <v>211</v>
      </c>
      <c r="F171" s="49" t="n">
        <v>100</v>
      </c>
      <c r="G171" s="42"/>
      <c r="H171" s="58"/>
    </row>
    <row r="172" customFormat="false" ht="12.8" hidden="false" customHeight="false" outlineLevel="0" collapsed="false">
      <c r="A172" s="7"/>
      <c r="B172" s="110"/>
      <c r="C172" s="42" t="s">
        <v>340</v>
      </c>
      <c r="D172" s="126" t="n">
        <f aca="false">D139</f>
        <v>6044328995.93142</v>
      </c>
      <c r="E172" s="41" t="s">
        <v>211</v>
      </c>
      <c r="F172" s="54" t="n">
        <f aca="false">F81</f>
        <v>25</v>
      </c>
      <c r="G172" s="42"/>
      <c r="H172" s="58"/>
    </row>
    <row r="173" customFormat="false" ht="12.8" hidden="false" customHeight="false" outlineLevel="0" collapsed="false">
      <c r="A173" s="7"/>
      <c r="B173" s="110"/>
      <c r="C173" s="42" t="s">
        <v>341</v>
      </c>
      <c r="D173" s="126" t="n">
        <f aca="false">D76*E3*D79</f>
        <v>637844550</v>
      </c>
      <c r="E173" s="41" t="s">
        <v>211</v>
      </c>
      <c r="F173" s="54" t="n">
        <f aca="false">F79</f>
        <v>25</v>
      </c>
      <c r="G173" s="42"/>
      <c r="H173" s="58"/>
    </row>
    <row r="174" customFormat="false" ht="12.8" hidden="false" customHeight="false" outlineLevel="0" collapsed="false">
      <c r="A174" s="7" t="s">
        <v>1</v>
      </c>
      <c r="B174" s="110"/>
      <c r="C174" s="58" t="s">
        <v>342</v>
      </c>
      <c r="D174" s="126" t="n">
        <f aca="false">D85*1000000000</f>
        <v>3605206464.46109</v>
      </c>
      <c r="E174" s="41" t="s">
        <v>211</v>
      </c>
      <c r="F174" s="54" t="n">
        <f aca="false">F85</f>
        <v>30</v>
      </c>
      <c r="G174" s="42"/>
      <c r="H174" s="58"/>
    </row>
    <row r="175" customFormat="false" ht="12.8" hidden="false" customHeight="false" outlineLevel="0" collapsed="false">
      <c r="A175" s="9" t="s">
        <v>1</v>
      </c>
      <c r="B175" s="41"/>
      <c r="C175" s="10" t="s">
        <v>343</v>
      </c>
      <c r="D175" s="198" t="n">
        <f aca="false">SUM(165:174)/(1-D36/100)</f>
        <v>51583088123.1747</v>
      </c>
      <c r="E175" s="41" t="s">
        <v>211</v>
      </c>
      <c r="F175" s="54"/>
      <c r="G175" s="42"/>
      <c r="H175" s="58"/>
    </row>
    <row r="176" customFormat="false" ht="12.8" hidden="false" customHeight="false" outlineLevel="0" collapsed="false">
      <c r="A176" s="9" t="s">
        <v>1</v>
      </c>
      <c r="B176" s="41"/>
      <c r="C176" s="58"/>
      <c r="D176" s="126"/>
      <c r="E176" s="41"/>
      <c r="F176" s="54"/>
      <c r="G176" s="42"/>
      <c r="H176" s="58"/>
    </row>
    <row r="177" customFormat="false" ht="12.8" hidden="false" customHeight="false" outlineLevel="0" collapsed="false">
      <c r="A177" s="9"/>
      <c r="B177" s="41" t="s">
        <v>344</v>
      </c>
      <c r="C177" s="42" t="s">
        <v>345</v>
      </c>
      <c r="D177" s="126" t="n">
        <f aca="false">(D137+D141)*D156</f>
        <v>142940871.134437</v>
      </c>
      <c r="E177" s="41" t="s">
        <v>346</v>
      </c>
      <c r="F177" s="41" t="s">
        <v>1</v>
      </c>
      <c r="G177" s="42"/>
      <c r="H177" s="58"/>
    </row>
    <row r="178" customFormat="false" ht="12.8" hidden="false" customHeight="false" outlineLevel="0" collapsed="false">
      <c r="A178" s="9"/>
      <c r="B178" s="41"/>
      <c r="C178" s="58" t="s">
        <v>347</v>
      </c>
      <c r="D178" s="126" t="n">
        <f aca="false">(D102-D100)*(100/(100-D83))*D155</f>
        <v>1706606610.39578</v>
      </c>
      <c r="E178" s="41" t="s">
        <v>346</v>
      </c>
      <c r="F178" s="54" t="s">
        <v>1</v>
      </c>
      <c r="G178" s="42"/>
      <c r="H178" s="58"/>
    </row>
    <row r="179" customFormat="false" ht="12.8" hidden="false" customHeight="false" outlineLevel="0" collapsed="false">
      <c r="A179" s="9"/>
      <c r="B179" s="41"/>
      <c r="C179" s="58" t="s">
        <v>348</v>
      </c>
      <c r="D179" s="126" t="n">
        <f aca="false">-(D102-D100)*(D83/(100-D83))*D157</f>
        <v>-665576578.054356</v>
      </c>
      <c r="E179" s="41" t="s">
        <v>346</v>
      </c>
      <c r="F179" s="54" t="s">
        <v>1</v>
      </c>
      <c r="G179" s="42" t="s">
        <v>349</v>
      </c>
      <c r="H179" s="58"/>
    </row>
    <row r="180" customFormat="false" ht="12.8" hidden="false" customHeight="false" outlineLevel="0" collapsed="false">
      <c r="A180" s="9"/>
      <c r="B180" s="41" t="s">
        <v>1</v>
      </c>
      <c r="C180" s="58" t="s">
        <v>350</v>
      </c>
      <c r="D180" s="126" t="n">
        <f aca="false">D86*D87</f>
        <v>7508172.81805556</v>
      </c>
      <c r="E180" s="41" t="s">
        <v>346</v>
      </c>
      <c r="F180" s="41" t="s">
        <v>1</v>
      </c>
      <c r="G180" s="42"/>
      <c r="H180" s="58"/>
    </row>
    <row r="181" customFormat="false" ht="12.8" hidden="false" customHeight="false" outlineLevel="0" collapsed="false">
      <c r="A181" s="9" t="s">
        <v>1</v>
      </c>
      <c r="B181" s="41"/>
      <c r="C181" s="58" t="s">
        <v>351</v>
      </c>
      <c r="D181" s="126" t="n">
        <f aca="false">D158*E3/1.8</f>
        <v>323984533.333333</v>
      </c>
      <c r="E181" s="41" t="s">
        <v>346</v>
      </c>
      <c r="F181" s="41"/>
      <c r="G181" s="199" t="s">
        <v>352</v>
      </c>
      <c r="H181" s="58" t="s">
        <v>353</v>
      </c>
    </row>
    <row r="182" customFormat="false" ht="12.8" hidden="false" customHeight="false" outlineLevel="0" collapsed="false">
      <c r="A182" s="9"/>
      <c r="B182" s="41"/>
      <c r="C182" s="58"/>
      <c r="D182" s="126"/>
      <c r="E182" s="41"/>
      <c r="F182" s="41"/>
      <c r="G182" s="199"/>
      <c r="H182" s="58"/>
    </row>
    <row r="183" customFormat="false" ht="13.7" hidden="false" customHeight="true" outlineLevel="0" collapsed="false">
      <c r="A183" s="9"/>
      <c r="B183" s="31" t="s">
        <v>354</v>
      </c>
      <c r="C183" s="128" t="s">
        <v>334</v>
      </c>
      <c r="D183" s="150" t="n">
        <f aca="false">D165/F165/E$3</f>
        <v>2.83226804736613</v>
      </c>
      <c r="E183" s="41" t="s">
        <v>54</v>
      </c>
      <c r="F183" s="41" t="s">
        <v>355</v>
      </c>
      <c r="G183" s="200" t="n">
        <f aca="false">D183/D$204</f>
        <v>0.00481566887115832</v>
      </c>
      <c r="H183" s="58" t="s">
        <v>356</v>
      </c>
    </row>
    <row r="184" customFormat="false" ht="12.8" hidden="false" customHeight="false" outlineLevel="0" collapsed="false">
      <c r="A184" s="9"/>
      <c r="B184" s="41"/>
      <c r="C184" s="128" t="s">
        <v>335</v>
      </c>
      <c r="D184" s="150" t="n">
        <f aca="false">D166/F166/E$3</f>
        <v>1.15260740773268</v>
      </c>
      <c r="E184" s="41" t="s">
        <v>54</v>
      </c>
      <c r="F184" s="41" t="s">
        <v>355</v>
      </c>
      <c r="G184" s="200" t="n">
        <f aca="false">D184/D$204</f>
        <v>0.00195976352564741</v>
      </c>
      <c r="H184" s="58" t="s">
        <v>356</v>
      </c>
    </row>
    <row r="185" customFormat="false" ht="12.8" hidden="false" customHeight="false" outlineLevel="0" collapsed="false">
      <c r="A185" s="9"/>
      <c r="B185" s="41"/>
      <c r="C185" s="128" t="s">
        <v>336</v>
      </c>
      <c r="D185" s="150" t="n">
        <f aca="false">D167/F167/E$3</f>
        <v>2.3868</v>
      </c>
      <c r="E185" s="41" t="s">
        <v>54</v>
      </c>
      <c r="F185" s="41" t="s">
        <v>355</v>
      </c>
      <c r="G185" s="200" t="n">
        <f aca="false">D185/D$204</f>
        <v>0.00405824528944905</v>
      </c>
      <c r="H185" s="58" t="s">
        <v>356</v>
      </c>
    </row>
    <row r="186" customFormat="false" ht="12.8" hidden="false" customHeight="false" outlineLevel="0" collapsed="false">
      <c r="A186" s="9"/>
      <c r="B186" s="41"/>
      <c r="C186" s="42" t="s">
        <v>137</v>
      </c>
      <c r="D186" s="126" t="n">
        <f aca="false">D168/F168/E$3</f>
        <v>188.776125048785</v>
      </c>
      <c r="E186" s="41" t="s">
        <v>54</v>
      </c>
      <c r="F186" s="41" t="s">
        <v>355</v>
      </c>
      <c r="G186" s="200" t="n">
        <f aca="false">D186/D$204</f>
        <v>0.320973613306383</v>
      </c>
      <c r="H186" s="58" t="s">
        <v>356</v>
      </c>
    </row>
    <row r="187" customFormat="false" ht="12.8" hidden="false" customHeight="false" outlineLevel="0" collapsed="false">
      <c r="A187" s="9"/>
      <c r="B187" s="41"/>
      <c r="C187" s="42" t="s">
        <v>337</v>
      </c>
      <c r="D187" s="126" t="n">
        <f aca="false">D169/F169/E$3</f>
        <v>61.6144297034227</v>
      </c>
      <c r="E187" s="41" t="s">
        <v>54</v>
      </c>
      <c r="F187" s="41" t="s">
        <v>355</v>
      </c>
      <c r="G187" s="200" t="n">
        <f aca="false">D187/D$204</f>
        <v>0.104762221009722</v>
      </c>
      <c r="H187" s="58" t="s">
        <v>356</v>
      </c>
    </row>
    <row r="188" customFormat="false" ht="12.8" hidden="false" customHeight="false" outlineLevel="0" collapsed="false">
      <c r="A188" s="9"/>
      <c r="B188" s="41"/>
      <c r="C188" s="42" t="s">
        <v>338</v>
      </c>
      <c r="D188" s="126" t="n">
        <f aca="false">D170/F170/E$3</f>
        <v>24.8735351273945</v>
      </c>
      <c r="E188" s="41" t="s">
        <v>54</v>
      </c>
      <c r="F188" s="41" t="s">
        <v>355</v>
      </c>
      <c r="G188" s="200" t="n">
        <f aca="false">D188/D$204</f>
        <v>0.0422921513166978</v>
      </c>
      <c r="H188" s="58" t="s">
        <v>356</v>
      </c>
    </row>
    <row r="189" customFormat="false" ht="12.8" hidden="false" customHeight="false" outlineLevel="0" collapsed="false">
      <c r="A189" s="9"/>
      <c r="B189" s="41"/>
      <c r="C189" s="42" t="s">
        <v>339</v>
      </c>
      <c r="D189" s="126" t="n">
        <f aca="false">D171/F171/E$3</f>
        <v>4.8125</v>
      </c>
      <c r="E189" s="41" t="s">
        <v>54</v>
      </c>
      <c r="F189" s="41" t="s">
        <v>355</v>
      </c>
      <c r="G189" s="200" t="n">
        <f aca="false">D189/D$204</f>
        <v>0.00818263174772649</v>
      </c>
      <c r="H189" s="58" t="s">
        <v>356</v>
      </c>
    </row>
    <row r="190" customFormat="false" ht="12.8" hidden="false" customHeight="false" outlineLevel="0" collapsed="false">
      <c r="A190" s="9"/>
      <c r="B190" s="41"/>
      <c r="C190" s="42" t="s">
        <v>340</v>
      </c>
      <c r="D190" s="126" t="n">
        <f aca="false">D172/F172/E$3</f>
        <v>66.33325152895</v>
      </c>
      <c r="E190" s="41" t="s">
        <v>54</v>
      </c>
      <c r="F190" s="41" t="s">
        <v>355</v>
      </c>
      <c r="G190" s="200" t="n">
        <f aca="false">D190/D$204</f>
        <v>0.112785572964304</v>
      </c>
      <c r="H190" s="58" t="s">
        <v>356</v>
      </c>
    </row>
    <row r="191" customFormat="false" ht="12.8" hidden="false" customHeight="false" outlineLevel="0" collapsed="false">
      <c r="A191" s="9"/>
      <c r="B191" s="41"/>
      <c r="C191" s="42" t="s">
        <v>341</v>
      </c>
      <c r="D191" s="126" t="n">
        <f aca="false">D173/F173/E$3</f>
        <v>7</v>
      </c>
      <c r="E191" s="41" t="s">
        <v>54</v>
      </c>
      <c r="F191" s="41" t="s">
        <v>355</v>
      </c>
      <c r="G191" s="200" t="n">
        <f aca="false">D191/D$204</f>
        <v>0.0119020098148749</v>
      </c>
      <c r="H191" s="58" t="s">
        <v>356</v>
      </c>
    </row>
    <row r="192" customFormat="false" ht="12.8" hidden="false" customHeight="false" outlineLevel="0" collapsed="false">
      <c r="A192" s="9" t="s">
        <v>1</v>
      </c>
      <c r="B192" s="41"/>
      <c r="C192" s="58" t="s">
        <v>342</v>
      </c>
      <c r="D192" s="126" t="n">
        <f aca="false">D174/F174/E$3</f>
        <v>32.9709974674703</v>
      </c>
      <c r="E192" s="41" t="s">
        <v>54</v>
      </c>
      <c r="F192" s="41" t="s">
        <v>355</v>
      </c>
      <c r="G192" s="200" t="n">
        <f aca="false">D192/D$204</f>
        <v>0.0560601622091495</v>
      </c>
      <c r="H192" s="58" t="s">
        <v>356</v>
      </c>
    </row>
    <row r="193" customFormat="false" ht="12.8" hidden="false" customHeight="false" outlineLevel="0" collapsed="false">
      <c r="A193" s="201"/>
      <c r="B193" s="184"/>
      <c r="C193" s="202" t="s">
        <v>357</v>
      </c>
      <c r="D193" s="203" t="n">
        <f aca="false">SUM(D183:D192)</f>
        <v>392.752514331121</v>
      </c>
      <c r="E193" s="201" t="s">
        <v>54</v>
      </c>
      <c r="F193" s="201" t="s">
        <v>1</v>
      </c>
      <c r="G193" s="204" t="s">
        <v>358</v>
      </c>
      <c r="H193" s="189"/>
    </row>
    <row r="194" customFormat="false" ht="12.8" hidden="false" customHeight="false" outlineLevel="0" collapsed="false">
      <c r="A194" s="201"/>
      <c r="B194" s="184"/>
      <c r="C194" s="202" t="s">
        <v>343</v>
      </c>
      <c r="D194" s="203" t="n">
        <f aca="false">D193/(1-D36/100)</f>
        <v>490.940642913901</v>
      </c>
      <c r="E194" s="201" t="s">
        <v>54</v>
      </c>
      <c r="F194" s="201"/>
      <c r="G194" s="204" t="s">
        <v>358</v>
      </c>
      <c r="H194" s="189"/>
    </row>
    <row r="195" customFormat="false" ht="12.8" hidden="false" customHeight="false" outlineLevel="0" collapsed="false">
      <c r="A195" s="7"/>
      <c r="B195" s="41"/>
      <c r="C195" s="58"/>
      <c r="D195" s="126"/>
      <c r="E195" s="41"/>
      <c r="F195" s="41"/>
      <c r="G195" s="42"/>
      <c r="H195" s="58"/>
    </row>
    <row r="196" customFormat="false" ht="12.8" hidden="false" customHeight="false" outlineLevel="0" collapsed="false">
      <c r="A196" s="41"/>
      <c r="B196" s="41" t="s">
        <v>359</v>
      </c>
      <c r="C196" s="42" t="s">
        <v>345</v>
      </c>
      <c r="D196" s="126" t="n">
        <f aca="false">D177/E$3</f>
        <v>39.2174746159176</v>
      </c>
      <c r="E196" s="41" t="s">
        <v>54</v>
      </c>
      <c r="RH196" s="0"/>
      <c r="RI196" s="0"/>
      <c r="RJ196" s="0"/>
      <c r="RK196" s="0"/>
    </row>
    <row r="197" customFormat="false" ht="12.8" hidden="false" customHeight="false" outlineLevel="0" collapsed="false">
      <c r="A197" s="41"/>
      <c r="B197" s="41"/>
      <c r="C197" s="58" t="s">
        <v>347</v>
      </c>
      <c r="D197" s="126" t="n">
        <f aca="false">D178/E$3</f>
        <v>468.227182969992</v>
      </c>
      <c r="E197" s="41" t="s">
        <v>54</v>
      </c>
      <c r="RH197" s="0"/>
      <c r="RI197" s="0"/>
      <c r="RJ197" s="0"/>
      <c r="RK197" s="0"/>
    </row>
    <row r="198" customFormat="false" ht="12.8" hidden="false" customHeight="false" outlineLevel="0" collapsed="false">
      <c r="A198" s="9"/>
      <c r="B198" s="9"/>
      <c r="C198" s="58" t="s">
        <v>348</v>
      </c>
      <c r="D198" s="126" t="n">
        <f aca="false">D179/E$3</f>
        <v>-182.608601358297</v>
      </c>
      <c r="E198" s="41" t="s">
        <v>54</v>
      </c>
      <c r="RH198" s="0"/>
      <c r="RI198" s="0"/>
      <c r="RJ198" s="0"/>
      <c r="RK198" s="0"/>
    </row>
    <row r="199" customFormat="false" ht="12.8" hidden="false" customHeight="false" outlineLevel="0" collapsed="false">
      <c r="A199" s="9"/>
      <c r="B199" s="9"/>
      <c r="C199" s="58" t="s">
        <v>360</v>
      </c>
      <c r="D199" s="126" t="n">
        <f aca="false">D180/E$3</f>
        <v>2.0599537037037</v>
      </c>
      <c r="E199" s="41" t="s">
        <v>54</v>
      </c>
      <c r="RH199" s="0"/>
      <c r="RI199" s="0"/>
      <c r="RJ199" s="0"/>
      <c r="RK199" s="0"/>
    </row>
    <row r="200" customFormat="false" ht="12.8" hidden="false" customHeight="false" outlineLevel="0" collapsed="false">
      <c r="A200" s="41" t="s">
        <v>1</v>
      </c>
      <c r="B200" s="41"/>
      <c r="C200" s="58" t="s">
        <v>351</v>
      </c>
      <c r="D200" s="126" t="n">
        <f aca="false">D181/E$3</f>
        <v>88.8888888888889</v>
      </c>
      <c r="E200" s="41" t="s">
        <v>54</v>
      </c>
      <c r="RH200" s="0"/>
      <c r="RI200" s="0"/>
      <c r="RJ200" s="0"/>
      <c r="RK200" s="0"/>
    </row>
    <row r="201" customFormat="false" ht="12.8" hidden="false" customHeight="false" outlineLevel="0" collapsed="false">
      <c r="A201" s="201"/>
      <c r="B201" s="201"/>
      <c r="C201" s="202" t="s">
        <v>344</v>
      </c>
      <c r="D201" s="203" t="n">
        <f aca="false">SUM(D196:D200)</f>
        <v>415.784898820205</v>
      </c>
      <c r="E201" s="201" t="s">
        <v>54</v>
      </c>
      <c r="F201" s="201"/>
      <c r="G201" s="204"/>
      <c r="H201" s="202"/>
    </row>
    <row r="202" customFormat="false" ht="12.8" hidden="false" customHeight="false" outlineLevel="0" collapsed="false">
      <c r="A202" s="9"/>
      <c r="B202" s="9"/>
      <c r="C202" s="10"/>
      <c r="D202" s="198"/>
      <c r="E202" s="9"/>
      <c r="F202" s="9"/>
      <c r="G202" s="12"/>
      <c r="H202" s="10"/>
    </row>
    <row r="203" customFormat="false" ht="13.8" hidden="false" customHeight="false" outlineLevel="0" collapsed="false">
      <c r="A203" s="205" t="s">
        <v>361</v>
      </c>
      <c r="B203" s="205"/>
      <c r="C203" s="206" t="s">
        <v>362</v>
      </c>
      <c r="D203" s="207" t="n">
        <f aca="false">D194+D201</f>
        <v>906.725541734106</v>
      </c>
      <c r="E203" s="205" t="s">
        <v>54</v>
      </c>
      <c r="F203" s="208"/>
      <c r="G203" s="208" t="s">
        <v>363</v>
      </c>
      <c r="H203" s="209" t="n">
        <f aca="false">(D137+D141+(D102-D100))/(E3*D32)</f>
        <v>0.553578881729919</v>
      </c>
    </row>
    <row r="204" customFormat="false" ht="13.8" hidden="false" customHeight="false" outlineLevel="0" collapsed="false">
      <c r="A204" s="205"/>
      <c r="B204" s="205"/>
      <c r="C204" s="206" t="s">
        <v>364</v>
      </c>
      <c r="D204" s="207" t="n">
        <f aca="false">D194+D201-D192-D197-D198</f>
        <v>588.135962654941</v>
      </c>
      <c r="E204" s="205" t="s">
        <v>54</v>
      </c>
      <c r="F204" s="208"/>
      <c r="G204" s="208" t="s">
        <v>365</v>
      </c>
      <c r="H204" s="209" t="n">
        <f aca="false">(D137+D141)/(E3*D31)</f>
        <v>0.0344932755909773</v>
      </c>
    </row>
    <row r="205" customFormat="false" ht="39.55" hidden="false" customHeight="false" outlineLevel="0" collapsed="false">
      <c r="A205" s="41" t="s">
        <v>1</v>
      </c>
      <c r="B205" s="41"/>
      <c r="C205" s="210" t="s">
        <v>366</v>
      </c>
      <c r="D205" s="211"/>
      <c r="E205" s="212"/>
      <c r="F205" s="213"/>
      <c r="G205" s="124" t="s">
        <v>367</v>
      </c>
      <c r="H205" s="213"/>
    </row>
  </sheetData>
  <conditionalFormatting sqref="D44">
    <cfRule type="cellIs" priority="2" operator="lessThan" aboveAverage="0" equalAverage="0" bottom="0" percent="0" rank="0" text="" dxfId="0">
      <formula>40</formula>
    </cfRule>
  </conditionalFormatting>
  <hyperlinks>
    <hyperlink ref="G8" r:id="rId1" display="https://de.wikipedia.org/wiki/Berlin"/>
    <hyperlink ref="G9" r:id="rId2" display="https://heliogaia.de/Heizspiegel-fuer-Deutschland-2018.pdf"/>
    <hyperlink ref="G11" r:id="rId3" display="https://heliogaia.de/Solare_Flächenpotenziale_Berlin_k806.pdf"/>
    <hyperlink ref="G16" r:id="rId4" display="http://www.solarkeymark.nl/DBF/PDF_Downloads/DS_47.pdf"/>
    <hyperlink ref="G19" r:id="rId5" display="https://irp.cdn-website.com/d00f2507/files/uploaded/RisikenUndWirtschaftlichkeitVonNWP.pdf"/>
    <hyperlink ref="G20" r:id="rId6" display="https://irp.cdn-website.com/d00f2507/files/uploaded/RisikenUndWirtschaftlichkeitVonNWP.pdf"/>
    <hyperlink ref="G25" r:id="rId7" display="https://heliogaia.de/Geothermisches_Potenzial_spezifische_Wärmeleitfähigkeit_und_spezifische_Entzugsleistung_Berlin_k218.pdf"/>
    <hyperlink ref="G28" r:id="rId8" display="https://de.wikipedia.org/wiki/Berlin"/>
    <hyperlink ref="G29" r:id="rId9" display="https://www.destatis.de/GPStatistik/servlets/MCRFileNodeServlet/BBHeft_derivate_00019628/SB_F01-01-00_2018j01_BE.pdf;jsessionid=676EC455F25191F2BF68B4E5394D84A0"/>
    <hyperlink ref="G32" r:id="rId10" display="www.umweltbundesamt.de/sites/default/files/medien/384/bilder/dateien/3_tab_energieverbrauch-eev-sektor-waermezwecke_2018-02-14.pdf"/>
    <hyperlink ref="G33" r:id="rId11" display="https://www.dena.de/fileadmin/dena/Bilder/Newsroom/Meldungen/2018Q2/Grafik-dena-Gebaeudereport-kompakt-2018-Endenergiebezogener-Gebaeudeenergieverbrauch.jpg"/>
    <hyperlink ref="G36" r:id="rId12" display="https://www-docs.b-tu.de/fg-bauoekonomie/public/Forschung/Publikationen/Kalusche-Wolfdietrich/2016/orientierungswerte.pdf"/>
    <hyperlink ref="G38" r:id="rId13" display="https://www.dwd.de/DE/leistungen/solarenergie/strahlungskarten_mvs.html?nn=16102"/>
    <hyperlink ref="G39" r:id="rId14" display="https://www.dwd.de/DE/leistungen/solarenergie/strahlungskarten_sum.html?nn=16102"/>
    <hyperlink ref="G40" r:id="rId15" display="http://www.solarkeymark.nl/DBF/PDF_Downloads/DS_47.pdf"/>
    <hyperlink ref="G41" r:id="rId16" display="http://www.solarkeymark.nl/DBF/PDF_Downloads/DS_1575.pdf"/>
    <hyperlink ref="G42" r:id="rId17" display="[39]"/>
    <hyperlink ref="H42" r:id="rId18" display="https://www.swissolar.ch/fileadmin/user_upload/Markterhebung/Marktumfrage_2017.pdf"/>
    <hyperlink ref="G43" r:id="rId19" display="[1]"/>
    <hyperlink ref="H43" r:id="rId20" display="https://www.swissolar.ch/fileadmin/user_upload/Markterhebung/Marktumfrage_2017.pdf"/>
    <hyperlink ref="G46" r:id="rId21" display="https://www.solaranlagen-portal.de/thermische-solaranlage/solarkollektor-preis.html"/>
    <hyperlink ref="G48" r:id="rId22" display="https://www.bodenrichtwerte-boris.de/borisde/?lang=de"/>
    <hyperlink ref="G52" r:id="rId23" display="https://heliogaia.de/Geothermisches_Potenzial_spezifische_Wärmeleitfähigkeit_und_spezifische_Entzugsleistung_Berlin_k218.pdf"/>
    <hyperlink ref="G53" r:id="rId24" display="https://heliogaia.de/Geothermisches_Potenzial_spezifische_Wärmeleitfähigkeit_und_spezifische_Entzugsleistung_Berlin_k218.pdf"/>
    <hyperlink ref="G58" r:id="rId25" display="https://de.wikipedia.org/wiki/Berlin"/>
    <hyperlink ref="G59" r:id="rId26" display="https://www.dwd.de/DE/leistungen/klimadatendeutschland/mittelwerte/temp_8110_fest_html.html?view=nasPublication&amp;nn=16102"/>
    <hyperlink ref="G67" r:id="rId27" display="https://www.straelen.de/rathaus-politik/dienstleistungen/ver-und-entsorgung/wasserversorgung/"/>
    <hyperlink ref="G68" r:id="rId28" display="http://baupreise24.de/baupreise/erdarbeiten"/>
    <hyperlink ref="H70" r:id="rId29" location="v=onepage&amp;q&amp;f=false" display="https://books.google.de/books?id=hRmYJX_u7ykC&amp;printsec=frontcover&amp;hl=de#v=onepage&amp;q&amp;f=false"/>
    <hyperlink ref="G71" r:id="rId30" display="https://www.my-hammer.de/preisradar/was-kostet-brunnen-bohren/"/>
    <hyperlink ref="H71" r:id="rId31" display="https://www.kesselheld.de/tiefenbohrung/"/>
    <hyperlink ref="H73" r:id="rId32" display="https://cdn.website-start.de/proxy/apps/zook5o/uploads/gleichzwei/instances/BAEE886A-5189-4B80-BB0C-126AD8811398/wcinstances/epaper/7f303bab-bf8c-4d61-bc1d-dd8e2caed8b8/pdf/181231_pro_keller_broschuere_einzelseiten_WEB.pdf"/>
    <hyperlink ref="G75" r:id="rId33" display="https://www.ier.uni-stuttgart.de/publikationen/arbeitsberichte/downloads/Arbeitsbericht_04.pdf"/>
    <hyperlink ref="G80" r:id="rId34" display="https://www.borderstep.de/wp-content/uploads/2014/07/Clausen-Kosten_-laendliche_-Waermenetze-2012.pdf"/>
    <hyperlink ref="G81" r:id="rId35" display="https://www.borderstep.de/wp-content/uploads/2014/07/Clausen-Kosten_-laendliche_-Waermenetze-2012.pdf"/>
    <hyperlink ref="G83" r:id="rId36" display="https://www.ier.uni-stuttgart.de/publikationen/arbeitsberichte/downloads/Arbeitsbericht_04.pdf"/>
    <hyperlink ref="G85" r:id="rId37" display="https://www.ier.uni-stuttgart.de/publikationen/arbeitsberichte/downloads/Arbeitsbericht_04.pdf"/>
    <hyperlink ref="G88" r:id="rId38" display="https://www.ksb.com/de-global/kreiselpumpenlexikon/artikel/pumpenwirkungsgrad-1074676"/>
    <hyperlink ref="G89" r:id="rId39" display="http://seitzpumpen.homepage.t-online.de/PDF-Dateien/Preisliste/NM.pdf"/>
    <hyperlink ref="G91" r:id="rId40" display="https://heliogaia.de/Solare_Flächenpotenziale_Berlin_k806.pdf"/>
    <hyperlink ref="G133" r:id="rId41" display="https://heliogaia.de/Gründächer_Berlin_Ausgabe_2017_k611.pdf"/>
    <hyperlink ref="G158" r:id="rId42" display="https://www.heizspiegel.de/heizkosten-senken/heizungswartung/"/>
    <hyperlink ref="G181" r:id="rId43" display="https://www.statistik-berlin-brandenburg.de/BasisZeitreiheGrafik/Bas-Mikrozensus.asp?Ptyp=300&amp;Sageb=12011&amp;creg=BBB&amp;anzwer=5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8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  <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2019-10-01T11:57:02Z</dcterms:created>
  <dc:creator/>
  <dc:description/>
  <dc:language>de-DE</dc:language>
  <cp:lastModifiedBy/>
  <cp:lastPrinted>2019-12-12T08:36:11Z</cp:lastPrinted>
  <dcterms:modified xsi:type="dcterms:W3CDTF">2023-11-29T11:57:40Z</dcterms:modified>
  <cp:revision>166</cp:revision>
  <dc:subject/>
  <dc:title/>
</cp:coreProperties>
</file>