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<sst xmlns="http://schemas.openxmlformats.org/spreadsheetml/2006/main" count="362" uniqueCount="188">
  <si>
    <t xml:space="preserve">Auswertung von Feldversuchen: Kosten und Strombedarf der Wärmepumpe für Heizung und Warmwasser, zum Vergleich mit Heliogaia-Wärmenetzen</t>
  </si>
  <si>
    <t xml:space="preserve">Eingabe ergänzender Parameter</t>
  </si>
  <si>
    <t xml:space="preserve">Voreinstellung</t>
  </si>
  <si>
    <t xml:space="preserve">Einheit</t>
  </si>
  <si>
    <t xml:space="preserve">umgerechnet</t>
  </si>
  <si>
    <t xml:space="preserve">Quelle</t>
  </si>
  <si>
    <t xml:space="preserve">Stromtarif</t>
  </si>
  <si>
    <t xml:space="preserve">€</t>
  </si>
  <si>
    <t xml:space="preserve">https://www.energieheld.de/heizung/waermepumpe/kosten</t>
  </si>
  <si>
    <t xml:space="preserve">Bevölkerung BRD zu einem Stichtag</t>
  </si>
  <si>
    <t xml:space="preserve">mittlere Wohnfläche pro Kopf, BRD</t>
  </si>
  <si>
    <t xml:space="preserve">m²/Kopf</t>
  </si>
  <si>
    <t xml:space="preserve">zum Vergleich mit Heliogaia hier auf den gleichen Wert festgesetzt, z.B. in: https://heliogaia.de/t/jahreslauf_roebel.html#table1</t>
  </si>
  <si>
    <t xml:space="preserve">Anteil der Nichtwohngebäude am Wärmeverbrauch</t>
  </si>
  <si>
    <t xml:space="preserve">%</t>
  </si>
  <si>
    <t xml:space="preserve">https://heliogaia.de/9254_Gebaeudereport_dena_kompakt_2018.pdf</t>
  </si>
  <si>
    <t xml:space="preserve">Wärmeverbrauch pro m² Wohnfläche, Durchschnitt nach energetischer Sanierung</t>
  </si>
  <si>
    <t xml:space="preserve">kWh/m²/a</t>
  </si>
  <si>
    <t xml:space="preserve">Systemhaltbarkeit: Bohrung mit Sonde; Kollektor</t>
  </si>
  <si>
    <t xml:space="preserve">a</t>
  </si>
  <si>
    <t xml:space="preserve">https://www.kesselheld.de/lebensdauer-waermepumpe/</t>
  </si>
  <si>
    <t xml:space="preserve">Systemhaltbarkeit: Wärmepumpe</t>
  </si>
  <si>
    <t xml:space="preserve">Investition: Sonde für Erdwärmepumpe</t>
  </si>
  <si>
    <t xml:space="preserve">errechnet aus anderen Parametern</t>
  </si>
  <si>
    <t xml:space="preserve">Investition: Erdwärmepumpe, Grundgerät + Installation</t>
  </si>
  <si>
    <t xml:space="preserve">https://www.enpal.de/magazin/waermepumpe-kosten#was_kostet_eine_erdwaermepumpe</t>
  </si>
  <si>
    <t xml:space="preserve">https://www.heizungsfinder.de/waermepumpe/kosten-preise</t>
  </si>
  <si>
    <t xml:space="preserve">Investition: Erdwärmepumpenanlage</t>
  </si>
  <si>
    <t xml:space="preserve">-&gt;</t>
  </si>
  <si>
    <t xml:space="preserve">€/Mon</t>
  </si>
  <si>
    <t xml:space="preserve">Investition: Luftwärmepumpenanlage</t>
  </si>
  <si>
    <t xml:space="preserve">Wartungskosten pro Jahr, pro Monat</t>
  </si>
  <si>
    <t xml:space="preserve">€/a</t>
  </si>
  <si>
    <t xml:space="preserve">Mittlere Sondenlänge Quelle 3, S.40</t>
  </si>
  <si>
    <t xml:space="preserve">m</t>
  </si>
  <si>
    <t xml:space="preserve">https://www.ise.fraunhofer.de/content/dam/ise/de/downloads/pdf/Forschungsprojekte/BMWi-03ET1272A-WPsmart_im_Bestand-Schlussbericht.pdf</t>
  </si>
  <si>
    <t xml:space="preserve">Mittlere Bohr- und Sondenkosten</t>
  </si>
  <si>
    <t xml:space="preserve">€/m</t>
  </si>
  <si>
    <t xml:space="preserve">Wohnfläche pro Kopf, in Quellen 4 und 5</t>
  </si>
  <si>
    <t xml:space="preserve">berechnet aus dieser Tabelle</t>
  </si>
  <si>
    <t xml:space="preserve">Wärmeverbrauch pro m² Wohnfläche, gewichtetes Mittel aus Quellen 4 und 5</t>
  </si>
  <si>
    <t xml:space="preserve">Personen pro WP-Anlage; voreingestellt aus aus Quellen 4 und 5</t>
  </si>
  <si>
    <t xml:space="preserve">Personen/Anlage</t>
  </si>
  <si>
    <t xml:space="preserve">Ergebnisse</t>
  </si>
  <si>
    <t xml:space="preserve">mittlere Kosten nach allen fünf Quellen, abhängig von Parametereingabe</t>
  </si>
  <si>
    <t xml:space="preserve">Stromverbrauch bei bundesweitem Wärmepumpeneinsatz, je nach energ.Sanierungsgrad: Eingabe in Zelle B7; voreingestellt sind 80  kWh/m²/a; aktueller Schnitt ca.160 kWh/m²/a</t>
  </si>
  <si>
    <t xml:space="preserve">Kosten für Heizung und Warmwasser durch Wärmepumpen in Wohnungen</t>
  </si>
  <si>
    <t xml:space="preserve">€/Monat/Kopf</t>
  </si>
  <si>
    <t xml:space="preserve">für Wohnraum, umgerechnet auf mittlere Wohnfläche BRD </t>
  </si>
  <si>
    <t xml:space="preserve">TWh/a </t>
  </si>
  <si>
    <t xml:space="preserve">Kosten für Heizung und Warmwasser durch Wärmepumpen in Wohnungen+Gewerbe+Öffentlich</t>
  </si>
  <si>
    <t xml:space="preserve">für Wohnraum+Gewerbe+öffentliche Gebäude</t>
  </si>
  <si>
    <t xml:space="preserve">Abkürzungen</t>
  </si>
  <si>
    <t xml:space="preserve">Bundesförderung effiziente Gebäude, Einzelmaßnahme</t>
  </si>
  <si>
    <t xml:space="preserve">BEG EM</t>
  </si>
  <si>
    <t xml:space="preserve">von 2023</t>
  </si>
  <si>
    <t xml:space="preserve">Bundesförderung effiziente Gebäude, Wohngebäude</t>
  </si>
  <si>
    <t xml:space="preserve">BEG WG</t>
  </si>
  <si>
    <t xml:space="preserve">coefficient of performance (an bestimmtem Arbeitspunkt)</t>
  </si>
  <si>
    <t xml:space="preserve">COP</t>
  </si>
  <si>
    <t xml:space="preserve">für bestimmte WP an bestimmtem .Arbeitspunkt</t>
  </si>
  <si>
    <t xml:space="preserve">Einfamilienhaus, Bestand</t>
  </si>
  <si>
    <t xml:space="preserve">EFH/B</t>
  </si>
  <si>
    <t xml:space="preserve">Einfamilienhaus, neu</t>
  </si>
  <si>
    <t xml:space="preserve">EFH/N</t>
  </si>
  <si>
    <t xml:space="preserve">Fußboden</t>
  </si>
  <si>
    <t xml:space="preserve">F</t>
  </si>
  <si>
    <t xml:space="preserve">Jahresarbeitszahl</t>
  </si>
  <si>
    <t xml:space="preserve">JAZ</t>
  </si>
  <si>
    <t xml:space="preserve">für Gesamtsysteme</t>
  </si>
  <si>
    <t xml:space="preserve">Luft/Wasser-Wärmepumpe</t>
  </si>
  <si>
    <t xml:space="preserve">LW</t>
  </si>
  <si>
    <t xml:space="preserve">Mehrfamilienhaus Bestand</t>
  </si>
  <si>
    <t xml:space="preserve">MFH/B</t>
  </si>
  <si>
    <t xml:space="preserve">Radiator</t>
  </si>
  <si>
    <t xml:space="preserve">R</t>
  </si>
  <si>
    <t xml:space="preserve">saisonaler (ganzjähriger) COP (Mittel)</t>
  </si>
  <si>
    <t xml:space="preserve">SCOP</t>
  </si>
  <si>
    <t xml:space="preserve">für bestimmte WP</t>
  </si>
  <si>
    <t xml:space="preserve">Sole/Wasser (Erdwärmepumpe)</t>
  </si>
  <si>
    <t xml:space="preserve">SW</t>
  </si>
  <si>
    <t xml:space="preserve">Wand</t>
  </si>
  <si>
    <t xml:space="preserve">W</t>
  </si>
  <si>
    <t xml:space="preserve">Wärmepumpe</t>
  </si>
  <si>
    <t xml:space="preserve">WP</t>
  </si>
  <si>
    <t xml:space="preserve">Kosten für Wärmepumpen im Haushalt, Quellen 1 bis 3</t>
  </si>
  <si>
    <t xml:space="preserve">Fraunhofer ISE</t>
  </si>
  <si>
    <t xml:space="preserve">https://wp-monitoring.ise.fraunhofer.de/wpqs-im-bestand/german/index/</t>
  </si>
  <si>
    <t xml:space="preserve">Quelle 1. WP im Gebäudebestand, 2009</t>
  </si>
  <si>
    <t xml:space="preserve">Proben</t>
  </si>
  <si>
    <t xml:space="preserve">https://wp-monitoring.ise.fraunhofer.de/wp-smart-im-bestand/download/Berichte/WP_im_Gebaeudebestand_Kurzfassung.pdf</t>
  </si>
  <si>
    <t xml:space="preserve">Anzahl der Proben</t>
  </si>
  <si>
    <t xml:space="preserve">mittlere JAZ</t>
  </si>
  <si>
    <t xml:space="preserve">Fundstelle</t>
  </si>
  <si>
    <t xml:space="preserve">Wärmequelle SW </t>
  </si>
  <si>
    <t xml:space="preserve">Seite 5</t>
  </si>
  <si>
    <t xml:space="preserve">Wärmequelle LW (außen) </t>
  </si>
  <si>
    <t xml:space="preserve">Seite 3, Seite 5</t>
  </si>
  <si>
    <t xml:space="preserve">gewichtetes Mittel der JAZ</t>
  </si>
  <si>
    <t xml:space="preserve">Gesamtkosten pro Monat pro Kopf</t>
  </si>
  <si>
    <t xml:space="preserve">Quelle 2. WP effizienz, 2010</t>
  </si>
  <si>
    <t xml:space="preserve">https://wp-monitoring.ise.fraunhofer.de/wp-smart-im-bestand/download/Berichte/wp_effizienz_endbericht_langfassung.pdf</t>
  </si>
  <si>
    <t xml:space="preserve">Seite 4, Seite 50</t>
  </si>
  <si>
    <t xml:space="preserve">Wärmequelle LW </t>
  </si>
  <si>
    <t xml:space="preserve">Seite 4, Seite 55</t>
  </si>
  <si>
    <t xml:space="preserve">Quelle 3. WP smart im Bestand, 2020</t>
  </si>
  <si>
    <t xml:space="preserve">Seite 78</t>
  </si>
  <si>
    <t xml:space="preserve">Seite 76</t>
  </si>
  <si>
    <t xml:space="preserve">Stromverbrauch der Wärmepumpen im Haushalt, Quellen 4 und 5</t>
  </si>
  <si>
    <t xml:space="preserve">Quelle 4. Einzelobjekte aus „WP smart im Bestand“ und „WP monitor plus“</t>
  </si>
  <si>
    <t xml:space="preserve">https://wp-monitoring.ise.fraunhofer.de/wp-monitor-plus/german/index/messdaten.html</t>
  </si>
  <si>
    <t xml:space="preserve">übernommene Daten</t>
  </si>
  <si>
    <t xml:space="preserve">Berechnungen</t>
  </si>
  <si>
    <t xml:space="preserve">https://wp-monitoring.ise.fraunhofer.de/wp-smart-im-bestand/german/index/live_visu.html</t>
  </si>
  <si>
    <t xml:space="preserve">WP-Art</t>
  </si>
  <si>
    <t xml:space="preserve">Heizkörper</t>
  </si>
  <si>
    <t xml:space="preserve">Bewohner</t>
  </si>
  <si>
    <t xml:space="preserve">Beheizte Fläche</t>
  </si>
  <si>
    <t xml:space="preserve">Wärme pro m²</t>
  </si>
  <si>
    <t xml:space="preserve">WP-Leistung</t>
  </si>
  <si>
    <t xml:space="preserve">JAZ3</t>
  </si>
  <si>
    <t xml:space="preserve">Fläche</t>
  </si>
  <si>
    <t xml:space="preserve">Wärme</t>
  </si>
  <si>
    <t xml:space="preserve">Strom</t>
  </si>
  <si>
    <t xml:space="preserve">Energiekosten</t>
  </si>
  <si>
    <t xml:space="preserve">Gesamtkosten</t>
  </si>
  <si>
    <t xml:space="preserve">Personen</t>
  </si>
  <si>
    <t xml:space="preserve">m²</t>
  </si>
  <si>
    <t xml:space="preserve">kW</t>
  </si>
  <si>
    <t xml:space="preserve">kWh/a</t>
  </si>
  <si>
    <t xml:space="preserve">kWh/a/Kopf</t>
  </si>
  <si>
    <t xml:space="preserve">https://wp-monitoring.ise.fraunhofer.de/wp-monitor-plus/ise/zza18/index.html</t>
  </si>
  <si>
    <t xml:space="preserve">https://wp-monitoring.ise.fraunhofer.de/wp-monitor-plus/ise/zza23/index.html</t>
  </si>
  <si>
    <t xml:space="preserve">FR</t>
  </si>
  <si>
    <t xml:space="preserve">https://wp-monitoring.ise.fraunhofer.de/wp-monitor-plus/ise/zza17/index.html</t>
  </si>
  <si>
    <t xml:space="preserve">https://wp-monitoring.ise.fraunhofer.de/wp-monitor-plus/ise/zza20/index.html</t>
  </si>
  <si>
    <t xml:space="preserve">https://wp-monitoring.ise.fraunhofer.de/wp-monitor-plus/ise/zza11/index.html</t>
  </si>
  <si>
    <t xml:space="preserve">FW</t>
  </si>
  <si>
    <t xml:space="preserve">https://wp-monitoring.ise.fraunhofer.de/wp-monitor-plus/ise/zza19/index.html</t>
  </si>
  <si>
    <t xml:space="preserve">https://wp-monitoring.ise.fraunhofer.de/wp-monitor-plus/ise/zza08/index.html</t>
  </si>
  <si>
    <t xml:space="preserve">https://wp-monitoring.ise.fraunhofer.de/wp-monitor-plus/ise/zza03/index.html</t>
  </si>
  <si>
    <t xml:space="preserve">https://wp-monitoring.ise.fraunhofer.de/monitoring/wpsmart/demo/44/</t>
  </si>
  <si>
    <t xml:space="preserve">https://wp-monitoring.ise.fraunhofer.de/monitoring/wpsmart/demo/63/</t>
  </si>
  <si>
    <t xml:space="preserve">https://wp-monitoring.ise.fraunhofer.de/monitoring/wpsmart/demo/59/</t>
  </si>
  <si>
    <t xml:space="preserve">https://wp-monitoring.ise.fraunhofer.de/wp-monitor-plus/ise/zza12/index.html</t>
  </si>
  <si>
    <t xml:space="preserve">https://wp-monitoring.ise.fraunhofer.de/wp-monitor-plus/ise/zza09/index.html</t>
  </si>
  <si>
    <t xml:space="preserve">https://wp-monitoring.ise.fraunhofer.de/wp-monitor-plus/ise/zza14/index.html</t>
  </si>
  <si>
    <t xml:space="preserve">https://wp-monitoring.ise.fraunhofer.de/wp-monitor-plus/ise/zza16/index.html</t>
  </si>
  <si>
    <t xml:space="preserve">https://wp-monitoring.ise.fraunhofer.de/wp-monitor-plus/ise/zza22/index.html</t>
  </si>
  <si>
    <t xml:space="preserve">https://wp-monitoring.ise.fraunhofer.de/wp-monitor-plus/ise/zza15/index.html</t>
  </si>
  <si>
    <t xml:space="preserve">https://wp-monitoring.ise.fraunhofer.de/wp-monitor-plus/ise/zza21/index.html</t>
  </si>
  <si>
    <t xml:space="preserve">https://wp-monitoring.ise.fraunhofer.de/monitoring/wpsmart/demo/47/</t>
  </si>
  <si>
    <t xml:space="preserve">https://wp-monitoring.ise.fraunhofer.de/wp-monitor-plus/ise/zza25/index.html</t>
  </si>
  <si>
    <t xml:space="preserve">https://wp-monitoring.ise.fraunhofer.de/wp-monitor-plus/ise/zza07/index.html</t>
  </si>
  <si>
    <t xml:space="preserve">https://wp-monitoring.ise.fraunhofer.de/monitoring/wpsmart/demo/12/</t>
  </si>
  <si>
    <t xml:space="preserve">https://wp-monitoring.ise.fraunhofer.de/monitoring/wpsmart/demo/18/</t>
  </si>
  <si>
    <t xml:space="preserve">https://wp-monitoring.ise.fraunhofer.de/monitoring/wpsmart/demo/60/129</t>
  </si>
  <si>
    <t xml:space="preserve">https://wp-monitoring.ise.fraunhofer.de/monitoring/wpsmart/demo/78/</t>
  </si>
  <si>
    <t xml:space="preserve">https://wp-monitoring.ise.fraunhofer.de/wp-monitor-plus/ise/zza05/index.html</t>
  </si>
  <si>
    <t xml:space="preserve">Summe</t>
  </si>
  <si>
    <t xml:space="preserve">arithmetisches (einmal harmonisches) Mittel</t>
  </si>
  <si>
    <t xml:space="preserve">Quelle 5. Einzelobjekte mit Weishaupt-WP</t>
  </si>
  <si>
    <t xml:space="preserve">https://heizung-barthel.lu/_res/uploads/2017/10/PDF-Praxis-Test-Fraunhofer-Institut-Wie-wirtschaftlich-arbeiten-Weishaupt-Warmepumpen.pdf</t>
  </si>
  <si>
    <t xml:space="preserve">Gebäudetyp  , Projektbeschreibung auf Seite</t>
  </si>
  <si>
    <t xml:space="preserve"> Heizwärme</t>
  </si>
  <si>
    <t xml:space="preserve">Warmwasser</t>
  </si>
  <si>
    <t xml:space="preserve">Strom für WP-Anlage</t>
  </si>
  <si>
    <t xml:space="preserve">gemessene Kosten </t>
  </si>
  <si>
    <t xml:space="preserve">Stromkosten nach Tarif</t>
  </si>
  <si>
    <t xml:space="preserve">Gesamtkosten nach Tarif</t>
  </si>
  <si>
    <t xml:space="preserve">EFH/N  ,  8</t>
  </si>
  <si>
    <t xml:space="preserve">EFH/N  ,  10</t>
  </si>
  <si>
    <t xml:space="preserve">EFH/N  ,  12</t>
  </si>
  <si>
    <t xml:space="preserve">EFH/N  ,  14</t>
  </si>
  <si>
    <t xml:space="preserve">EFH/N  ,  16</t>
  </si>
  <si>
    <t xml:space="preserve">EFH/N  ,  18</t>
  </si>
  <si>
    <t xml:space="preserve">EFH/N  ,  20</t>
  </si>
  <si>
    <t xml:space="preserve">EFH/N  ,  22</t>
  </si>
  <si>
    <t xml:space="preserve">EFH/B  ,  24</t>
  </si>
  <si>
    <t xml:space="preserve">MFH/B  ,  26</t>
  </si>
  <si>
    <t xml:space="preserve">F/R</t>
  </si>
  <si>
    <t xml:space="preserve">EFH/B  ,  28</t>
  </si>
  <si>
    <t xml:space="preserve">Split</t>
  </si>
  <si>
    <t xml:space="preserve">arithmetisches (zweimal harmonisches) Mittel</t>
  </si>
  <si>
    <t xml:space="preserve">Hochgerechneter Gesamt-Stromverbrauch BRD</t>
  </si>
  <si>
    <t xml:space="preserve">nach Daten der Quellen 4 und 5:</t>
  </si>
  <si>
    <t xml:space="preserve">für Wohnraum</t>
  </si>
  <si>
    <t xml:space="preserve">Wohnen, Öffentlichkeit, Gewerbe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</si>
</sst>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0.0"/>
    <numFmt numFmtId="168" formatCode="0.00"/>
    <numFmt numFmtId="169" formatCode="#,##0.0"/>
    <numFmt numFmtId="170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beration Sans Narrow"/>
      <family val="2"/>
    </font>
    <font>
      <sz val="10"/>
      <name val="Liberation Sans Narrow"/>
      <family val="2"/>
    </font>
    <font>
      <b val="true"/>
      <sz val="20"/>
      <name val="Liberation Sans Narrow"/>
      <family val="2"/>
    </font>
    <font>
      <sz val="16"/>
      <name val="Liberation Sans Narrow"/>
      <family val="2"/>
    </font>
    <font>
      <sz val="14"/>
      <name val="Liberation Sans Narrow"/>
      <family val="2"/>
    </font>
    <font>
      <b val="true"/>
      <sz val="14"/>
      <name val="Liberation Sans Narrow"/>
      <family val="2"/>
    </font>
    <font>
      <b val="true"/>
      <sz val="12"/>
      <name val="Liberation Sans Narrow"/>
      <family val="2"/>
    </font>
    <font>
      <sz val="8"/>
      <color rgb="FF0000FF"/>
      <name val="Liberation Sans Narrow"/>
      <family val="2"/>
    </font>
    <font>
      <sz val="6"/>
      <name val="Liberation Sans Narrow"/>
      <family val="2"/>
    </font>
    <font>
      <sz val="6"/>
      <color rgb="FF0000FF"/>
      <name val="Liberation Sans Narrow"/>
      <family val="2"/>
    </font>
    <font>
      <b val="true"/>
      <sz val="18"/>
      <name val="Liberation Sans Narrow"/>
      <family val="2"/>
    </font>
    <font>
      <b val="true"/>
      <sz val="24"/>
      <name val="Liberation Sans Narrow"/>
      <family val="2"/>
    </font>
    <font>
      <sz val="7"/>
      <color rgb="FF0000FF"/>
      <name val="Liberation Sans Narrow"/>
      <family val="2"/>
    </font>
    <font>
      <sz val="11"/>
      <color rgb="FF0000FF"/>
      <name val="Liberation Sans Narrow"/>
      <family val="2"/>
    </font>
    <font>
      <b val="true"/>
      <sz val="9"/>
      <name val="Liberation Sans Narrow"/>
      <family val="2"/>
    </font>
    <font>
      <sz val="8"/>
      <name val="Liberation Sans Narrow"/>
      <family val="2"/>
    </font>
    <font>
      <sz val="12"/>
      <color rgb="FF0000FF"/>
      <name val="Liberation San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E7"/>
      </patternFill>
    </fill>
    <fill>
      <patternFill patternType="solid">
        <fgColor rgb="FF7DB3EC"/>
        <bgColor rgb="FF9E9EE9"/>
      </patternFill>
    </fill>
    <fill>
      <patternFill patternType="solid">
        <fgColor rgb="FF9E9EE9"/>
        <bgColor rgb="FF7DB3EC"/>
      </patternFill>
    </fill>
    <fill>
      <patternFill patternType="solid">
        <fgColor rgb="FF808080"/>
        <bgColor rgb="FF969696"/>
      </patternFill>
    </fill>
    <fill>
      <patternFill patternType="solid">
        <fgColor rgb="FFFC3F0E"/>
        <bgColor rgb="FFF5501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0C0C0"/>
        <bgColor rgb="FFDDDDDD"/>
      </patternFill>
    </fill>
    <fill>
      <patternFill patternType="solid">
        <fgColor rgb="FF333333"/>
        <bgColor rgb="FF333300"/>
      </patternFill>
    </fill>
    <fill>
      <patternFill patternType="solid">
        <fgColor rgb="FF006600"/>
        <bgColor rgb="FF003300"/>
      </patternFill>
    </fill>
    <fill>
      <patternFill patternType="solid">
        <fgColor rgb="FFCC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A7EC1"/>
        <bgColor rgb="FFFF8080"/>
      </patternFill>
    </fill>
    <fill>
      <patternFill patternType="solid">
        <fgColor rgb="FFF5501F"/>
        <bgColor rgb="FFFC3F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4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1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1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" xfId="20"/>
    <cellStyle name="Ergebnis" xfId="21"/>
  </cellStyles>
  <colors>
    <indexedColors>
      <rgbColor rgb="FF000000"/>
      <rgbColor rgb="FFFFFFFF"/>
      <rgbColor rgb="FFFC3F0E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E9EE9"/>
      <rgbColor rgb="FF993366"/>
      <rgbColor rgb="FFFFFFCC"/>
      <rgbColor rgb="FFCCFFE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3EC"/>
      <rgbColor rgb="FFFA7EC1"/>
      <rgbColor rgb="FFCC99FF"/>
      <rgbColor rgb="FFFFCCCC"/>
      <rgbColor rgb="FF3366FF"/>
      <rgbColor rgb="FF33CCCC"/>
      <rgbColor rgb="FF99CC00"/>
      <rgbColor rgb="FFFFCC00"/>
      <rgbColor rgb="FFFF9900"/>
      <rgbColor rgb="FFF550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nergieheld.de/heizung/waermepumpe/kosten" TargetMode="External"/><Relationship Id="rId2" Type="http://schemas.openxmlformats.org/officeDocument/2006/relationships/hyperlink" Target="https://heliogaia.de/9254_Gebaeudereport_dena_kompakt_2018.pdf" TargetMode="External"/><Relationship Id="rId3" Type="http://schemas.openxmlformats.org/officeDocument/2006/relationships/hyperlink" Target="https://www.kesselheld.de/lebensdauer-waermepumpe/" TargetMode="External"/><Relationship Id="rId4" Type="http://schemas.openxmlformats.org/officeDocument/2006/relationships/hyperlink" Target="https://www.kesselheld.de/lebensdauer-waermepumpe/" TargetMode="External"/><Relationship Id="rId5" Type="http://schemas.openxmlformats.org/officeDocument/2006/relationships/hyperlink" Target="https://www.enpal.de/magazin/waermepumpe-kosten" TargetMode="External"/><Relationship Id="rId6" Type="http://schemas.openxmlformats.org/officeDocument/2006/relationships/hyperlink" Target="https://www.heizungsfinder.de/waermepumpe/kosten-preise" TargetMode="External"/><Relationship Id="rId7" Type="http://schemas.openxmlformats.org/officeDocument/2006/relationships/hyperlink" Target="https://www.energieheld.de/heizung/waermepumpe/kosten" TargetMode="External"/><Relationship Id="rId8" Type="http://schemas.openxmlformats.org/officeDocument/2006/relationships/hyperlink" Target="https://www.heizungsfinder.de/waermepumpe/kosten-preise" TargetMode="External"/><Relationship Id="rId9" Type="http://schemas.openxmlformats.org/officeDocument/2006/relationships/hyperlink" Target="https://www.energieheld.de/heizung/waermepumpe/kosten" TargetMode="External"/><Relationship Id="rId10" Type="http://schemas.openxmlformats.org/officeDocument/2006/relationships/hyperlink" Target="https://www.ise.fraunhofer.de/content/dam/ise/de/downloads/pdf/Forschungsprojekte/BMWi-03ET1272A-WPsmart_im_Bestand-Schlussbericht.pdf" TargetMode="External"/><Relationship Id="rId11" Type="http://schemas.openxmlformats.org/officeDocument/2006/relationships/hyperlink" Target="https://www.enpal.de/magazin/waermepumpe-kosten" TargetMode="External"/><Relationship Id="rId12" Type="http://schemas.openxmlformats.org/officeDocument/2006/relationships/hyperlink" Target="https://wp-monitoring.ise.fraunhofer.de/wpqs-im-bestand/german/index/" TargetMode="External"/><Relationship Id="rId13" Type="http://schemas.openxmlformats.org/officeDocument/2006/relationships/hyperlink" Target="https://wp-monitoring.ise.fraunhofer.de/wp-smart-im-bestand/download/Berichte/WP_im_Gebaeudebestand_Kurzfassung.pdf" TargetMode="External"/><Relationship Id="rId14" Type="http://schemas.openxmlformats.org/officeDocument/2006/relationships/hyperlink" Target="https://wp-monitoring.ise.fraunhofer.de/wp-smart-im-bestand/download/Berichte/wp_effizienz_endbericht_langfassung.pdf" TargetMode="External"/><Relationship Id="rId15" Type="http://schemas.openxmlformats.org/officeDocument/2006/relationships/hyperlink" Target="https://www.ise.fraunhofer.de/content/dam/ise/de/downloads/pdf/Forschungsprojekte/BMWi-03ET1272A-WPsmart_im_Bestand-Schlussbericht.pdf" TargetMode="External"/><Relationship Id="rId16" Type="http://schemas.openxmlformats.org/officeDocument/2006/relationships/hyperlink" Target="https://wp-monitoring.ise.fraunhofer.de/wp-monitor-plus/german/index/messdaten.html" TargetMode="External"/><Relationship Id="rId17" Type="http://schemas.openxmlformats.org/officeDocument/2006/relationships/hyperlink" Target="https://wp-monitoring.ise.fraunhofer.de/wp-smart-im-bestand/german/index/live_visu.html" TargetMode="External"/><Relationship Id="rId18" Type="http://schemas.openxmlformats.org/officeDocument/2006/relationships/hyperlink" Target="https://wp-monitoring.ise.fraunhofer.de/wp-monitor-plus/ise/zza18/index.html" TargetMode="External"/><Relationship Id="rId19" Type="http://schemas.openxmlformats.org/officeDocument/2006/relationships/hyperlink" Target="https://wp-monitoring.ise.fraunhofer.de/wp-monitor-plus/ise/zza23/index.html" TargetMode="External"/><Relationship Id="rId20" Type="http://schemas.openxmlformats.org/officeDocument/2006/relationships/hyperlink" Target="https://wp-monitoring.ise.fraunhofer.de/wp-monitor-plus/ise/zza17/index.html" TargetMode="External"/><Relationship Id="rId21" Type="http://schemas.openxmlformats.org/officeDocument/2006/relationships/hyperlink" Target="https://wp-monitoring.ise.fraunhofer.de/wp-monitor-plus/ise/zza20/index.html" TargetMode="External"/><Relationship Id="rId22" Type="http://schemas.openxmlformats.org/officeDocument/2006/relationships/hyperlink" Target="https://wp-monitoring.ise.fraunhofer.de/wp-monitor-plus/ise/zza11/index.html" TargetMode="External"/><Relationship Id="rId23" Type="http://schemas.openxmlformats.org/officeDocument/2006/relationships/hyperlink" Target="https://wp-monitoring.ise.fraunhofer.de/wp-monitor-plus/ise/zza19/index.html" TargetMode="External"/><Relationship Id="rId24" Type="http://schemas.openxmlformats.org/officeDocument/2006/relationships/hyperlink" Target="https://wp-monitoring.ise.fraunhofer.de/wp-monitor-plus/ise/zza08/index.html" TargetMode="External"/><Relationship Id="rId25" Type="http://schemas.openxmlformats.org/officeDocument/2006/relationships/hyperlink" Target="https://wp-monitoring.ise.fraunhofer.de/wp-monitor-plus/ise/zza03/index.html" TargetMode="External"/><Relationship Id="rId26" Type="http://schemas.openxmlformats.org/officeDocument/2006/relationships/hyperlink" Target="https://wp-monitoring.ise.fraunhofer.de/monitoring/wpsmart/demo/44/" TargetMode="External"/><Relationship Id="rId27" Type="http://schemas.openxmlformats.org/officeDocument/2006/relationships/hyperlink" Target="https://wp-monitoring.ise.fraunhofer.de/monitoring/wpsmart/demo/63/" TargetMode="External"/><Relationship Id="rId28" Type="http://schemas.openxmlformats.org/officeDocument/2006/relationships/hyperlink" Target="https://wp-monitoring.ise.fraunhofer.de/monitoring/wpsmart/demo/59/" TargetMode="External"/><Relationship Id="rId29" Type="http://schemas.openxmlformats.org/officeDocument/2006/relationships/hyperlink" Target="https://wp-monitoring.ise.fraunhofer.de/wp-monitor-plus/ise/zza12/index.html" TargetMode="External"/><Relationship Id="rId30" Type="http://schemas.openxmlformats.org/officeDocument/2006/relationships/hyperlink" Target="https://wp-monitoring.ise.fraunhofer.de/wp-monitor-plus/ise/zza09/index.html" TargetMode="External"/><Relationship Id="rId31" Type="http://schemas.openxmlformats.org/officeDocument/2006/relationships/hyperlink" Target="https://wp-monitoring.ise.fraunhofer.de/wp-monitor-plus/ise/zza14/index.html" TargetMode="External"/><Relationship Id="rId32" Type="http://schemas.openxmlformats.org/officeDocument/2006/relationships/hyperlink" Target="https://wp-monitoring.ise.fraunhofer.de/wp-monitor-plus/ise/zza16/index.html" TargetMode="External"/><Relationship Id="rId33" Type="http://schemas.openxmlformats.org/officeDocument/2006/relationships/hyperlink" Target="https://wp-monitoring.ise.fraunhofer.de/wp-monitor-plus/ise/zza22/index.html" TargetMode="External"/><Relationship Id="rId34" Type="http://schemas.openxmlformats.org/officeDocument/2006/relationships/hyperlink" Target="https://wp-monitoring.ise.fraunhofer.de/wp-monitor-plus/ise/zza15/index.html" TargetMode="External"/><Relationship Id="rId35" Type="http://schemas.openxmlformats.org/officeDocument/2006/relationships/hyperlink" Target="https://wp-monitoring.ise.fraunhofer.de/wp-monitor-plus/ise/zza21/index.html" TargetMode="External"/><Relationship Id="rId36" Type="http://schemas.openxmlformats.org/officeDocument/2006/relationships/hyperlink" Target="https://wp-monitoring.ise.fraunhofer.de/monitoring/wpsmart/demo/47/" TargetMode="External"/><Relationship Id="rId37" Type="http://schemas.openxmlformats.org/officeDocument/2006/relationships/hyperlink" Target="https://wp-monitoring.ise.fraunhofer.de/wp-monitor-plus/ise/zza25/index.html" TargetMode="External"/><Relationship Id="rId38" Type="http://schemas.openxmlformats.org/officeDocument/2006/relationships/hyperlink" Target="https://wp-monitoring.ise.fraunhofer.de/wp-monitor-plus/ise/zza07/index.html" TargetMode="External"/><Relationship Id="rId39" Type="http://schemas.openxmlformats.org/officeDocument/2006/relationships/hyperlink" Target="https://wp-monitoring.ise.fraunhofer.de/monitoring/wpsmart/demo/12/" TargetMode="External"/><Relationship Id="rId40" Type="http://schemas.openxmlformats.org/officeDocument/2006/relationships/hyperlink" Target="https://wp-monitoring.ise.fraunhofer.de/monitoring/wpsmart/demo/18/" TargetMode="External"/><Relationship Id="rId41" Type="http://schemas.openxmlformats.org/officeDocument/2006/relationships/hyperlink" Target="https://wp-monitoring.ise.fraunhofer.de/monitoring/wpsmart/demo/60/129" TargetMode="External"/><Relationship Id="rId42" Type="http://schemas.openxmlformats.org/officeDocument/2006/relationships/hyperlink" Target="https://wp-monitoring.ise.fraunhofer.de/monitoring/wpsmart/demo/78/" TargetMode="External"/><Relationship Id="rId43" Type="http://schemas.openxmlformats.org/officeDocument/2006/relationships/hyperlink" Target="https://wp-monitoring.ise.fraunhofer.de/wp-monitor-plus/ise/zza05/index.html" TargetMode="External"/><Relationship Id="rId44" Type="http://schemas.openxmlformats.org/officeDocument/2006/relationships/hyperlink" Target="https://heizung-barthel.lu/_res/uploads/2017/10/PDF-Praxis-Test-Fraunhofer-Institut-Wie-wirtschaftlich-arbeiten-Weishaupt-Warmepump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2" activeCellId="0" sqref="A22"/>
    </sheetView>
  </sheetViews>
  <sheetFormatPr defaultColWidth="11.53515625" defaultRowHeight="16.9" zeroHeight="false" outlineLevelRow="0" outlineLevelCol="0"/>
  <cols>
    <col collapsed="false" customWidth="true" hidden="false" outlineLevel="0" max="1" min="1" style="1" width="70.03"/>
    <col collapsed="false" customWidth="true" hidden="false" outlineLevel="0" max="2" min="2" style="1" width="18.4"/>
    <col collapsed="false" customWidth="true" hidden="false" outlineLevel="0" max="3" min="3" style="1" width="20.14"/>
    <col collapsed="false" customWidth="true" hidden="false" outlineLevel="0" max="4" min="4" style="1" width="14.72"/>
    <col collapsed="false" customWidth="true" hidden="false" outlineLevel="0" max="5" min="5" style="1" width="13.37"/>
    <col collapsed="false" customWidth="true" hidden="false" outlineLevel="0" max="6" min="6" style="1" width="15.62"/>
    <col collapsed="false" customWidth="true" hidden="false" outlineLevel="0" max="7" min="7" style="1" width="10.19"/>
    <col collapsed="false" customWidth="true" hidden="false" outlineLevel="0" max="8" min="8" style="1" width="8.47"/>
    <col collapsed="false" customWidth="true" hidden="false" outlineLevel="0" max="9" min="9" style="1" width="9.44"/>
    <col collapsed="false" customWidth="true" hidden="false" outlineLevel="0" max="10" min="10" style="1" width="8.7"/>
    <col collapsed="false" customWidth="true" hidden="false" outlineLevel="0" max="11" min="11" style="1" width="8.75"/>
    <col collapsed="false" customWidth="true" hidden="false" outlineLevel="0" max="12" min="12" style="1" width="8.89"/>
    <col collapsed="false" customWidth="true" hidden="false" outlineLevel="0" max="13" min="13" style="1" width="12.65"/>
    <col collapsed="false" customWidth="true" hidden="false" outlineLevel="0" max="14" min="14" style="1" width="12.41"/>
    <col collapsed="false" customWidth="true" hidden="false" outlineLevel="0" max="15" min="15" style="1" width="12.35"/>
    <col collapsed="false" customWidth="true" hidden="false" outlineLevel="0" max="16" min="16" style="1" width="12.04"/>
    <col collapsed="false" customWidth="false" hidden="false" outlineLevel="0" max="18" min="17" style="1" width="11.52"/>
    <col collapsed="false" customWidth="true" hidden="false" outlineLevel="0" max="19" min="19" style="1" width="30.38"/>
    <col collapsed="false" customWidth="false" hidden="false" outlineLevel="0" max="1018" min="20" style="1" width="11.52"/>
    <col collapsed="false" customWidth="false" hidden="false" outlineLevel="0" max="1019" min="1019" style="2" width="11.52"/>
    <col collapsed="false" customWidth="false" hidden="false" outlineLevel="0" max="1024" min="1020" style="3" width="11.52"/>
  </cols>
  <sheetData>
    <row r="1" s="6" customFormat="true" ht="43.7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AME1" s="7"/>
      <c r="AMF1" s="3"/>
      <c r="AMG1" s="3"/>
      <c r="AMH1" s="3"/>
      <c r="AMI1" s="3"/>
      <c r="AMJ1" s="3"/>
    </row>
    <row r="2" s="13" customFormat="true" ht="35.8" hidden="false" customHeight="true" outlineLevel="0" collapsed="false">
      <c r="A2" s="8" t="s">
        <v>1</v>
      </c>
      <c r="B2" s="9" t="s">
        <v>2</v>
      </c>
      <c r="C2" s="10" t="s">
        <v>3</v>
      </c>
      <c r="D2" s="10" t="s">
        <v>4</v>
      </c>
      <c r="E2" s="10" t="s">
        <v>3</v>
      </c>
      <c r="F2" s="11" t="s">
        <v>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AMF2" s="3"/>
      <c r="AMG2" s="3"/>
      <c r="AMH2" s="3"/>
      <c r="AMI2" s="3"/>
      <c r="AMJ2" s="3"/>
    </row>
    <row r="3" customFormat="false" ht="16.9" hidden="false" customHeight="true" outlineLevel="0" collapsed="false">
      <c r="A3" s="1" t="s">
        <v>6</v>
      </c>
      <c r="B3" s="14" t="n">
        <v>0.2753</v>
      </c>
      <c r="C3" s="15" t="s">
        <v>7</v>
      </c>
      <c r="E3" s="15"/>
      <c r="F3" s="16" t="s">
        <v>8</v>
      </c>
      <c r="G3" s="16"/>
      <c r="H3" s="16"/>
      <c r="I3" s="16"/>
      <c r="J3" s="16"/>
      <c r="K3" s="16"/>
      <c r="L3" s="16"/>
    </row>
    <row r="4" customFormat="false" ht="16.9" hidden="false" customHeight="true" outlineLevel="0" collapsed="false">
      <c r="A4" s="1" t="s">
        <v>9</v>
      </c>
      <c r="B4" s="17" t="n">
        <v>84200000</v>
      </c>
      <c r="C4" s="15"/>
      <c r="E4" s="15"/>
      <c r="F4" s="16"/>
      <c r="G4" s="16"/>
      <c r="H4" s="16"/>
      <c r="I4" s="16"/>
      <c r="J4" s="16"/>
      <c r="K4" s="16"/>
      <c r="L4" s="16"/>
    </row>
    <row r="5" customFormat="false" ht="16.9" hidden="false" customHeight="true" outlineLevel="0" collapsed="false">
      <c r="A5" s="18" t="s">
        <v>10</v>
      </c>
      <c r="B5" s="19" t="n">
        <v>46.5</v>
      </c>
      <c r="C5" s="20" t="s">
        <v>11</v>
      </c>
      <c r="E5" s="15"/>
      <c r="F5" s="21" t="s">
        <v>12</v>
      </c>
      <c r="G5" s="21"/>
      <c r="H5" s="21"/>
      <c r="I5" s="21"/>
      <c r="J5" s="21"/>
      <c r="K5" s="16"/>
      <c r="L5" s="16"/>
    </row>
    <row r="6" customFormat="false" ht="16.9" hidden="false" customHeight="true" outlineLevel="0" collapsed="false">
      <c r="A6" s="18" t="s">
        <v>13</v>
      </c>
      <c r="B6" s="19" t="n">
        <v>37</v>
      </c>
      <c r="C6" s="15" t="s">
        <v>14</v>
      </c>
      <c r="E6" s="15"/>
      <c r="F6" s="22" t="s">
        <v>15</v>
      </c>
      <c r="G6" s="21"/>
      <c r="H6" s="21"/>
      <c r="I6" s="21"/>
      <c r="J6" s="21"/>
      <c r="K6" s="16"/>
      <c r="L6" s="16"/>
    </row>
    <row r="7" customFormat="false" ht="16.9" hidden="false" customHeight="true" outlineLevel="0" collapsed="false">
      <c r="A7" s="1" t="s">
        <v>16</v>
      </c>
      <c r="B7" s="14" t="n">
        <v>80</v>
      </c>
      <c r="C7" s="15" t="s">
        <v>17</v>
      </c>
      <c r="E7" s="15"/>
      <c r="F7" s="21" t="s">
        <v>12</v>
      </c>
      <c r="G7" s="21"/>
      <c r="H7" s="21"/>
      <c r="I7" s="21"/>
      <c r="J7" s="21"/>
      <c r="K7" s="16"/>
      <c r="L7" s="16"/>
    </row>
    <row r="8" customFormat="false" ht="16.9" hidden="false" customHeight="true" outlineLevel="0" collapsed="false">
      <c r="A8" s="1" t="s">
        <v>18</v>
      </c>
      <c r="B8" s="19" t="n">
        <v>50</v>
      </c>
      <c r="C8" s="15" t="s">
        <v>19</v>
      </c>
      <c r="E8" s="15"/>
      <c r="F8" s="22" t="s">
        <v>20</v>
      </c>
      <c r="G8" s="21"/>
      <c r="H8" s="21"/>
      <c r="I8" s="21"/>
      <c r="J8" s="21"/>
      <c r="K8" s="16"/>
      <c r="L8" s="16"/>
    </row>
    <row r="9" customFormat="false" ht="16.9" hidden="false" customHeight="true" outlineLevel="0" collapsed="false">
      <c r="A9" s="1" t="s">
        <v>21</v>
      </c>
      <c r="B9" s="19" t="n">
        <v>20</v>
      </c>
      <c r="C9" s="15" t="s">
        <v>19</v>
      </c>
      <c r="E9" s="15"/>
      <c r="F9" s="22" t="s">
        <v>20</v>
      </c>
      <c r="G9" s="21"/>
      <c r="H9" s="21"/>
      <c r="I9" s="21"/>
      <c r="J9" s="21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customFormat="false" ht="16.9" hidden="false" customHeight="true" outlineLevel="0" collapsed="false">
      <c r="A10" s="1" t="s">
        <v>22</v>
      </c>
      <c r="B10" s="19" t="n">
        <f aca="false">$B$15*$B$16</f>
        <v>16800</v>
      </c>
      <c r="C10" s="15" t="s">
        <v>7</v>
      </c>
      <c r="E10" s="15"/>
      <c r="F10" s="21" t="s">
        <v>23</v>
      </c>
      <c r="G10" s="21"/>
      <c r="H10" s="21"/>
      <c r="I10" s="21"/>
      <c r="J10" s="21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customFormat="false" ht="16.9" hidden="false" customHeight="true" outlineLevel="0" collapsed="false">
      <c r="A11" s="1" t="s">
        <v>24</v>
      </c>
      <c r="B11" s="19" t="n">
        <v>16000</v>
      </c>
      <c r="C11" s="15" t="s">
        <v>7</v>
      </c>
      <c r="D11" s="23"/>
      <c r="E11" s="15"/>
      <c r="F11" s="22" t="s">
        <v>25</v>
      </c>
      <c r="G11" s="21"/>
      <c r="H11" s="21"/>
      <c r="I11" s="21"/>
      <c r="J11" s="22" t="s">
        <v>26</v>
      </c>
      <c r="K11" s="16"/>
      <c r="L11" s="3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customFormat="false" ht="16.9" hidden="false" customHeight="true" outlineLevel="0" collapsed="false">
      <c r="A12" s="1" t="s">
        <v>27</v>
      </c>
      <c r="B12" s="24" t="s">
        <v>28</v>
      </c>
      <c r="C12" s="20" t="s">
        <v>28</v>
      </c>
      <c r="D12" s="25" t="n">
        <f aca="false">B11/B9/12+B10/B8/12</f>
        <v>94.6666666666667</v>
      </c>
      <c r="E12" s="15" t="s">
        <v>29</v>
      </c>
      <c r="F12" s="21"/>
      <c r="G12" s="21"/>
      <c r="H12" s="21"/>
      <c r="I12" s="21"/>
      <c r="J12" s="21"/>
      <c r="K12" s="16"/>
      <c r="L12" s="3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customFormat="false" ht="16.9" hidden="false" customHeight="true" outlineLevel="0" collapsed="false">
      <c r="A13" s="1" t="s">
        <v>30</v>
      </c>
      <c r="B13" s="19" t="n">
        <v>19000</v>
      </c>
      <c r="C13" s="15" t="s">
        <v>7</v>
      </c>
      <c r="D13" s="25" t="n">
        <f aca="false">B13/B9/12</f>
        <v>79.1666666666667</v>
      </c>
      <c r="E13" s="15" t="s">
        <v>29</v>
      </c>
      <c r="F13" s="22" t="s">
        <v>8</v>
      </c>
      <c r="G13" s="21"/>
      <c r="H13" s="21"/>
      <c r="I13" s="21"/>
      <c r="J13" s="22" t="s">
        <v>26</v>
      </c>
      <c r="K13" s="16"/>
      <c r="L13" s="3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customFormat="false" ht="16.9" hidden="false" customHeight="true" outlineLevel="0" collapsed="false">
      <c r="A14" s="1" t="s">
        <v>31</v>
      </c>
      <c r="B14" s="19" t="n">
        <v>100</v>
      </c>
      <c r="C14" s="15" t="s">
        <v>32</v>
      </c>
      <c r="D14" s="25" t="n">
        <f aca="false">B14/12</f>
        <v>8.33333333333333</v>
      </c>
      <c r="E14" s="15" t="s">
        <v>29</v>
      </c>
      <c r="F14" s="22" t="s">
        <v>8</v>
      </c>
      <c r="G14" s="21"/>
      <c r="H14" s="21"/>
      <c r="I14" s="21"/>
      <c r="J14" s="21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customFormat="false" ht="16.9" hidden="false" customHeight="true" outlineLevel="0" collapsed="false">
      <c r="A15" s="1" t="s">
        <v>33</v>
      </c>
      <c r="B15" s="19" t="n">
        <v>224</v>
      </c>
      <c r="C15" s="20" t="s">
        <v>34</v>
      </c>
      <c r="D15" s="25"/>
      <c r="E15" s="15"/>
      <c r="F15" s="26" t="s">
        <v>35</v>
      </c>
      <c r="G15" s="21"/>
      <c r="H15" s="21"/>
      <c r="I15" s="21"/>
      <c r="J15" s="21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customFormat="false" ht="16.9" hidden="false" customHeight="true" outlineLevel="0" collapsed="false">
      <c r="A16" s="1" t="s">
        <v>36</v>
      </c>
      <c r="B16" s="17" t="n">
        <v>75</v>
      </c>
      <c r="C16" s="20" t="s">
        <v>37</v>
      </c>
      <c r="D16" s="25"/>
      <c r="E16" s="15"/>
      <c r="F16" s="22" t="s">
        <v>25</v>
      </c>
      <c r="G16" s="21"/>
      <c r="H16" s="21"/>
      <c r="I16" s="21"/>
      <c r="J16" s="21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customFormat="false" ht="3.7" hidden="false" customHeight="true" outlineLevel="0" collapsed="false">
      <c r="B17" s="27"/>
      <c r="C17" s="20"/>
      <c r="D17" s="25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customFormat="false" ht="17.9" hidden="false" customHeight="true" outlineLevel="0" collapsed="false">
      <c r="A18" s="1" t="s">
        <v>38</v>
      </c>
      <c r="B18" s="28" t="n">
        <f aca="false">(E100+E119)/(D100+D119)</f>
        <v>49.040293040293</v>
      </c>
      <c r="C18" s="20" t="s">
        <v>11</v>
      </c>
      <c r="D18" s="25"/>
      <c r="E18" s="15"/>
      <c r="F18" s="21" t="s">
        <v>39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customFormat="false" ht="16.9" hidden="false" customHeight="true" outlineLevel="0" collapsed="false">
      <c r="A19" s="1" t="s">
        <v>40</v>
      </c>
      <c r="B19" s="28" t="n">
        <f aca="false">(F101*D100+L120*D119)/(D100+D119)</f>
        <v>75.6806969867234</v>
      </c>
      <c r="C19" s="20" t="s">
        <v>17</v>
      </c>
      <c r="D19" s="25"/>
      <c r="E19" s="15"/>
      <c r="F19" s="21" t="s">
        <v>39</v>
      </c>
    </row>
    <row r="20" customFormat="false" ht="16.9" hidden="false" customHeight="true" outlineLevel="0" collapsed="false">
      <c r="A20" s="1" t="s">
        <v>41</v>
      </c>
      <c r="B20" s="29" t="n">
        <f aca="false">(D119+D100)/(B104+B70)</f>
        <v>3.68918918918919</v>
      </c>
      <c r="C20" s="20" t="s">
        <v>42</v>
      </c>
      <c r="D20" s="25"/>
      <c r="E20" s="15"/>
      <c r="F20" s="21" t="s">
        <v>39</v>
      </c>
    </row>
    <row r="21" s="27" customFormat="true" ht="2.85" hidden="false" customHeight="true" outlineLevel="0" collapsed="false">
      <c r="A21" s="30"/>
      <c r="B21" s="30"/>
      <c r="C21" s="31"/>
      <c r="D21" s="32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AME21" s="33"/>
      <c r="AMF21" s="3"/>
      <c r="AMG21" s="3"/>
      <c r="AMH21" s="3"/>
      <c r="AMI21" s="3"/>
      <c r="AMJ21" s="3"/>
    </row>
    <row r="22" s="27" customFormat="true" ht="35.8" hidden="false" customHeight="true" outlineLevel="0" collapsed="false">
      <c r="A22" s="34" t="s">
        <v>43</v>
      </c>
      <c r="B22" s="35"/>
      <c r="C22" s="36"/>
      <c r="D22" s="37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AME22" s="33"/>
      <c r="AMF22" s="3"/>
      <c r="AMG22" s="3"/>
      <c r="AMH22" s="3"/>
      <c r="AMI22" s="3"/>
      <c r="AMJ22" s="3"/>
    </row>
    <row r="23" s="43" customFormat="true" ht="36.35" hidden="false" customHeight="true" outlineLevel="0" collapsed="false">
      <c r="A23" s="38" t="s">
        <v>44</v>
      </c>
      <c r="B23" s="39"/>
      <c r="C23" s="38"/>
      <c r="D23" s="40"/>
      <c r="E23" s="41" t="s">
        <v>45</v>
      </c>
      <c r="F23" s="41"/>
      <c r="G23" s="41"/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1"/>
      <c r="S23" s="38"/>
      <c r="AMF23" s="3"/>
      <c r="AMG23" s="3"/>
      <c r="AMH23" s="3"/>
      <c r="AMI23" s="3"/>
      <c r="AMJ23" s="3"/>
    </row>
    <row r="24" s="43" customFormat="true" ht="31.8" hidden="false" customHeight="true" outlineLevel="0" collapsed="false">
      <c r="A24" s="38" t="s">
        <v>46</v>
      </c>
      <c r="B24" s="44" t="n">
        <f aca="false">(B52*B47+B59*B54+B66*B61)/(B47+B54+B61)</f>
        <v>51.940180049278</v>
      </c>
      <c r="C24" s="45" t="s">
        <v>47</v>
      </c>
      <c r="D24" s="46"/>
      <c r="E24" s="38" t="s">
        <v>48</v>
      </c>
      <c r="F24" s="38"/>
      <c r="G24" s="38"/>
      <c r="H24" s="38"/>
      <c r="I24" s="38"/>
      <c r="J24" s="38"/>
      <c r="K24" s="38"/>
      <c r="L24" s="38"/>
      <c r="M24" s="47" t="n">
        <f aca="false">Q125/$B$19*$B$7/$B$18*$B$5</f>
        <v>87.7415791798569</v>
      </c>
      <c r="N24" s="45" t="s">
        <v>49</v>
      </c>
      <c r="O24" s="42"/>
      <c r="P24" s="42"/>
      <c r="Q24" s="42"/>
      <c r="R24" s="38"/>
      <c r="S24" s="38"/>
      <c r="AMF24" s="3"/>
      <c r="AMG24" s="3"/>
      <c r="AMH24" s="3"/>
      <c r="AMI24" s="3"/>
      <c r="AMJ24" s="3"/>
    </row>
    <row r="25" s="52" customFormat="true" ht="35.8" hidden="false" customHeight="true" outlineLevel="0" collapsed="false">
      <c r="A25" s="48" t="s">
        <v>50</v>
      </c>
      <c r="B25" s="49" t="n">
        <f aca="false">B24/(100-$B$6)*100</f>
        <v>82.4447302369492</v>
      </c>
      <c r="C25" s="50" t="s">
        <v>47</v>
      </c>
      <c r="D25" s="46"/>
      <c r="E25" s="51" t="s">
        <v>51</v>
      </c>
      <c r="F25" s="51"/>
      <c r="G25" s="51"/>
      <c r="H25" s="51"/>
      <c r="I25" s="51"/>
      <c r="J25" s="51"/>
      <c r="K25" s="51"/>
      <c r="L25" s="51"/>
      <c r="M25" s="49" t="n">
        <f aca="false">M24/(100-$B$6)*100</f>
        <v>139.272347904535</v>
      </c>
      <c r="N25" s="50" t="s">
        <v>49</v>
      </c>
      <c r="O25" s="42"/>
      <c r="P25" s="42"/>
      <c r="Q25" s="42"/>
      <c r="R25" s="38"/>
      <c r="S25" s="38"/>
      <c r="AME25" s="43"/>
      <c r="AMF25" s="3"/>
      <c r="AMG25" s="3"/>
      <c r="AMH25" s="3"/>
      <c r="AMI25" s="3"/>
      <c r="AMJ25" s="3"/>
    </row>
    <row r="26" s="27" customFormat="true" ht="2.85" hidden="false" customHeight="true" outlineLevel="0" collapsed="false">
      <c r="A26" s="30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AME26" s="2"/>
      <c r="AMF26" s="3"/>
      <c r="AMG26" s="3"/>
      <c r="AMH26" s="3"/>
      <c r="AMI26" s="3"/>
      <c r="AMJ26" s="3"/>
    </row>
    <row r="27" s="13" customFormat="true" ht="20.85" hidden="false" customHeight="true" outlineLevel="0" collapsed="false">
      <c r="A27" s="53" t="s">
        <v>52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AMF27" s="3"/>
      <c r="AMG27" s="3"/>
      <c r="AMH27" s="3"/>
      <c r="AMI27" s="3"/>
      <c r="AMJ27" s="3"/>
    </row>
    <row r="28" customFormat="false" ht="12.4" hidden="false" customHeight="true" outlineLevel="0" collapsed="false">
      <c r="A28" s="1" t="s">
        <v>53</v>
      </c>
      <c r="B28" s="35" t="s">
        <v>54</v>
      </c>
      <c r="C28" s="55" t="s">
        <v>55</v>
      </c>
    </row>
    <row r="29" customFormat="false" ht="12.4" hidden="false" customHeight="true" outlineLevel="0" collapsed="false">
      <c r="A29" s="1" t="s">
        <v>56</v>
      </c>
      <c r="B29" s="35" t="s">
        <v>57</v>
      </c>
      <c r="C29" s="55" t="s">
        <v>55</v>
      </c>
    </row>
    <row r="30" customFormat="false" ht="12.4" hidden="false" customHeight="true" outlineLevel="0" collapsed="false">
      <c r="A30" s="1" t="s">
        <v>58</v>
      </c>
      <c r="B30" s="35" t="s">
        <v>59</v>
      </c>
      <c r="C30" s="55" t="s">
        <v>60</v>
      </c>
    </row>
    <row r="31" customFormat="false" ht="12.4" hidden="false" customHeight="true" outlineLevel="0" collapsed="false">
      <c r="A31" s="1" t="s">
        <v>61</v>
      </c>
      <c r="B31" s="35" t="s">
        <v>62</v>
      </c>
    </row>
    <row r="32" customFormat="false" ht="12.4" hidden="false" customHeight="true" outlineLevel="0" collapsed="false">
      <c r="A32" s="1" t="s">
        <v>63</v>
      </c>
      <c r="B32" s="35" t="s">
        <v>64</v>
      </c>
    </row>
    <row r="33" customFormat="false" ht="12.4" hidden="false" customHeight="true" outlineLevel="0" collapsed="false">
      <c r="A33" s="1" t="s">
        <v>65</v>
      </c>
      <c r="B33" s="35" t="s">
        <v>66</v>
      </c>
      <c r="M33" s="27"/>
    </row>
    <row r="34" customFormat="false" ht="12.4" hidden="false" customHeight="true" outlineLevel="0" collapsed="false">
      <c r="A34" s="1" t="s">
        <v>67</v>
      </c>
      <c r="B34" s="35" t="s">
        <v>68</v>
      </c>
      <c r="C34" s="21" t="s">
        <v>69</v>
      </c>
    </row>
    <row r="35" customFormat="false" ht="12.4" hidden="false" customHeight="true" outlineLevel="0" collapsed="false">
      <c r="A35" s="1" t="s">
        <v>70</v>
      </c>
      <c r="B35" s="35" t="s">
        <v>71</v>
      </c>
    </row>
    <row r="36" customFormat="false" ht="12.4" hidden="false" customHeight="true" outlineLevel="0" collapsed="false">
      <c r="A36" s="1" t="s">
        <v>72</v>
      </c>
      <c r="B36" s="35" t="s">
        <v>73</v>
      </c>
    </row>
    <row r="37" customFormat="false" ht="12.4" hidden="false" customHeight="true" outlineLevel="0" collapsed="false">
      <c r="A37" s="1" t="s">
        <v>74</v>
      </c>
      <c r="B37" s="35" t="s">
        <v>75</v>
      </c>
      <c r="D37" s="25"/>
    </row>
    <row r="38" customFormat="false" ht="12.4" hidden="false" customHeight="true" outlineLevel="0" collapsed="false">
      <c r="A38" s="1" t="s">
        <v>76</v>
      </c>
      <c r="B38" s="35" t="s">
        <v>77</v>
      </c>
      <c r="C38" s="55" t="s">
        <v>78</v>
      </c>
    </row>
    <row r="39" customFormat="false" ht="12.4" hidden="false" customHeight="true" outlineLevel="0" collapsed="false">
      <c r="A39" s="1" t="s">
        <v>79</v>
      </c>
      <c r="B39" s="35" t="s">
        <v>80</v>
      </c>
    </row>
    <row r="40" customFormat="false" ht="12.4" hidden="false" customHeight="true" outlineLevel="0" collapsed="false">
      <c r="A40" s="1" t="s">
        <v>81</v>
      </c>
      <c r="B40" s="35" t="s">
        <v>82</v>
      </c>
      <c r="D40" s="25"/>
    </row>
    <row r="41" customFormat="false" ht="12.4" hidden="false" customHeight="true" outlineLevel="0" collapsed="false">
      <c r="A41" s="1" t="s">
        <v>83</v>
      </c>
      <c r="B41" s="35" t="s">
        <v>84</v>
      </c>
      <c r="D41" s="25"/>
      <c r="F41" s="56"/>
    </row>
    <row r="42" customFormat="false" ht="2.85" hidden="false" customHeight="true" outlineLevel="0" collapsed="false">
      <c r="A42" s="57"/>
      <c r="B42" s="57"/>
      <c r="C42" s="58"/>
      <c r="D42" s="59"/>
      <c r="E42" s="57"/>
      <c r="F42" s="58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</row>
    <row r="43" s="13" customFormat="true" ht="35.8" hidden="false" customHeight="true" outlineLevel="0" collapsed="false">
      <c r="A43" s="53" t="s">
        <v>85</v>
      </c>
      <c r="B43" s="54"/>
      <c r="C43" s="60"/>
      <c r="D43" s="61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AMF43" s="3"/>
      <c r="AMG43" s="3"/>
      <c r="AMH43" s="3"/>
      <c r="AMI43" s="3"/>
      <c r="AMJ43" s="3"/>
    </row>
    <row r="44" s="27" customFormat="true" ht="2.85" hidden="false" customHeight="true" outlineLevel="0" collapsed="false">
      <c r="A44" s="30"/>
      <c r="B44" s="30"/>
      <c r="C44" s="30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62"/>
      <c r="AMD44" s="33"/>
      <c r="AME44" s="63"/>
      <c r="AMF44" s="3"/>
      <c r="AMG44" s="3"/>
      <c r="AMH44" s="3"/>
      <c r="AMI44" s="3"/>
      <c r="AMJ44" s="3"/>
    </row>
    <row r="45" s="27" customFormat="true" ht="16.9" hidden="false" customHeight="true" outlineLevel="0" collapsed="false">
      <c r="A45" s="64" t="s">
        <v>86</v>
      </c>
      <c r="D45" s="65"/>
      <c r="AME45" s="33"/>
      <c r="AMF45" s="3"/>
      <c r="AMG45" s="3"/>
      <c r="AMH45" s="3"/>
      <c r="AMI45" s="3"/>
      <c r="AMJ45" s="3"/>
    </row>
    <row r="46" s="27" customFormat="true" ht="16.9" hidden="false" customHeight="true" outlineLevel="0" collapsed="false">
      <c r="A46" s="66" t="s">
        <v>87</v>
      </c>
      <c r="D46" s="65"/>
      <c r="AME46" s="33"/>
      <c r="AMF46" s="3"/>
      <c r="AMG46" s="3"/>
      <c r="AMH46" s="3"/>
      <c r="AMI46" s="3"/>
      <c r="AMJ46" s="3"/>
    </row>
    <row r="47" customFormat="false" ht="16.9" hidden="false" customHeight="true" outlineLevel="0" collapsed="false">
      <c r="A47" s="67" t="s">
        <v>88</v>
      </c>
      <c r="B47" s="68" t="n">
        <f aca="false">B49+B50</f>
        <v>57</v>
      </c>
      <c r="C47" s="69" t="s">
        <v>89</v>
      </c>
      <c r="D47" s="20"/>
    </row>
    <row r="48" s="73" customFormat="true" ht="16.9" hidden="false" customHeight="true" outlineLevel="0" collapsed="false">
      <c r="A48" s="70" t="s">
        <v>90</v>
      </c>
      <c r="B48" s="71" t="s">
        <v>91</v>
      </c>
      <c r="C48" s="71" t="s">
        <v>92</v>
      </c>
      <c r="D48" s="72" t="s">
        <v>93</v>
      </c>
      <c r="F48" s="71"/>
      <c r="AME48" s="2"/>
      <c r="AMF48" s="3"/>
      <c r="AMG48" s="3"/>
      <c r="AMH48" s="3"/>
      <c r="AMI48" s="3"/>
      <c r="AMJ48" s="3"/>
    </row>
    <row r="49" customFormat="false" ht="16.9" hidden="false" customHeight="true" outlineLevel="0" collapsed="false">
      <c r="A49" s="18" t="s">
        <v>94</v>
      </c>
      <c r="B49" s="1" t="n">
        <v>36</v>
      </c>
      <c r="C49" s="1" t="n">
        <v>3.27</v>
      </c>
      <c r="D49" s="15" t="s">
        <v>95</v>
      </c>
      <c r="F49" s="15"/>
    </row>
    <row r="50" customFormat="false" ht="16.9" hidden="false" customHeight="true" outlineLevel="0" collapsed="false">
      <c r="A50" s="18" t="s">
        <v>96</v>
      </c>
      <c r="B50" s="1" t="n">
        <v>21</v>
      </c>
      <c r="C50" s="1" t="n">
        <v>2.6</v>
      </c>
      <c r="D50" s="15" t="s">
        <v>97</v>
      </c>
      <c r="F50" s="15"/>
    </row>
    <row r="51" customFormat="false" ht="16.9" hidden="false" customHeight="true" outlineLevel="0" collapsed="false">
      <c r="A51" s="18" t="s">
        <v>98</v>
      </c>
      <c r="C51" s="74" t="n">
        <f aca="false">(B49*C49+B50*C50)/(B49+B50)</f>
        <v>3.02315789473684</v>
      </c>
    </row>
    <row r="52" customFormat="false" ht="16.9" hidden="false" customHeight="true" outlineLevel="0" collapsed="false">
      <c r="A52" s="1" t="s">
        <v>99</v>
      </c>
      <c r="B52" s="75" t="n">
        <f aca="false">($B$5*$B$7/C51)*$B$3/12+($D$12*B49+$D$13*B50)/(B49+B50)/$B$20+$D$14/$B$20</f>
        <v>54.6012584728105</v>
      </c>
      <c r="C52" s="15" t="s">
        <v>47</v>
      </c>
    </row>
    <row r="53" s="27" customFormat="true" ht="2.85" hidden="false" customHeight="true" outlineLevel="0" collapsed="false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AME53" s="33"/>
      <c r="AMF53" s="3"/>
      <c r="AMG53" s="3"/>
      <c r="AMH53" s="3"/>
      <c r="AMI53" s="3"/>
      <c r="AMJ53" s="3"/>
    </row>
    <row r="54" customFormat="false" ht="16.9" hidden="false" customHeight="true" outlineLevel="0" collapsed="false">
      <c r="A54" s="67" t="s">
        <v>100</v>
      </c>
      <c r="B54" s="68" t="n">
        <f aca="false">B56+B57</f>
        <v>74</v>
      </c>
      <c r="C54" s="69" t="s">
        <v>89</v>
      </c>
      <c r="D54" s="20"/>
    </row>
    <row r="55" s="73" customFormat="true" ht="16.9" hidden="false" customHeight="true" outlineLevel="0" collapsed="false">
      <c r="A55" s="70" t="s">
        <v>101</v>
      </c>
      <c r="B55" s="71" t="s">
        <v>91</v>
      </c>
      <c r="C55" s="71" t="s">
        <v>92</v>
      </c>
      <c r="D55" s="72" t="s">
        <v>93</v>
      </c>
      <c r="F55" s="71"/>
      <c r="AME55" s="2"/>
      <c r="AMF55" s="3"/>
      <c r="AMG55" s="3"/>
      <c r="AMH55" s="3"/>
      <c r="AMI55" s="3"/>
      <c r="AMJ55" s="3"/>
    </row>
    <row r="56" customFormat="false" ht="16.9" hidden="false" customHeight="true" outlineLevel="0" collapsed="false">
      <c r="A56" s="18" t="s">
        <v>94</v>
      </c>
      <c r="B56" s="1" t="n">
        <v>56</v>
      </c>
      <c r="C56" s="1" t="n">
        <v>3.75</v>
      </c>
      <c r="D56" s="15" t="s">
        <v>102</v>
      </c>
      <c r="F56" s="15"/>
    </row>
    <row r="57" customFormat="false" ht="16.9" hidden="false" customHeight="true" outlineLevel="0" collapsed="false">
      <c r="A57" s="18" t="s">
        <v>103</v>
      </c>
      <c r="B57" s="1" t="n">
        <v>18</v>
      </c>
      <c r="C57" s="1" t="n">
        <v>2.74</v>
      </c>
      <c r="D57" s="15" t="s">
        <v>104</v>
      </c>
      <c r="F57" s="15"/>
    </row>
    <row r="58" customFormat="false" ht="16.9" hidden="false" customHeight="true" outlineLevel="0" collapsed="false">
      <c r="A58" s="18" t="s">
        <v>98</v>
      </c>
      <c r="C58" s="74" t="n">
        <f aca="false">(B56*C56+B57*C57)/(B56+B57)</f>
        <v>3.50432432432432</v>
      </c>
    </row>
    <row r="59" customFormat="false" ht="16.9" hidden="false" customHeight="true" outlineLevel="0" collapsed="false">
      <c r="A59" s="1" t="s">
        <v>99</v>
      </c>
      <c r="B59" s="75" t="n">
        <f aca="false">($B$5*$B$7/C58)*$B$3/12+($D$12*B56+$D$13*B57)/(B56+B57)/$B$20+$D$14/$B$20</f>
        <v>51.2510607624675</v>
      </c>
      <c r="C59" s="15" t="s">
        <v>47</v>
      </c>
    </row>
    <row r="60" s="27" customFormat="true" ht="2.85" hidden="false" customHeight="true" outlineLevel="0" collapsed="false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AME60" s="33"/>
      <c r="AMF60" s="3"/>
      <c r="AMG60" s="3"/>
      <c r="AMH60" s="3"/>
      <c r="AMI60" s="3"/>
      <c r="AMJ60" s="3"/>
    </row>
    <row r="61" customFormat="false" ht="16.9" hidden="false" customHeight="true" outlineLevel="0" collapsed="false">
      <c r="A61" s="67" t="s">
        <v>105</v>
      </c>
      <c r="B61" s="68" t="n">
        <f aca="false">B63+B64</f>
        <v>53</v>
      </c>
      <c r="C61" s="69" t="s">
        <v>89</v>
      </c>
      <c r="D61" s="20"/>
    </row>
    <row r="62" s="73" customFormat="true" ht="16.9" hidden="false" customHeight="true" outlineLevel="0" collapsed="false">
      <c r="A62" s="70" t="s">
        <v>35</v>
      </c>
      <c r="B62" s="71" t="s">
        <v>91</v>
      </c>
      <c r="C62" s="71" t="s">
        <v>92</v>
      </c>
      <c r="D62" s="72" t="s">
        <v>93</v>
      </c>
      <c r="F62" s="71"/>
      <c r="AME62" s="2"/>
      <c r="AMF62" s="3"/>
      <c r="AMG62" s="3"/>
      <c r="AMH62" s="3"/>
      <c r="AMI62" s="3"/>
      <c r="AMJ62" s="3"/>
    </row>
    <row r="63" s="73" customFormat="true" ht="16.9" hidden="false" customHeight="true" outlineLevel="0" collapsed="false">
      <c r="A63" s="18" t="s">
        <v>94</v>
      </c>
      <c r="B63" s="1" t="n">
        <v>12</v>
      </c>
      <c r="C63" s="1" t="n">
        <v>4.06</v>
      </c>
      <c r="D63" s="15" t="s">
        <v>106</v>
      </c>
      <c r="E63" s="1"/>
      <c r="F63" s="15"/>
      <c r="AME63" s="2"/>
      <c r="AMF63" s="3"/>
      <c r="AMG63" s="3"/>
      <c r="AMH63" s="3"/>
      <c r="AMI63" s="3"/>
      <c r="AMJ63" s="3"/>
    </row>
    <row r="64" customFormat="false" ht="16.9" hidden="false" customHeight="true" outlineLevel="0" collapsed="false">
      <c r="A64" s="18" t="s">
        <v>103</v>
      </c>
      <c r="B64" s="1" t="n">
        <v>41</v>
      </c>
      <c r="C64" s="1" t="n">
        <v>3.16</v>
      </c>
      <c r="D64" s="15" t="s">
        <v>107</v>
      </c>
      <c r="F64" s="15"/>
    </row>
    <row r="65" customFormat="false" ht="16.9" hidden="false" customHeight="true" outlineLevel="0" collapsed="false">
      <c r="A65" s="18" t="s">
        <v>98</v>
      </c>
      <c r="C65" s="74" t="n">
        <f aca="false">(B64*C64+B63*C63)/(B64+B63)</f>
        <v>3.36377358490566</v>
      </c>
      <c r="D65" s="15"/>
    </row>
    <row r="66" customFormat="false" ht="16.9" hidden="false" customHeight="true" outlineLevel="0" collapsed="false">
      <c r="A66" s="1" t="s">
        <v>99</v>
      </c>
      <c r="B66" s="75" t="n">
        <f aca="false">($B$5*$B$7/C65)*$B$3/12+($D$12*B63+$D$13*B64)/(B63+B64)/$B$20+$D$14/$B$20</f>
        <v>50.0404320697048</v>
      </c>
      <c r="C66" s="15" t="s">
        <v>47</v>
      </c>
    </row>
    <row r="67" customFormat="false" ht="2.85" hidden="false" customHeight="true" outlineLevel="0" collapsed="false">
      <c r="A67" s="57"/>
      <c r="B67" s="57"/>
      <c r="C67" s="58"/>
      <c r="D67" s="59"/>
      <c r="E67" s="57"/>
      <c r="F67" s="58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</row>
    <row r="68" s="13" customFormat="true" ht="35.8" hidden="false" customHeight="true" outlineLevel="0" collapsed="false">
      <c r="A68" s="53" t="s">
        <v>108</v>
      </c>
      <c r="B68" s="54"/>
      <c r="C68" s="60"/>
      <c r="D68" s="61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AMF68" s="3"/>
      <c r="AMG68" s="3"/>
      <c r="AMH68" s="3"/>
      <c r="AMI68" s="3"/>
      <c r="AMJ68" s="3"/>
    </row>
    <row r="69" s="27" customFormat="true" ht="2.85" hidden="false" customHeight="true" outlineLevel="0" collapsed="false">
      <c r="A69" s="30"/>
      <c r="B69" s="30"/>
      <c r="C69" s="30"/>
      <c r="D69" s="32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AME69" s="33"/>
      <c r="AMF69" s="3"/>
      <c r="AMG69" s="3"/>
      <c r="AMH69" s="3"/>
      <c r="AMI69" s="3"/>
      <c r="AMJ69" s="3"/>
    </row>
    <row r="70" customFormat="false" ht="16.9" hidden="false" customHeight="true" outlineLevel="0" collapsed="false">
      <c r="A70" s="67" t="s">
        <v>109</v>
      </c>
      <c r="B70" s="68" t="n">
        <v>26</v>
      </c>
      <c r="C70" s="69" t="s">
        <v>89</v>
      </c>
    </row>
    <row r="71" customFormat="false" ht="16.9" hidden="false" customHeight="true" outlineLevel="0" collapsed="false">
      <c r="A71" s="76" t="s">
        <v>110</v>
      </c>
      <c r="B71" s="77" t="s">
        <v>111</v>
      </c>
      <c r="C71" s="77"/>
      <c r="D71" s="77"/>
      <c r="E71" s="77"/>
      <c r="F71" s="77"/>
      <c r="G71" s="77"/>
      <c r="H71" s="77"/>
      <c r="I71" s="77"/>
      <c r="J71" s="77"/>
      <c r="K71" s="78" t="s">
        <v>112</v>
      </c>
      <c r="L71" s="78"/>
      <c r="M71" s="78"/>
      <c r="N71" s="78"/>
      <c r="O71" s="78"/>
      <c r="P71" s="78"/>
      <c r="Q71" s="78"/>
      <c r="R71" s="78"/>
      <c r="S71" s="78"/>
      <c r="AMB71" s="2"/>
      <c r="AMC71" s="23"/>
      <c r="AMD71" s="23"/>
      <c r="AME71" s="23"/>
    </row>
    <row r="72" s="82" customFormat="true" ht="16.9" hidden="false" customHeight="true" outlineLevel="0" collapsed="false">
      <c r="A72" s="76" t="s">
        <v>113</v>
      </c>
      <c r="B72" s="79" t="s">
        <v>114</v>
      </c>
      <c r="C72" s="79" t="s">
        <v>115</v>
      </c>
      <c r="D72" s="79" t="s">
        <v>116</v>
      </c>
      <c r="E72" s="79" t="s">
        <v>117</v>
      </c>
      <c r="F72" s="80" t="s">
        <v>118</v>
      </c>
      <c r="G72" s="79" t="s">
        <v>119</v>
      </c>
      <c r="H72" s="79" t="s">
        <v>120</v>
      </c>
      <c r="I72" s="79"/>
      <c r="J72" s="79"/>
      <c r="K72" s="79" t="s">
        <v>121</v>
      </c>
      <c r="L72" s="79"/>
      <c r="M72" s="79" t="s">
        <v>122</v>
      </c>
      <c r="N72" s="79" t="s">
        <v>123</v>
      </c>
      <c r="O72" s="79" t="s">
        <v>122</v>
      </c>
      <c r="P72" s="79" t="s">
        <v>123</v>
      </c>
      <c r="Q72" s="79" t="s">
        <v>124</v>
      </c>
      <c r="R72" s="79" t="s">
        <v>125</v>
      </c>
      <c r="S72" s="81"/>
      <c r="AMC72" s="2"/>
      <c r="AMD72" s="23"/>
      <c r="AME72" s="23"/>
      <c r="AMF72" s="3"/>
      <c r="AMG72" s="3"/>
      <c r="AMH72" s="3"/>
      <c r="AMI72" s="3"/>
      <c r="AMJ72" s="3"/>
    </row>
    <row r="73" s="84" customFormat="true" ht="16.9" hidden="false" customHeight="true" outlineLevel="0" collapsed="false">
      <c r="A73" s="76"/>
      <c r="B73" s="83"/>
      <c r="C73" s="83"/>
      <c r="D73" s="83" t="s">
        <v>126</v>
      </c>
      <c r="E73" s="83" t="s">
        <v>127</v>
      </c>
      <c r="F73" s="83" t="s">
        <v>17</v>
      </c>
      <c r="G73" s="83" t="s">
        <v>128</v>
      </c>
      <c r="H73" s="83"/>
      <c r="I73" s="83"/>
      <c r="J73" s="83"/>
      <c r="K73" s="83" t="s">
        <v>11</v>
      </c>
      <c r="L73" s="83"/>
      <c r="M73" s="83" t="s">
        <v>129</v>
      </c>
      <c r="N73" s="83" t="s">
        <v>129</v>
      </c>
      <c r="O73" s="83" t="s">
        <v>130</v>
      </c>
      <c r="P73" s="83" t="s">
        <v>130</v>
      </c>
      <c r="Q73" s="83" t="s">
        <v>47</v>
      </c>
      <c r="R73" s="83" t="s">
        <v>47</v>
      </c>
      <c r="AMC73" s="2"/>
      <c r="AMD73" s="23"/>
      <c r="AME73" s="23"/>
      <c r="AMF73" s="3"/>
      <c r="AMG73" s="3"/>
      <c r="AMH73" s="3"/>
      <c r="AMI73" s="3"/>
      <c r="AMJ73" s="3"/>
    </row>
    <row r="74" customFormat="false" ht="16.9" hidden="false" customHeight="true" outlineLevel="0" collapsed="false">
      <c r="A74" s="85" t="s">
        <v>131</v>
      </c>
      <c r="B74" s="36" t="s">
        <v>80</v>
      </c>
      <c r="C74" s="36" t="s">
        <v>66</v>
      </c>
      <c r="D74" s="35" t="n">
        <v>6</v>
      </c>
      <c r="E74" s="35" t="n">
        <v>208</v>
      </c>
      <c r="F74" s="35" t="n">
        <v>38</v>
      </c>
      <c r="G74" s="35" t="n">
        <v>9</v>
      </c>
      <c r="H74" s="35" t="n">
        <v>4.3</v>
      </c>
      <c r="I74" s="35"/>
      <c r="J74" s="35"/>
      <c r="K74" s="25" t="n">
        <f aca="false">E74/D74</f>
        <v>34.6666666666667</v>
      </c>
      <c r="L74" s="25"/>
      <c r="M74" s="86" t="n">
        <f aca="false">E74*F74</f>
        <v>7904</v>
      </c>
      <c r="N74" s="86" t="n">
        <f aca="false">M74/H74</f>
        <v>1838.13953488372</v>
      </c>
      <c r="O74" s="86" t="n">
        <f aca="false">M74/D74</f>
        <v>1317.33333333333</v>
      </c>
      <c r="P74" s="86" t="n">
        <f aca="false">N74/D74</f>
        <v>306.356589147287</v>
      </c>
      <c r="Q74" s="87" t="n">
        <f aca="false">P74*$B$3/12</f>
        <v>7.028330749354</v>
      </c>
      <c r="R74" s="88" t="n">
        <f aca="false">Q74+($D$12+$D$14)/D74</f>
        <v>24.1949974160207</v>
      </c>
      <c r="AMC74" s="2"/>
      <c r="AMD74" s="23"/>
      <c r="AME74" s="23"/>
    </row>
    <row r="75" customFormat="false" ht="16.9" hidden="false" customHeight="true" outlineLevel="0" collapsed="false">
      <c r="A75" s="85" t="s">
        <v>132</v>
      </c>
      <c r="B75" s="36" t="s">
        <v>80</v>
      </c>
      <c r="C75" s="36" t="s">
        <v>133</v>
      </c>
      <c r="D75" s="35" t="n">
        <v>4</v>
      </c>
      <c r="E75" s="35" t="n">
        <v>143</v>
      </c>
      <c r="F75" s="35" t="n">
        <v>41</v>
      </c>
      <c r="G75" s="35" t="n">
        <v>6</v>
      </c>
      <c r="H75" s="35" t="n">
        <v>3.8</v>
      </c>
      <c r="I75" s="35"/>
      <c r="J75" s="35"/>
      <c r="K75" s="25" t="n">
        <f aca="false">E75/D75</f>
        <v>35.75</v>
      </c>
      <c r="L75" s="25"/>
      <c r="M75" s="86" t="n">
        <f aca="false">E75*F75</f>
        <v>5863</v>
      </c>
      <c r="N75" s="86" t="n">
        <f aca="false">M75/H75</f>
        <v>1542.89473684211</v>
      </c>
      <c r="O75" s="86" t="n">
        <f aca="false">M75/D75</f>
        <v>1465.75</v>
      </c>
      <c r="P75" s="86" t="n">
        <f aca="false">N75/D75</f>
        <v>385.723684210526</v>
      </c>
      <c r="Q75" s="87" t="n">
        <f aca="false">P75*$B$3/12</f>
        <v>8.84914418859649</v>
      </c>
      <c r="R75" s="88" t="n">
        <f aca="false">Q75+($D$12+$D$14)/D75</f>
        <v>34.5991441885965</v>
      </c>
      <c r="AMC75" s="2"/>
      <c r="AMD75" s="23"/>
      <c r="AME75" s="23"/>
    </row>
    <row r="76" customFormat="false" ht="16.9" hidden="false" customHeight="true" outlineLevel="0" collapsed="false">
      <c r="A76" s="85" t="s">
        <v>134</v>
      </c>
      <c r="B76" s="36" t="s">
        <v>80</v>
      </c>
      <c r="C76" s="36" t="s">
        <v>66</v>
      </c>
      <c r="D76" s="35" t="n">
        <v>2</v>
      </c>
      <c r="E76" s="35" t="n">
        <v>238</v>
      </c>
      <c r="F76" s="35" t="n">
        <v>52</v>
      </c>
      <c r="G76" s="35" t="n">
        <v>13</v>
      </c>
      <c r="H76" s="35" t="n">
        <v>5</v>
      </c>
      <c r="I76" s="35"/>
      <c r="J76" s="35"/>
      <c r="K76" s="25" t="n">
        <f aca="false">E76/D76</f>
        <v>119</v>
      </c>
      <c r="L76" s="25"/>
      <c r="M76" s="86" t="n">
        <f aca="false">E76*F76</f>
        <v>12376</v>
      </c>
      <c r="N76" s="86" t="n">
        <f aca="false">M76/H76</f>
        <v>2475.2</v>
      </c>
      <c r="O76" s="86" t="n">
        <f aca="false">M76/D76</f>
        <v>6188</v>
      </c>
      <c r="P76" s="86" t="n">
        <f aca="false">N76/D76</f>
        <v>1237.6</v>
      </c>
      <c r="Q76" s="87" t="n">
        <f aca="false">P76*$B$3/12</f>
        <v>28.3926066666667</v>
      </c>
      <c r="R76" s="88" t="n">
        <f aca="false">Q76+($D$12+$D$14)/D76</f>
        <v>79.8926066666667</v>
      </c>
      <c r="AMC76" s="2"/>
      <c r="AMD76" s="23"/>
      <c r="AME76" s="23"/>
    </row>
    <row r="77" customFormat="false" ht="16.9" hidden="false" customHeight="true" outlineLevel="0" collapsed="false">
      <c r="A77" s="85" t="s">
        <v>135</v>
      </c>
      <c r="B77" s="36" t="s">
        <v>80</v>
      </c>
      <c r="C77" s="36" t="s">
        <v>66</v>
      </c>
      <c r="D77" s="35" t="n">
        <v>4</v>
      </c>
      <c r="E77" s="35" t="n">
        <v>153</v>
      </c>
      <c r="F77" s="35" t="n">
        <v>61</v>
      </c>
      <c r="G77" s="35" t="n">
        <v>6</v>
      </c>
      <c r="H77" s="35" t="n">
        <v>3.8</v>
      </c>
      <c r="I77" s="35"/>
      <c r="J77" s="35"/>
      <c r="K77" s="25" t="n">
        <f aca="false">E77/D77</f>
        <v>38.25</v>
      </c>
      <c r="L77" s="25"/>
      <c r="M77" s="86" t="n">
        <f aca="false">E77*F77</f>
        <v>9333</v>
      </c>
      <c r="N77" s="86" t="n">
        <f aca="false">M77/H77</f>
        <v>2456.05263157895</v>
      </c>
      <c r="O77" s="86" t="n">
        <f aca="false">M77/D77</f>
        <v>2333.25</v>
      </c>
      <c r="P77" s="86" t="n">
        <f aca="false">N77/D77</f>
        <v>614.013157894737</v>
      </c>
      <c r="Q77" s="87" t="n">
        <f aca="false">P77*$B$3/12</f>
        <v>14.0864851973684</v>
      </c>
      <c r="R77" s="88" t="n">
        <f aca="false">Q77+($D$12+$D$14)/D77</f>
        <v>39.8364851973684</v>
      </c>
      <c r="AMC77" s="2"/>
      <c r="AMD77" s="23"/>
      <c r="AME77" s="23"/>
    </row>
    <row r="78" customFormat="false" ht="16.9" hidden="false" customHeight="true" outlineLevel="0" collapsed="false">
      <c r="A78" s="85" t="s">
        <v>136</v>
      </c>
      <c r="B78" s="36" t="s">
        <v>80</v>
      </c>
      <c r="C78" s="36" t="s">
        <v>137</v>
      </c>
      <c r="D78" s="35" t="n">
        <v>4</v>
      </c>
      <c r="E78" s="35" t="n">
        <v>320</v>
      </c>
      <c r="F78" s="35" t="n">
        <v>70</v>
      </c>
      <c r="G78" s="35" t="n">
        <v>6</v>
      </c>
      <c r="H78" s="35" t="n">
        <v>4.3</v>
      </c>
      <c r="I78" s="35"/>
      <c r="J78" s="35"/>
      <c r="K78" s="25" t="n">
        <f aca="false">E78/D78</f>
        <v>80</v>
      </c>
      <c r="L78" s="25"/>
      <c r="M78" s="86" t="n">
        <f aca="false">E78*F78</f>
        <v>22400</v>
      </c>
      <c r="N78" s="86" t="n">
        <f aca="false">M78/H78</f>
        <v>5209.3023255814</v>
      </c>
      <c r="O78" s="86" t="n">
        <f aca="false">M78/D78</f>
        <v>5600</v>
      </c>
      <c r="P78" s="86" t="n">
        <f aca="false">N78/D78</f>
        <v>1302.32558139535</v>
      </c>
      <c r="Q78" s="87" t="n">
        <f aca="false">P78*$B$3/12</f>
        <v>29.877519379845</v>
      </c>
      <c r="R78" s="88" t="n">
        <f aca="false">Q78+($D$12+$D$14)/D78</f>
        <v>55.627519379845</v>
      </c>
      <c r="AMC78" s="2"/>
      <c r="AMD78" s="23"/>
      <c r="AME78" s="23"/>
    </row>
    <row r="79" customFormat="false" ht="16.9" hidden="false" customHeight="true" outlineLevel="0" collapsed="false">
      <c r="A79" s="85" t="s">
        <v>138</v>
      </c>
      <c r="B79" s="36" t="s">
        <v>80</v>
      </c>
      <c r="C79" s="36" t="s">
        <v>66</v>
      </c>
      <c r="D79" s="35" t="n">
        <v>2</v>
      </c>
      <c r="E79" s="35" t="n">
        <v>166</v>
      </c>
      <c r="F79" s="35" t="n">
        <v>78</v>
      </c>
      <c r="G79" s="35" t="n">
        <v>9.2</v>
      </c>
      <c r="H79" s="35" t="n">
        <v>4.1</v>
      </c>
      <c r="I79" s="35"/>
      <c r="J79" s="35"/>
      <c r="K79" s="25" t="n">
        <f aca="false">E79/D79</f>
        <v>83</v>
      </c>
      <c r="L79" s="25"/>
      <c r="M79" s="86" t="n">
        <f aca="false">E79*F79</f>
        <v>12948</v>
      </c>
      <c r="N79" s="86" t="n">
        <f aca="false">M79/H79</f>
        <v>3158.04878048781</v>
      </c>
      <c r="O79" s="86" t="n">
        <f aca="false">M79/D79</f>
        <v>6474</v>
      </c>
      <c r="P79" s="86" t="n">
        <f aca="false">N79/D79</f>
        <v>1579.0243902439</v>
      </c>
      <c r="Q79" s="87" t="n">
        <f aca="false">P79*$B$3/12</f>
        <v>36.2254512195122</v>
      </c>
      <c r="R79" s="88" t="n">
        <f aca="false">Q79+($D$12+$D$14)/D79</f>
        <v>87.7254512195122</v>
      </c>
      <c r="AMC79" s="2"/>
      <c r="AMD79" s="23"/>
      <c r="AME79" s="23"/>
    </row>
    <row r="80" customFormat="false" ht="16.9" hidden="false" customHeight="true" outlineLevel="0" collapsed="false">
      <c r="A80" s="85" t="s">
        <v>139</v>
      </c>
      <c r="B80" s="36" t="s">
        <v>80</v>
      </c>
      <c r="C80" s="36" t="s">
        <v>66</v>
      </c>
      <c r="D80" s="35" t="n">
        <v>5</v>
      </c>
      <c r="E80" s="35" t="n">
        <v>320</v>
      </c>
      <c r="F80" s="35" t="n">
        <v>80</v>
      </c>
      <c r="G80" s="35" t="n">
        <v>12</v>
      </c>
      <c r="H80" s="35" t="n">
        <v>5.1</v>
      </c>
      <c r="I80" s="35"/>
      <c r="J80" s="35"/>
      <c r="K80" s="25" t="n">
        <f aca="false">E80/D80</f>
        <v>64</v>
      </c>
      <c r="L80" s="25"/>
      <c r="M80" s="86" t="n">
        <f aca="false">E80*F80</f>
        <v>25600</v>
      </c>
      <c r="N80" s="86" t="n">
        <f aca="false">M80/H80</f>
        <v>5019.60784313726</v>
      </c>
      <c r="O80" s="86" t="n">
        <f aca="false">M80/D80</f>
        <v>5120</v>
      </c>
      <c r="P80" s="86" t="n">
        <f aca="false">N80/D80</f>
        <v>1003.92156862745</v>
      </c>
      <c r="Q80" s="87" t="n">
        <f aca="false">P80*$B$3/12</f>
        <v>23.0316339869281</v>
      </c>
      <c r="R80" s="88" t="n">
        <f aca="false">Q80+($D$12+$D$14)/D80</f>
        <v>43.6316339869281</v>
      </c>
      <c r="AMC80" s="2"/>
      <c r="AMD80" s="23"/>
      <c r="AME80" s="23"/>
    </row>
    <row r="81" customFormat="false" ht="16.9" hidden="false" customHeight="true" outlineLevel="0" collapsed="false">
      <c r="A81" s="85" t="s">
        <v>140</v>
      </c>
      <c r="B81" s="36" t="s">
        <v>80</v>
      </c>
      <c r="C81" s="36" t="s">
        <v>75</v>
      </c>
      <c r="D81" s="35" t="n">
        <v>5</v>
      </c>
      <c r="E81" s="35" t="n">
        <v>204</v>
      </c>
      <c r="F81" s="35" t="n">
        <v>88</v>
      </c>
      <c r="G81" s="35" t="n">
        <v>19</v>
      </c>
      <c r="H81" s="35" t="n">
        <v>3.9</v>
      </c>
      <c r="I81" s="35"/>
      <c r="J81" s="35"/>
      <c r="K81" s="25" t="n">
        <f aca="false">E81/D81</f>
        <v>40.8</v>
      </c>
      <c r="L81" s="25"/>
      <c r="M81" s="86" t="n">
        <f aca="false">E81*F81</f>
        <v>17952</v>
      </c>
      <c r="N81" s="86" t="n">
        <f aca="false">M81/H81</f>
        <v>4603.07692307692</v>
      </c>
      <c r="O81" s="86" t="n">
        <f aca="false">M81/D81</f>
        <v>3590.4</v>
      </c>
      <c r="P81" s="86" t="n">
        <f aca="false">N81/D81</f>
        <v>920.615384615385</v>
      </c>
      <c r="Q81" s="87" t="n">
        <f aca="false">P81*$B$3/12</f>
        <v>21.1204512820513</v>
      </c>
      <c r="R81" s="88" t="n">
        <f aca="false">Q81+($D$12+$D$14)/D81</f>
        <v>41.7204512820513</v>
      </c>
      <c r="AMC81" s="2"/>
      <c r="AMD81" s="23"/>
      <c r="AME81" s="23"/>
    </row>
    <row r="82" customFormat="false" ht="16.9" hidden="false" customHeight="true" outlineLevel="0" collapsed="false">
      <c r="A82" s="85" t="s">
        <v>141</v>
      </c>
      <c r="B82" s="36" t="s">
        <v>80</v>
      </c>
      <c r="C82" s="36" t="s">
        <v>133</v>
      </c>
      <c r="D82" s="35" t="n">
        <v>3</v>
      </c>
      <c r="E82" s="35" t="n">
        <v>180</v>
      </c>
      <c r="F82" s="35" t="n">
        <v>90</v>
      </c>
      <c r="G82" s="35" t="n">
        <v>8</v>
      </c>
      <c r="H82" s="35" t="n">
        <v>3.8</v>
      </c>
      <c r="I82" s="35"/>
      <c r="J82" s="35"/>
      <c r="K82" s="25" t="n">
        <f aca="false">E82/D82</f>
        <v>60</v>
      </c>
      <c r="L82" s="25"/>
      <c r="M82" s="86" t="n">
        <f aca="false">E82*F82</f>
        <v>16200</v>
      </c>
      <c r="N82" s="86" t="n">
        <f aca="false">M82/H82</f>
        <v>4263.15789473684</v>
      </c>
      <c r="O82" s="86" t="n">
        <f aca="false">M82/D82</f>
        <v>5400</v>
      </c>
      <c r="P82" s="86" t="n">
        <f aca="false">N82/D82</f>
        <v>1421.05263157895</v>
      </c>
      <c r="Q82" s="87" t="n">
        <f aca="false">P82*$B$3/12</f>
        <v>32.6013157894737</v>
      </c>
      <c r="R82" s="88" t="n">
        <f aca="false">Q82+($D$12+$D$14)/D82</f>
        <v>66.934649122807</v>
      </c>
      <c r="AMC82" s="2"/>
      <c r="AMD82" s="23"/>
      <c r="AME82" s="23"/>
    </row>
    <row r="83" customFormat="false" ht="16.9" hidden="false" customHeight="true" outlineLevel="0" collapsed="false">
      <c r="A83" s="85" t="s">
        <v>142</v>
      </c>
      <c r="B83" s="36" t="s">
        <v>80</v>
      </c>
      <c r="C83" s="36" t="s">
        <v>75</v>
      </c>
      <c r="D83" s="35" t="n">
        <v>2</v>
      </c>
      <c r="E83" s="35" t="n">
        <v>170</v>
      </c>
      <c r="F83" s="35" t="n">
        <v>96</v>
      </c>
      <c r="G83" s="35" t="n">
        <v>11</v>
      </c>
      <c r="H83" s="35" t="n">
        <v>3</v>
      </c>
      <c r="I83" s="35"/>
      <c r="J83" s="35"/>
      <c r="K83" s="25" t="n">
        <f aca="false">E83/D83</f>
        <v>85</v>
      </c>
      <c r="L83" s="25"/>
      <c r="M83" s="86" t="n">
        <f aca="false">E83*F83</f>
        <v>16320</v>
      </c>
      <c r="N83" s="86" t="n">
        <f aca="false">M83/H83</f>
        <v>5440</v>
      </c>
      <c r="O83" s="86" t="n">
        <f aca="false">M83/D83</f>
        <v>8160</v>
      </c>
      <c r="P83" s="86" t="n">
        <f aca="false">N83/D83</f>
        <v>2720</v>
      </c>
      <c r="Q83" s="87" t="n">
        <f aca="false">P83*$B$3/12</f>
        <v>62.4013333333333</v>
      </c>
      <c r="R83" s="88" t="n">
        <f aca="false">Q83+($D$12+$D$14)/D83</f>
        <v>113.901333333333</v>
      </c>
      <c r="AMC83" s="2"/>
      <c r="AMD83" s="23"/>
      <c r="AME83" s="23"/>
    </row>
    <row r="84" customFormat="false" ht="16.9" hidden="false" customHeight="true" outlineLevel="0" collapsed="false">
      <c r="A84" s="85" t="s">
        <v>143</v>
      </c>
      <c r="B84" s="36" t="s">
        <v>80</v>
      </c>
      <c r="C84" s="36" t="s">
        <v>66</v>
      </c>
      <c r="D84" s="35" t="n">
        <v>4</v>
      </c>
      <c r="E84" s="35" t="n">
        <v>120</v>
      </c>
      <c r="F84" s="35" t="n">
        <v>115</v>
      </c>
      <c r="G84" s="35" t="n">
        <v>11</v>
      </c>
      <c r="H84" s="35" t="n">
        <v>3</v>
      </c>
      <c r="I84" s="35"/>
      <c r="J84" s="35"/>
      <c r="K84" s="25" t="n">
        <f aca="false">E84/D84</f>
        <v>30</v>
      </c>
      <c r="L84" s="25"/>
      <c r="M84" s="86" t="n">
        <f aca="false">E84*F84</f>
        <v>13800</v>
      </c>
      <c r="N84" s="86" t="n">
        <f aca="false">M84/H84</f>
        <v>4600</v>
      </c>
      <c r="O84" s="86" t="n">
        <f aca="false">M84/D84</f>
        <v>3450</v>
      </c>
      <c r="P84" s="86" t="n">
        <f aca="false">N84/D84</f>
        <v>1150</v>
      </c>
      <c r="Q84" s="87" t="n">
        <f aca="false">P84*$B$3/12</f>
        <v>26.3829166666667</v>
      </c>
      <c r="R84" s="88" t="n">
        <f aca="false">Q84+($D$12+$D$14)/D84</f>
        <v>52.1329166666667</v>
      </c>
      <c r="AMC84" s="2"/>
      <c r="AMD84" s="23"/>
      <c r="AME84" s="23"/>
    </row>
    <row r="85" customFormat="false" ht="16.9" hidden="false" customHeight="true" outlineLevel="0" collapsed="false">
      <c r="A85" s="85" t="s">
        <v>144</v>
      </c>
      <c r="B85" s="36" t="s">
        <v>71</v>
      </c>
      <c r="C85" s="36" t="s">
        <v>66</v>
      </c>
      <c r="D85" s="35" t="n">
        <v>3</v>
      </c>
      <c r="E85" s="35" t="n">
        <v>129</v>
      </c>
      <c r="F85" s="35" t="n">
        <v>14.8</v>
      </c>
      <c r="G85" s="35" t="n">
        <v>8.4</v>
      </c>
      <c r="H85" s="35" t="n">
        <v>3.2</v>
      </c>
      <c r="I85" s="35"/>
      <c r="J85" s="35"/>
      <c r="K85" s="25" t="n">
        <f aca="false">E85/D85</f>
        <v>43</v>
      </c>
      <c r="L85" s="25"/>
      <c r="M85" s="86" t="n">
        <f aca="false">E85*F85</f>
        <v>1909.2</v>
      </c>
      <c r="N85" s="86" t="n">
        <f aca="false">M85/H85</f>
        <v>596.625</v>
      </c>
      <c r="O85" s="86" t="n">
        <f aca="false">M85/D85</f>
        <v>636.4</v>
      </c>
      <c r="P85" s="86" t="n">
        <f aca="false">N85/D85</f>
        <v>198.875</v>
      </c>
      <c r="Q85" s="87" t="n">
        <f aca="false">P85*$B$3/12</f>
        <v>4.56252395833333</v>
      </c>
      <c r="R85" s="88" t="n">
        <f aca="false">Q85+($D$13+$D$14)/D85</f>
        <v>33.729190625</v>
      </c>
      <c r="AMC85" s="2"/>
      <c r="AMD85" s="23"/>
      <c r="AME85" s="23"/>
    </row>
    <row r="86" customFormat="false" ht="16.9" hidden="false" customHeight="true" outlineLevel="0" collapsed="false">
      <c r="A86" s="85" t="s">
        <v>145</v>
      </c>
      <c r="B86" s="36" t="s">
        <v>71</v>
      </c>
      <c r="C86" s="36" t="s">
        <v>66</v>
      </c>
      <c r="D86" s="35" t="n">
        <v>3.5</v>
      </c>
      <c r="E86" s="35" t="n">
        <v>196</v>
      </c>
      <c r="F86" s="35" t="n">
        <v>43</v>
      </c>
      <c r="G86" s="35" t="n">
        <v>11</v>
      </c>
      <c r="H86" s="35" t="n">
        <v>3.8</v>
      </c>
      <c r="I86" s="35"/>
      <c r="J86" s="35"/>
      <c r="K86" s="25" t="n">
        <f aca="false">E86/D86</f>
        <v>56</v>
      </c>
      <c r="L86" s="25"/>
      <c r="M86" s="86" t="n">
        <f aca="false">E86*F86</f>
        <v>8428</v>
      </c>
      <c r="N86" s="86" t="n">
        <f aca="false">M86/H86</f>
        <v>2217.89473684211</v>
      </c>
      <c r="O86" s="86" t="n">
        <f aca="false">M86/D86</f>
        <v>2408</v>
      </c>
      <c r="P86" s="86" t="n">
        <f aca="false">N86/D86</f>
        <v>633.684210526316</v>
      </c>
      <c r="Q86" s="87" t="n">
        <f aca="false">P86*$B$3/12</f>
        <v>14.5377719298246</v>
      </c>
      <c r="R86" s="88" t="n">
        <f aca="false">Q86+($D$13+$D$14)/D86</f>
        <v>39.5377719298246</v>
      </c>
      <c r="AMC86" s="2"/>
      <c r="AMD86" s="23"/>
      <c r="AME86" s="23"/>
    </row>
    <row r="87" customFormat="false" ht="16.9" hidden="false" customHeight="true" outlineLevel="0" collapsed="false">
      <c r="A87" s="85" t="s">
        <v>146</v>
      </c>
      <c r="B87" s="36" t="s">
        <v>71</v>
      </c>
      <c r="C87" s="36" t="s">
        <v>66</v>
      </c>
      <c r="D87" s="35" t="n">
        <v>3</v>
      </c>
      <c r="E87" s="35" t="n">
        <v>161</v>
      </c>
      <c r="F87" s="35" t="n">
        <v>47</v>
      </c>
      <c r="G87" s="35" t="n">
        <v>9</v>
      </c>
      <c r="H87" s="35" t="n">
        <v>2.9</v>
      </c>
      <c r="I87" s="35"/>
      <c r="J87" s="35"/>
      <c r="K87" s="25" t="n">
        <f aca="false">E87/D87</f>
        <v>53.6666666666667</v>
      </c>
      <c r="L87" s="25"/>
      <c r="M87" s="86" t="n">
        <f aca="false">E87*F87</f>
        <v>7567</v>
      </c>
      <c r="N87" s="86" t="n">
        <f aca="false">M87/H87</f>
        <v>2609.31034482759</v>
      </c>
      <c r="O87" s="86" t="n">
        <f aca="false">M87/D87</f>
        <v>2522.33333333333</v>
      </c>
      <c r="P87" s="86" t="n">
        <f aca="false">N87/D87</f>
        <v>869.770114942529</v>
      </c>
      <c r="Q87" s="87" t="n">
        <f aca="false">P87*$B$3/12</f>
        <v>19.9539760536398</v>
      </c>
      <c r="R87" s="88" t="n">
        <f aca="false">Q87+($D$13+$D$14)/D87</f>
        <v>49.1206427203065</v>
      </c>
      <c r="AMC87" s="2"/>
      <c r="AMD87" s="23"/>
      <c r="AME87" s="23"/>
    </row>
    <row r="88" customFormat="false" ht="16.9" hidden="false" customHeight="true" outlineLevel="0" collapsed="false">
      <c r="A88" s="85" t="s">
        <v>147</v>
      </c>
      <c r="B88" s="36" t="s">
        <v>71</v>
      </c>
      <c r="C88" s="36" t="s">
        <v>66</v>
      </c>
      <c r="D88" s="35" t="n">
        <v>2</v>
      </c>
      <c r="E88" s="35" t="n">
        <v>145</v>
      </c>
      <c r="F88" s="35" t="n">
        <v>47.6</v>
      </c>
      <c r="G88" s="35" t="n">
        <v>8.4</v>
      </c>
      <c r="H88" s="35" t="n">
        <v>3.4</v>
      </c>
      <c r="I88" s="35"/>
      <c r="J88" s="35"/>
      <c r="K88" s="25" t="n">
        <f aca="false">E88/D88</f>
        <v>72.5</v>
      </c>
      <c r="L88" s="25"/>
      <c r="M88" s="86" t="n">
        <f aca="false">E88*F88</f>
        <v>6902</v>
      </c>
      <c r="N88" s="86" t="n">
        <f aca="false">M88/H88</f>
        <v>2030</v>
      </c>
      <c r="O88" s="86" t="n">
        <f aca="false">M88/D88</f>
        <v>3451</v>
      </c>
      <c r="P88" s="86" t="n">
        <f aca="false">N88/D88</f>
        <v>1015</v>
      </c>
      <c r="Q88" s="87" t="n">
        <f aca="false">P88*$B$3/12</f>
        <v>23.2857916666667</v>
      </c>
      <c r="R88" s="88" t="n">
        <f aca="false">Q88+($D$13+$D$14)/D88</f>
        <v>67.0357916666667</v>
      </c>
      <c r="AMC88" s="2"/>
      <c r="AMD88" s="23"/>
      <c r="AME88" s="23"/>
    </row>
    <row r="89" customFormat="false" ht="16.9" hidden="false" customHeight="true" outlineLevel="0" collapsed="false">
      <c r="A89" s="85" t="s">
        <v>148</v>
      </c>
      <c r="B89" s="36" t="s">
        <v>71</v>
      </c>
      <c r="C89" s="36" t="s">
        <v>66</v>
      </c>
      <c r="D89" s="35" t="n">
        <v>2</v>
      </c>
      <c r="E89" s="35" t="n">
        <v>108</v>
      </c>
      <c r="F89" s="35" t="n">
        <v>53</v>
      </c>
      <c r="G89" s="35" t="n">
        <v>8</v>
      </c>
      <c r="H89" s="35" t="n">
        <v>4.6</v>
      </c>
      <c r="I89" s="35"/>
      <c r="J89" s="35"/>
      <c r="K89" s="25" t="n">
        <f aca="false">E89/D89</f>
        <v>54</v>
      </c>
      <c r="L89" s="25"/>
      <c r="M89" s="86" t="n">
        <f aca="false">E89*F89</f>
        <v>5724</v>
      </c>
      <c r="N89" s="86" t="n">
        <f aca="false">M89/H89</f>
        <v>1244.34782608696</v>
      </c>
      <c r="O89" s="86" t="n">
        <f aca="false">M89/D89</f>
        <v>2862</v>
      </c>
      <c r="P89" s="86" t="n">
        <f aca="false">N89/D89</f>
        <v>622.173913043478</v>
      </c>
      <c r="Q89" s="87" t="n">
        <f aca="false">P89*$B$3/12</f>
        <v>14.2737065217391</v>
      </c>
      <c r="R89" s="88" t="n">
        <f aca="false">Q89+($D$13+$D$14)/D89</f>
        <v>58.0237065217391</v>
      </c>
      <c r="AMC89" s="2"/>
      <c r="AMD89" s="23"/>
      <c r="AME89" s="23"/>
    </row>
    <row r="90" customFormat="false" ht="16.9" hidden="false" customHeight="true" outlineLevel="0" collapsed="false">
      <c r="A90" s="85" t="s">
        <v>149</v>
      </c>
      <c r="B90" s="36" t="s">
        <v>71</v>
      </c>
      <c r="C90" s="36" t="s">
        <v>137</v>
      </c>
      <c r="D90" s="35" t="n">
        <v>3</v>
      </c>
      <c r="E90" s="35" t="n">
        <v>127</v>
      </c>
      <c r="F90" s="35" t="n">
        <v>55</v>
      </c>
      <c r="G90" s="35" t="n">
        <v>8</v>
      </c>
      <c r="H90" s="35" t="n">
        <v>3.2</v>
      </c>
      <c r="I90" s="35"/>
      <c r="J90" s="35"/>
      <c r="K90" s="25" t="n">
        <f aca="false">E90/D90</f>
        <v>42.3333333333333</v>
      </c>
      <c r="L90" s="25"/>
      <c r="M90" s="86" t="n">
        <f aca="false">E90*F90</f>
        <v>6985</v>
      </c>
      <c r="N90" s="86" t="n">
        <f aca="false">M90/H90</f>
        <v>2182.8125</v>
      </c>
      <c r="O90" s="86" t="n">
        <f aca="false">M90/D90</f>
        <v>2328.33333333333</v>
      </c>
      <c r="P90" s="86" t="n">
        <f aca="false">N90/D90</f>
        <v>727.604166666667</v>
      </c>
      <c r="Q90" s="87" t="n">
        <f aca="false">P90*$B$3/12</f>
        <v>16.6924522569444</v>
      </c>
      <c r="R90" s="88" t="n">
        <f aca="false">Q90+($D$13+$D$14)/D90</f>
        <v>45.8591189236111</v>
      </c>
      <c r="AMC90" s="2"/>
      <c r="AMD90" s="23"/>
      <c r="AME90" s="23"/>
    </row>
    <row r="91" customFormat="false" ht="16.9" hidden="false" customHeight="true" outlineLevel="0" collapsed="false">
      <c r="A91" s="85" t="s">
        <v>150</v>
      </c>
      <c r="B91" s="36" t="s">
        <v>71</v>
      </c>
      <c r="C91" s="36" t="s">
        <v>66</v>
      </c>
      <c r="D91" s="35" t="n">
        <v>4</v>
      </c>
      <c r="E91" s="35" t="n">
        <v>185</v>
      </c>
      <c r="F91" s="35" t="n">
        <v>58</v>
      </c>
      <c r="G91" s="35" t="n">
        <v>11</v>
      </c>
      <c r="H91" s="35" t="n">
        <v>3</v>
      </c>
      <c r="I91" s="35"/>
      <c r="J91" s="35"/>
      <c r="K91" s="25" t="n">
        <f aca="false">E91/D91</f>
        <v>46.25</v>
      </c>
      <c r="L91" s="25"/>
      <c r="M91" s="86" t="n">
        <f aca="false">E91*F91</f>
        <v>10730</v>
      </c>
      <c r="N91" s="86" t="n">
        <f aca="false">M91/H91</f>
        <v>3576.66666666667</v>
      </c>
      <c r="O91" s="86" t="n">
        <f aca="false">M91/D91</f>
        <v>2682.5</v>
      </c>
      <c r="P91" s="86" t="n">
        <f aca="false">N91/D91</f>
        <v>894.166666666667</v>
      </c>
      <c r="Q91" s="87" t="n">
        <f aca="false">P91*$B$3/12</f>
        <v>20.5136736111111</v>
      </c>
      <c r="R91" s="88" t="n">
        <f aca="false">Q91+($D$13+$D$14)/D91</f>
        <v>42.3886736111111</v>
      </c>
      <c r="AMC91" s="2"/>
      <c r="AMD91" s="23"/>
      <c r="AME91" s="23"/>
    </row>
    <row r="92" customFormat="false" ht="16.9" hidden="false" customHeight="true" outlineLevel="0" collapsed="false">
      <c r="A92" s="85" t="s">
        <v>151</v>
      </c>
      <c r="B92" s="36" t="s">
        <v>71</v>
      </c>
      <c r="C92" s="36" t="s">
        <v>66</v>
      </c>
      <c r="D92" s="35" t="n">
        <v>3</v>
      </c>
      <c r="E92" s="35" t="n">
        <v>155</v>
      </c>
      <c r="F92" s="35" t="n">
        <v>61</v>
      </c>
      <c r="G92" s="35" t="n">
        <v>5</v>
      </c>
      <c r="H92" s="35" t="n">
        <v>3.1</v>
      </c>
      <c r="I92" s="35"/>
      <c r="J92" s="35"/>
      <c r="K92" s="25" t="n">
        <f aca="false">E92/D92</f>
        <v>51.6666666666667</v>
      </c>
      <c r="L92" s="25"/>
      <c r="M92" s="86" t="n">
        <f aca="false">E92*F92</f>
        <v>9455</v>
      </c>
      <c r="N92" s="86" t="n">
        <f aca="false">M92/H92</f>
        <v>3050</v>
      </c>
      <c r="O92" s="86" t="n">
        <f aca="false">M92/D92</f>
        <v>3151.66666666667</v>
      </c>
      <c r="P92" s="86" t="n">
        <f aca="false">N92/D92</f>
        <v>1016.66666666667</v>
      </c>
      <c r="Q92" s="87" t="n">
        <f aca="false">P92*$B$3/12</f>
        <v>23.3240277777778</v>
      </c>
      <c r="R92" s="88" t="n">
        <f aca="false">Q92+($D$13+$D$14)/D92</f>
        <v>52.4906944444444</v>
      </c>
      <c r="AMC92" s="2"/>
      <c r="AMD92" s="23"/>
      <c r="AME92" s="23"/>
    </row>
    <row r="93" customFormat="false" ht="16.9" hidden="false" customHeight="true" outlineLevel="0" collapsed="false">
      <c r="A93" s="85" t="s">
        <v>152</v>
      </c>
      <c r="B93" s="36" t="s">
        <v>71</v>
      </c>
      <c r="C93" s="36" t="s">
        <v>66</v>
      </c>
      <c r="D93" s="35" t="n">
        <v>3</v>
      </c>
      <c r="E93" s="35" t="n">
        <v>125</v>
      </c>
      <c r="F93" s="35" t="n">
        <v>63.5</v>
      </c>
      <c r="G93" s="35" t="n">
        <v>8.4</v>
      </c>
      <c r="H93" s="35" t="n">
        <v>3.3</v>
      </c>
      <c r="I93" s="35"/>
      <c r="J93" s="35"/>
      <c r="K93" s="25" t="n">
        <f aca="false">E93/D93</f>
        <v>41.6666666666667</v>
      </c>
      <c r="L93" s="25"/>
      <c r="M93" s="86" t="n">
        <f aca="false">E93*F93</f>
        <v>7937.5</v>
      </c>
      <c r="N93" s="86" t="n">
        <f aca="false">M93/H93</f>
        <v>2405.30303030303</v>
      </c>
      <c r="O93" s="86" t="n">
        <f aca="false">M93/D93</f>
        <v>2645.83333333333</v>
      </c>
      <c r="P93" s="86" t="n">
        <f aca="false">N93/D93</f>
        <v>801.767676767677</v>
      </c>
      <c r="Q93" s="87" t="n">
        <f aca="false">P93*$B$3/12</f>
        <v>18.3938867845118</v>
      </c>
      <c r="R93" s="88" t="n">
        <f aca="false">Q93+($D$13+$D$14)/D93</f>
        <v>47.5605534511785</v>
      </c>
      <c r="AMC93" s="2"/>
      <c r="AMD93" s="23"/>
      <c r="AME93" s="23"/>
    </row>
    <row r="94" customFormat="false" ht="16.9" hidden="false" customHeight="true" outlineLevel="0" collapsed="false">
      <c r="A94" s="85" t="s">
        <v>153</v>
      </c>
      <c r="B94" s="36" t="s">
        <v>71</v>
      </c>
      <c r="C94" s="36"/>
      <c r="D94" s="35" t="n">
        <v>1</v>
      </c>
      <c r="E94" s="35" t="n">
        <v>101</v>
      </c>
      <c r="F94" s="35" t="n">
        <v>69</v>
      </c>
      <c r="G94" s="35" t="n">
        <v>8</v>
      </c>
      <c r="H94" s="35" t="n">
        <v>2.8</v>
      </c>
      <c r="I94" s="35"/>
      <c r="J94" s="35"/>
      <c r="K94" s="25" t="n">
        <f aca="false">E94/D94</f>
        <v>101</v>
      </c>
      <c r="L94" s="25"/>
      <c r="M94" s="86" t="n">
        <f aca="false">E94*F94</f>
        <v>6969</v>
      </c>
      <c r="N94" s="86" t="n">
        <f aca="false">M94/H94</f>
        <v>2488.92857142857</v>
      </c>
      <c r="O94" s="86" t="n">
        <f aca="false">M94/D94</f>
        <v>6969</v>
      </c>
      <c r="P94" s="86" t="n">
        <f aca="false">N94/D94</f>
        <v>2488.92857142857</v>
      </c>
      <c r="Q94" s="87" t="n">
        <f aca="false">P94*$B$3/12</f>
        <v>57.1001696428571</v>
      </c>
      <c r="R94" s="88" t="n">
        <f aca="false">Q94+($D$13+$D$14)/D94</f>
        <v>144.600169642857</v>
      </c>
      <c r="AMC94" s="2"/>
      <c r="AMD94" s="23"/>
      <c r="AME94" s="23"/>
    </row>
    <row r="95" customFormat="false" ht="16.9" hidden="false" customHeight="true" outlineLevel="0" collapsed="false">
      <c r="A95" s="85" t="s">
        <v>154</v>
      </c>
      <c r="B95" s="36" t="s">
        <v>71</v>
      </c>
      <c r="C95" s="36" t="s">
        <v>133</v>
      </c>
      <c r="D95" s="35" t="n">
        <v>4</v>
      </c>
      <c r="E95" s="35" t="n">
        <v>100</v>
      </c>
      <c r="F95" s="35" t="n">
        <v>101</v>
      </c>
      <c r="G95" s="35" t="n">
        <v>4</v>
      </c>
      <c r="H95" s="35" t="n">
        <v>3.4</v>
      </c>
      <c r="I95" s="35"/>
      <c r="J95" s="35"/>
      <c r="K95" s="25" t="n">
        <f aca="false">E95/D95</f>
        <v>25</v>
      </c>
      <c r="L95" s="25"/>
      <c r="M95" s="86" t="n">
        <f aca="false">E95*F95</f>
        <v>10100</v>
      </c>
      <c r="N95" s="86" t="n">
        <f aca="false">M95/H95</f>
        <v>2970.58823529412</v>
      </c>
      <c r="O95" s="86" t="n">
        <f aca="false">M95/D95</f>
        <v>2525</v>
      </c>
      <c r="P95" s="86" t="n">
        <f aca="false">N95/D95</f>
        <v>742.647058823529</v>
      </c>
      <c r="Q95" s="87" t="n">
        <f aca="false">P95*$B$3/12</f>
        <v>17.0375612745098</v>
      </c>
      <c r="R95" s="88" t="n">
        <f aca="false">Q95+($D$13+$D$14)/D95</f>
        <v>38.9125612745098</v>
      </c>
      <c r="AMC95" s="2"/>
      <c r="AMD95" s="23"/>
      <c r="AME95" s="23"/>
    </row>
    <row r="96" customFormat="false" ht="16.9" hidden="false" customHeight="true" outlineLevel="0" collapsed="false">
      <c r="A96" s="85" t="s">
        <v>155</v>
      </c>
      <c r="B96" s="36" t="s">
        <v>71</v>
      </c>
      <c r="C96" s="36" t="s">
        <v>133</v>
      </c>
      <c r="D96" s="35" t="n">
        <v>8</v>
      </c>
      <c r="E96" s="35" t="n">
        <v>268</v>
      </c>
      <c r="F96" s="35" t="n">
        <v>104</v>
      </c>
      <c r="G96" s="35" t="n">
        <v>11</v>
      </c>
      <c r="H96" s="35" t="n">
        <v>2.8</v>
      </c>
      <c r="I96" s="35"/>
      <c r="J96" s="35"/>
      <c r="K96" s="25" t="n">
        <f aca="false">E96/D96</f>
        <v>33.5</v>
      </c>
      <c r="L96" s="25"/>
      <c r="M96" s="86" t="n">
        <f aca="false">E96*F96</f>
        <v>27872</v>
      </c>
      <c r="N96" s="86" t="n">
        <f aca="false">M96/H96</f>
        <v>9954.28571428572</v>
      </c>
      <c r="O96" s="86" t="n">
        <f aca="false">M96/D96</f>
        <v>3484</v>
      </c>
      <c r="P96" s="86" t="n">
        <f aca="false">N96/D96</f>
        <v>1244.28571428571</v>
      </c>
      <c r="Q96" s="87" t="n">
        <f aca="false">P96*$B$3/12</f>
        <v>28.5459880952381</v>
      </c>
      <c r="R96" s="88" t="n">
        <f aca="false">Q96+($D$13+$D$14)/D96</f>
        <v>39.4834880952381</v>
      </c>
      <c r="AMC96" s="2"/>
      <c r="AMD96" s="23"/>
      <c r="AME96" s="23"/>
    </row>
    <row r="97" customFormat="false" ht="16.9" hidden="false" customHeight="true" outlineLevel="0" collapsed="false">
      <c r="A97" s="85" t="s">
        <v>156</v>
      </c>
      <c r="B97" s="36" t="s">
        <v>71</v>
      </c>
      <c r="C97" s="36" t="s">
        <v>133</v>
      </c>
      <c r="D97" s="35" t="n">
        <v>3</v>
      </c>
      <c r="E97" s="35" t="n">
        <v>250</v>
      </c>
      <c r="F97" s="35" t="n">
        <v>129</v>
      </c>
      <c r="G97" s="35" t="n">
        <v>7</v>
      </c>
      <c r="H97" s="35" t="n">
        <v>2.8</v>
      </c>
      <c r="I97" s="35"/>
      <c r="J97" s="35"/>
      <c r="K97" s="25" t="n">
        <f aca="false">E97/D97</f>
        <v>83.3333333333333</v>
      </c>
      <c r="L97" s="25"/>
      <c r="M97" s="86" t="n">
        <f aca="false">E97*F97</f>
        <v>32250</v>
      </c>
      <c r="N97" s="86" t="n">
        <f aca="false">M97/H97</f>
        <v>11517.8571428571</v>
      </c>
      <c r="O97" s="86" t="n">
        <f aca="false">M97/D97</f>
        <v>10750</v>
      </c>
      <c r="P97" s="86" t="n">
        <f aca="false">N97/D97</f>
        <v>3839.28571428571</v>
      </c>
      <c r="Q97" s="87" t="n">
        <f aca="false">P97*$B$3/12</f>
        <v>88.0796130952381</v>
      </c>
      <c r="R97" s="88" t="n">
        <f aca="false">Q97+($D$13+$D$14)/D97</f>
        <v>117.246279761905</v>
      </c>
      <c r="AMC97" s="2"/>
      <c r="AMD97" s="23"/>
      <c r="AME97" s="23"/>
    </row>
    <row r="98" customFormat="false" ht="16.9" hidden="false" customHeight="true" outlineLevel="0" collapsed="false">
      <c r="A98" s="85" t="s">
        <v>157</v>
      </c>
      <c r="B98" s="36" t="s">
        <v>71</v>
      </c>
      <c r="C98" s="36" t="s">
        <v>66</v>
      </c>
      <c r="D98" s="35" t="n">
        <v>3</v>
      </c>
      <c r="E98" s="35" t="n">
        <v>91</v>
      </c>
      <c r="F98" s="35" t="n">
        <v>133</v>
      </c>
      <c r="G98" s="35" t="n">
        <v>4</v>
      </c>
      <c r="H98" s="35" t="n">
        <v>3.2</v>
      </c>
      <c r="I98" s="35"/>
      <c r="J98" s="35"/>
      <c r="K98" s="25" t="n">
        <f aca="false">E98/D98</f>
        <v>30.3333333333333</v>
      </c>
      <c r="L98" s="25"/>
      <c r="M98" s="86" t="n">
        <f aca="false">E98*F98</f>
        <v>12103</v>
      </c>
      <c r="N98" s="86" t="n">
        <f aca="false">M98/H98</f>
        <v>3782.1875</v>
      </c>
      <c r="O98" s="86" t="n">
        <f aca="false">M98/D98</f>
        <v>4034.33333333333</v>
      </c>
      <c r="P98" s="86" t="n">
        <f aca="false">N98/D98</f>
        <v>1260.72916666667</v>
      </c>
      <c r="Q98" s="87" t="n">
        <f aca="false">P98*$B$3/12</f>
        <v>28.9232282986111</v>
      </c>
      <c r="R98" s="88" t="n">
        <f aca="false">Q98+($D$13+$D$14)/D98</f>
        <v>58.0898949652778</v>
      </c>
      <c r="S98" s="88"/>
      <c r="AMD98" s="2"/>
      <c r="AME98" s="3"/>
    </row>
    <row r="99" customFormat="false" ht="16.9" hidden="false" customHeight="true" outlineLevel="0" collapsed="false">
      <c r="A99" s="85" t="s">
        <v>158</v>
      </c>
      <c r="B99" s="36" t="s">
        <v>71</v>
      </c>
      <c r="C99" s="36" t="s">
        <v>66</v>
      </c>
      <c r="D99" s="35" t="n">
        <v>5</v>
      </c>
      <c r="E99" s="35" t="n">
        <v>138</v>
      </c>
      <c r="F99" s="35" t="n">
        <v>145</v>
      </c>
      <c r="G99" s="35" t="n">
        <v>11</v>
      </c>
      <c r="H99" s="35" t="n">
        <v>3.3</v>
      </c>
      <c r="I99" s="35"/>
      <c r="J99" s="35"/>
      <c r="K99" s="25" t="n">
        <f aca="false">E99/D99</f>
        <v>27.6</v>
      </c>
      <c r="L99" s="25"/>
      <c r="M99" s="86" t="n">
        <f aca="false">E99*F99</f>
        <v>20010</v>
      </c>
      <c r="N99" s="86" t="n">
        <f aca="false">M99/H99</f>
        <v>6063.63636363636</v>
      </c>
      <c r="O99" s="86" t="n">
        <f aca="false">M99/D99</f>
        <v>4002</v>
      </c>
      <c r="P99" s="86" t="n">
        <f aca="false">N99/D99</f>
        <v>1212.72727272727</v>
      </c>
      <c r="Q99" s="87" t="n">
        <f aca="false">P99*$B$3/12</f>
        <v>27.8219848484848</v>
      </c>
      <c r="R99" s="88" t="n">
        <f aca="false">Q99+($D$13+$D$14)/D99</f>
        <v>45.3219848484848</v>
      </c>
      <c r="S99" s="88"/>
      <c r="AMD99" s="2"/>
      <c r="AME99" s="3"/>
    </row>
    <row r="100" s="90" customFormat="true" ht="16.9" hidden="false" customHeight="true" outlineLevel="0" collapsed="false">
      <c r="A100" s="89" t="s">
        <v>159</v>
      </c>
      <c r="B100" s="72"/>
      <c r="C100" s="72"/>
      <c r="D100" s="90" t="n">
        <f aca="false">SUM(D74:D99)</f>
        <v>91.5</v>
      </c>
      <c r="E100" s="91" t="n">
        <f aca="false">SUM(E74:E99)</f>
        <v>4501</v>
      </c>
      <c r="F100" s="91" t="n">
        <f aca="false">SUM(F74:F99)</f>
        <v>1932.9</v>
      </c>
      <c r="G100" s="91" t="n">
        <f aca="false">SUM(G74:G99)</f>
        <v>232.4</v>
      </c>
      <c r="H100" s="90" t="n">
        <f aca="false">SUM(H74:H99)</f>
        <v>92.9</v>
      </c>
      <c r="K100" s="91"/>
      <c r="M100" s="91" t="n">
        <f aca="false">SUM(M74:M99)</f>
        <v>335637.7</v>
      </c>
      <c r="N100" s="91" t="n">
        <f aca="false">SUM(N74:N99)</f>
        <v>97295.9243025533</v>
      </c>
      <c r="O100" s="91" t="n">
        <f aca="false">SUM(O74:O99)</f>
        <v>103551.133333333</v>
      </c>
      <c r="P100" s="91" t="n">
        <f aca="false">SUM(P74:P99)</f>
        <v>30208.9449012111</v>
      </c>
      <c r="Q100" s="91" t="n">
        <f aca="false">SUM(Q74:Q99)</f>
        <v>693.043544275283</v>
      </c>
      <c r="R100" s="91"/>
      <c r="S100" s="92"/>
      <c r="AME100" s="93"/>
      <c r="AMF100" s="93"/>
      <c r="AMG100" s="93"/>
      <c r="AMH100" s="93"/>
      <c r="AMI100" s="93"/>
      <c r="AMJ100" s="93"/>
    </row>
    <row r="101" customFormat="false" ht="16.9" hidden="false" customHeight="true" outlineLevel="0" collapsed="false">
      <c r="A101" s="94" t="s">
        <v>160</v>
      </c>
      <c r="B101" s="69"/>
      <c r="C101" s="69"/>
      <c r="D101" s="95" t="n">
        <f aca="false">AVERAGE(D74:D99)</f>
        <v>3.51923076923077</v>
      </c>
      <c r="E101" s="96" t="n">
        <f aca="false">AVERAGE(E74:E99)</f>
        <v>173.115384615385</v>
      </c>
      <c r="F101" s="97" t="n">
        <f aca="false">AVERAGE(F74:F99)</f>
        <v>74.3423076923077</v>
      </c>
      <c r="G101" s="95" t="n">
        <f aca="false">AVERAGE(G74:G99)</f>
        <v>8.93846153846154</v>
      </c>
      <c r="H101" s="98" t="n">
        <f aca="false">AVERAGE(H74:H99)</f>
        <v>3.57307692307692</v>
      </c>
      <c r="I101" s="98"/>
      <c r="J101" s="98"/>
      <c r="K101" s="99" t="n">
        <f aca="false">HARMEAN(K74:K99)</f>
        <v>46.4766817070833</v>
      </c>
      <c r="L101" s="100"/>
      <c r="M101" s="96" t="n">
        <f aca="false">AVERAGE(M74:M99)</f>
        <v>12909.1423076923</v>
      </c>
      <c r="N101" s="100" t="n">
        <f aca="false">AVERAGE(N74:N99)</f>
        <v>3742.15093471359</v>
      </c>
      <c r="O101" s="100" t="n">
        <f aca="false">AVERAGE(O74:O99)</f>
        <v>3982.7358974359</v>
      </c>
      <c r="P101" s="100" t="n">
        <f aca="false">AVERAGE(P74:P99)</f>
        <v>1161.88249620043</v>
      </c>
      <c r="Q101" s="100" t="n">
        <f aca="false">AVERAGE(Q74:Q99)</f>
        <v>26.6555209336647</v>
      </c>
      <c r="R101" s="101" t="n">
        <f aca="false">AVERAGE(R74:R99)</f>
        <v>58.4460658054596</v>
      </c>
      <c r="S101" s="100"/>
      <c r="AMD101" s="2"/>
      <c r="AME101" s="23"/>
      <c r="AMF101" s="23"/>
    </row>
    <row r="102" s="2" customFormat="true" ht="16.9" hidden="false" customHeight="true" outlineLevel="0" collapsed="false">
      <c r="A102" s="33"/>
      <c r="B102" s="79"/>
      <c r="C102" s="79"/>
      <c r="D102" s="79" t="s">
        <v>126</v>
      </c>
      <c r="E102" s="79" t="s">
        <v>127</v>
      </c>
      <c r="F102" s="79" t="s">
        <v>17</v>
      </c>
      <c r="G102" s="79" t="s">
        <v>128</v>
      </c>
      <c r="H102" s="79"/>
      <c r="I102" s="79"/>
      <c r="J102" s="79"/>
      <c r="K102" s="79" t="s">
        <v>11</v>
      </c>
      <c r="L102" s="79"/>
      <c r="M102" s="79" t="s">
        <v>129</v>
      </c>
      <c r="N102" s="79" t="s">
        <v>129</v>
      </c>
      <c r="O102" s="79" t="s">
        <v>130</v>
      </c>
      <c r="P102" s="79" t="s">
        <v>130</v>
      </c>
      <c r="Q102" s="79" t="s">
        <v>47</v>
      </c>
      <c r="R102" s="79" t="s">
        <v>47</v>
      </c>
      <c r="S102" s="79"/>
      <c r="AME102" s="23"/>
      <c r="AMF102" s="23"/>
      <c r="AMG102" s="3"/>
      <c r="AMH102" s="3"/>
      <c r="AMI102" s="3"/>
      <c r="AMJ102" s="3"/>
    </row>
    <row r="103" s="27" customFormat="true" ht="2.85" hidden="false" customHeight="true" outlineLevel="0" collapsed="false">
      <c r="A103" s="30"/>
      <c r="B103" s="30"/>
      <c r="C103" s="30"/>
      <c r="D103" s="32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AME103" s="33"/>
      <c r="AMF103" s="3"/>
      <c r="AMG103" s="3"/>
      <c r="AMH103" s="3"/>
      <c r="AMI103" s="3"/>
      <c r="AMJ103" s="3"/>
    </row>
    <row r="104" customFormat="false" ht="16.9" hidden="false" customHeight="true" outlineLevel="0" collapsed="false">
      <c r="A104" s="67" t="s">
        <v>161</v>
      </c>
      <c r="B104" s="68" t="n">
        <v>11</v>
      </c>
      <c r="C104" s="69" t="s">
        <v>89</v>
      </c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102"/>
      <c r="R104" s="72"/>
      <c r="S104" s="90"/>
      <c r="AMA104" s="2"/>
      <c r="AMB104" s="23"/>
      <c r="AMC104" s="23"/>
      <c r="AMD104" s="23"/>
      <c r="AME104" s="23"/>
    </row>
    <row r="105" customFormat="false" ht="16.9" hidden="false" customHeight="true" outlineLevel="0" collapsed="false">
      <c r="A105" s="103" t="s">
        <v>162</v>
      </c>
      <c r="B105" s="77" t="s">
        <v>111</v>
      </c>
      <c r="C105" s="77"/>
      <c r="D105" s="77"/>
      <c r="E105" s="77"/>
      <c r="F105" s="77"/>
      <c r="G105" s="77"/>
      <c r="H105" s="77"/>
      <c r="I105" s="77"/>
      <c r="J105" s="77"/>
      <c r="K105" s="78" t="s">
        <v>112</v>
      </c>
      <c r="L105" s="78"/>
      <c r="M105" s="78"/>
      <c r="N105" s="78"/>
      <c r="O105" s="78"/>
      <c r="P105" s="78"/>
      <c r="Q105" s="78"/>
      <c r="R105" s="78"/>
      <c r="S105" s="78"/>
      <c r="AMA105" s="2"/>
      <c r="AMB105" s="23"/>
      <c r="AMC105" s="23"/>
      <c r="AMD105" s="23"/>
      <c r="AME105" s="23"/>
    </row>
    <row r="106" s="106" customFormat="true" ht="33.8" hidden="false" customHeight="true" outlineLevel="0" collapsed="false">
      <c r="A106" s="80" t="s">
        <v>163</v>
      </c>
      <c r="B106" s="104" t="s">
        <v>114</v>
      </c>
      <c r="C106" s="104" t="s">
        <v>115</v>
      </c>
      <c r="D106" s="104" t="s">
        <v>116</v>
      </c>
      <c r="E106" s="104" t="s">
        <v>117</v>
      </c>
      <c r="F106" s="104" t="s">
        <v>164</v>
      </c>
      <c r="G106" s="80" t="s">
        <v>165</v>
      </c>
      <c r="H106" s="80" t="s">
        <v>68</v>
      </c>
      <c r="I106" s="80" t="s">
        <v>166</v>
      </c>
      <c r="J106" s="80" t="s">
        <v>167</v>
      </c>
      <c r="K106" s="104" t="s">
        <v>121</v>
      </c>
      <c r="L106" s="80" t="s">
        <v>118</v>
      </c>
      <c r="M106" s="104" t="s">
        <v>122</v>
      </c>
      <c r="N106" s="104" t="s">
        <v>123</v>
      </c>
      <c r="O106" s="104" t="s">
        <v>122</v>
      </c>
      <c r="P106" s="104" t="s">
        <v>123</v>
      </c>
      <c r="Q106" s="104" t="s">
        <v>168</v>
      </c>
      <c r="R106" s="104" t="s">
        <v>169</v>
      </c>
      <c r="S106" s="105"/>
      <c r="AMB106" s="107"/>
      <c r="AMC106" s="107"/>
      <c r="AMD106" s="107"/>
      <c r="AME106" s="107"/>
      <c r="AMF106" s="3"/>
      <c r="AMG106" s="3"/>
      <c r="AMH106" s="3"/>
      <c r="AMI106" s="3"/>
      <c r="AMJ106" s="3"/>
    </row>
    <row r="107" s="108" customFormat="true" ht="20.85" hidden="false" customHeight="true" outlineLevel="0" collapsed="false">
      <c r="A107" s="80"/>
      <c r="B107" s="83"/>
      <c r="C107" s="83"/>
      <c r="D107" s="83" t="s">
        <v>126</v>
      </c>
      <c r="E107" s="83" t="s">
        <v>127</v>
      </c>
      <c r="F107" s="83" t="s">
        <v>129</v>
      </c>
      <c r="G107" s="83" t="s">
        <v>129</v>
      </c>
      <c r="H107" s="83"/>
      <c r="I107" s="83" t="s">
        <v>129</v>
      </c>
      <c r="J107" s="83" t="s">
        <v>32</v>
      </c>
      <c r="K107" s="83" t="s">
        <v>11</v>
      </c>
      <c r="L107" s="83" t="s">
        <v>17</v>
      </c>
      <c r="M107" s="83" t="s">
        <v>129</v>
      </c>
      <c r="N107" s="83" t="s">
        <v>129</v>
      </c>
      <c r="O107" s="83" t="s">
        <v>130</v>
      </c>
      <c r="P107" s="83" t="s">
        <v>130</v>
      </c>
      <c r="Q107" s="83" t="s">
        <v>47</v>
      </c>
      <c r="R107" s="83" t="s">
        <v>47</v>
      </c>
      <c r="AMD107" s="109"/>
      <c r="AME107" s="109"/>
      <c r="AMF107" s="3"/>
      <c r="AMG107" s="3"/>
      <c r="AMH107" s="3"/>
      <c r="AMI107" s="3"/>
      <c r="AMJ107" s="3"/>
    </row>
    <row r="108" customFormat="false" ht="16.9" hidden="false" customHeight="true" outlineLevel="0" collapsed="false">
      <c r="A108" s="20" t="s">
        <v>170</v>
      </c>
      <c r="B108" s="36" t="s">
        <v>80</v>
      </c>
      <c r="C108" s="36" t="s">
        <v>66</v>
      </c>
      <c r="D108" s="35" t="n">
        <v>3</v>
      </c>
      <c r="E108" s="35" t="n">
        <v>144</v>
      </c>
      <c r="F108" s="35" t="n">
        <v>7940</v>
      </c>
      <c r="G108" s="35" t="n">
        <v>1972</v>
      </c>
      <c r="H108" s="35" t="n">
        <v>4.1</v>
      </c>
      <c r="I108" s="35" t="n">
        <v>2431</v>
      </c>
      <c r="J108" s="35" t="n">
        <v>570</v>
      </c>
      <c r="K108" s="110" t="n">
        <f aca="false">E108/D108</f>
        <v>48</v>
      </c>
      <c r="L108" s="25" t="n">
        <f aca="false">(F108+G108)/E108</f>
        <v>68.8333333333333</v>
      </c>
      <c r="M108" s="25" t="n">
        <f aca="false">(F108+G108)</f>
        <v>9912</v>
      </c>
      <c r="N108" s="25" t="n">
        <f aca="false">M108/H108</f>
        <v>2417.56097560976</v>
      </c>
      <c r="O108" s="25" t="n">
        <f aca="false">M108/D108</f>
        <v>3304</v>
      </c>
      <c r="P108" s="25" t="n">
        <f aca="false">N108/D108</f>
        <v>805.853658536586</v>
      </c>
      <c r="Q108" s="25" t="n">
        <f aca="false">P108*$B$3/12</f>
        <v>18.4876260162602</v>
      </c>
      <c r="R108" s="65" t="n">
        <f aca="false">Q108+($D$12+$D$14)/D108</f>
        <v>52.8209593495935</v>
      </c>
      <c r="AMC108" s="2"/>
      <c r="AMD108" s="23"/>
      <c r="AME108" s="23"/>
    </row>
    <row r="109" customFormat="false" ht="16.9" hidden="false" customHeight="true" outlineLevel="0" collapsed="false">
      <c r="A109" s="20" t="s">
        <v>171</v>
      </c>
      <c r="B109" s="36" t="s">
        <v>80</v>
      </c>
      <c r="C109" s="36" t="s">
        <v>66</v>
      </c>
      <c r="D109" s="35" t="n">
        <v>6</v>
      </c>
      <c r="E109" s="35" t="n">
        <v>208</v>
      </c>
      <c r="F109" s="35" t="n">
        <v>10495</v>
      </c>
      <c r="G109" s="35" t="n">
        <v>4822</v>
      </c>
      <c r="H109" s="35" t="n">
        <v>4</v>
      </c>
      <c r="I109" s="35" t="n">
        <v>3804</v>
      </c>
      <c r="J109" s="35" t="n">
        <v>837</v>
      </c>
      <c r="K109" s="110" t="n">
        <f aca="false">E109/D109</f>
        <v>34.6666666666667</v>
      </c>
      <c r="L109" s="25" t="n">
        <f aca="false">(F109+G109)/E109</f>
        <v>73.6394230769231</v>
      </c>
      <c r="M109" s="25" t="n">
        <f aca="false">(F109+G109)</f>
        <v>15317</v>
      </c>
      <c r="N109" s="25" t="n">
        <f aca="false">M109/H109</f>
        <v>3829.25</v>
      </c>
      <c r="O109" s="25" t="n">
        <f aca="false">M109/D109</f>
        <v>2552.83333333333</v>
      </c>
      <c r="P109" s="25" t="n">
        <f aca="false">N109/D109</f>
        <v>638.208333333333</v>
      </c>
      <c r="Q109" s="25" t="n">
        <f aca="false">P109*$B$3/12</f>
        <v>14.6415628472222</v>
      </c>
      <c r="R109" s="65" t="n">
        <f aca="false">Q109+($D$12+$D$14)/D109</f>
        <v>31.8082295138889</v>
      </c>
      <c r="AMC109" s="2"/>
      <c r="AMD109" s="23"/>
      <c r="AME109" s="23"/>
    </row>
    <row r="110" customFormat="false" ht="16.9" hidden="false" customHeight="true" outlineLevel="0" collapsed="false">
      <c r="A110" s="20" t="s">
        <v>172</v>
      </c>
      <c r="B110" s="36" t="s">
        <v>80</v>
      </c>
      <c r="C110" s="36" t="s">
        <v>66</v>
      </c>
      <c r="D110" s="35" t="n">
        <v>2</v>
      </c>
      <c r="E110" s="35" t="n">
        <v>159</v>
      </c>
      <c r="F110" s="35" t="n">
        <v>9137</v>
      </c>
      <c r="G110" s="35" t="n">
        <v>3794</v>
      </c>
      <c r="H110" s="35" t="n">
        <v>4</v>
      </c>
      <c r="I110" s="35" t="n">
        <v>3206</v>
      </c>
      <c r="J110" s="35" t="n">
        <v>705</v>
      </c>
      <c r="K110" s="110" t="n">
        <f aca="false">E110/D110</f>
        <v>79.5</v>
      </c>
      <c r="L110" s="25" t="n">
        <f aca="false">(F110+G110)/E110</f>
        <v>81.3270440251572</v>
      </c>
      <c r="M110" s="25" t="n">
        <f aca="false">(F110+G110)</f>
        <v>12931</v>
      </c>
      <c r="N110" s="25" t="n">
        <f aca="false">M110/H110</f>
        <v>3232.75</v>
      </c>
      <c r="O110" s="25" t="n">
        <f aca="false">M110/D110</f>
        <v>6465.5</v>
      </c>
      <c r="P110" s="25" t="n">
        <f aca="false">N110/D110</f>
        <v>1616.375</v>
      </c>
      <c r="Q110" s="25" t="n">
        <f aca="false">P110*$B$3/12</f>
        <v>37.0823364583333</v>
      </c>
      <c r="R110" s="65" t="n">
        <f aca="false">Q110+($D$12+$D$14)/D110</f>
        <v>88.5823364583333</v>
      </c>
      <c r="AMC110" s="2"/>
      <c r="AMD110" s="23"/>
      <c r="AME110" s="23"/>
    </row>
    <row r="111" customFormat="false" ht="16.9" hidden="false" customHeight="true" outlineLevel="0" collapsed="false">
      <c r="A111" s="20" t="s">
        <v>173</v>
      </c>
      <c r="B111" s="36" t="s">
        <v>80</v>
      </c>
      <c r="C111" s="36" t="s">
        <v>66</v>
      </c>
      <c r="D111" s="35" t="n">
        <v>4</v>
      </c>
      <c r="E111" s="35" t="n">
        <v>218</v>
      </c>
      <c r="F111" s="35" t="n">
        <v>9784</v>
      </c>
      <c r="G111" s="35" t="n">
        <v>3042</v>
      </c>
      <c r="H111" s="35" t="n">
        <v>4.4</v>
      </c>
      <c r="I111" s="35" t="n">
        <v>2886</v>
      </c>
      <c r="J111" s="35" t="n">
        <v>595</v>
      </c>
      <c r="K111" s="110" t="n">
        <f aca="false">E111/D111</f>
        <v>54.5</v>
      </c>
      <c r="L111" s="25" t="n">
        <f aca="false">(F111+G111)/E111</f>
        <v>58.8348623853211</v>
      </c>
      <c r="M111" s="25" t="n">
        <f aca="false">(F111+G111)</f>
        <v>12826</v>
      </c>
      <c r="N111" s="25" t="n">
        <f aca="false">M111/H111</f>
        <v>2915</v>
      </c>
      <c r="O111" s="25" t="n">
        <f aca="false">M111/D111</f>
        <v>3206.5</v>
      </c>
      <c r="P111" s="25" t="n">
        <f aca="false">N111/D111</f>
        <v>728.75</v>
      </c>
      <c r="Q111" s="25" t="n">
        <f aca="false">P111*$B$3/12</f>
        <v>16.7187395833333</v>
      </c>
      <c r="R111" s="65" t="n">
        <f aca="false">Q111+($D$12+$D$14)/D111</f>
        <v>42.4687395833333</v>
      </c>
      <c r="AMC111" s="2"/>
      <c r="AMD111" s="23"/>
      <c r="AME111" s="23"/>
    </row>
    <row r="112" customFormat="false" ht="16.9" hidden="false" customHeight="true" outlineLevel="0" collapsed="false">
      <c r="A112" s="20" t="s">
        <v>174</v>
      </c>
      <c r="B112" s="36" t="s">
        <v>71</v>
      </c>
      <c r="C112" s="36" t="s">
        <v>66</v>
      </c>
      <c r="D112" s="35" t="n">
        <v>4</v>
      </c>
      <c r="E112" s="35" t="n">
        <v>205</v>
      </c>
      <c r="F112" s="35" t="n">
        <v>7564</v>
      </c>
      <c r="G112" s="35" t="n">
        <v>2985</v>
      </c>
      <c r="H112" s="35" t="n">
        <v>3.3</v>
      </c>
      <c r="I112" s="35" t="n">
        <v>3192</v>
      </c>
      <c r="J112" s="35" t="n">
        <v>702</v>
      </c>
      <c r="K112" s="110" t="n">
        <f aca="false">E112/D112</f>
        <v>51.25</v>
      </c>
      <c r="L112" s="25" t="n">
        <f aca="false">(F112+G112)/E112</f>
        <v>51.4585365853659</v>
      </c>
      <c r="M112" s="25" t="n">
        <f aca="false">(F112+G112)</f>
        <v>10549</v>
      </c>
      <c r="N112" s="25" t="n">
        <f aca="false">M112/H112</f>
        <v>3196.66666666667</v>
      </c>
      <c r="O112" s="25" t="n">
        <f aca="false">M112/D112</f>
        <v>2637.25</v>
      </c>
      <c r="P112" s="25" t="n">
        <f aca="false">N112/D112</f>
        <v>799.166666666667</v>
      </c>
      <c r="Q112" s="25" t="n">
        <f aca="false">P112*$B$3/12</f>
        <v>18.3342152777778</v>
      </c>
      <c r="R112" s="65" t="n">
        <f aca="false">Q112+($D$13+$D$14)/D112</f>
        <v>40.2092152777778</v>
      </c>
      <c r="AMC112" s="2"/>
      <c r="AMD112" s="23"/>
      <c r="AME112" s="23"/>
    </row>
    <row r="113" customFormat="false" ht="16.9" hidden="false" customHeight="true" outlineLevel="0" collapsed="false">
      <c r="A113" s="20" t="s">
        <v>175</v>
      </c>
      <c r="B113" s="36" t="s">
        <v>71</v>
      </c>
      <c r="C113" s="36" t="s">
        <v>66</v>
      </c>
      <c r="D113" s="35" t="n">
        <v>3</v>
      </c>
      <c r="E113" s="35" t="n">
        <v>127</v>
      </c>
      <c r="F113" s="35" t="n">
        <v>9498</v>
      </c>
      <c r="G113" s="35" t="n">
        <v>2511</v>
      </c>
      <c r="H113" s="35" t="n">
        <v>3.6</v>
      </c>
      <c r="I113" s="35" t="n">
        <v>3272</v>
      </c>
      <c r="J113" s="35" t="n">
        <v>720</v>
      </c>
      <c r="K113" s="110" t="n">
        <f aca="false">E113/D113</f>
        <v>42.3333333333333</v>
      </c>
      <c r="L113" s="25" t="n">
        <f aca="false">(F113+G113)/E113</f>
        <v>94.5590551181102</v>
      </c>
      <c r="M113" s="25" t="n">
        <f aca="false">(F113+G113)</f>
        <v>12009</v>
      </c>
      <c r="N113" s="25" t="n">
        <f aca="false">M113/H113</f>
        <v>3335.83333333333</v>
      </c>
      <c r="O113" s="25" t="n">
        <f aca="false">M113/D113</f>
        <v>4003</v>
      </c>
      <c r="P113" s="25" t="n">
        <f aca="false">N113/D113</f>
        <v>1111.94444444444</v>
      </c>
      <c r="Q113" s="25" t="n">
        <f aca="false">P113*$B$3/12</f>
        <v>25.5098587962963</v>
      </c>
      <c r="R113" s="65" t="n">
        <f aca="false">Q113+($D$13+$D$14)/D113</f>
        <v>54.676525462963</v>
      </c>
      <c r="AMC113" s="2"/>
      <c r="AMD113" s="23"/>
      <c r="AME113" s="23"/>
    </row>
    <row r="114" customFormat="false" ht="16.9" hidden="false" customHeight="true" outlineLevel="0" collapsed="false">
      <c r="A114" s="20" t="s">
        <v>176</v>
      </c>
      <c r="B114" s="36" t="s">
        <v>71</v>
      </c>
      <c r="C114" s="36" t="s">
        <v>66</v>
      </c>
      <c r="D114" s="35" t="n">
        <v>4</v>
      </c>
      <c r="E114" s="35" t="n">
        <v>151</v>
      </c>
      <c r="F114" s="35" t="n">
        <v>9289</v>
      </c>
      <c r="G114" s="35" t="n">
        <v>2420</v>
      </c>
      <c r="H114" s="35" t="n">
        <v>3.8</v>
      </c>
      <c r="I114" s="35" t="n">
        <v>3038</v>
      </c>
      <c r="J114" s="35" t="n">
        <v>590</v>
      </c>
      <c r="K114" s="110" t="n">
        <f aca="false">E114/D114</f>
        <v>37.75</v>
      </c>
      <c r="L114" s="25" t="n">
        <f aca="false">(F114+G114)/E114</f>
        <v>77.5430463576159</v>
      </c>
      <c r="M114" s="25" t="n">
        <f aca="false">(F114+G114)</f>
        <v>11709</v>
      </c>
      <c r="N114" s="25" t="n">
        <f aca="false">M114/H114</f>
        <v>3081.31578947368</v>
      </c>
      <c r="O114" s="25" t="n">
        <f aca="false">M114/D114</f>
        <v>2927.25</v>
      </c>
      <c r="P114" s="25" t="n">
        <f aca="false">N114/D114</f>
        <v>770.328947368421</v>
      </c>
      <c r="Q114" s="25" t="n">
        <f aca="false">P114*$B$3/12</f>
        <v>17.6726299342105</v>
      </c>
      <c r="R114" s="65" t="n">
        <f aca="false">Q114+($D$13+$D$14)/D114</f>
        <v>39.5476299342105</v>
      </c>
      <c r="AMC114" s="2"/>
      <c r="AMD114" s="23"/>
      <c r="AME114" s="23"/>
    </row>
    <row r="115" customFormat="false" ht="16.9" hidden="false" customHeight="true" outlineLevel="0" collapsed="false">
      <c r="A115" s="20" t="s">
        <v>177</v>
      </c>
      <c r="B115" s="36" t="s">
        <v>71</v>
      </c>
      <c r="C115" s="36" t="s">
        <v>66</v>
      </c>
      <c r="D115" s="35" t="n">
        <v>3</v>
      </c>
      <c r="E115" s="35" t="n">
        <v>210</v>
      </c>
      <c r="F115" s="35" t="n">
        <v>10188</v>
      </c>
      <c r="G115" s="35" t="n">
        <v>2693</v>
      </c>
      <c r="H115" s="35" t="n">
        <v>3.2</v>
      </c>
      <c r="I115" s="35" t="n">
        <v>3992</v>
      </c>
      <c r="J115" s="35" t="n">
        <v>918</v>
      </c>
      <c r="K115" s="110" t="n">
        <f aca="false">E115/D115</f>
        <v>70</v>
      </c>
      <c r="L115" s="25" t="n">
        <f aca="false">(F115+G115)/E115</f>
        <v>61.3380952380952</v>
      </c>
      <c r="M115" s="25" t="n">
        <f aca="false">(F115+G115)</f>
        <v>12881</v>
      </c>
      <c r="N115" s="25" t="n">
        <f aca="false">M115/H115</f>
        <v>4025.3125</v>
      </c>
      <c r="O115" s="25" t="n">
        <f aca="false">M115/D115</f>
        <v>4293.66666666667</v>
      </c>
      <c r="P115" s="25" t="n">
        <f aca="false">N115/D115</f>
        <v>1341.77083333333</v>
      </c>
      <c r="Q115" s="25" t="n">
        <f aca="false">P115*$B$3/12</f>
        <v>30.7824592013889</v>
      </c>
      <c r="R115" s="65" t="n">
        <f aca="false">Q115+($D$13+$D$14)/D115</f>
        <v>59.9491258680556</v>
      </c>
      <c r="AMC115" s="2"/>
      <c r="AMD115" s="23"/>
      <c r="AME115" s="23"/>
    </row>
    <row r="116" customFormat="false" ht="16.9" hidden="false" customHeight="true" outlineLevel="0" collapsed="false">
      <c r="A116" s="20" t="s">
        <v>178</v>
      </c>
      <c r="B116" s="36" t="s">
        <v>80</v>
      </c>
      <c r="C116" s="36" t="s">
        <v>75</v>
      </c>
      <c r="D116" s="35" t="n">
        <v>4</v>
      </c>
      <c r="E116" s="35" t="n">
        <v>170</v>
      </c>
      <c r="F116" s="35" t="n">
        <v>17116</v>
      </c>
      <c r="G116" s="35" t="n">
        <v>2584</v>
      </c>
      <c r="H116" s="35" t="n">
        <v>3.7</v>
      </c>
      <c r="I116" s="35" t="n">
        <v>5295</v>
      </c>
      <c r="J116" s="35" t="n">
        <v>1064</v>
      </c>
      <c r="K116" s="110" t="n">
        <f aca="false">E116/D116</f>
        <v>42.5</v>
      </c>
      <c r="L116" s="25" t="n">
        <f aca="false">(F116+G116)/E116</f>
        <v>115.882352941176</v>
      </c>
      <c r="M116" s="25" t="n">
        <f aca="false">(F116+G116)</f>
        <v>19700</v>
      </c>
      <c r="N116" s="25" t="n">
        <f aca="false">M116/H116</f>
        <v>5324.32432432432</v>
      </c>
      <c r="O116" s="25" t="n">
        <f aca="false">M116/D116</f>
        <v>4925</v>
      </c>
      <c r="P116" s="25" t="n">
        <f aca="false">N116/D116</f>
        <v>1331.08108108108</v>
      </c>
      <c r="Q116" s="25" t="n">
        <f aca="false">P116*$B$3/12</f>
        <v>30.5372184684685</v>
      </c>
      <c r="R116" s="65" t="n">
        <f aca="false">Q116+($D$12+$D$14)/D116</f>
        <v>56.2872184684685</v>
      </c>
      <c r="AMC116" s="2"/>
      <c r="AMD116" s="23"/>
      <c r="AME116" s="23"/>
    </row>
    <row r="117" customFormat="false" ht="16.9" hidden="false" customHeight="true" outlineLevel="0" collapsed="false">
      <c r="A117" s="20" t="s">
        <v>179</v>
      </c>
      <c r="B117" s="36" t="s">
        <v>80</v>
      </c>
      <c r="C117" s="36" t="s">
        <v>180</v>
      </c>
      <c r="D117" s="35" t="n">
        <v>8</v>
      </c>
      <c r="E117" s="35" t="n">
        <v>423</v>
      </c>
      <c r="F117" s="35" t="n">
        <v>36126</v>
      </c>
      <c r="G117" s="35" t="n">
        <v>1429</v>
      </c>
      <c r="H117" s="35" t="n">
        <v>4.4</v>
      </c>
      <c r="I117" s="35" t="n">
        <v>8478</v>
      </c>
      <c r="J117" s="35" t="n">
        <v>1780</v>
      </c>
      <c r="K117" s="110" t="n">
        <f aca="false">E117/D117</f>
        <v>52.875</v>
      </c>
      <c r="L117" s="25" t="n">
        <f aca="false">(F117+G117)/E117</f>
        <v>88.7825059101655</v>
      </c>
      <c r="M117" s="25" t="n">
        <f aca="false">(F117+G117)</f>
        <v>37555</v>
      </c>
      <c r="N117" s="25" t="n">
        <f aca="false">M117/H117</f>
        <v>8535.22727272727</v>
      </c>
      <c r="O117" s="25" t="n">
        <f aca="false">M117/D117</f>
        <v>4694.375</v>
      </c>
      <c r="P117" s="25" t="n">
        <f aca="false">N117/D117</f>
        <v>1066.90340909091</v>
      </c>
      <c r="Q117" s="25" t="n">
        <f aca="false">P117*$B$3/12</f>
        <v>24.4765423768939</v>
      </c>
      <c r="R117" s="65" t="n">
        <f aca="false">Q117+($D$12+$D$14)/D117</f>
        <v>37.3515423768939</v>
      </c>
      <c r="AMC117" s="2"/>
      <c r="AMD117" s="23"/>
      <c r="AME117" s="23"/>
    </row>
    <row r="118" customFormat="false" ht="16.9" hidden="false" customHeight="true" outlineLevel="0" collapsed="false">
      <c r="A118" s="20" t="s">
        <v>181</v>
      </c>
      <c r="B118" s="36" t="s">
        <v>182</v>
      </c>
      <c r="C118" s="36" t="s">
        <v>75</v>
      </c>
      <c r="D118" s="35" t="n">
        <v>4</v>
      </c>
      <c r="E118" s="35" t="n">
        <v>178</v>
      </c>
      <c r="F118" s="35" t="n">
        <v>12848</v>
      </c>
      <c r="G118" s="35" t="n">
        <v>3212</v>
      </c>
      <c r="H118" s="35" t="n">
        <v>3.4</v>
      </c>
      <c r="I118" s="35" t="n">
        <v>4712</v>
      </c>
      <c r="J118" s="35" t="n">
        <v>920</v>
      </c>
      <c r="K118" s="110" t="n">
        <f aca="false">E118/D118</f>
        <v>44.5</v>
      </c>
      <c r="L118" s="25" t="n">
        <f aca="false">(F118+G118)/E118</f>
        <v>90.2247191011236</v>
      </c>
      <c r="M118" s="25" t="n">
        <f aca="false">(F118+G118)</f>
        <v>16060</v>
      </c>
      <c r="N118" s="25" t="n">
        <f aca="false">M118/H118</f>
        <v>4723.52941176471</v>
      </c>
      <c r="O118" s="25" t="n">
        <f aca="false">M118/D118</f>
        <v>4015</v>
      </c>
      <c r="P118" s="25" t="n">
        <f aca="false">N118/D118</f>
        <v>1180.88235294118</v>
      </c>
      <c r="Q118" s="25" t="n">
        <f aca="false">P118*$B$3/12</f>
        <v>27.0914093137255</v>
      </c>
      <c r="R118" s="65" t="n">
        <f aca="false">Q118+($D$13+$D$14)/D118</f>
        <v>48.9664093137255</v>
      </c>
      <c r="AMC118" s="2"/>
      <c r="AMD118" s="23"/>
      <c r="AME118" s="23"/>
    </row>
    <row r="119" s="111" customFormat="true" ht="16.9" hidden="false" customHeight="true" outlineLevel="0" collapsed="false">
      <c r="A119" s="89" t="s">
        <v>159</v>
      </c>
      <c r="D119" s="111" t="n">
        <f aca="false">SUM(D108:D118)</f>
        <v>45</v>
      </c>
      <c r="E119" s="111" t="n">
        <f aca="false">SUM(E108:E118)</f>
        <v>2193</v>
      </c>
      <c r="F119" s="111" t="n">
        <f aca="false">SUM(F108:F118)</f>
        <v>139985</v>
      </c>
      <c r="G119" s="111" t="n">
        <f aca="false">SUM(G108:G118)</f>
        <v>31464</v>
      </c>
      <c r="H119" s="111" t="n">
        <f aca="false">SUM(H108:H118)</f>
        <v>41.9</v>
      </c>
      <c r="I119" s="111" t="n">
        <f aca="false">SUM(I108:I118)</f>
        <v>44306</v>
      </c>
      <c r="J119" s="111" t="n">
        <f aca="false">SUM(J108:J118)</f>
        <v>9401</v>
      </c>
      <c r="L119" s="111" t="n">
        <f aca="false">SUM(L108:L118)</f>
        <v>862.422974072388</v>
      </c>
      <c r="M119" s="111" t="n">
        <f aca="false">SUM(M108:M118)</f>
        <v>171449</v>
      </c>
      <c r="N119" s="111" t="n">
        <f aca="false">SUM(N108:N118)</f>
        <v>44616.7702738997</v>
      </c>
      <c r="O119" s="111" t="n">
        <f aca="false">SUM(O108:O118)</f>
        <v>43024.375</v>
      </c>
      <c r="P119" s="111" t="n">
        <f aca="false">SUM(P108:P118)</f>
        <v>11391.264726796</v>
      </c>
      <c r="Q119" s="111" t="n">
        <f aca="false">SUM(Q108:Q118)</f>
        <v>261.33459827391</v>
      </c>
      <c r="S119" s="91"/>
      <c r="AMD119" s="112"/>
      <c r="AME119" s="112"/>
      <c r="AMF119" s="112"/>
      <c r="AMG119" s="3"/>
      <c r="AMH119" s="3"/>
      <c r="AMI119" s="3"/>
      <c r="AMJ119" s="3"/>
    </row>
    <row r="120" s="116" customFormat="true" ht="16.9" hidden="false" customHeight="true" outlineLevel="0" collapsed="false">
      <c r="A120" s="94" t="s">
        <v>183</v>
      </c>
      <c r="B120" s="95"/>
      <c r="C120" s="95"/>
      <c r="D120" s="95" t="n">
        <f aca="false">D119/11</f>
        <v>4.09090909090909</v>
      </c>
      <c r="E120" s="100" t="n">
        <f aca="false">E119/11</f>
        <v>199.363636363636</v>
      </c>
      <c r="F120" s="100" t="n">
        <f aca="false">F119/11</f>
        <v>12725.9090909091</v>
      </c>
      <c r="G120" s="100" t="n">
        <f aca="false">G119/11</f>
        <v>2860.36363636364</v>
      </c>
      <c r="H120" s="95" t="n">
        <f aca="false">H119/11</f>
        <v>3.80909090909091</v>
      </c>
      <c r="I120" s="100" t="n">
        <f aca="false">I119/11</f>
        <v>4027.81818181818</v>
      </c>
      <c r="J120" s="100" t="n">
        <f aca="false">J119/11</f>
        <v>854.636363636364</v>
      </c>
      <c r="K120" s="113" t="n">
        <f aca="false">HARMEAN(K108:K118)</f>
        <v>47.9447812061113</v>
      </c>
      <c r="L120" s="113" t="n">
        <f aca="false">L119/11</f>
        <v>78.4020885520352</v>
      </c>
      <c r="M120" s="100" t="n">
        <f aca="false">M119/11</f>
        <v>15586.2727272727</v>
      </c>
      <c r="N120" s="100" t="n">
        <f aca="false">N119/11</f>
        <v>4056.07002489998</v>
      </c>
      <c r="O120" s="100" t="n">
        <f aca="false">O119/11</f>
        <v>3911.30681818182</v>
      </c>
      <c r="P120" s="100" t="n">
        <f aca="false">P119/11</f>
        <v>1035.56952061781</v>
      </c>
      <c r="Q120" s="95" t="n">
        <f aca="false">Q119/11</f>
        <v>23.7576907521737</v>
      </c>
      <c r="R120" s="114" t="n">
        <f aca="false">HARMEAN(R108:R118)</f>
        <v>46.7502478160606</v>
      </c>
      <c r="S120" s="115"/>
      <c r="AME120" s="117"/>
      <c r="AMF120" s="117"/>
      <c r="AMG120" s="3"/>
      <c r="AMH120" s="3"/>
      <c r="AMI120" s="3"/>
      <c r="AMJ120" s="3"/>
    </row>
    <row r="121" s="108" customFormat="true" ht="20.85" hidden="false" customHeight="true" outlineLevel="0" collapsed="false">
      <c r="A121" s="80"/>
      <c r="B121" s="83"/>
      <c r="C121" s="83"/>
      <c r="D121" s="83" t="s">
        <v>126</v>
      </c>
      <c r="E121" s="83" t="s">
        <v>127</v>
      </c>
      <c r="F121" s="83" t="s">
        <v>129</v>
      </c>
      <c r="G121" s="83" t="s">
        <v>129</v>
      </c>
      <c r="H121" s="83"/>
      <c r="I121" s="83" t="s">
        <v>129</v>
      </c>
      <c r="J121" s="83" t="s">
        <v>32</v>
      </c>
      <c r="K121" s="83" t="s">
        <v>11</v>
      </c>
      <c r="L121" s="83" t="s">
        <v>17</v>
      </c>
      <c r="M121" s="83" t="s">
        <v>129</v>
      </c>
      <c r="N121" s="83" t="s">
        <v>129</v>
      </c>
      <c r="O121" s="83" t="s">
        <v>130</v>
      </c>
      <c r="P121" s="83" t="s">
        <v>130</v>
      </c>
      <c r="Q121" s="83" t="s">
        <v>47</v>
      </c>
      <c r="R121" s="83" t="s">
        <v>47</v>
      </c>
      <c r="AMD121" s="109"/>
      <c r="AME121" s="109"/>
      <c r="AMF121" s="3"/>
      <c r="AMG121" s="3"/>
      <c r="AMH121" s="3"/>
      <c r="AMI121" s="3"/>
      <c r="AMJ121" s="3"/>
    </row>
    <row r="122" s="27" customFormat="true" ht="2.85" hidden="false" customHeight="true" outlineLevel="0" collapsed="false">
      <c r="A122" s="30"/>
      <c r="B122" s="30"/>
      <c r="C122" s="30"/>
      <c r="D122" s="32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AME122" s="33"/>
      <c r="AMF122" s="3"/>
      <c r="AMG122" s="3"/>
      <c r="AMH122" s="3"/>
      <c r="AMI122" s="3"/>
      <c r="AMJ122" s="3"/>
    </row>
    <row r="123" customFormat="false" ht="16.9" hidden="false" customHeight="true" outlineLevel="0" collapsed="false">
      <c r="Q123" s="51" t="s">
        <v>184</v>
      </c>
      <c r="R123" s="51"/>
      <c r="S123" s="51"/>
      <c r="AMD123" s="2"/>
      <c r="AME123" s="23"/>
    </row>
    <row r="124" customFormat="false" ht="16.9" hidden="false" customHeight="true" outlineLevel="0" collapsed="false">
      <c r="B124" s="118"/>
      <c r="C124" s="3"/>
      <c r="Q124" s="119" t="s">
        <v>185</v>
      </c>
      <c r="R124" s="119"/>
      <c r="S124" s="119"/>
      <c r="AMD124" s="2"/>
      <c r="AME124" s="23"/>
    </row>
    <row r="125" customFormat="false" ht="16.9" hidden="false" customHeight="true" outlineLevel="0" collapsed="false">
      <c r="B125" s="118"/>
      <c r="C125" s="3"/>
      <c r="Q125" s="120" t="n">
        <f aca="false">(N100+N119)/(D100+D119)*$B$4/1000000000</f>
        <v>87.5388196581491</v>
      </c>
      <c r="R125" s="121" t="s">
        <v>49</v>
      </c>
      <c r="S125" s="122" t="s">
        <v>186</v>
      </c>
    </row>
    <row r="126" customFormat="false" ht="16.9" hidden="false" customHeight="true" outlineLevel="0" collapsed="false">
      <c r="B126" s="118"/>
      <c r="C126" s="3"/>
      <c r="Q126" s="123" t="n">
        <f aca="false">Q125/(100-$B$6)*100</f>
        <v>138.950507393887</v>
      </c>
      <c r="R126" s="121" t="s">
        <v>49</v>
      </c>
      <c r="S126" s="122" t="s">
        <v>187</v>
      </c>
      <c r="AMD126" s="2"/>
      <c r="AME126" s="23"/>
    </row>
    <row r="127" customFormat="false" ht="16.9" hidden="false" customHeight="true" outlineLevel="0" collapsed="false">
      <c r="B127" s="118"/>
      <c r="C127" s="3"/>
    </row>
    <row r="128" customFormat="false" ht="16.9" hidden="false" customHeight="true" outlineLevel="0" collapsed="false">
      <c r="B128" s="86"/>
    </row>
    <row r="129" customFormat="false" ht="16.9" hidden="false" customHeight="true" outlineLevel="0" collapsed="false">
      <c r="B129" s="86"/>
    </row>
    <row r="130" customFormat="false" ht="16.9" hidden="false" customHeight="true" outlineLevel="0" collapsed="false">
      <c r="B130" s="86"/>
    </row>
    <row r="131" customFormat="false" ht="16.9" hidden="false" customHeight="true" outlineLevel="0" collapsed="false">
      <c r="B131" s="86"/>
    </row>
    <row r="132" customFormat="false" ht="16.9" hidden="false" customHeight="true" outlineLevel="0" collapsed="false">
      <c r="B132" s="86"/>
    </row>
    <row r="133" customFormat="false" ht="16.9" hidden="false" customHeight="true" outlineLevel="0" collapsed="false">
      <c r="B133" s="86"/>
    </row>
    <row r="134" customFormat="false" ht="16.9" hidden="false" customHeight="true" outlineLevel="0" collapsed="false">
      <c r="B134" s="86"/>
    </row>
    <row r="135" customFormat="false" ht="16.9" hidden="false" customHeight="true" outlineLevel="0" collapsed="false">
      <c r="B135" s="86"/>
    </row>
    <row r="136" customFormat="false" ht="16.9" hidden="false" customHeight="true" outlineLevel="0" collapsed="false">
      <c r="B136" s="86"/>
    </row>
    <row r="137" customFormat="false" ht="16.9" hidden="false" customHeight="true" outlineLevel="0" collapsed="false">
      <c r="B137" s="86"/>
    </row>
    <row r="138" customFormat="false" ht="16.9" hidden="false" customHeight="true" outlineLevel="0" collapsed="false">
      <c r="B138" s="86"/>
    </row>
    <row r="139" customFormat="false" ht="16.9" hidden="false" customHeight="true" outlineLevel="0" collapsed="false">
      <c r="B139" s="86"/>
    </row>
    <row r="140" customFormat="false" ht="16.9" hidden="false" customHeight="true" outlineLevel="0" collapsed="false">
      <c r="B140" s="86"/>
    </row>
    <row r="141" customFormat="false" ht="16.9" hidden="false" customHeight="true" outlineLevel="0" collapsed="false">
      <c r="B141" s="86"/>
    </row>
    <row r="142" customFormat="false" ht="16.9" hidden="false" customHeight="true" outlineLevel="0" collapsed="false">
      <c r="B142" s="86"/>
    </row>
    <row r="143" customFormat="false" ht="16.9" hidden="false" customHeight="true" outlineLevel="0" collapsed="false">
      <c r="B143" s="86"/>
    </row>
    <row r="144" customFormat="false" ht="16.9" hidden="false" customHeight="true" outlineLevel="0" collapsed="false">
      <c r="B144" s="124"/>
    </row>
    <row r="145" customFormat="false" ht="16.9" hidden="false" customHeight="true" outlineLevel="0" collapsed="false">
      <c r="B145" s="86"/>
    </row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">
    <mergeCell ref="A1:N1"/>
    <mergeCell ref="E23:L23"/>
    <mergeCell ref="E24:L24"/>
    <mergeCell ref="E25:L25"/>
    <mergeCell ref="B71:J71"/>
    <mergeCell ref="K71:S71"/>
    <mergeCell ref="B105:J105"/>
    <mergeCell ref="K105:S105"/>
    <mergeCell ref="Q123:S123"/>
    <mergeCell ref="Q124:S124"/>
  </mergeCells>
  <hyperlinks>
    <hyperlink ref="F3" r:id="rId1" display="https://www.energieheld.de/heizung/waermepumpe/kosten"/>
    <hyperlink ref="F6" r:id="rId2" display="https://heliogaia.de/9254_Gebaeudereport_dena_kompakt_2018.pdf"/>
    <hyperlink ref="F8" r:id="rId3" display="https://www.kesselheld.de/lebensdauer-waermepumpe/"/>
    <hyperlink ref="F9" r:id="rId4" display="https://www.kesselheld.de/lebensdauer-waermepumpe/"/>
    <hyperlink ref="F11" r:id="rId5" location="was_kostet_eine_erdwaermepumpe" display="https://www.enpal.de/magazin/waermepumpe-kosten#was_kostet_eine_erdwaermepumpe"/>
    <hyperlink ref="J11" r:id="rId6" display="https://www.heizungsfinder.de/waermepumpe/kosten-preise"/>
    <hyperlink ref="F13" r:id="rId7" display="https://www.energieheld.de/heizung/waermepumpe/kosten"/>
    <hyperlink ref="J13" r:id="rId8" display="https://www.heizungsfinder.de/waermepumpe/kosten-preise"/>
    <hyperlink ref="F14" r:id="rId9" display="https://www.energieheld.de/heizung/waermepumpe/kosten"/>
    <hyperlink ref="F15" r:id="rId10" display="https://www.ise.fraunhofer.de/content/dam/ise/de/downloads/pdf/Forschungsprojekte/BMWi-03ET1272A-WPsmart_im_Bestand-Schlussbericht.pdf"/>
    <hyperlink ref="F16" r:id="rId11" location="was_kostet_eine_erdwaermepumpe" display="https://www.enpal.de/magazin/waermepumpe-kosten#was_kostet_eine_erdwaermepumpe"/>
    <hyperlink ref="A46" r:id="rId12" display="https://wp-monitoring.ise.fraunhofer.de/wpqs-im-bestand/german/index/"/>
    <hyperlink ref="A48" r:id="rId13" display="https://wp-monitoring.ise.fraunhofer.de/wp-smart-im-bestand/download/Berichte/WP_im_Gebaeudebestand_Kurzfassung.pdf"/>
    <hyperlink ref="A55" r:id="rId14" display="https://wp-monitoring.ise.fraunhofer.de/wp-smart-im-bestand/download/Berichte/wp_effizienz_endbericht_langfassung.pdf"/>
    <hyperlink ref="A62" r:id="rId15" display="https://www.ise.fraunhofer.de/content/dam/ise/de/downloads/pdf/Forschungsprojekte/BMWi-03ET1272A-WPsmart_im_Bestand-Schlussbericht.pdf"/>
    <hyperlink ref="A71" r:id="rId16" display="https://wp-monitoring.ise.fraunhofer.de/wp-monitor-plus/german/index/messdaten.html"/>
    <hyperlink ref="A72" r:id="rId17" display="https://wp-monitoring.ise.fraunhofer.de/wp-smart-im-bestand/german/index/live_visu.html"/>
    <hyperlink ref="A74" r:id="rId18" display="https://wp-monitoring.ise.fraunhofer.de/wp-monitor-plus/ise/zza18/index.html"/>
    <hyperlink ref="A75" r:id="rId19" display="https://wp-monitoring.ise.fraunhofer.de/wp-monitor-plus/ise/zza23/index.html"/>
    <hyperlink ref="A76" r:id="rId20" display="https://wp-monitoring.ise.fraunhofer.de/wp-monitor-plus/ise/zza17/index.html"/>
    <hyperlink ref="A77" r:id="rId21" display="https://wp-monitoring.ise.fraunhofer.de/wp-monitor-plus/ise/zza20/index.html"/>
    <hyperlink ref="A78" r:id="rId22" display="https://wp-monitoring.ise.fraunhofer.de/wp-monitor-plus/ise/zza11/index.html"/>
    <hyperlink ref="A79" r:id="rId23" display="https://wp-monitoring.ise.fraunhofer.de/wp-monitor-plus/ise/zza19/index.html"/>
    <hyperlink ref="A80" r:id="rId24" display="https://wp-monitoring.ise.fraunhofer.de/wp-monitor-plus/ise/zza08/index.html"/>
    <hyperlink ref="A81" r:id="rId25" display="https://wp-monitoring.ise.fraunhofer.de/wp-monitor-plus/ise/zza03/index.html"/>
    <hyperlink ref="A82" r:id="rId26" display="https://wp-monitoring.ise.fraunhofer.de/monitoring/wpsmart/demo/44/"/>
    <hyperlink ref="A83" r:id="rId27" display="https://wp-monitoring.ise.fraunhofer.de/monitoring/wpsmart/demo/63/"/>
    <hyperlink ref="A84" r:id="rId28" display="https://wp-monitoring.ise.fraunhofer.de/monitoring/wpsmart/demo/59/"/>
    <hyperlink ref="A85" r:id="rId29" display="https://wp-monitoring.ise.fraunhofer.de/wp-monitor-plus/ise/zza12/index.html"/>
    <hyperlink ref="A86" r:id="rId30" display="https://wp-monitoring.ise.fraunhofer.de/wp-monitor-plus/ise/zza09/index.html"/>
    <hyperlink ref="A87" r:id="rId31" display="https://wp-monitoring.ise.fraunhofer.de/wp-monitor-plus/ise/zza14/index.html"/>
    <hyperlink ref="A88" r:id="rId32" display="https://wp-monitoring.ise.fraunhofer.de/wp-monitor-plus/ise/zza16/index.html"/>
    <hyperlink ref="A89" r:id="rId33" display="https://wp-monitoring.ise.fraunhofer.de/wp-monitor-plus/ise/zza22/index.html"/>
    <hyperlink ref="A90" r:id="rId34" display="https://wp-monitoring.ise.fraunhofer.de/wp-monitor-plus/ise/zza15/index.html"/>
    <hyperlink ref="A91" r:id="rId35" display="https://wp-monitoring.ise.fraunhofer.de/wp-monitor-plus/ise/zza21/index.html"/>
    <hyperlink ref="A92" r:id="rId36" display="https://wp-monitoring.ise.fraunhofer.de/monitoring/wpsmart/demo/47/"/>
    <hyperlink ref="A93" r:id="rId37" display="https://wp-monitoring.ise.fraunhofer.de/wp-monitor-plus/ise/zza25/index.html"/>
    <hyperlink ref="A94" r:id="rId38" display="https://wp-monitoring.ise.fraunhofer.de/wp-monitor-plus/ise/zza07/index.html"/>
    <hyperlink ref="A95" r:id="rId39" display="https://wp-monitoring.ise.fraunhofer.de/monitoring/wpsmart/demo/12/"/>
    <hyperlink ref="A96" r:id="rId40" display="https://wp-monitoring.ise.fraunhofer.de/monitoring/wpsmart/demo/18/"/>
    <hyperlink ref="A97" r:id="rId41" display="https://wp-monitoring.ise.fraunhofer.de/monitoring/wpsmart/demo/60/129"/>
    <hyperlink ref="A98" r:id="rId42" display="https://wp-monitoring.ise.fraunhofer.de/monitoring/wpsmart/demo/78/"/>
    <hyperlink ref="A99" r:id="rId43" display="https://wp-monitoring.ise.fraunhofer.de/wp-monitor-plus/ise/zza05/index.html"/>
    <hyperlink ref="A105" r:id="rId44" display="https://heizung-barthel.lu/_res/uploads/2017/10/PDF-Praxis-Test-Fraunhofer-Institut-Wie-wirtschaftlich-arbeiten-Weishaupt-Warmepumpen.pdf"/>
  </hyperlinks>
  <printOptions headings="false" gridLines="false" gridLinesSet="true" horizontalCentered="true" verticalCentered="true"/>
  <pageMargins left="0.236111111111111" right="0.157638888888889" top="0.157638888888889" bottom="0.157638888888889" header="0.511805555555555" footer="0.511805555555555"/>
  <pageSetup paperSize="9" scale="100" firstPageNumber="1" fitToWidth="1" fitToHeight="2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2022-12-13T19:57:05Z</dcterms:created>
  <dc:creator/>
  <dc:description/>
  <dc:language>de-DE</dc:language>
  <cp:lastModifiedBy/>
  <dcterms:modified xsi:type="dcterms:W3CDTF">2023-03-12T10:47:44Z</dcterms:modified>
  <cp:revision>71</cp:revision>
  <dc:subject/>
  <dc:title/>
</cp:coreProperties>
</file>