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e" sheetId="1" state="visible" r:id="rId2"/>
    <sheet name="t" sheetId="2" state="visible" r:id="rId3"/>
    <sheet name="h" sheetId="3" state="visible" r:id="rId4"/>
    <sheet name="u" sheetId="4" state="visible" r:id="rId5"/>
    <sheet name="s" sheetId="5" state="visible" r:id="rId6"/>
  </sheets>
  <calcPr refMode="A1" iterate="0" iterateCount="100" iterateDelta="0.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tc={51865848-22AF-0CF2-00B8-EC01B3B44148}</author>
    <author>tc={AE29D719-1BC3-5689-F671-0C7F00F4C071}</author>
    <author>tc={E9A40895-7ABA-4DD2-7DDF-BC2D530EBD2A}</author>
  </authors>
  <commentList>
    <comment ref="K6" authorId="0" xr:uid="{51865848-22AF-0CF2-00B8-EC01B3B44148}">
      <text>
        <r>
          <rPr>
            <b/>
            <sz val="9"/>
            <rFont val="Tahoma"/>
          </rPr>
          <t>danielwittig:</t>
        </r>
        <r>
          <rPr>
            <sz val="9"/>
            <rFont val="Tahoma"/>
          </rPr>
          <t xml:space="preserve">
eingefügt aus technischen Gründen, um die Bedeutung von Spalte F auszulesen. DW
</t>
        </r>
      </text>
    </comment>
    <comment ref="C98" authorId="1" xr:uid="{AE29D719-1BC3-5689-F671-0C7F00F4C071}">
      <text>
        <r>
          <rPr>
            <b/>
            <sz val="9"/>
            <rFont val="Tahoma"/>
          </rPr>
          <t>danielwittig:</t>
        </r>
        <r>
          <rPr>
            <sz val="9"/>
            <rFont val="Tahoma"/>
          </rPr>
          <t xml:space="preserve">
edit dw
</t>
        </r>
      </text>
    </comment>
    <comment ref="C99" authorId="2" xr:uid="{E9A40895-7ABA-4DD2-7DDF-BC2D530EBD2A}">
      <text>
        <r>
          <rPr>
            <b/>
            <sz val="9"/>
            <rFont val="Tahoma"/>
          </rPr>
          <t>danielwittig:</t>
        </r>
        <r>
          <rPr>
            <sz val="9"/>
            <rFont val="Tahoma"/>
          </rPr>
          <t xml:space="preserve">
edit dw
</t>
        </r>
      </text>
    </comment>
  </commentList>
</comments>
</file>

<file path=xl/sharedStrings.xml><?xml version="1.0" encoding="utf-8"?>
<sst xmlns="http://schemas.openxmlformats.org/spreadsheetml/2006/main" count="526" uniqueCount="526">
  <si>
    <t xml:space="preserve">Eingabe der Parameter: blaue Felder rechts</t>
  </si>
  <si>
    <t xml:space="preserve"> </t>
  </si>
  <si>
    <t>Ergebnisse:</t>
  </si>
  <si>
    <t>Tag</t>
  </si>
  <si>
    <t>Datum</t>
  </si>
  <si>
    <t xml:space="preserve">Endenergie (EE) Verbrauch  für Heizung &amp; Warmwasser</t>
  </si>
  <si>
    <t xml:space="preserve">Endenergie Direktbezug aus Kollektoren, am Saisonspeicher vorbei</t>
  </si>
  <si>
    <t xml:space="preserve">beim Verbraucher verfügbare EE aus innerörtlichen Kollektoren</t>
  </si>
  <si>
    <t xml:space="preserve">beim Verbraucher verfügbare EE aus  externen   Kollektoren</t>
  </si>
  <si>
    <t xml:space="preserve">sofort verbrauchter Anteil des innerörtlichen Kollektorgewinns </t>
  </si>
  <si>
    <t xml:space="preserve">sofort verbrauchter Anteil des externen Kollektorgewinns, als Fernwärme </t>
  </si>
  <si>
    <t xml:space="preserve">am Saisonspeicher verfügbare Wärme aus innerörtlichen Kollektoren</t>
  </si>
  <si>
    <t xml:space="preserve">am Saisonspeicher verfügbare Wärme aus externen Kollektoren</t>
  </si>
  <si>
    <t xml:space="preserve">Deckungsgrad, allein aus innerörtlichen Kollektoren</t>
  </si>
  <si>
    <t xml:space="preserve">Fernwärmebezug aus externem Kollektorfeld</t>
  </si>
  <si>
    <t xml:space="preserve">Fernwärmebezug aus Saisonspeicher</t>
  </si>
  <si>
    <t xml:space="preserve">Saisonspeicher Belastung</t>
  </si>
  <si>
    <t xml:space="preserve">Fernwärme Bezug</t>
  </si>
  <si>
    <t xml:space="preserve">Speicher laden</t>
  </si>
  <si>
    <t xml:space="preserve">Speicher Iinhalt</t>
  </si>
  <si>
    <t xml:space="preserve">Speicher Temperatur</t>
  </si>
  <si>
    <t xml:space="preserve">Maximal Minimal Temperatur im Saisonspeicher:   Jahr1 Jahr2</t>
  </si>
  <si>
    <t>Größe</t>
  </si>
  <si>
    <t>Wert</t>
  </si>
  <si>
    <t>Einheit</t>
  </si>
  <si>
    <t>Quelle/Bemerkung</t>
  </si>
  <si>
    <t>kWh/d/Kopf</t>
  </si>
  <si>
    <t>%</t>
  </si>
  <si>
    <t>kWh/Kopf</t>
  </si>
  <si>
    <t>°C</t>
  </si>
  <si>
    <t>Eingaben:</t>
  </si>
  <si>
    <t>Bevölkerung</t>
  </si>
  <si>
    <t>Personen</t>
  </si>
  <si>
    <t xml:space="preserve">Tabelle s in dieser Datei</t>
  </si>
  <si>
    <t xml:space="preserve">benötigte Endenergie für Heizung+Warmwasser(WW), sanierte Gebäude</t>
  </si>
  <si>
    <t>kWh/a/m²</t>
  </si>
  <si>
    <t>https://heliogaia.de/Heizspiegel-fuer-Deutschland-2018.pdf</t>
  </si>
  <si>
    <t xml:space="preserve">aus Quelle übernommen</t>
  </si>
  <si>
    <t xml:space="preserve">durchschnittliche Wohnfläche pro Kopf</t>
  </si>
  <si>
    <t>m²/Kopf</t>
  </si>
  <si>
    <t xml:space="preserve">Anteil der Nichtwohngebäude am Endenergieverbrauch</t>
  </si>
  <si>
    <r>
      <rPr>
        <sz val="8"/>
        <color indexed="4"/>
        <rFont val="Liberation Sans Narrow"/>
      </rPr>
      <t>https://heliogaia.de/9254_Gebaeudereport_dena_kompakt_2018.pdf</t>
    </r>
    <r>
      <rPr>
        <sz val="8"/>
        <rFont val="Liberation Sans Narrow"/>
      </rPr>
      <t xml:space="preserve">; S. 7</t>
    </r>
  </si>
  <si>
    <t xml:space="preserve">komplett mit Wärme versorgte Geschossfläche pro Kopf (Wohnung &amp; Gewerbe)</t>
  </si>
  <si>
    <t>m²</t>
  </si>
  <si>
    <t xml:space="preserve">errechnet aus Werten dieser Datei</t>
  </si>
  <si>
    <t xml:space="preserve">Die Zahl kann nach Erfordernis ausgetauscht werden</t>
  </si>
  <si>
    <t>Preis</t>
  </si>
  <si>
    <t xml:space="preserve">innerörtliche Dach- und Fassadenflächen für Kollektoren pro Kopf</t>
  </si>
  <si>
    <t xml:space="preserve">gesetzt; ansonsten Schätzungen über das lokale Flächenpotential verwenden</t>
  </si>
  <si>
    <t xml:space="preserve">dazu die mögliche Ausnutzung dieser innerörtlichen Flächen für Kollektoren</t>
  </si>
  <si>
    <t xml:space="preserve">gesetzt, Ränder und Zwischenräume </t>
  </si>
  <si>
    <t>€/a/Kopf</t>
  </si>
  <si>
    <t xml:space="preserve">außerhalb nötige Brutto-Kollektorfläche (ohne Aufstellungsumgebung)</t>
  </si>
  <si>
    <t xml:space="preserve">gesetzt; probieren, bis e.S6=ca.80°C und e.S7&gt;40°C, Vergleich auch mit t.D92</t>
  </si>
  <si>
    <t>bzw.</t>
  </si>
  <si>
    <t xml:space="preserve">Globalstrahlung im Dezember, langjähriges Mittel, Berlin </t>
  </si>
  <si>
    <t>kWh/m²</t>
  </si>
  <si>
    <t>https://www.dwd.de/DE/leistungen/solarenergie/strahlungskarten_sum.html?nn=16102</t>
  </si>
  <si>
    <t xml:space="preserve">Globalstrahlung im Juni, langjähriges Mittel, Berlin </t>
  </si>
  <si>
    <t xml:space="preserve">Jahresertrag der Röhrenkollektoren, Würzburg bei T=75°C: Ritter CPC XL 1921</t>
  </si>
  <si>
    <r>
      <rPr>
        <sz val="8"/>
        <color indexed="4"/>
        <rFont val="Liberation Sans Narrow"/>
      </rPr>
      <t>http://www.solarkeymark.nl/DBF/PDF_Downloads/DS_47.pdf</t>
    </r>
    <r>
      <rPr>
        <sz val="8"/>
        <rFont val="Liberation Sans Narrow"/>
      </rPr>
      <t xml:space="preserve">; S.2;Annual output per m2 gross area</t>
    </r>
  </si>
  <si>
    <t>Fremdenergie:</t>
  </si>
  <si>
    <t xml:space="preserve">Jahresertrag Flachkollektoren, Würzburg  bei T=50°C: SUNEX S.A. AMP 2.</t>
  </si>
  <si>
    <t>http://www.solarkeymark.nl/DBF/PDF_Downloads/DS_1575.pdf</t>
  </si>
  <si>
    <t xml:space="preserve">Anteil an Röhrenkollektoren</t>
  </si>
  <si>
    <t>gesetzt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</si>
  <si>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</si>
  <si>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</si>
  <si>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</si>
  <si>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Transportverluste beim Speicher-Laden aus innerörtlichen Kollektoren über Wärmenetz</t>
  </si>
  <si>
    <r>
      <rPr>
        <sz val="8"/>
        <color indexed="4"/>
        <rFont val="Liberation Sans Narrow"/>
      </rPr>
      <t>https://irp.cdn-website.com/d00f2507/files/uploaded/RisikenUndWirtschaftlichkeitVonNWP.pdf</t>
    </r>
    <r>
      <rPr>
        <sz val="8"/>
        <rFont val="Liberation Sans Narrow"/>
      </rPr>
      <t xml:space="preserve">; S. 10f</t>
    </r>
  </si>
  <si>
    <t xml:space="preserve">ext. Kollektorfeld</t>
  </si>
  <si>
    <t xml:space="preserve">Transportverluste Fernheizung</t>
  </si>
  <si>
    <t xml:space="preserve">gesetzt, vgl. h.R32 + u.M25   (=100-(100-h.R32)*(100-u.M25)/100); vgl t.D147</t>
  </si>
  <si>
    <t xml:space="preserve">Speicher Starttemperatur</t>
  </si>
  <si>
    <t>km</t>
  </si>
  <si>
    <t>Speichertiefe</t>
  </si>
  <si>
    <t>m</t>
  </si>
  <si>
    <t xml:space="preserve">gesetzt, abhängig von geologischen Gegebenheiten, möglichst die Zahl aus t.D104 wählen, ansonsten t.D105</t>
  </si>
  <si>
    <t>Speicherdurchmesser</t>
  </si>
  <si>
    <t xml:space="preserve">errechnet aus Zahlen dieser Datei (vergleiche: t.D106)</t>
  </si>
  <si>
    <t xml:space="preserve">mittlere Speicherverluste pro Jahr, bezogen auf die gespeicherte Wärme</t>
  </si>
  <si>
    <t xml:space="preserve">gesetzt, vergleiche t.F114:</t>
  </si>
  <si>
    <t xml:space="preserve">Wärmespeicherzahl für Erdboden</t>
  </si>
  <si>
    <t>kWh/m³/K</t>
  </si>
  <si>
    <t>https://heliogaia.de/Geothermisches_Potenzial_spezifische_Wärmeleitfähigkeit_und_spezifische_Entzugsleistung_Berlin_k218.pdf</t>
  </si>
  <si>
    <t xml:space="preserve">S.3 z.B. Boden 2,2 MJ/K/m³ /3,6</t>
  </si>
  <si>
    <t xml:space="preserve">daraus berechnet:</t>
  </si>
  <si>
    <t xml:space="preserve">Jahresmittelwert der täglichen Globalstrahlung</t>
  </si>
  <si>
    <t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</si>
  <si>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</si>
  <si>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</si>
  <si>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</si>
  <si>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</si>
  <si>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</si>
  <si>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>kWh/K/Kopf</t>
  </si>
  <si>
    <t xml:space="preserve">Globalstrahlung in einem Jahr, langjähriges Mittel, Berlin </t>
  </si>
  <si>
    <t>Jahressumme</t>
  </si>
  <si>
    <t>kWh/Kopf/a</t>
  </si>
  <si>
    <t>Direktverbrauch</t>
  </si>
  <si>
    <t xml:space="preserve">Szenario für Röbel und Umgebung</t>
  </si>
  <si>
    <t>Ort</t>
  </si>
  <si>
    <t>Status</t>
  </si>
  <si>
    <t>Einwohner</t>
  </si>
  <si>
    <t xml:space="preserve">Fläche der Siedlungen</t>
  </si>
  <si>
    <t xml:space="preserve">nach moderater Sanierung benötigte Wärme</t>
  </si>
  <si>
    <t>km²</t>
  </si>
  <si>
    <t>kWh/a</t>
  </si>
  <si>
    <t>GWh/a</t>
  </si>
  <si>
    <t>Röbel+</t>
  </si>
  <si>
    <t xml:space="preserve">Gemeindeverbund </t>
  </si>
  <si>
    <t>Merkmale:</t>
  </si>
  <si>
    <t xml:space="preserve">mehrere benachbarte Gemeinden;Kollektorfeld separat neben Saisonspeicher;Haupt- und Unterverteilungsleitungen; Volldeckung der Wärmelast für sanierte Gebäude (80 kWh/a/m²), ansonsten Teildeckung und zur Unterstützung BHKW; Heizperiode sind 180 Tage</t>
  </si>
  <si>
    <t xml:space="preserve">x= nicht verwendet</t>
  </si>
  <si>
    <t xml:space="preserve">Abschrei- bung in a</t>
  </si>
  <si>
    <t xml:space="preserve">Quelle/ Bemerkung</t>
  </si>
  <si>
    <t xml:space="preserve">Bemerkungen Zusätze</t>
  </si>
  <si>
    <t>Parametereingabe</t>
  </si>
  <si>
    <t xml:space="preserve">Übernahme aus Tabelle e.</t>
  </si>
  <si>
    <t xml:space="preserve">Eingabefelder blau</t>
  </si>
  <si>
    <t xml:space="preserve">Abschreibungsjahre für </t>
  </si>
  <si>
    <t xml:space="preserve">Datei: standardhaus001.ods</t>
  </si>
  <si>
    <t xml:space="preserve">https://heliogaia.de/9254_Gebaeudereport_dena_kompakt_2018.pdf; S.7</t>
  </si>
  <si>
    <t>x</t>
  </si>
  <si>
    <t xml:space="preserve">außerhalb zusätzlich nötige Brutto-Kollektorfläche ohne Aufstellungsumgebung</t>
  </si>
  <si>
    <t xml:space="preserve">Globalstrahlung im Dezember, langjähriges Mittel 1991...2020, Berlin</t>
  </si>
  <si>
    <t xml:space="preserve">Globalstrahlung im Juni, langjähriges Mittel 1991...2020, Berlin</t>
  </si>
  <si>
    <t xml:space="preserve">gesetzt, muss angepasst werden an geologische Gegebenheiten</t>
  </si>
  <si>
    <t xml:space="preserve">errechnet aus Zahlen dieser Datei</t>
  </si>
  <si>
    <t xml:space="preserve">mittlere Speicherverluste pro Jahr</t>
  </si>
  <si>
    <t xml:space="preserve">gesetzt, vergleiche t.F114</t>
  </si>
  <si>
    <r>
      <rPr>
        <sz val="8"/>
        <color indexed="4"/>
        <rFont val="Liberation Sans Narrow"/>
      </rPr>
      <t>https://heliogaia.de/Geothermisches_Potenzial_spezifische_Wärmeleitfähigkeit_und_spezifische_Entzugsleistung_Berlin_k218.pdf</t>
    </r>
    <r>
      <rPr>
        <sz val="8"/>
        <rFont val="Liberation Sans Narrow"/>
      </rPr>
      <t xml:space="preserve">; S.3 z.B. Boden 2,2 MJ/K/m³ /3,6</t>
    </r>
  </si>
  <si>
    <t xml:space="preserve">eingesetzt, entspricht 2200 kJ/m³/K</t>
  </si>
  <si>
    <t xml:space="preserve">errechnet aus dieser Datei</t>
  </si>
  <si>
    <t xml:space="preserve">weitere Parameter</t>
  </si>
  <si>
    <t>Allgemein</t>
  </si>
  <si>
    <t xml:space="preserve">besiedelte Fläche</t>
  </si>
  <si>
    <t>Tab.s.Q32</t>
  </si>
  <si>
    <t xml:space="preserve">Endenergie für Heizung+WW (Wohn-&amp;Nichtwohngebäude) nach moderater Sanierung</t>
  </si>
  <si>
    <t>kWh/a/Kopf</t>
  </si>
  <si>
    <t xml:space="preserve">Wärmeverbrauch unter 100 Grad (Haushalte,Gewerbe,Industrie)pro Kopf; BRD 2017</t>
  </si>
  <si>
    <t>www.umweltbundesamt.de/sites/default/files/medien/384/bilder/dateien/3_tab_energieverbrauch-eev-sektor-waermezwecke_2018-02-14.pdf</t>
  </si>
  <si>
    <t xml:space="preserve">Datei:  0_zahlen_energierelevant_eigene_zusammenstellung_BERLIN_BRD</t>
  </si>
  <si>
    <t xml:space="preserve">Endenergie nur für Warmwasser(WW) für alle Gebäude pro Kopf</t>
  </si>
  <si>
    <t>https://www.dena.de/fileadmin/dena/Bilder/Newsroom/Meldungen/2018Q2/Grafik-dena-Gebaeudereport-kompakt-2018-Endenergiebezogener-Gebaeudeenergieverbrauch.jpg</t>
  </si>
  <si>
    <t xml:space="preserve">möglicher Anteil an direkter Wärmeversorgung, am Speicher vorbei</t>
  </si>
  <si>
    <t xml:space="preserve">Tabelle e.D737</t>
  </si>
  <si>
    <t xml:space="preserve">Auslegungsleistung (Maximal nötige Heizleistung,saniert)</t>
  </si>
  <si>
    <t>kW/Kopf</t>
  </si>
  <si>
    <t xml:space="preserve">Nebenkosten der gesamten Anlage</t>
  </si>
  <si>
    <r>
      <rPr>
        <sz val="8"/>
        <color indexed="4"/>
        <rFont val="Liberation Sans Narrow"/>
      </rPr>
      <t>https://www-docs.b-tu.de/fg-bauoekonomie/public/Forschung/Publikationen/Kalusche-Wolfdietrich/2016/orientierungswerte.pdf</t>
    </r>
    <r>
      <rPr>
        <sz val="8"/>
        <rFont val="Liberation Sans Narrow"/>
      </rPr>
      <t xml:space="preserve">; S.5</t>
    </r>
  </si>
  <si>
    <t>Kollektoren</t>
  </si>
  <si>
    <t xml:space="preserve">Globalstrahlung Würzburg,langjähriges Mittel,Standort für Kollektorvergleich,Keymark</t>
  </si>
  <si>
    <t>https://www.dwd.de/DE/leistungen/solarenergie/strahlungskarten_mvs.html?nn=16102</t>
  </si>
  <si>
    <t xml:space="preserve">Maximal mögliche tägliche Globalstrahlung</t>
  </si>
  <si>
    <t>kWh/d/m²</t>
  </si>
  <si>
    <t xml:space="preserve">Forst, Juni 2019: 224 kWh/m²</t>
  </si>
  <si>
    <t xml:space="preserve">Bruttopreis der eingesetzten Röhrenkollektoren: Ritter CPC XL 1921</t>
  </si>
  <si>
    <t>€/m²</t>
  </si>
  <si>
    <t>[39]</t>
  </si>
  <si>
    <t>https://www.vergleich.org/vakuumroehrenkollektor/</t>
  </si>
  <si>
    <t xml:space="preserve">Bruttopreis der eingesetzten Flachkollektoren: SUNEX S.A. AMP 2.0</t>
  </si>
  <si>
    <t>[1]</t>
  </si>
  <si>
    <r>
      <rPr>
        <sz val="8"/>
        <color indexed="4"/>
        <rFont val="Liberation Sans Narrow"/>
      </rPr>
      <t>https://www.swissolar.ch/fileadmin/user_upload/Markterhebung/Marktumfrage_2017.pdf</t>
    </r>
    <r>
      <rPr>
        <sz val="8"/>
        <rFont val="Liberation Sans Narrow"/>
      </rPr>
      <t xml:space="preserve">; S.8 zur Lebensdauer</t>
    </r>
  </si>
  <si>
    <t xml:space="preserve">Brutto/netto-Faktor,externes Kollektorfeld</t>
  </si>
  <si>
    <t xml:space="preserve">(Verschattung vermeiden,Wege,Ränder)</t>
  </si>
  <si>
    <t xml:space="preserve">Brutto-Kosten für Montage und Installationsmaterial Kollektorfeld</t>
  </si>
  <si>
    <r>
      <rPr>
        <sz val="8"/>
        <color indexed="4"/>
        <rFont val="Liberation Sans Narrow"/>
      </rPr>
      <t>https://www.solaranlagen-portal.de/thermische-solaranlage/solarkollektor-preis.html</t>
    </r>
    <r>
      <rPr>
        <sz val="8"/>
        <rFont val="Liberation Sans Narrow"/>
      </rPr>
      <t xml:space="preserve">; Punkt 1.2: 3000€/16m²</t>
    </r>
  </si>
  <si>
    <t xml:space="preserve">Mengenrabatt Kollektoren und Installation</t>
  </si>
  <si>
    <t>Minderung</t>
  </si>
  <si>
    <t xml:space="preserve">Bodenrichtwert Kollektorfeld</t>
  </si>
  <si>
    <t>https://www.bodenrichtwerte-boris.de/borisde/?lang=de</t>
  </si>
  <si>
    <t xml:space="preserve">nötiger Pufferspeicher im Haus pro Person</t>
  </si>
  <si>
    <t>l/Kopf</t>
  </si>
  <si>
    <t xml:space="preserve">Preis der Pufferspeicher im Haus</t>
  </si>
  <si>
    <t>€/l</t>
  </si>
  <si>
    <r>
      <rPr>
        <sz val="8"/>
        <color indexed="4"/>
        <rFont val="Liberation Sans Narrow"/>
      </rPr>
      <t>https://www.solaranlagen-portal.de/thermische-solaranlage/solarkollektor-preis.html</t>
    </r>
    <r>
      <rPr>
        <sz val="8"/>
        <rFont val="Liberation Sans Narrow"/>
      </rPr>
      <t xml:space="preserve">; Punkt 1.2: 2000...3000€/600Liter</t>
    </r>
  </si>
  <si>
    <t>Saisonspeicher</t>
  </si>
  <si>
    <t xml:space="preserve">Wärmeleitwert Speicherumgebung</t>
  </si>
  <si>
    <t>W/m/K</t>
  </si>
  <si>
    <t xml:space="preserve">Wärmeleitwert, trockener sandiger Füllboden</t>
  </si>
  <si>
    <t xml:space="preserve">Grundwassergeschwindigkeit an Grundwasseroberfläche</t>
  </si>
  <si>
    <t>m/d</t>
  </si>
  <si>
    <t>eingesetzt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</si>
  <si>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</si>
  <si>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</si>
  <si>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</rPr>
      <t xml:space="preserve">hydraulische Leitfähigkeit k</t>
    </r>
    <r>
      <rPr>
        <vertAlign val="subscript"/>
        <sz val="8"/>
        <rFont val="Liberation Sans Narrow"/>
      </rPr>
      <t>f</t>
    </r>
    <r>
      <rPr>
        <sz val="8"/>
        <rFont val="Liberation Sans Narrow"/>
      </rPr>
      <t xml:space="preserve"> Speicher&amp;Umgebung</t>
    </r>
  </si>
  <si>
    <t>m/s</t>
  </si>
  <si>
    <t xml:space="preserve">diese Geschwindigkeit stellt sich ein bei 45°Grundwassergefälle</t>
  </si>
  <si>
    <t xml:space="preserve">mehrjährig gemittelte Niederschlagsmenge</t>
  </si>
  <si>
    <t>m/a</t>
  </si>
  <si>
    <t>https://de.wikipedia.org/wiki/Berlin</t>
  </si>
  <si>
    <t xml:space="preserve">mehrjährig gemittelte Lufttemperatur</t>
  </si>
  <si>
    <t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</si>
  <si>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</si>
  <si>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</si>
  <si>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</si>
  <si>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</si>
  <si>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</si>
  <si>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</si>
  <si>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</si>
  <si>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>Stück</t>
  </si>
  <si>
    <t xml:space="preserve">errechnet aus Tabelle t dieser Datei; je eine Bohrung oben und unten im Speichergrundwasser</t>
  </si>
  <si>
    <t xml:space="preserve">Länge aller Bohrungen</t>
  </si>
  <si>
    <t xml:space="preserve">errechnet aus Tabelle t dieser Datei</t>
  </si>
  <si>
    <t xml:space="preserve">Förderleistung eines Brunnens</t>
  </si>
  <si>
    <t>m³/h</t>
  </si>
  <si>
    <r>
      <rPr>
        <sz val="8"/>
        <rFont val="Liberation Sans Narrow"/>
      </rPr>
      <t xml:space="preserve">gesetzt, vgl.: </t>
    </r>
    <r>
      <rPr>
        <sz val="8"/>
        <color indexed="4"/>
        <rFont val="Liberation Sans Narrow"/>
      </rPr>
      <t>https://www.straelen.de/rathaus-politik/dienstleistungen/ver-und-entsorgung/wasserversorgung/</t>
    </r>
    <r>
      <rPr>
        <sz val="8"/>
        <rFont val="Liberation Sans Narrow"/>
      </rPr>
      <t xml:space="preserve">  ; Geschichte… 1979…</t>
    </r>
  </si>
  <si>
    <t xml:space="preserve">„1979 Bau eines Tiefenbrunnens...konnte die Förderkapazität um 150 m³/h ... erhöht werden.“</t>
  </si>
  <si>
    <t xml:space="preserve">Kosten für Aushub+Erdbewegung</t>
  </si>
  <si>
    <t>€/m³</t>
  </si>
  <si>
    <t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</si>
  <si>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</si>
  <si>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</si>
  <si>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</si>
  <si>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</si>
  <si>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</rPr>
      <t xml:space="preserve"> </t>
    </r>
    <r>
      <rPr>
        <sz val="8"/>
        <color indexed="4"/>
        <rFont val="Liberation Sans Narrow"/>
      </rPr>
      <t>https://books.google.de/books?id=hRmYJX_u7ykC&amp;printsec=frontcover&amp;hl=de#v=onepage&amp;q&amp;f=false</t>
    </r>
  </si>
  <si>
    <t xml:space="preserve">Kosten für Bohrungen pro m</t>
  </si>
  <si>
    <t>€/m</t>
  </si>
  <si>
    <r>
      <rPr>
        <sz val="8"/>
        <color indexed="4"/>
        <rFont val="Liberation Sans Narrow"/>
      </rPr>
      <t>https://www.my-hammer.de/preisradar/was-kostet-brunnen-bohren/</t>
    </r>
    <r>
      <rPr>
        <sz val="8"/>
        <rFont val="Liberation Sans Narrow"/>
      </rPr>
      <t xml:space="preserve"> </t>
    </r>
  </si>
  <si>
    <r>
      <rPr>
        <sz val="8"/>
        <rFont val="Liberation Sans Narrow"/>
      </rPr>
      <t xml:space="preserve">30...70 €/m;  </t>
    </r>
    <r>
      <rPr>
        <sz val="8"/>
        <color indexed="4"/>
        <rFont val="Liberation Sans Narrow"/>
      </rPr>
      <t>https://www.kesselheld.de/tiefenbohrung/</t>
    </r>
  </si>
  <si>
    <t xml:space="preserve">Mengenrabatt Bohren</t>
  </si>
  <si>
    <t xml:space="preserve">Kosten für Pufferspeicher am Saisonspeicher pro m³</t>
  </si>
  <si>
    <t xml:space="preserve">Pro_Keller_Broschuere_Kostenvergleich.pdf; Kostenschätzung anhand von Kellerbau</t>
  </si>
  <si>
    <r>
      <rPr>
        <sz val="8"/>
        <color indexed="4"/>
        <rFont val="Liberation Sans Narrow"/>
      </rPr>
      <t>https://cdn.website-start.de/proxy/apps/zook5o/uploads/gleichzwei/instances/BAEE886A-5189-4B80-BB0C-126AD8811398/wcinstances/epaper/7f303bab-bf8c-4d61-bc1d-dd8e2caed8b8/pdf/181231_pro_keller_broschuere_einzelseiten_WEB.pdf</t>
    </r>
    <r>
      <rPr>
        <sz val="8"/>
        <rFont val="Liberation Sans Narrow"/>
      </rPr>
      <t xml:space="preserve"> </t>
    </r>
  </si>
  <si>
    <t xml:space="preserve">Kosten Technikgebäude am Speicherrand</t>
  </si>
  <si>
    <t>€</t>
  </si>
  <si>
    <t>Schätzung</t>
  </si>
  <si>
    <t>Verteilung</t>
  </si>
  <si>
    <t xml:space="preserve">Kosten Hauptverteilung Kanal mit Rohren</t>
  </si>
  <si>
    <r>
      <rPr>
        <sz val="8"/>
        <color indexed="4"/>
        <rFont val="Liberation Sans Narrow"/>
      </rPr>
      <t>https://enerko.de/wp-content/uploads/2020/01/191212-Kurzbericht-FW-Schiene-Rheinland.pdf</t>
    </r>
    <r>
      <rPr>
        <sz val="8"/>
        <rFont val="Liberation Sans Narrow"/>
      </rPr>
      <t xml:space="preserve"> S.9 u.a. 500...1000€/m</t>
    </r>
  </si>
  <si>
    <t xml:space="preserve">Kosten Unterverteilung Kanal mit Rohren</t>
  </si>
  <si>
    <t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</si>
  <si>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</si>
  <si>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</si>
  <si>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</si>
  <si>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Kosten Wärmetauscher (Doppelnutzg.Speicher-Fernwärme,Kollektoren-Speicher)</t>
  </si>
  <si>
    <t>€/kW</t>
  </si>
  <si>
    <t xml:space="preserve">ebay, Datei: wärmetauscher_preise.ods</t>
  </si>
  <si>
    <t xml:space="preserve">Wirkungsgrad Umwälzpumpen</t>
  </si>
  <si>
    <t>https://www.ksb.com/de-global/kreiselpumpenlexikon/artikel/pumpenwirkungsgrad-1074676</t>
  </si>
  <si>
    <t xml:space="preserve">Kosten der Umwälzpumpen</t>
  </si>
  <si>
    <t>http://seitzpumpen.homepage.t-online.de/PDF-Dateien/Preisliste/NM.pdf</t>
  </si>
  <si>
    <t xml:space="preserve">Datei: preisfunktion_pumpen.ods</t>
  </si>
  <si>
    <t xml:space="preserve">Investitionskosten für Heizkraftwerk</t>
  </si>
  <si>
    <r>
      <rPr>
        <sz val="8"/>
        <color indexed="4"/>
        <rFont val="Liberation Sans Narrow"/>
      </rPr>
      <t>https://www.ier.uni-stuttgart.de/publikationen/arbeitsberichte/downloads/Arbeitsbericht_04.pdf</t>
    </r>
    <r>
      <rPr>
        <sz val="8"/>
        <rFont val="Liberation Sans Narrow"/>
      </rPr>
      <t xml:space="preserve">; inflationsbereinigt 0,48*1,02^10=0,585</t>
    </r>
  </si>
  <si>
    <r>
      <rPr>
        <sz val="8"/>
        <rFont val="Liberation Sans Narrow"/>
      </rPr>
      <t xml:space="preserve">vgl. auch </t>
    </r>
    <r>
      <rPr>
        <sz val="8"/>
        <color indexed="4"/>
        <rFont val="Liberation Sans Narrow"/>
      </rPr>
      <t>https://enerko.de/wp-content/uploads/2015/06/Endbericht_GKK_Kiel.pdf</t>
    </r>
    <r>
      <rPr>
        <sz val="8"/>
        <rFont val="Liberation Sans Narrow"/>
      </rPr>
      <t xml:space="preserve">; S.96</t>
    </r>
  </si>
  <si>
    <t>Berechnungen</t>
  </si>
  <si>
    <t>BHKW</t>
  </si>
  <si>
    <t xml:space="preserve">erforderliche Zusatzleistung Blockheizkraftwerk (BHKW) thermisch</t>
  </si>
  <si>
    <t xml:space="preserve">MW thermisch</t>
  </si>
  <si>
    <t xml:space="preserve">Wirkungsgrad BHKW</t>
  </si>
  <si>
    <r>
      <rPr>
        <sz val="8"/>
        <color indexed="4"/>
        <rFont val="Liberation Sans Narrow"/>
      </rPr>
      <t>https://www.ier.uni-stuttgart.de/publikationen/arbeitsberichte/downloads/Arbeitsbericht_04.pdf</t>
    </r>
    <r>
      <rPr>
        <sz val="8"/>
        <rFont val="Liberation Sans Narrow"/>
      </rPr>
      <t xml:space="preserve">; bis 60%</t>
    </r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</si>
  <si>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</si>
  <si>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</si>
  <si>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</si>
  <si>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Millionen €</t>
  </si>
  <si>
    <t xml:space="preserve">Leistung Wärmetauscher am Saisonspeicher</t>
  </si>
  <si>
    <t xml:space="preserve">kW </t>
  </si>
  <si>
    <t>Kollektorfelder</t>
  </si>
  <si>
    <t xml:space="preserve">Kollektorfläche brutto, optimal orientiert, ohne Aufstellungsumgebung</t>
  </si>
  <si>
    <t xml:space="preserve">Kollektorfläche brutto pro Kopf</t>
  </si>
  <si>
    <t xml:space="preserve">Kollektorfläche brutto, innerörtlich möglich</t>
  </si>
  <si>
    <t xml:space="preserve">Kollektorfläche brutto, extern nötig</t>
  </si>
  <si>
    <t xml:space="preserve">vgl. Zelle e.V11</t>
  </si>
  <si>
    <t xml:space="preserve">externe Kollektorfeldfläche (brutto+ Aufstellungsumgebung)</t>
  </si>
  <si>
    <t xml:space="preserve">Seitenlänge für ein quadratisches Kollektorfeld</t>
  </si>
  <si>
    <t xml:space="preserve">Anteil dieser Kollektorfeldfläche an gesamter Siedlungsfläche</t>
  </si>
  <si>
    <t xml:space="preserve">externe Kollektorfeldfläche (brutto+Aufstellungsumgebung)/pro Kopf</t>
  </si>
  <si>
    <t xml:space="preserve">Saisonspeicher, BHKW</t>
  </si>
  <si>
    <t xml:space="preserve">Jahreswärmebedarf (Wohn+Nichtwohn,Heizg.+WW), saniert,+Verlustausgleich JWBwnhwsv</t>
  </si>
  <si>
    <t xml:space="preserve">eingeplante Verluste: Fernwärmeverteilung, Saisonspeicher</t>
  </si>
  <si>
    <t xml:space="preserve">Vom Jahreswärmebedarf JWBwnhwsv müssen gespeichert werden</t>
  </si>
  <si>
    <t xml:space="preserve">Wärmebedarf bis100 Grad 2017 (Haushalte,Gewerbe,Industrie)+Verlustausgleich</t>
  </si>
  <si>
    <t xml:space="preserve">BRD-Durchschnitt 2017; für die gegebene Bevölkerungszahl</t>
  </si>
  <si>
    <t xml:space="preserve">thermische Auslegungsleistung Blockheizkraftwerk</t>
  </si>
  <si>
    <t xml:space="preserve">Faktor 2 wegen Auslegungsleistung (erwartetes Leistungsmaximum im Jahreslauf) </t>
  </si>
  <si>
    <t>SpeicherVolumen</t>
  </si>
  <si>
    <t>m³</t>
  </si>
  <si>
    <t xml:space="preserve">errechnet aus dem Speicherbedarf in D99</t>
  </si>
  <si>
    <t>Speicher</t>
  </si>
  <si>
    <t xml:space="preserve">Tiefe für eine minimale Gesamtoberfläche; Tiefe = Durchmesser</t>
  </si>
  <si>
    <t xml:space="preserve">errechnet aus Volumen in D103 bei minimaler Oberfläche;  diese Tiefe sollte gewählt und in e.V22 sowie D105 eingesetzt werden, falls es geologische Gegebenheiten zulassen</t>
  </si>
  <si>
    <t xml:space="preserve">Möglichkeit zur Eingabe einer anderen Speichertiefe</t>
  </si>
  <si>
    <t xml:space="preserve">gesetzt, mit dieser Tiefe wird weiter gerechnet; Standardeintrag kommt aus D104 bzw. e.V22</t>
  </si>
  <si>
    <t xml:space="preserve">als SpeicherDurchmesser ergibt sich nach der Vorgabe der Tiefe in D105:</t>
  </si>
  <si>
    <t xml:space="preserve">errechnet aus D105</t>
  </si>
  <si>
    <t>SpeicherDeckfläche</t>
  </si>
  <si>
    <t xml:space="preserve">Anteil der Speicherdeckfläche an gesamter Siedlungsfläche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</si>
  <si>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</si>
  <si>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</si>
  <si>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</si>
  <si>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</si>
  <si>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</si>
  <si>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</si>
  <si>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</si>
  <si>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</si>
  <si>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</si>
  <si>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Wohngebäude im Plangebiet dieser Tabelle</t>
  </si>
  <si>
    <t>Gebäude</t>
  </si>
  <si>
    <t xml:space="preserve">mittlere zu einem Gebäude gehörige Siedlungsfläche</t>
  </si>
  <si>
    <t xml:space="preserve">mittlere Seitenlänge des einem Gebäude zugeordneten Flächenstückes</t>
  </si>
  <si>
    <t xml:space="preserve">mittlere Länge eines Unterverteilungszweiges</t>
  </si>
  <si>
    <t xml:space="preserve">m </t>
  </si>
  <si>
    <t xml:space="preserve">mittlere Anzahl der Grundstücke an einem Unterverteilungszweig</t>
  </si>
  <si>
    <t>Grundst./Zw.</t>
  </si>
  <si>
    <t xml:space="preserve">Anzahl der Unterverteilungszweige</t>
  </si>
  <si>
    <t>Zweige</t>
  </si>
  <si>
    <t xml:space="preserve">mittlere Anzahl Bewohner je Gebäude</t>
  </si>
  <si>
    <t xml:space="preserve">mittlere Leistung je Gebäude (saniert)</t>
  </si>
  <si>
    <t>kW</t>
  </si>
  <si>
    <t xml:space="preserve">Auslegungsleistung je Gebäude (saniert)</t>
  </si>
  <si>
    <t>Unterverteilung</t>
  </si>
  <si>
    <t xml:space="preserve">Gesamtlänge aller Unterverteilungszweige (jeweils 3 Leitungen)</t>
  </si>
  <si>
    <t xml:space="preserve">Länge Unterverteilungstrasse pro Kopf</t>
  </si>
  <si>
    <t>m/Kopf</t>
  </si>
  <si>
    <t xml:space="preserve">mittlere Leistungsaufnahme aller Pumpen der Unterverteilung</t>
  </si>
  <si>
    <t xml:space="preserve">Auslegungsleistung aller Pumpen der Unterverteilung</t>
  </si>
  <si>
    <t xml:space="preserve">Jahreswärmeverluste der Unterverteilung</t>
  </si>
  <si>
    <t>Hauptverteilung</t>
  </si>
  <si>
    <t xml:space="preserve">Gesamtlänge aller Hauptverteilungstrassen (jeweils 3 Leitungen)</t>
  </si>
  <si>
    <t xml:space="preserve">Länge der Hauptverteilungstrassen pro Kopf</t>
  </si>
  <si>
    <t xml:space="preserve">mittlere Leistungsaufnahme aller Pumpen der Hauptverteilung</t>
  </si>
  <si>
    <t xml:space="preserve">Auslegungsleistung aller Pumpen der Hauptverteilung</t>
  </si>
  <si>
    <t xml:space="preserve">Jahreswärmeverluste der Hauptverteilung</t>
  </si>
  <si>
    <t xml:space="preserve">Verteilung gesamt</t>
  </si>
  <si>
    <t xml:space="preserve">mittlere Leistungsaufnahme aller Pumpen der gesamten Verteilung</t>
  </si>
  <si>
    <t xml:space="preserve">Auslegungsleistung aller Pumpen der gesamten Verteilung</t>
  </si>
  <si>
    <t xml:space="preserve">mittlere Leistungsaufnahme aller Verteilerpumpen pro Kopf</t>
  </si>
  <si>
    <t>W/Kopf</t>
  </si>
  <si>
    <t xml:space="preserve">Auslegungsleistung aller Verteilerpumpen pro Kopf</t>
  </si>
  <si>
    <t xml:space="preserve">Jahresenergieverbrauch der Verteilerpumpen</t>
  </si>
  <si>
    <t xml:space="preserve">Jahresenergieverbrauch der Verteilerpumpen pro Kopf</t>
  </si>
  <si>
    <t xml:space="preserve">Jahreswärmeverlust im Fernwärmenetz</t>
  </si>
  <si>
    <t xml:space="preserve">Jahreswärmeverlust im Fernwärmenetz pro Kopf</t>
  </si>
  <si>
    <t xml:space="preserve">Jahreswärmeverlust im Fernwärmenetz bezüglich ins Netz eingespeister Wärme</t>
  </si>
  <si>
    <t xml:space="preserve">vergleiche h.R32+u.M25</t>
  </si>
  <si>
    <t xml:space="preserve">Jahresverbrauch der Pumpen für Fernheizverteilung und Kollektorfeld</t>
  </si>
  <si>
    <t xml:space="preserve">Jahresverbrauch der Pumpen für Fernheizverteilung und Kollektoren pro Kopf</t>
  </si>
  <si>
    <t xml:space="preserve">Jahresverbrauch der Pumpen für Verteil. u. Koll. bezüglich gelieferter Wärme</t>
  </si>
  <si>
    <t>Verluste</t>
  </si>
  <si>
    <t xml:space="preserve">Jahreswärmeverlust durch Speicherung</t>
  </si>
  <si>
    <t xml:space="preserve">Gesamtverluste durch Speicherung und Verteilung</t>
  </si>
  <si>
    <t xml:space="preserve">Jahreswärmeverlust durch Verteilung</t>
  </si>
  <si>
    <t xml:space="preserve">Gesamtverluste durch Speicherung und Verteilung bezüglich bereitgestellter Energie</t>
  </si>
  <si>
    <t>Kosten</t>
  </si>
  <si>
    <t>Tarife</t>
  </si>
  <si>
    <t>Gastarif</t>
  </si>
  <si>
    <t>€/kWh</t>
  </si>
  <si>
    <t xml:space="preserve">Stromtarif, Bezug</t>
  </si>
  <si>
    <t xml:space="preserve">Stromtarif, Einspeisung</t>
  </si>
  <si>
    <t xml:space="preserve">Wartung Heizung</t>
  </si>
  <si>
    <t>€/a/Haushalt</t>
  </si>
  <si>
    <t>https://www.heizspiegel.de/heizkosten-senken/heizungswartung/</t>
  </si>
  <si>
    <t xml:space="preserve">hier pro Anschluss gerechnet</t>
  </si>
  <si>
    <t>Investition</t>
  </si>
  <si>
    <t xml:space="preserve">Saisonspeicher, Abdeckung</t>
  </si>
  <si>
    <t xml:space="preserve">Saisonspeicher, Bohrungen</t>
  </si>
  <si>
    <t xml:space="preserve">Saisonspeicher, Schlitzwand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</si>
  <si>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</si>
  <si>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</si>
  <si>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</si>
  <si>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</si>
  <si>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</si>
  <si>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</si>
  <si>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</si>
  <si>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</si>
  <si>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</si>
  <si>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</si>
  <si>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</si>
  <si>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</si>
  <si>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</si>
  <si>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</si>
  <si>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</si>
  <si>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</si>
  <si>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</si>
  <si>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</si>
  <si>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</si>
  <si>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</si>
  <si>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</si>
  <si>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1,97  Personen pro Haushalt, Bundesdurchschnitt</t>
  </si>
  <si>
    <t>Investitionskosten</t>
  </si>
  <si>
    <t xml:space="preserve">das sind </t>
  </si>
  <si>
    <t xml:space="preserve">der Gesamtkosten</t>
  </si>
  <si>
    <t xml:space="preserve">Investition für die gesamte Anlage</t>
  </si>
  <si>
    <t>brutto</t>
  </si>
  <si>
    <t>Wärmetauscher</t>
  </si>
  <si>
    <t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</si>
  <si>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</si>
  <si>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</si>
  <si>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80kWh/a/m²</t>
  </si>
  <si>
    <t xml:space="preserve">bei eingepreistem Fremdenergieeinsatz von nur noch</t>
  </si>
  <si>
    <t xml:space="preserve">bisher in Deutschland pro Jahr für Gebäudeenergie ausgegeben:  65.000.000.000 €/a; das sind 785 €/a/Kopf</t>
  </si>
  <si>
    <t xml:space="preserve">Hauptverteilung, erdverlegt</t>
  </si>
  <si>
    <t>Gruppe</t>
  </si>
  <si>
    <t xml:space="preserve">lfd. Nr.</t>
  </si>
  <si>
    <t xml:space="preserve">Einwohner, Schätzung nach Wohngebäuden</t>
  </si>
  <si>
    <t>Leitungsverluste</t>
  </si>
  <si>
    <t>Bollewick</t>
  </si>
  <si>
    <t xml:space="preserve">Leitung entsprechend korrigieren</t>
  </si>
  <si>
    <t>Bütow</t>
  </si>
  <si>
    <t xml:space="preserve">Dambeck(zu Bütow)</t>
  </si>
  <si>
    <t>Gotthun</t>
  </si>
  <si>
    <t xml:space="preserve">Groß Kelle</t>
  </si>
  <si>
    <t>Leizen</t>
  </si>
  <si>
    <t>Ludorf</t>
  </si>
  <si>
    <t xml:space="preserve">Minzow(zu Leizen)</t>
  </si>
  <si>
    <t>Röbel/Müritz</t>
  </si>
  <si>
    <t>Summe/Durchschnitt</t>
  </si>
  <si>
    <t>Rohr-Dämmung</t>
  </si>
  <si>
    <t>mit</t>
  </si>
  <si>
    <t xml:space="preserve">Normgeschwindigkeit in Hauptverteilung</t>
  </si>
  <si>
    <t xml:space="preserve">Leitungsnummer laut Karte</t>
  </si>
  <si>
    <t xml:space="preserve">versorgte Bewohner</t>
  </si>
  <si>
    <t>Trassenlänge</t>
  </si>
  <si>
    <t>Normalleistung</t>
  </si>
  <si>
    <t>Auslegungsleistung</t>
  </si>
  <si>
    <t xml:space="preserve">Leitungsdurchmesser innen</t>
  </si>
  <si>
    <t xml:space="preserve">Druckverlust auf Vorlaufleitung bei Normalleistung</t>
  </si>
  <si>
    <t xml:space="preserve">Druckverlust auf Vorlaufleitung bei Auslegungsleistung</t>
  </si>
  <si>
    <t xml:space="preserve">Leistungsaufnahme der Pumpen bei Normalleistung, Vor- und Rücklauf</t>
  </si>
  <si>
    <t xml:space="preserve">Leistungsaufnahme der Pumpen bei Auslegungsleistung, Vor- und Rücklauf</t>
  </si>
  <si>
    <t xml:space="preserve">Jahresenergieverbrauch aller Pumpen in Hauptverteilung</t>
  </si>
  <si>
    <t xml:space="preserve">Verweildauer im Vorlauf bei Normalleistung</t>
  </si>
  <si>
    <t xml:space="preserve">Verweildauer im Vorlauf bei Auslegungsleistung</t>
  </si>
  <si>
    <t xml:space="preserve">Leistungsverlust Vor+ Rücklauf</t>
  </si>
  <si>
    <t>Wärmeverluste</t>
  </si>
  <si>
    <t xml:space="preserve">Wärmeverluste pro übertragene Wärme</t>
  </si>
  <si>
    <t>Durchleitungsfaktor</t>
  </si>
  <si>
    <t>bar</t>
  </si>
  <si>
    <t>h</t>
  </si>
  <si>
    <t xml:space="preserve">Summen/ Ergebnisse</t>
  </si>
  <si>
    <t xml:space="preserve">Unterverteilung, erdverlegt</t>
  </si>
  <si>
    <t xml:space="preserve">Eingaben: Eingabefelder blau</t>
  </si>
  <si>
    <t xml:space="preserve">mittlere Zweiglänge</t>
  </si>
  <si>
    <t xml:space="preserve">Fläche pro zu heizendes Gebäude (Wohn-und Gewerbegebäude)</t>
  </si>
  <si>
    <t>Grundstückslänge</t>
  </si>
  <si>
    <t xml:space="preserve">Norm-Geschwindigkeit des Wärmeträgers in Unterverteilung (UV)</t>
  </si>
  <si>
    <t xml:space="preserve">Geschwindigkeit des Wärmeträgers bei Auslegungsleistung in UV</t>
  </si>
  <si>
    <t xml:space="preserve">Temperatur Vorlauf</t>
  </si>
  <si>
    <t xml:space="preserve">Temperaturdifferenz, Spreizung (Vor- und Rücklauf)</t>
  </si>
  <si>
    <t xml:space="preserve">Rohr-Dämmung, Stärke</t>
  </si>
  <si>
    <t xml:space="preserve">Rohr-Dämmung, Leitwert</t>
  </si>
  <si>
    <t xml:space="preserve">Druckabfall, Pumpleistung und Wärmeverlust bei Auslegungsleistung in einem Zweig (einmal reduziert)</t>
  </si>
  <si>
    <t xml:space="preserve">Abschnittnummer im Zweig</t>
  </si>
  <si>
    <t xml:space="preserve">endet bei Meter</t>
  </si>
  <si>
    <t xml:space="preserve">Gebäudeanzahl bis Abschnittende</t>
  </si>
  <si>
    <t xml:space="preserve">Auslegungsleistung zu Beginn des Abschnittes</t>
  </si>
  <si>
    <t>Leitungsinnendurchmesser</t>
  </si>
  <si>
    <t xml:space="preserve">Druckabfall pro m</t>
  </si>
  <si>
    <t xml:space="preserve">Druckabfall am Abschnitt, Doppelleitung</t>
  </si>
  <si>
    <t xml:space="preserve">Leistungsaufnahme der Pumpen, Vor- und Rücklauf</t>
  </si>
  <si>
    <t xml:space="preserve">Verweildauer im Vorlauf</t>
  </si>
  <si>
    <t>Jahreswärmeverluste</t>
  </si>
  <si>
    <t xml:space="preserve">Wärmeverlust relativ</t>
  </si>
  <si>
    <t>s</t>
  </si>
  <si>
    <t>Gesamtzweig</t>
  </si>
  <si>
    <t xml:space="preserve">Druckabfall, Pumpleistung und Wärmeverlust bei Normleistung in einem Zweig (einmal reduziert)</t>
  </si>
  <si>
    <t xml:space="preserve">Normleistung zu Beginn des Abschnittes</t>
  </si>
  <si>
    <t xml:space="preserve">Druckabfall am Abschnitt Doppelleitung</t>
  </si>
  <si>
    <t>Bild</t>
  </si>
  <si>
    <t>Nr.</t>
  </si>
  <si>
    <t xml:space="preserve">Einwohner aus Quelle</t>
  </si>
  <si>
    <t xml:space="preserve">Einwohner errechnet</t>
  </si>
  <si>
    <t xml:space="preserve">Einwohner favorisiert</t>
  </si>
  <si>
    <t xml:space="preserve">verwendete Einwohnerzahl</t>
  </si>
  <si>
    <t>Gewerbegebäude</t>
  </si>
  <si>
    <t>Wohngebäude</t>
  </si>
  <si>
    <t>Nebengebäude</t>
  </si>
  <si>
    <t>Pixel</t>
  </si>
  <si>
    <t xml:space="preserve">50m=35pix=2; 30m=42pix=1</t>
  </si>
  <si>
    <t>Summe</t>
  </si>
  <si>
    <t>Quellen</t>
  </si>
  <si>
    <t>https://de.wikipedia.org/wiki/Bollewick</t>
  </si>
  <si>
    <t xml:space="preserve">Amt: </t>
  </si>
  <si>
    <t>Röbel-Müritz</t>
  </si>
  <si>
    <t xml:space="preserve">Höhe: </t>
  </si>
  <si>
    <t xml:space="preserve">86 m ü. NHN</t>
  </si>
  <si>
    <t xml:space="preserve">Fläche: </t>
  </si>
  <si>
    <t xml:space="preserve">26,69 km2</t>
  </si>
  <si>
    <t xml:space="preserve">Einwohner: </t>
  </si>
  <si>
    <t xml:space="preserve">641 (31. Dez. 2018)[1]</t>
  </si>
  <si>
    <t xml:space="preserve">Bevölkerungsdichte: </t>
  </si>
  <si>
    <t xml:space="preserve">24 Einwohner je km2</t>
  </si>
  <si>
    <t xml:space="preserve">Postleitzahl: </t>
  </si>
  <si>
    <t xml:space="preserve">Vorwahl: </t>
  </si>
  <si>
    <t>https://de.wikipedia.org/wiki/Bütow</t>
  </si>
  <si>
    <t>Bütow/Dammbeck</t>
  </si>
  <si>
    <t xml:space="preserve">78 m ü. NHN</t>
  </si>
  <si>
    <t xml:space="preserve">26,32 km2</t>
  </si>
  <si>
    <t xml:space="preserve">452 (31. Dez. 2018)[1]</t>
  </si>
  <si>
    <t xml:space="preserve">17 Einwohner je km2</t>
  </si>
  <si>
    <t>https://de.wikipedia.org/wiki/Gotthun</t>
  </si>
  <si>
    <t xml:space="preserve">68 m ü. NHN</t>
  </si>
  <si>
    <t xml:space="preserve">10 km2</t>
  </si>
  <si>
    <t xml:space="preserve">317 (31. Dez. 2018)[1]</t>
  </si>
  <si>
    <t xml:space="preserve">32 Einwohner je km2</t>
  </si>
  <si>
    <t>https://de.wikipedia.org/wiki/Groß_Kelle</t>
  </si>
  <si>
    <t>Bewohner/Wohngebäude</t>
  </si>
  <si>
    <t xml:space="preserve">Fläche pro Wohngebäude</t>
  </si>
  <si>
    <t xml:space="preserve">80 m ü. NHN</t>
  </si>
  <si>
    <t xml:space="preserve">6,68 km2</t>
  </si>
  <si>
    <t xml:space="preserve">103 (31. Dez. 2018)[1]</t>
  </si>
  <si>
    <t xml:space="preserve">15 Einwohner je km2</t>
  </si>
  <si>
    <t>https://de.wikipedia.org/wiki/Leizen</t>
  </si>
  <si>
    <t>Leizen/Minzow</t>
  </si>
  <si>
    <t xml:space="preserve">73 m ü. NHN</t>
  </si>
  <si>
    <t xml:space="preserve">27,75 km2</t>
  </si>
  <si>
    <t xml:space="preserve">480 (31. Dez. 2018)[1]</t>
  </si>
  <si>
    <t>https://de.wikipedia.org/wiki/Ludorf</t>
  </si>
  <si>
    <t xml:space="preserve">Gemeinde Südmüritz</t>
  </si>
  <si>
    <t xml:space="preserve">Koordinaten: 53° 22′ 59″ N, 12° 40′ 0″ O | OSM</t>
  </si>
  <si>
    <t xml:space="preserve">64 m ü. NHN</t>
  </si>
  <si>
    <t xml:space="preserve">48,37 km²</t>
  </si>
  <si>
    <t xml:space="preserve">481 (31. Dez. 2017)[1]</t>
  </si>
  <si>
    <t xml:space="preserve">10 Einwohner/km²</t>
  </si>
  <si>
    <t xml:space="preserve">Eingemeindung: </t>
  </si>
  <si>
    <t xml:space="preserve">26. Mai 2019</t>
  </si>
  <si>
    <t>https://de.wikipedia.org/wiki/Leizen#Minzow</t>
  </si>
  <si>
    <t>Minzow/Leizen</t>
  </si>
  <si>
    <t>https://de.wikipedia.org/wiki/Röbel/Müritz</t>
  </si>
  <si>
    <t xml:space="preserve">67 m ü. NHN</t>
  </si>
  <si>
    <t xml:space="preserve">30,17 km2</t>
  </si>
  <si>
    <t xml:space="preserve">5044 (31. Dez. 2018)[1]</t>
  </si>
  <si>
    <t xml:space="preserve">167 Einwohner je km2</t>
  </si>
  <si>
    <t>Fläche: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</si>
</sst>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#,##0.00\ [$€-407];[RED]\-#,##0.00\ [$€-407]"/>
    <numFmt numFmtId="161" formatCode="dd/mm"/>
    <numFmt numFmtId="162" formatCode="#,##0.0"/>
    <numFmt numFmtId="163" formatCode="#,###.0"/>
    <numFmt numFmtId="164" formatCode="#,###.00"/>
    <numFmt numFmtId="165" formatCode="0.0"/>
    <numFmt numFmtId="166" formatCode="#,##0.000"/>
    <numFmt numFmtId="167" formatCode="0.000"/>
    <numFmt numFmtId="168" formatCode="0.00&quot;  &quot;%"/>
    <numFmt numFmtId="169" formatCode="0.0000"/>
  </numFmts>
  <fonts count="24">
    <font>
      <sz val="10.000000"/>
      <color theme="1"/>
      <name val="Arial"/>
    </font>
    <font>
      <sz val="10.000000"/>
      <name val="Arial"/>
    </font>
    <font>
      <u/>
      <sz val="10.000000"/>
      <name val="FreeSans"/>
    </font>
    <font>
      <sz val="10.000000"/>
      <name val="FreeSans"/>
    </font>
    <font>
      <sz val="8.000000"/>
      <name val="Liberation Sans Narrow"/>
    </font>
    <font>
      <sz val="10.000000"/>
      <name val="Liberation Sans Narrow"/>
    </font>
    <font>
      <b/>
      <sz val="8.000000"/>
      <name val="Liberation Sans Narrow"/>
    </font>
    <font>
      <b/>
      <i/>
      <sz val="9.000000"/>
      <name val="Liberation Sans Narrow"/>
    </font>
    <font>
      <b/>
      <i/>
      <sz val="8.000000"/>
      <name val="Liberation Sans Narrow"/>
    </font>
    <font>
      <i/>
      <sz val="10.000000"/>
      <name val="Liberation Sans Narrow"/>
    </font>
    <font>
      <sz val="8.000000"/>
      <color indexed="4"/>
      <name val="Liberation Sans Narrow"/>
    </font>
    <font>
      <sz val="8.000000"/>
      <color rgb="FF212121"/>
      <name val="Liberation Sans Narrow"/>
    </font>
    <font>
      <sz val="7.000000"/>
      <color indexed="4"/>
      <name val="Liberation Sans Narrow"/>
    </font>
    <font>
      <b/>
      <sz val="6.000000"/>
      <name val="Liberation Sans Narrow"/>
    </font>
    <font>
      <sz val="6.000000"/>
      <name val="Liberation Sans Narrow"/>
    </font>
    <font>
      <b/>
      <sz val="9.000000"/>
      <name val="Liberation Sans Narrow"/>
    </font>
    <font>
      <sz val="9.000000"/>
      <name val="Liberation Sans Narrow"/>
    </font>
    <font>
      <sz val="8.000000"/>
      <color theme="0" tint="-0.34998626667073579"/>
      <name val="Liberation Sans Narrow"/>
    </font>
    <font>
      <sz val="8.000000"/>
      <color theme="0" tint="-0.499984740745262"/>
      <name val="Liberation Sans Narrow"/>
    </font>
    <font>
      <i/>
      <sz val="6.000000"/>
      <name val="Liberation Sans Narrow"/>
    </font>
    <font>
      <sz val="8.000000"/>
      <color theme="1" tint="0.499984740745262"/>
      <name val="Liberation Sans Narrow"/>
    </font>
    <font>
      <b/>
      <sz val="12.000000"/>
      <name val="Liberation Sans Narrow"/>
    </font>
    <font>
      <b/>
      <sz val="10.000000"/>
      <name val="Liberation Sans Narrow"/>
    </font>
    <font>
      <b/>
      <sz val="7.000000"/>
      <name val="Liberation Sans Narrow"/>
    </font>
  </fonts>
  <fills count="23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indexed="43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99FF33"/>
        <bgColor rgb="FF99FF66"/>
      </patternFill>
    </fill>
    <fill>
      <patternFill patternType="solid">
        <fgColor rgb="FF66FFFF"/>
        <bgColor rgb="FF66CCFF"/>
      </patternFill>
    </fill>
    <fill>
      <patternFill patternType="solid">
        <fgColor rgb="FFFF99FF"/>
        <bgColor indexed="46"/>
      </patternFill>
    </fill>
    <fill>
      <patternFill patternType="solid">
        <fgColor indexed="40"/>
        <bgColor indexed="7"/>
      </patternFill>
    </fill>
    <fill>
      <patternFill patternType="solid">
        <fgColor rgb="FFFD4235"/>
        <bgColor rgb="FFFF3333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00FF66"/>
        <bgColor rgb="FF33FF99"/>
      </patternFill>
    </fill>
    <fill>
      <patternFill patternType="solid">
        <fgColor rgb="FFDDDDDD"/>
        <bgColor rgb="FFD3D3D3"/>
      </patternFill>
    </fill>
    <fill>
      <patternFill patternType="solid">
        <fgColor rgb="FFFFFF66"/>
        <bgColor indexed="43"/>
      </patternFill>
    </fill>
    <fill>
      <patternFill patternType="solid">
        <fgColor rgb="FFCCFF00"/>
        <bgColor rgb="FF99FF33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33"/>
      </patternFill>
    </fill>
    <fill>
      <patternFill patternType="solid">
        <fgColor rgb="FFD3D3D3"/>
        <bgColor rgb="FFCCCCCC"/>
      </patternFill>
    </fill>
    <fill>
      <patternFill patternType="solid">
        <fgColor rgb="FF66CCFF"/>
        <bgColor rgb="FF48D1CC"/>
      </patternFill>
    </fill>
    <fill>
      <patternFill patternType="solid">
        <fgColor rgb="FF48D1CC"/>
        <bgColor rgb="FF66CCFF"/>
      </patternFill>
    </fill>
    <fill>
      <patternFill patternType="solid">
        <fgColor rgb="FFFF33FF"/>
        <bgColor indexed="6"/>
      </patternFill>
    </fill>
    <fill>
      <patternFill patternType="solid">
        <fgColor rgb="FFCCCCCC"/>
        <bgColor rgb="FFD3D3D3"/>
      </patternFill>
    </fill>
  </fills>
  <borders count="2">
    <border>
      <left style="none"/>
      <right style="none"/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0" numFmtId="0" applyNumberFormat="1" applyFont="1" applyFill="1" applyBorder="0" applyProtection="0"/>
    <xf fontId="2" fillId="0" borderId="0" numFmtId="160" applyNumberFormat="1" applyFont="1" applyFill="1" applyBorder="0" applyProtection="0"/>
    <xf fontId="3" fillId="0" borderId="0" numFmtId="0" applyNumberFormat="1" applyFont="1" applyFill="1" applyBorder="0" applyProtection="0">
      <alignment horizontal="center"/>
    </xf>
    <xf fontId="3" fillId="0" borderId="0" numFmtId="0" applyNumberFormat="1" applyFont="1" applyFill="1" applyBorder="0" applyProtection="0">
      <alignment horizontal="center" textRotation="90"/>
    </xf>
    <xf fontId="0" fillId="0" borderId="0" numFmtId="0" applyNumberFormat="1" applyFont="1" applyFill="1" applyBorder="1" applyProtection="1">
      <protection hidden="0" locked="1"/>
    </xf>
    <xf fontId="3" fillId="2" borderId="0" numFmtId="0" applyNumberFormat="1" applyFont="1" applyFill="1" applyBorder="0" applyProtection="0"/>
    <xf fontId="3" fillId="0" borderId="0" numFmtId="3" applyNumberFormat="1" applyFont="1" applyFill="1" applyBorder="0" applyProtection="0"/>
  </cellStyleXfs>
  <cellXfs count="253">
    <xf fontId="0" fillId="0" borderId="0" numFmtId="0" xfId="0" applyProtection="0">
      <protection hidden="0" locked="1"/>
    </xf>
    <xf fontId="4" fillId="0" borderId="1" numFmtId="0" xfId="0" applyFont="1" applyBorder="1" applyAlignment="1" applyProtection="0">
      <alignment horizontal="center" vertical="center"/>
      <protection hidden="0" locked="1"/>
    </xf>
    <xf fontId="4" fillId="3" borderId="1" numFmtId="0" xfId="0" applyFont="1" applyFill="1" applyBorder="1" applyAlignment="1" applyProtection="0">
      <alignment horizontal="center" vertical="center"/>
      <protection hidden="0" locked="1"/>
    </xf>
    <xf fontId="4" fillId="3" borderId="1" numFmtId="2" xfId="0" applyNumberFormat="1" applyFont="1" applyFill="1" applyBorder="1" applyAlignment="1" applyProtection="0">
      <alignment horizontal="center" vertical="center"/>
      <protection hidden="0" locked="1"/>
    </xf>
    <xf fontId="4" fillId="4" borderId="1" numFmtId="0" xfId="0" applyFont="1" applyFill="1" applyBorder="1" applyAlignment="1" applyProtection="0">
      <alignment horizontal="center" vertical="center"/>
      <protection hidden="0" locked="1"/>
    </xf>
    <xf fontId="4" fillId="5" borderId="1" numFmtId="0" xfId="0" applyFont="1" applyFill="1" applyBorder="1" applyAlignment="1" applyProtection="0">
      <alignment horizontal="center" vertical="center"/>
      <protection hidden="0" locked="1"/>
    </xf>
    <xf fontId="4" fillId="6" borderId="1" numFmtId="0" xfId="0" applyFont="1" applyFill="1" applyBorder="1" applyAlignment="1" applyProtection="0">
      <alignment horizontal="center" vertical="center"/>
      <protection hidden="0" locked="1"/>
    </xf>
    <xf fontId="4" fillId="6" borderId="1" numFmtId="2" xfId="0" applyNumberFormat="1" applyFont="1" applyFill="1" applyBorder="1" applyAlignment="1" applyProtection="0">
      <alignment horizontal="center" vertical="center"/>
      <protection hidden="0" locked="1"/>
    </xf>
    <xf fontId="4" fillId="7" borderId="1" numFmtId="0" xfId="0" applyFont="1" applyFill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vertical="center"/>
      <protection hidden="0" locked="1"/>
    </xf>
    <xf fontId="0" fillId="0" borderId="1" numFmtId="0" xfId="0" applyBorder="1" applyProtection="0">
      <protection hidden="0" locked="1"/>
    </xf>
    <xf fontId="6" fillId="8" borderId="1" numFmtId="2" xfId="0" applyNumberFormat="1" applyFont="1" applyFill="1" applyBorder="1" applyAlignment="1" applyProtection="0">
      <alignment vertical="center"/>
      <protection hidden="0" locked="1"/>
    </xf>
    <xf fontId="6" fillId="0" borderId="1" numFmtId="3" xfId="0" applyNumberFormat="1" applyFont="1" applyBorder="1" applyAlignment="1" applyProtection="0">
      <alignment horizontal="center" vertical="center" wrapText="1"/>
      <protection hidden="0" locked="1"/>
    </xf>
    <xf fontId="6" fillId="0" borderId="1" numFmtId="2" xfId="0" applyNumberFormat="1" applyFont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horizontal="center" vertical="center" wrapText="1"/>
      <protection hidden="0" locked="1"/>
    </xf>
    <xf fontId="6" fillId="9" borderId="1" numFmtId="0" xfId="0" applyFont="1" applyFill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vertical="center"/>
      <protection hidden="0" locked="1"/>
    </xf>
    <xf fontId="6" fillId="0" borderId="1" numFmtId="3" xfId="0" applyNumberFormat="1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horizontal="left" vertical="center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7" fillId="0" borderId="1" numFmtId="0" xfId="0" applyFont="1" applyBorder="1" applyAlignment="1" applyProtection="0">
      <alignment horizontal="center" vertical="center" wrapText="1"/>
      <protection hidden="0" locked="1"/>
    </xf>
    <xf fontId="7" fillId="3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3" borderId="1" numFmtId="0" xfId="0" applyFont="1" applyFill="1" applyBorder="1" applyAlignment="1" applyProtection="0">
      <alignment horizontal="center" vertical="center" wrapText="1"/>
      <protection hidden="0" locked="1"/>
    </xf>
    <xf fontId="7" fillId="4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0" borderId="1" numFmtId="2" xfId="0" applyNumberFormat="1" applyFont="1" applyBorder="1" applyAlignment="1" applyProtection="0">
      <alignment horizontal="center" vertical="center" wrapText="1"/>
      <protection hidden="0" locked="1"/>
    </xf>
    <xf fontId="7" fillId="6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7" fillId="7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7" fillId="7" borderId="1" numFmtId="0" xfId="0" applyFont="1" applyFill="1" applyBorder="1" applyAlignment="1" applyProtection="0">
      <alignment horizontal="center" vertical="center" wrapText="1"/>
      <protection hidden="0" locked="1"/>
    </xf>
    <xf fontId="7" fillId="9" borderId="1" numFmtId="0" xfId="0" applyFont="1" applyFill="1" applyBorder="1" applyAlignment="1" applyProtection="0">
      <alignment horizontal="center" vertical="center" wrapText="1"/>
      <protection hidden="0" locked="1"/>
    </xf>
    <xf fontId="8" fillId="0" borderId="1" numFmtId="0" xfId="0" applyFont="1" applyBorder="1" applyAlignment="1" applyProtection="0">
      <alignment horizontal="center" vertical="center" wrapText="1"/>
      <protection hidden="0" locked="1"/>
    </xf>
    <xf fontId="8" fillId="0" borderId="1" numFmtId="3" xfId="0" applyNumberFormat="1" applyFont="1" applyBorder="1" applyAlignment="1" applyProtection="0">
      <alignment horizontal="center" vertical="center" wrapText="1"/>
      <protection hidden="0" locked="1"/>
    </xf>
    <xf fontId="9" fillId="0" borderId="1" numFmtId="0" xfId="0" applyFont="1" applyBorder="1" applyAlignment="1" applyProtection="0">
      <alignment horizontal="center" vertical="center" wrapText="1"/>
      <protection hidden="0" locked="1"/>
    </xf>
    <xf fontId="4" fillId="3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4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0" borderId="1" numFmtId="2" xfId="0" applyNumberFormat="1" applyFont="1" applyBorder="1" applyAlignment="1" applyProtection="0">
      <alignment horizontal="center" vertical="center" wrapText="1"/>
      <protection hidden="0" locked="1"/>
    </xf>
    <xf fontId="4" fillId="6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4" fillId="7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7" borderId="1" numFmtId="0" xfId="0" applyFont="1" applyFill="1" applyBorder="1" applyAlignment="1" applyProtection="0">
      <alignment horizontal="center" vertical="center" wrapText="1"/>
      <protection hidden="0" locked="1"/>
    </xf>
    <xf fontId="6" fillId="8" borderId="1" numFmtId="0" xfId="0" applyFont="1" applyFill="1" applyBorder="1" applyAlignment="1" applyProtection="0">
      <alignment horizontal="center" vertical="center"/>
      <protection hidden="0" locked="1"/>
    </xf>
    <xf fontId="6" fillId="8" borderId="1" numFmtId="0" xfId="0" applyFont="1" applyFill="1" applyBorder="1" applyAlignment="1" applyProtection="0">
      <alignment horizontal="left" vertical="center"/>
      <protection hidden="0" locked="1"/>
    </xf>
    <xf fontId="6" fillId="8" borderId="1" numFmtId="3" xfId="0" applyNumberFormat="1" applyFont="1" applyFill="1" applyBorder="1" applyAlignment="1" applyProtection="0">
      <alignment horizontal="center" vertical="center"/>
      <protection hidden="0" locked="1"/>
    </xf>
    <xf fontId="4" fillId="0" borderId="1" numFmtId="161" xfId="0" applyNumberFormat="1" applyFont="1" applyBorder="1" applyAlignment="1" applyProtection="0">
      <alignment horizontal="center" vertical="center"/>
      <protection hidden="0" locked="1"/>
    </xf>
    <xf fontId="4" fillId="3" borderId="1" numFmtId="4" xfId="0" applyNumberFormat="1" applyFont="1" applyFill="1" applyBorder="1" applyAlignment="1" applyProtection="0">
      <alignment horizontal="center" vertical="center"/>
      <protection hidden="0" locked="1"/>
    </xf>
    <xf fontId="4" fillId="4" borderId="1" numFmtId="4" xfId="0" applyNumberFormat="1" applyFont="1" applyFill="1" applyBorder="1" applyAlignment="1" applyProtection="0">
      <alignment horizontal="center" vertical="center"/>
      <protection hidden="0" locked="1"/>
    </xf>
    <xf fontId="4" fillId="5" borderId="1" numFmtId="4" xfId="0" applyNumberFormat="1" applyFont="1" applyFill="1" applyBorder="1" applyAlignment="1" applyProtection="0">
      <alignment horizontal="center" vertical="center"/>
      <protection hidden="0" locked="1"/>
    </xf>
    <xf fontId="4" fillId="0" borderId="1" numFmtId="3" xfId="0" applyNumberFormat="1" applyFont="1" applyBorder="1" applyAlignment="1" applyProtection="0">
      <alignment horizontal="center" vertical="center"/>
      <protection hidden="0" locked="1"/>
    </xf>
    <xf fontId="4" fillId="7" borderId="1" numFmtId="2" xfId="0" applyNumberFormat="1" applyFont="1" applyFill="1" applyBorder="1" applyAlignment="1" applyProtection="0">
      <alignment horizontal="center" vertical="center"/>
      <protection hidden="0" locked="1"/>
    </xf>
    <xf fontId="6" fillId="10" borderId="1" numFmtId="162" xfId="0" applyNumberFormat="1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left" vertical="center"/>
      <protection hidden="0" locked="1"/>
    </xf>
    <xf fontId="4" fillId="8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vertical="center"/>
      <protection hidden="0" locked="1"/>
    </xf>
    <xf fontId="4" fillId="7" borderId="1" numFmtId="163" xfId="0" applyNumberFormat="1" applyFont="1" applyFill="1" applyBorder="1" applyAlignment="1" applyProtection="0">
      <alignment horizontal="center" vertical="center"/>
      <protection hidden="0" locked="1"/>
    </xf>
    <xf fontId="4" fillId="7" borderId="1" numFmtId="164" xfId="0" applyNumberFormat="1" applyFont="1" applyFill="1" applyBorder="1" applyAlignment="1" applyProtection="0">
      <alignment horizontal="center" vertical="center"/>
      <protection hidden="0" locked="1"/>
    </xf>
    <xf fontId="4" fillId="8" borderId="1" numFmtId="3" xfId="0" applyNumberFormat="1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Alignment="1" applyProtection="0">
      <alignment horizontal="left"/>
      <protection hidden="0" locked="1"/>
    </xf>
    <xf fontId="6" fillId="11" borderId="1" numFmtId="162" xfId="0" applyNumberFormat="1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left" vertical="center" wrapText="1"/>
      <protection hidden="0" locked="1"/>
    </xf>
    <xf fontId="4" fillId="8" borderId="1" numFmtId="0" xfId="0" applyFont="1" applyFill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horizontal="center" vertical="center" wrapText="1"/>
      <protection hidden="0" locked="1"/>
    </xf>
    <xf fontId="10" fillId="0" borderId="1" numFmtId="0" xfId="0" applyFont="1" applyBorder="1" applyAlignment="1" applyProtection="0">
      <alignment vertical="center"/>
      <protection hidden="0" locked="1"/>
    </xf>
    <xf fontId="4" fillId="0" borderId="1" numFmtId="162" xfId="0" applyNumberFormat="1" applyFont="1" applyBorder="1" applyAlignment="1" applyProtection="0">
      <alignment horizontal="center" vertical="center"/>
      <protection hidden="0" locked="1"/>
    </xf>
    <xf fontId="6" fillId="12" borderId="1" numFmtId="0" xfId="0" applyFont="1" applyFill="1" applyBorder="1" applyAlignment="1" applyProtection="0">
      <alignment horizontal="center" vertical="center"/>
      <protection hidden="0" locked="1"/>
    </xf>
    <xf fontId="4" fillId="8" borderId="1" numFmtId="0" xfId="0" applyFont="1" applyFill="1" applyBorder="1" applyAlignment="1" applyProtection="0">
      <alignment horizontal="center" vertical="center"/>
      <protection hidden="0" locked="1"/>
    </xf>
    <xf fontId="6" fillId="12" borderId="1" numFmtId="1" xfId="0" applyNumberFormat="1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Protection="0">
      <protection hidden="0" locked="1"/>
    </xf>
    <xf fontId="4" fillId="0" borderId="1" numFmtId="0" xfId="0" applyFont="1" applyBorder="1" applyAlignment="1" applyProtection="0">
      <alignment horizontal="left"/>
      <protection hidden="0" locked="1"/>
    </xf>
    <xf fontId="4" fillId="5" borderId="1" numFmtId="1" xfId="0" applyNumberFormat="1" applyFont="1" applyFill="1" applyBorder="1" applyAlignment="1" applyProtection="0">
      <alignment horizontal="center" vertical="center"/>
      <protection hidden="0" locked="1"/>
    </xf>
    <xf fontId="4" fillId="13" borderId="1" numFmtId="0" xfId="0" applyFont="1" applyFill="1" applyBorder="1" applyAlignment="1" applyProtection="0">
      <alignment horizontal="left" vertical="center"/>
      <protection hidden="0" locked="1"/>
    </xf>
    <xf fontId="10" fillId="0" borderId="1" numFmtId="0" xfId="0" applyFont="1" applyBorder="1" applyAlignment="1" applyProtection="0">
      <alignment horizontal="left" vertical="center"/>
      <protection hidden="0" locked="1"/>
    </xf>
    <xf fontId="6" fillId="14" borderId="1" numFmtId="0" xfId="0" applyFont="1" applyFill="1" applyBorder="1" applyAlignment="1" applyProtection="0">
      <alignment horizontal="center" vertical="center"/>
      <protection hidden="0" locked="1"/>
    </xf>
    <xf fontId="6" fillId="14" borderId="1" numFmtId="10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0" xfId="0" applyNumberFormat="1" applyFont="1" applyFill="1" applyBorder="1" applyAlignment="1" applyProtection="0">
      <alignment horizontal="center" vertical="center"/>
      <protection hidden="0" locked="1"/>
    </xf>
    <xf fontId="11" fillId="0" borderId="1" numFmtId="0" xfId="0" applyFont="1" applyBorder="1" applyAlignment="1" applyProtection="0">
      <alignment horizontal="left" vertical="center"/>
      <protection hidden="0" locked="1"/>
    </xf>
    <xf fontId="4" fillId="0" borderId="1" numFmtId="10" xfId="0" applyNumberFormat="1" applyFont="1" applyBorder="1" applyAlignment="1" applyProtection="0">
      <alignment horizontal="left" vertical="center"/>
      <protection hidden="0" locked="1"/>
    </xf>
    <xf fontId="12" fillId="0" borderId="1" numFmtId="0" xfId="0" applyFont="1" applyBorder="1" applyAlignment="1" applyProtection="0">
      <alignment vertical="center"/>
      <protection hidden="0" locked="1"/>
    </xf>
    <xf fontId="6" fillId="15" borderId="1" numFmtId="0" xfId="0" applyFont="1" applyFill="1" applyBorder="1" applyAlignment="1" applyProtection="0">
      <alignment vertical="center"/>
      <protection hidden="0" locked="1"/>
    </xf>
    <xf fontId="4" fillId="15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0" xfId="0" applyFont="1" applyFill="1" applyBorder="1" applyAlignment="1" applyProtection="0">
      <alignment vertical="center"/>
      <protection hidden="0" locked="1"/>
    </xf>
    <xf fontId="4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4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4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4" fillId="15" borderId="1" numFmtId="4" xfId="0" applyNumberFormat="1" applyFont="1" applyFill="1" applyBorder="1" applyAlignment="1" applyProtection="0">
      <alignment horizontal="center" vertical="center" wrapText="1"/>
      <protection hidden="0" locked="1"/>
    </xf>
    <xf fontId="4" fillId="1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6" fillId="0" borderId="1" numFmtId="164" xfId="0" applyNumberFormat="1" applyFont="1" applyBorder="1" applyAlignment="1" applyProtection="0">
      <alignment horizontal="center" vertical="center"/>
      <protection hidden="0" locked="1"/>
    </xf>
    <xf fontId="4" fillId="0" borderId="1" numFmtId="164" xfId="0" applyNumberFormat="1" applyFont="1" applyBorder="1" applyAlignment="1" applyProtection="0">
      <alignment horizontal="center" vertical="center"/>
      <protection hidden="0" locked="1"/>
    </xf>
    <xf fontId="6" fillId="16" borderId="1" numFmtId="3" xfId="0" applyNumberFormat="1" applyFont="1" applyFill="1" applyBorder="1" applyAlignment="1" applyProtection="0">
      <alignment horizontal="left" vertical="center"/>
      <protection hidden="0" locked="1"/>
    </xf>
    <xf fontId="6" fillId="16" borderId="1" numFmtId="3" xfId="0" applyNumberFormat="1" applyFont="1" applyFill="1" applyBorder="1" applyAlignment="1" applyProtection="0">
      <alignment horizontal="center" vertical="center"/>
      <protection hidden="0" locked="1"/>
    </xf>
    <xf fontId="6" fillId="3" borderId="1" numFmtId="3" xfId="0" applyNumberFormat="1" applyFont="1" applyFill="1" applyBorder="1" applyAlignment="1" applyProtection="0">
      <alignment horizontal="center" vertical="center"/>
      <protection hidden="0" locked="1"/>
    </xf>
    <xf fontId="6" fillId="3" borderId="1" numFmtId="2" xfId="0" applyNumberFormat="1" applyFont="1" applyFill="1" applyBorder="1" applyAlignment="1" applyProtection="0">
      <alignment horizontal="center" vertical="center"/>
      <protection hidden="0" locked="1"/>
    </xf>
    <xf fontId="6" fillId="4" borderId="1" numFmtId="3" xfId="0" applyNumberFormat="1" applyFont="1" applyFill="1" applyBorder="1" applyAlignment="1" applyProtection="0">
      <alignment horizontal="center" vertical="center"/>
      <protection hidden="0" locked="1"/>
    </xf>
    <xf fontId="6" fillId="5" borderId="1" numFmtId="3" xfId="0" applyNumberFormat="1" applyFont="1" applyFill="1" applyBorder="1" applyAlignment="1" applyProtection="0">
      <alignment horizontal="center" vertical="center"/>
      <protection hidden="0" locked="1"/>
    </xf>
    <xf fontId="6" fillId="6" borderId="1" numFmtId="3" xfId="0" applyNumberFormat="1" applyFont="1" applyFill="1" applyBorder="1" applyAlignment="1" applyProtection="0">
      <alignment horizontal="center" vertical="center"/>
      <protection hidden="0" locked="1"/>
    </xf>
    <xf fontId="6" fillId="6" borderId="1" numFmtId="2" xfId="0" applyNumberFormat="1" applyFont="1" applyFill="1" applyBorder="1" applyAlignment="1" applyProtection="0">
      <alignment horizontal="center" vertical="center"/>
      <protection hidden="0" locked="1"/>
    </xf>
    <xf fontId="6" fillId="7" borderId="1" numFmtId="3" xfId="0" applyNumberFormat="1" applyFont="1" applyFill="1" applyBorder="1" applyAlignment="1" applyProtection="0">
      <alignment horizontal="center" vertical="center"/>
      <protection hidden="0" locked="1"/>
    </xf>
    <xf fontId="13" fillId="3" borderId="1" numFmtId="0" xfId="0" applyFont="1" applyFill="1" applyBorder="1" applyAlignment="1" applyProtection="0">
      <alignment horizontal="center" vertical="center"/>
      <protection hidden="0" locked="1"/>
    </xf>
    <xf fontId="6" fillId="4" borderId="1" numFmtId="0" xfId="0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right" vertical="center"/>
      <protection hidden="0" locked="1"/>
    </xf>
    <xf fontId="6" fillId="7" borderId="1" numFmtId="0" xfId="0" applyFont="1" applyFill="1" applyBorder="1" applyAlignment="1" applyProtection="0">
      <alignment horizontal="center" vertical="center" wrapText="1"/>
      <protection hidden="0" locked="1"/>
    </xf>
    <xf fontId="6" fillId="7" borderId="1" numFmtId="0" xfId="0" applyFont="1" applyFill="1" applyBorder="1" applyAlignment="1" applyProtection="0">
      <alignment horizontal="center" vertical="center"/>
      <protection hidden="0" locked="1"/>
    </xf>
    <xf fontId="6" fillId="7" borderId="1" numFmtId="0" xfId="0" applyFont="1" applyFill="1" applyBorder="1" applyAlignment="1" applyProtection="0">
      <alignment horizontal="left" vertical="center" wrapText="1"/>
      <protection hidden="0" locked="1"/>
    </xf>
    <xf fontId="6" fillId="7" borderId="1" numFmtId="0" xfId="0" applyFont="1" applyFill="1" applyBorder="1" applyAlignment="1" applyProtection="0">
      <alignment horizontal="right" vertical="center" wrapText="1"/>
      <protection hidden="0" locked="1"/>
    </xf>
    <xf fontId="6" fillId="7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3" xfId="0" applyNumberFormat="1" applyFont="1" applyBorder="1" applyAlignment="1" applyProtection="0">
      <alignment horizontal="center" vertical="center" wrapText="1"/>
      <protection hidden="0" locked="1"/>
    </xf>
    <xf fontId="4" fillId="0" borderId="1" numFmtId="4" xfId="0" applyNumberFormat="1" applyFont="1" applyBorder="1" applyAlignment="1" applyProtection="0">
      <alignment horizontal="center" vertical="center" wrapText="1"/>
      <protection hidden="0" locked="1"/>
    </xf>
    <xf fontId="4" fillId="0" borderId="1" numFmtId="3" xfId="0" applyNumberFormat="1" applyFont="1" applyBorder="1" applyAlignment="1" applyProtection="0">
      <alignment horizontal="left" vertical="center" wrapText="1"/>
      <protection hidden="0" locked="1"/>
    </xf>
    <xf fontId="4" fillId="0" borderId="1" numFmtId="165" xfId="0" applyNumberFormat="1" applyFont="1" applyBorder="1" applyAlignment="1" applyProtection="0">
      <alignment horizontal="left" vertical="center"/>
      <protection hidden="0" locked="1"/>
    </xf>
    <xf fontId="4" fillId="17" borderId="1" numFmtId="0" xfId="0" applyFont="1" applyFill="1" applyBorder="1" applyAlignment="1" applyProtection="0">
      <alignment horizontal="center" vertical="center" wrapText="1"/>
      <protection hidden="0" locked="1"/>
    </xf>
    <xf fontId="4" fillId="17" borderId="1" numFmtId="0" xfId="0" applyFont="1" applyFill="1" applyBorder="1" applyAlignment="1" applyProtection="0">
      <alignment horizontal="left" vertical="center" wrapText="1"/>
      <protection hidden="0" locked="1"/>
    </xf>
    <xf fontId="4" fillId="17" borderId="1" numFmtId="0" xfId="0" applyFont="1" applyFill="1" applyBorder="1" applyAlignment="1" applyProtection="0">
      <alignment horizontal="right" vertical="center" wrapText="1"/>
      <protection hidden="0" locked="1"/>
    </xf>
    <xf fontId="14" fillId="0" borderId="1" numFmtId="0" xfId="0" applyFont="1" applyBorder="1" applyAlignment="1" applyProtection="0">
      <alignment horizontal="center"/>
      <protection hidden="0" locked="1"/>
    </xf>
    <xf fontId="15" fillId="18" borderId="1" numFmtId="0" xfId="0" applyFont="1" applyFill="1" applyBorder="1" applyAlignment="1" applyProtection="0">
      <alignment horizontal="left" vertical="center" wrapText="1"/>
      <protection hidden="0" locked="1"/>
    </xf>
    <xf fontId="15" fillId="18" borderId="1" numFmtId="0" xfId="0" applyFont="1" applyFill="1" applyBorder="1" applyAlignment="1" applyProtection="0">
      <alignment horizontal="center" vertical="center" wrapText="1"/>
      <protection hidden="0" locked="1"/>
    </xf>
    <xf fontId="15" fillId="18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3" xfId="0" applyNumberFormat="1" applyFont="1" applyBorder="1" applyAlignment="1" applyProtection="0">
      <alignment horizontal="right" vertical="center" wrapText="1"/>
      <protection hidden="0" locked="1"/>
    </xf>
    <xf fontId="4" fillId="0" borderId="1" numFmtId="162" xfId="0" applyNumberFormat="1" applyFont="1" applyBorder="1" applyAlignment="1" applyProtection="0">
      <alignment horizontal="right" vertical="center" wrapText="1"/>
      <protection hidden="0" locked="1"/>
    </xf>
    <xf fontId="4" fillId="0" borderId="1" numFmtId="4" xfId="0" applyNumberFormat="1" applyFont="1" applyBorder="1" applyAlignment="1" applyProtection="0">
      <alignment horizontal="right" vertical="center" wrapText="1"/>
      <protection hidden="0" locked="1"/>
    </xf>
    <xf fontId="6" fillId="13" borderId="1" numFmtId="0" xfId="0" applyFont="1" applyFill="1" applyBorder="1" applyAlignment="1" applyProtection="0">
      <alignment horizontal="center" vertical="center" wrapText="1"/>
      <protection hidden="0" locked="1"/>
    </xf>
    <xf fontId="4" fillId="0" borderId="1" numFmtId="166" xfId="0" applyNumberFormat="1" applyFont="1" applyBorder="1" applyAlignment="1" applyProtection="0">
      <alignment horizontal="right" vertical="center" wrapText="1"/>
      <protection hidden="0" locked="1"/>
    </xf>
    <xf fontId="4" fillId="0" borderId="1" numFmtId="0" xfId="0" applyFont="1" applyBorder="1" applyAlignment="1" applyProtection="0">
      <alignment horizontal="right" vertical="center" wrapText="1"/>
      <protection hidden="0" locked="1"/>
    </xf>
    <xf fontId="4" fillId="0" borderId="1" numFmtId="3" xfId="0" applyNumberFormat="1" applyFont="1" applyBorder="1" applyAlignment="1" applyProtection="0">
      <alignment horizontal="right" vertical="center"/>
      <protection hidden="0" locked="1"/>
    </xf>
    <xf fontId="16" fillId="8" borderId="1" numFmtId="3" xfId="0" applyNumberFormat="1" applyFont="1" applyFill="1" applyBorder="1" applyAlignment="1" applyProtection="0">
      <alignment horizontal="right" vertical="center" wrapText="1"/>
      <protection hidden="0" locked="1"/>
    </xf>
    <xf fontId="4" fillId="8" borderId="1" numFmtId="3" xfId="0" applyNumberFormat="1" applyFont="1" applyFill="1" applyBorder="1" applyAlignment="1" applyProtection="0">
      <alignment horizontal="right" vertical="center"/>
      <protection hidden="0" locked="1"/>
    </xf>
    <xf fontId="4" fillId="0" borderId="1" numFmtId="2" xfId="0" applyNumberFormat="1" applyFont="1" applyBorder="1" applyAlignment="1" applyProtection="0">
      <alignment horizontal="right" vertical="center"/>
      <protection hidden="0" locked="1"/>
    </xf>
    <xf fontId="4" fillId="19" borderId="1" numFmtId="0" xfId="0" applyFont="1" applyFill="1" applyBorder="1" applyAlignment="1" applyProtection="0">
      <alignment horizontal="right" vertical="center"/>
      <protection hidden="0" locked="1"/>
    </xf>
    <xf fontId="4" fillId="0" borderId="1" numFmtId="165" xfId="0" applyNumberFormat="1" applyFont="1" applyBorder="1" applyAlignment="1" applyProtection="0">
      <alignment horizontal="right" vertical="center"/>
      <protection hidden="0" locked="1"/>
    </xf>
    <xf fontId="4" fillId="20" borderId="1" numFmtId="1" xfId="0" applyNumberFormat="1" applyFont="1" applyFill="1" applyBorder="1" applyAlignment="1" applyProtection="0">
      <alignment horizontal="right" vertical="center"/>
      <protection hidden="0" locked="1"/>
    </xf>
    <xf fontId="17" fillId="0" borderId="1" numFmtId="0" xfId="0" applyFont="1" applyBorder="1" applyAlignment="1" applyProtection="0">
      <alignment horizontal="center" vertical="center"/>
      <protection hidden="0" locked="1"/>
    </xf>
    <xf fontId="4" fillId="0" borderId="1" numFmtId="49" xfId="0" applyNumberFormat="1" applyFont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center" vertical="center"/>
      <protection hidden="0" locked="1"/>
    </xf>
    <xf fontId="4" fillId="19" borderId="1" numFmtId="165" xfId="0" applyNumberFormat="1" applyFont="1" applyFill="1" applyBorder="1" applyAlignment="1" applyProtection="0">
      <alignment horizontal="right" vertical="center"/>
      <protection hidden="0" locked="1"/>
    </xf>
    <xf fontId="4" fillId="0" borderId="1" numFmtId="3" xfId="0" applyNumberFormat="1" applyFont="1" applyBorder="1" applyAlignment="1" applyProtection="0">
      <alignment horizontal="left" vertical="center"/>
      <protection hidden="0" locked="1"/>
    </xf>
    <xf fontId="4" fillId="19" borderId="1" numFmtId="3" xfId="0" applyNumberFormat="1" applyFont="1" applyFill="1" applyBorder="1" applyAlignment="1" applyProtection="0">
      <alignment horizontal="right" vertical="center"/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vertical="center"/>
      <protection hidden="0" locked="1"/>
    </xf>
    <xf fontId="6" fillId="3" borderId="1" numFmtId="0" xfId="0" applyFont="1" applyFill="1" applyBorder="1" applyAlignment="1" applyProtection="0">
      <alignment horizontal="center" vertical="center" wrapText="1"/>
      <protection hidden="0" locked="1"/>
    </xf>
    <xf fontId="4" fillId="3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162" xfId="0" applyNumberFormat="1" applyFont="1" applyBorder="1" applyAlignment="1" applyProtection="0">
      <alignment horizontal="right" vertical="center"/>
      <protection hidden="0" locked="1"/>
    </xf>
    <xf fontId="4" fillId="3" borderId="1" numFmtId="0" xfId="0" applyFont="1" applyFill="1" applyBorder="1" applyAlignment="1" applyProtection="0">
      <alignment vertical="center"/>
      <protection hidden="0" locked="1"/>
    </xf>
    <xf fontId="4" fillId="0" borderId="1" numFmtId="4" xfId="0" applyNumberFormat="1" applyFont="1" applyBorder="1" applyAlignment="1" applyProtection="0">
      <alignment horizontal="right" vertical="center"/>
      <protection hidden="0" locked="1"/>
    </xf>
    <xf fontId="4" fillId="0" borderId="1" numFmtId="3" xfId="0" applyNumberFormat="1" applyFont="1" applyBorder="1" applyAlignment="1" applyProtection="0">
      <alignment vertical="center"/>
      <protection hidden="0" locked="1"/>
    </xf>
    <xf fontId="6" fillId="4" borderId="1" numFmtId="0" xfId="0" applyFont="1" applyFill="1" applyBorder="1" applyAlignment="1" applyProtection="0">
      <alignment horizontal="center" vertical="center" wrapText="1"/>
      <protection hidden="0" locked="1"/>
    </xf>
    <xf fontId="4" fillId="4" borderId="1" numFmtId="0" xfId="0" applyFont="1" applyFill="1" applyBorder="1" applyAlignment="1" applyProtection="0">
      <alignment horizontal="left" vertical="center"/>
      <protection hidden="0" locked="1"/>
    </xf>
    <xf fontId="4" fillId="4" borderId="1" numFmtId="3" xfId="0" applyNumberFormat="1" applyFont="1" applyFill="1" applyBorder="1" applyAlignment="1" applyProtection="0">
      <alignment horizontal="right" vertical="center"/>
      <protection hidden="0" locked="1"/>
    </xf>
    <xf fontId="14" fillId="3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10" xfId="0" applyNumberFormat="1" applyFont="1" applyBorder="1" applyAlignment="1" applyProtection="0">
      <alignment horizontal="center" vertical="center"/>
      <protection hidden="0" locked="1"/>
    </xf>
    <xf fontId="18" fillId="3" borderId="1" numFmtId="0" xfId="0" applyFont="1" applyFill="1" applyBorder="1" applyAlignment="1" applyProtection="0">
      <alignment horizontal="center" vertical="center"/>
      <protection hidden="0" locked="1"/>
    </xf>
    <xf fontId="4" fillId="0" borderId="1" numFmtId="1" xfId="0" applyNumberFormat="1" applyFont="1" applyBorder="1" applyAlignment="1" applyProtection="0">
      <alignment horizontal="right" vertical="center"/>
      <protection hidden="0" locked="1"/>
    </xf>
    <xf fontId="4" fillId="0" borderId="1" numFmtId="163" xfId="0" applyNumberFormat="1" applyFont="1" applyBorder="1" applyAlignment="1" applyProtection="0">
      <alignment horizontal="right" vertical="center"/>
      <protection hidden="0" locked="1"/>
    </xf>
    <xf fontId="4" fillId="0" borderId="1" numFmtId="164" xfId="0" applyNumberFormat="1" applyFont="1" applyBorder="1" applyAlignment="1" applyProtection="0">
      <alignment horizontal="right" vertical="center"/>
      <protection hidden="0" locked="1"/>
    </xf>
    <xf fontId="19" fillId="3" borderId="1" numFmtId="0" xfId="0" applyFont="1" applyFill="1" applyBorder="1" applyAlignment="1" applyProtection="0">
      <alignment horizontal="center" vertical="center"/>
      <protection hidden="0" locked="1"/>
    </xf>
    <xf fontId="6" fillId="21" borderId="1" numFmtId="0" xfId="0" applyFont="1" applyFill="1" applyBorder="1" applyAlignment="1" applyProtection="0">
      <alignment horizontal="center" vertical="center" wrapText="1"/>
      <protection hidden="0" locked="1"/>
    </xf>
    <xf fontId="4" fillId="21" borderId="1" numFmtId="0" xfId="0" applyFont="1" applyFill="1" applyBorder="1" applyAlignment="1" applyProtection="0">
      <alignment horizontal="center" vertical="center"/>
      <protection hidden="0" locked="1"/>
    </xf>
    <xf fontId="4" fillId="21" borderId="1" numFmtId="0" xfId="0" applyFont="1" applyFill="1" applyBorder="1" applyAlignment="1" applyProtection="0">
      <alignment horizontal="left" vertical="center"/>
      <protection hidden="0" locked="1"/>
    </xf>
    <xf fontId="4" fillId="21" borderId="1" numFmtId="3" xfId="0" applyNumberFormat="1" applyFont="1" applyFill="1" applyBorder="1" applyAlignment="1" applyProtection="0">
      <alignment horizontal="right" vertical="center"/>
      <protection hidden="0" locked="1"/>
    </xf>
    <xf fontId="4" fillId="21" borderId="1" numFmtId="162" xfId="0" applyNumberFormat="1" applyFont="1" applyFill="1" applyBorder="1" applyAlignment="1" applyProtection="0">
      <alignment horizontal="right" vertical="center"/>
      <protection hidden="0" locked="1"/>
    </xf>
    <xf fontId="4" fillId="19" borderId="1" numFmtId="167" xfId="0" applyNumberFormat="1" applyFont="1" applyFill="1" applyBorder="1" applyAlignment="1" applyProtection="0">
      <alignment horizontal="right" vertical="center"/>
      <protection hidden="0" locked="1"/>
    </xf>
    <xf fontId="18" fillId="0" borderId="1" numFmtId="0" xfId="0" applyFont="1" applyBorder="1" applyAlignment="1" applyProtection="0">
      <alignment horizontal="center" vertical="center"/>
      <protection hidden="0" locked="1"/>
    </xf>
    <xf fontId="6" fillId="0" borderId="1" numFmtId="3" xfId="0" applyNumberFormat="1" applyFont="1" applyBorder="1" applyAlignment="1" applyProtection="0">
      <alignment horizontal="right" vertical="center"/>
      <protection hidden="0" locked="1"/>
    </xf>
    <xf fontId="4" fillId="19" borderId="1" numFmtId="3" xfId="0" applyNumberFormat="1" applyFont="1" applyFill="1" applyBorder="1" applyAlignment="1" applyProtection="0">
      <alignment horizontal="center" vertical="center"/>
      <protection hidden="0" locked="1"/>
    </xf>
    <xf fontId="5" fillId="0" borderId="0" numFmtId="0" xfId="0" applyFont="1" applyAlignment="1" applyProtection="0">
      <alignment horizontal="left" vertical="center"/>
      <protection hidden="0" locked="1"/>
    </xf>
    <xf fontId="4" fillId="0" borderId="1" numFmtId="168" xfId="0" applyNumberFormat="1" applyFont="1" applyBorder="1" applyAlignment="1" applyProtection="0">
      <alignment horizontal="left" vertical="center"/>
      <protection hidden="0" locked="1"/>
    </xf>
    <xf fontId="20" fillId="0" borderId="1" numFmtId="0" xfId="0" applyFont="1" applyBorder="1" applyAlignment="1" applyProtection="0">
      <alignment horizontal="center" vertical="center" wrapText="1"/>
      <protection hidden="0" locked="1"/>
    </xf>
    <xf fontId="6" fillId="21" borderId="1" numFmtId="0" xfId="0" applyFont="1" applyFill="1" applyBorder="1" applyAlignment="1" applyProtection="0">
      <alignment horizontal="center" vertical="center"/>
      <protection hidden="0" locked="1"/>
    </xf>
    <xf fontId="6" fillId="21" borderId="1" numFmtId="0" xfId="0" applyFont="1" applyFill="1" applyBorder="1" applyAlignment="1" applyProtection="0">
      <alignment horizontal="left" vertical="center"/>
      <protection hidden="0" locked="1"/>
    </xf>
    <xf fontId="6" fillId="21" borderId="1" numFmtId="3" xfId="0" applyNumberFormat="1" applyFont="1" applyFill="1" applyBorder="1" applyAlignment="1" applyProtection="0">
      <alignment horizontal="right" vertical="center"/>
      <protection hidden="0" locked="1"/>
    </xf>
    <xf fontId="6" fillId="21" borderId="1" numFmtId="10" xfId="0" applyNumberFormat="1" applyFont="1" applyFill="1" applyBorder="1" applyAlignment="1" applyProtection="0">
      <alignment horizontal="left" vertical="center"/>
      <protection hidden="0" locked="1"/>
    </xf>
    <xf fontId="20" fillId="0" borderId="1" numFmtId="0" xfId="0" applyFont="1" applyBorder="1" applyAlignment="1" applyProtection="0">
      <alignment horizontal="center" vertical="center"/>
      <protection hidden="0" locked="1"/>
    </xf>
    <xf fontId="6" fillId="2" borderId="1" numFmtId="0" xfId="0" applyFont="1" applyFill="1" applyBorder="1" applyAlignment="1" applyProtection="0">
      <alignment horizontal="center" vertical="center"/>
      <protection hidden="0" locked="1"/>
    </xf>
    <xf fontId="6" fillId="2" borderId="1" numFmtId="0" xfId="0" applyFont="1" applyFill="1" applyBorder="1" applyAlignment="1" applyProtection="0">
      <alignment horizontal="left" vertical="center"/>
      <protection hidden="0" locked="1"/>
    </xf>
    <xf fontId="6" fillId="2" borderId="1" numFmtId="1" xfId="0" applyNumberFormat="1" applyFont="1" applyFill="1" applyBorder="1" applyAlignment="1" applyProtection="0">
      <alignment horizontal="right" vertical="center"/>
      <protection hidden="0" locked="1"/>
    </xf>
    <xf fontId="6" fillId="2" borderId="1" numFmtId="0" xfId="0" applyFont="1" applyFill="1" applyBorder="1" applyAlignment="1" applyProtection="0">
      <alignment vertical="center"/>
      <protection hidden="0" locked="1"/>
    </xf>
    <xf fontId="6" fillId="2" borderId="1" numFmtId="10" xfId="0" applyNumberFormat="1" applyFont="1" applyFill="1" applyBorder="1" applyAlignment="1" applyProtection="0">
      <alignment horizontal="left" vertical="center"/>
      <protection hidden="0" locked="1"/>
    </xf>
    <xf fontId="6" fillId="0" borderId="1" numFmtId="0" xfId="0" applyFont="1" applyBorder="1" applyAlignment="1" applyProtection="0">
      <alignment horizontal="left" vertical="center" wrapText="1"/>
      <protection hidden="0" locked="1"/>
    </xf>
    <xf fontId="4" fillId="0" borderId="1" numFmtId="167" xfId="0" applyNumberFormat="1" applyFont="1" applyBorder="1" applyAlignment="1" applyProtection="0">
      <alignment horizontal="center" vertical="center"/>
      <protection hidden="0" locked="1"/>
    </xf>
    <xf fontId="6" fillId="0" borderId="1" numFmtId="167" xfId="0" applyNumberFormat="1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horizontal="center" textRotation="90" vertical="center" wrapText="1"/>
      <protection hidden="0" locked="1"/>
    </xf>
    <xf fontId="6" fillId="0" borderId="1" numFmtId="167" xfId="0" applyNumberFormat="1" applyFont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Protection="0">
      <protection hidden="0" locked="1"/>
    </xf>
    <xf fontId="4" fillId="0" borderId="1" numFmtId="0" xfId="0" applyFont="1" applyBorder="1" applyAlignment="1" applyProtection="0">
      <alignment horizontal="center" textRotation="90" vertical="center"/>
      <protection hidden="0" locked="1"/>
    </xf>
    <xf fontId="4" fillId="19" borderId="1" numFmtId="0" xfId="0" applyFont="1" applyFill="1" applyBorder="1" applyAlignment="1" applyProtection="0">
      <alignment vertical="center"/>
      <protection hidden="0" locked="1"/>
    </xf>
    <xf fontId="6" fillId="19" borderId="1" numFmtId="0" xfId="0" applyFont="1" applyFill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left" vertical="center" wrapText="1"/>
      <protection hidden="0" locked="1"/>
    </xf>
    <xf fontId="4" fillId="3" borderId="1" numFmtId="3" xfId="0" applyNumberFormat="1" applyFont="1" applyFill="1" applyBorder="1" applyAlignment="1" applyProtection="0">
      <alignment horizontal="center" vertical="center"/>
      <protection hidden="0" locked="1"/>
    </xf>
    <xf fontId="16" fillId="3" borderId="1" numFmtId="0" xfId="0" applyFont="1" applyFill="1" applyBorder="1" applyAlignment="1" applyProtection="0">
      <alignment horizontal="center"/>
      <protection hidden="0" locked="1"/>
    </xf>
    <xf fontId="4" fillId="3" borderId="1" numFmtId="167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65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62" xfId="0" applyNumberFormat="1" applyFont="1" applyFill="1" applyBorder="1" applyAlignment="1" applyProtection="0">
      <alignment horizontal="center" vertical="center"/>
      <protection hidden="0" locked="1"/>
    </xf>
    <xf fontId="16" fillId="0" borderId="1" numFmtId="0" xfId="0" applyFont="1" applyBorder="1" applyAlignment="1" applyProtection="0">
      <alignment horizontal="center"/>
      <protection hidden="0" locked="1"/>
    </xf>
    <xf fontId="4" fillId="0" borderId="1" numFmtId="165" xfId="0" applyNumberFormat="1" applyFont="1" applyBorder="1" applyAlignment="1" applyProtection="0">
      <alignment horizontal="center" vertical="center"/>
      <protection hidden="0" locked="1"/>
    </xf>
    <xf fontId="4" fillId="0" borderId="1" numFmtId="4" xfId="0" applyNumberFormat="1" applyFont="1" applyBorder="1" applyAlignment="1" applyProtection="0">
      <alignment horizontal="center" vertical="center"/>
      <protection hidden="0" locked="1"/>
    </xf>
    <xf fontId="4" fillId="2" borderId="1" numFmtId="0" xfId="0" applyFont="1" applyFill="1" applyBorder="1" applyAlignment="1" applyProtection="0">
      <alignment vertical="center"/>
      <protection hidden="0" locked="1"/>
    </xf>
    <xf fontId="6" fillId="2" borderId="1" numFmtId="3" xfId="0" applyNumberFormat="1" applyFont="1" applyFill="1" applyBorder="1" applyAlignment="1" applyProtection="0">
      <alignment horizontal="center" vertical="center"/>
      <protection hidden="0" locked="1"/>
    </xf>
    <xf fontId="6" fillId="2" borderId="1" numFmtId="165" xfId="0" applyNumberFormat="1" applyFont="1" applyFill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horizontal="center" vertical="center"/>
      <protection hidden="0" locked="1"/>
    </xf>
    <xf fontId="21" fillId="0" borderId="1" numFmtId="0" xfId="0" applyFont="1" applyBorder="1" applyAlignment="1" applyProtection="0">
      <alignment vertical="center"/>
      <protection hidden="0" locked="1"/>
    </xf>
    <xf fontId="21" fillId="0" borderId="1" numFmtId="0" xfId="0" applyFont="1" applyBorder="1" applyAlignment="1" applyProtection="0">
      <alignment horizontal="center" vertical="center"/>
      <protection hidden="0" locked="1"/>
    </xf>
    <xf fontId="21" fillId="0" borderId="1" numFmtId="0" xfId="0" applyFont="1" applyBorder="1" applyAlignment="1" applyProtection="0">
      <alignment horizontal="left" vertical="center"/>
      <protection hidden="0" locked="1"/>
    </xf>
    <xf fontId="21" fillId="19" borderId="1" numFmtId="0" xfId="0" applyFont="1" applyFill="1" applyBorder="1" applyAlignment="1" applyProtection="0">
      <alignment horizontal="left" vertical="center"/>
      <protection hidden="0" locked="1"/>
    </xf>
    <xf fontId="5" fillId="0" borderId="1" numFmtId="3" xfId="0" applyNumberFormat="1" applyFont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horizontal="left" vertical="center"/>
      <protection hidden="0" locked="1"/>
    </xf>
    <xf fontId="5" fillId="0" borderId="1" numFmtId="162" xfId="0" applyNumberFormat="1" applyFont="1" applyBorder="1" applyAlignment="1" applyProtection="0">
      <alignment horizontal="center" vertical="center"/>
      <protection hidden="0" locked="1"/>
    </xf>
    <xf fontId="5" fillId="19" borderId="1" numFmtId="0" xfId="0" applyFont="1" applyFill="1" applyBorder="1" applyAlignment="1" applyProtection="0">
      <alignment horizontal="center" vertical="center"/>
      <protection hidden="0" locked="1"/>
    </xf>
    <xf fontId="5" fillId="8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0" xfId="0" applyFont="1" applyFill="1" applyBorder="1" applyAlignment="1" applyProtection="0">
      <alignment horizontal="center" vertical="center"/>
      <protection hidden="0" locked="1"/>
    </xf>
    <xf fontId="22" fillId="15" borderId="1" numFmtId="0" xfId="0" applyFont="1" applyFill="1" applyBorder="1" applyAlignment="1" applyProtection="0">
      <alignment horizontal="center" vertical="center" wrapText="1"/>
      <protection hidden="0" locked="1"/>
    </xf>
    <xf fontId="22" fillId="0" borderId="1" numFmtId="0" xfId="0" applyFont="1" applyBorder="1" applyAlignment="1" applyProtection="0">
      <alignment horizontal="center" vertical="center"/>
      <protection hidden="0" locked="1"/>
    </xf>
    <xf fontId="22" fillId="0" borderId="1" numFmtId="0" xfId="0" applyFont="1" applyBorder="1" applyAlignment="1" applyProtection="0">
      <alignment vertical="center"/>
      <protection hidden="0" locked="1"/>
    </xf>
    <xf fontId="5" fillId="0" borderId="1" numFmtId="0" xfId="0" applyFont="1" applyBorder="1" applyAlignment="1" applyProtection="0">
      <alignment vertical="center" wrapText="1"/>
      <protection hidden="0" locked="1"/>
    </xf>
    <xf fontId="5" fillId="15" borderId="1" numFmtId="0" xfId="0" applyFont="1" applyFill="1" applyBorder="1" applyAlignment="1" applyProtection="0">
      <alignment horizontal="center" vertical="center" wrapText="1"/>
      <protection hidden="0" locked="1"/>
    </xf>
    <xf fontId="22" fillId="15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5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7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9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2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" xfId="0" applyNumberFormat="1" applyFont="1" applyFill="1" applyBorder="1" applyAlignment="1" applyProtection="0">
      <alignment horizontal="center" vertical="center"/>
      <protection hidden="0" locked="1"/>
    </xf>
    <xf fontId="22" fillId="0" borderId="1" numFmtId="0" xfId="0" applyFont="1" applyBorder="1" applyAlignment="1" applyProtection="0">
      <alignment vertical="center" wrapText="1"/>
      <protection hidden="0" locked="1"/>
    </xf>
    <xf fontId="22" fillId="2" borderId="1" numFmtId="0" xfId="0" applyFont="1" applyFill="1" applyBorder="1" applyAlignment="1" applyProtection="0">
      <alignment horizontal="center" vertical="center"/>
      <protection hidden="0" locked="1"/>
    </xf>
    <xf fontId="22" fillId="2" borderId="1" numFmtId="165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167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162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2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3" xfId="0" applyNumberFormat="1" applyFont="1" applyFill="1" applyBorder="1" applyAlignment="1" applyProtection="0">
      <alignment horizontal="center" vertical="center"/>
      <protection hidden="0" locked="1"/>
    </xf>
    <xf fontId="5" fillId="0" borderId="1" numFmtId="165" xfId="0" applyNumberFormat="1" applyFont="1" applyBorder="1" applyAlignment="1" applyProtection="0">
      <alignment vertical="center"/>
      <protection hidden="0" locked="1"/>
    </xf>
    <xf fontId="22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22" fillId="15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5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22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22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6" fillId="22" borderId="1" numFmtId="0" xfId="0" applyFont="1" applyFill="1" applyBorder="1" applyAlignment="1" applyProtection="0">
      <alignment horizontal="center" vertical="center" wrapText="1"/>
      <protection hidden="0" locked="1"/>
    </xf>
    <xf fontId="6" fillId="22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vertical="center" wrapText="1"/>
      <protection hidden="0" locked="1"/>
    </xf>
    <xf fontId="4" fillId="22" borderId="1" numFmtId="0" xfId="0" applyFont="1" applyFill="1" applyBorder="1" applyAlignment="1" applyProtection="0">
      <alignment vertical="center"/>
      <protection hidden="0" locked="1"/>
    </xf>
    <xf fontId="4" fillId="22" borderId="1" numFmtId="0" xfId="0" applyFont="1" applyFill="1" applyBorder="1" applyAlignment="1" applyProtection="0">
      <alignment horizontal="center" vertical="center"/>
      <protection hidden="0" locked="1"/>
    </xf>
    <xf fontId="4" fillId="22" borderId="1" numFmtId="3" xfId="0" applyNumberFormat="1" applyFont="1" applyFill="1" applyBorder="1" applyAlignment="1" applyProtection="0">
      <alignment vertical="center"/>
      <protection hidden="0" locked="1"/>
    </xf>
    <xf fontId="6" fillId="21" borderId="1" numFmtId="0" xfId="0" applyFont="1" applyFill="1" applyBorder="1" applyAlignment="1" applyProtection="0">
      <alignment vertical="center"/>
      <protection hidden="0" locked="1"/>
    </xf>
    <xf fontId="6" fillId="21" borderId="1" numFmtId="3" xfId="0" applyNumberFormat="1" applyFont="1" applyFill="1" applyBorder="1" applyAlignment="1" applyProtection="0">
      <alignment vertical="center"/>
      <protection hidden="0" locked="1"/>
    </xf>
    <xf fontId="4" fillId="0" borderId="1" numFmtId="9" xfId="0" applyNumberFormat="1" applyFont="1" applyBorder="1" applyAlignment="1" applyProtection="0">
      <alignment vertical="center"/>
      <protection hidden="0" locked="1"/>
    </xf>
    <xf fontId="6" fillId="0" borderId="1" numFmtId="165" xfId="0" applyNumberFormat="1" applyFont="1" applyBorder="1" applyAlignment="1" applyProtection="0">
      <alignment horizontal="center" vertical="center"/>
      <protection hidden="0" locked="1"/>
    </xf>
    <xf fontId="0" fillId="2" borderId="1" numFmtId="0" xfId="0" applyFill="1" applyBorder="1" applyProtection="0">
      <protection hidden="0" locked="1"/>
    </xf>
    <xf fontId="4" fillId="0" borderId="1" numFmtId="0" xfId="0" applyFont="1" applyBorder="1" applyAlignment="1" applyProtection="0">
      <alignment vertical="center" wrapText="1"/>
      <protection hidden="0" locked="1"/>
    </xf>
    <xf fontId="6" fillId="17" borderId="1" numFmtId="165" xfId="0" applyNumberFormat="1" applyFont="1" applyFill="1" applyBorder="1" applyAlignment="1" applyProtection="0">
      <alignment horizontal="center" vertical="center"/>
      <protection hidden="0" locked="1"/>
    </xf>
    <xf fontId="6" fillId="17" borderId="1" numFmtId="0" xfId="0" applyFont="1" applyFill="1" applyBorder="1" applyAlignment="1" applyProtection="0">
      <alignment vertical="center"/>
      <protection hidden="0" locked="1"/>
    </xf>
    <xf fontId="4" fillId="17" borderId="1" numFmtId="0" xfId="0" applyFont="1" applyFill="1" applyBorder="1" applyAlignment="1" applyProtection="0">
      <alignment vertical="center"/>
      <protection hidden="0" locked="1"/>
    </xf>
    <xf fontId="23" fillId="0" borderId="1" numFmtId="0" xfId="0" applyFont="1" applyBorder="1" applyAlignment="1" applyProtection="0">
      <alignment vertical="center" wrapText="1"/>
      <protection hidden="0" locked="1"/>
    </xf>
    <xf fontId="4" fillId="0" borderId="1" numFmtId="0" xfId="0" applyFont="1" applyBorder="1" applyAlignment="1" applyProtection="0">
      <alignment horizontal="right"/>
      <protection hidden="0" locked="1"/>
    </xf>
    <xf fontId="6" fillId="0" borderId="1" numFmtId="0" xfId="0" applyFont="1" applyBorder="1" applyProtection="0">
      <protection hidden="0" locked="1"/>
    </xf>
    <xf fontId="4" fillId="2" borderId="1" numFmtId="0" xfId="0" applyFont="1" applyFill="1" applyBorder="1" applyAlignment="1" applyProtection="0">
      <alignment horizontal="center" vertical="center"/>
      <protection hidden="0" locked="1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" xfId="6"/>
    <cellStyle name="Ergebnis 2" xfId="7"/>
    <cellStyle name="Überschrift" xfId="8"/>
    <cellStyle name="Überschrift 1" xfId="9"/>
    <cellStyle name="Standard 2" xfId="10"/>
    <cellStyle name="Unbenannt2" xfId="11"/>
    <cellStyle name="ohne nachkommastellen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wittig" id="{24E3A41C-FF51-BD1A-4492-24F74325823C}" userId="danielwittig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4-01-20T20:55:16.61Z" personId="{24E3A41C-FF51-BD1A-4492-24F74325823C}" id="{51865848-22AF-0CF2-00B8-EC01B3B44148}" done="0">
    <text xml:space="preserve">eingefügt aus technischen Gründen, um die Bedeutung von Spalte F auszulesen. DW
</text>
  </threadedComment>
  <threadedComment ref="C98" dT="2024-01-19T09:30:47.45Z" personId="{24E3A41C-FF51-BD1A-4492-24F74325823C}" id="{AE29D719-1BC3-5689-F671-0C7F00F4C071}" done="0">
    <text xml:space="preserve">edit dw
</text>
  </threadedComment>
  <threadedComment ref="C99" dT="2024-01-19T09:30:28.71Z" personId="{24E3A41C-FF51-BD1A-4492-24F74325823C}" id="{E9A40895-7ABA-4DD2-7DDF-BC2D530EBD2A}" done="0">
    <text xml:space="preserve">edit dw
</text>
  </threadedComment>
</ThreadedComments>
</file>

<file path=xl/worksheets/_rels/sheet1.xml.rels><?xml version="1.0" encoding="UTF-8" standalone="yes"?><Relationships xmlns="http://schemas.openxmlformats.org/package/2006/relationships"><Relationship  Id="rId7" Type="http://schemas.openxmlformats.org/officeDocument/2006/relationships/hyperlink" Target="https://heliogaia.de/Geothermisches_Potenzial_spezifische_W&#228;rmeleitf&#228;higkeit_und_spezifische_Entzugsleistung_Berlin_k218.pdf" TargetMode="External"/><Relationship  Id="rId6" Type="http://schemas.openxmlformats.org/officeDocument/2006/relationships/hyperlink" Target="https://irp.cdn-website.com/d00f2507/files/uploaded/RisikenUndWirtschaftlichkeitVonNWP.pdf" TargetMode="External"/><Relationship  Id="rId5" Type="http://schemas.openxmlformats.org/officeDocument/2006/relationships/hyperlink" Target="http://www.solarkeymark.nl/DBF/PDF_Downloads/DS_1575.pdf" TargetMode="External"/><Relationship  Id="rId4" Type="http://schemas.openxmlformats.org/officeDocument/2006/relationships/hyperlink" Target="http://www.solarkeymark.nl/DBF/PDF_Downloads/DS_47.pdf" TargetMode="External"/><Relationship  Id="rId3" Type="http://schemas.openxmlformats.org/officeDocument/2006/relationships/hyperlink" Target="https://www.dwd.de/DE/leistungen/solarenergie/strahlungskarten_sum.html?nn=16102" TargetMode="External"/><Relationship  Id="rId2" Type="http://schemas.openxmlformats.org/officeDocument/2006/relationships/hyperlink" Target="https://heliogaia.de/9254_Gebaeudereport_dena_kompakt_2018.pdf" TargetMode="External"/><Relationship  Id="rId1" Type="http://schemas.openxmlformats.org/officeDocument/2006/relationships/hyperlink" Target="https://heliogaia.de/Heizspiegel-fuer-Deutschland-2018.pdf" TargetMode="External"/></Relationships>
</file>

<file path=xl/worksheets/_rels/sheet2.xml.rels><?xml version="1.0" encoding="UTF-8" standalone="yes"?><Relationships xmlns="http://schemas.openxmlformats.org/package/2006/relationships"><Relationship  Id="rId33" Type="http://schemas.openxmlformats.org/officeDocument/2006/relationships/vmlDrawing" Target="../drawings/vmlDrawing1.vml"/><Relationship  Id="rId29" Type="http://schemas.openxmlformats.org/officeDocument/2006/relationships/hyperlink" Target="https://enerko.de/wp-content/uploads/2015/06/Endbericht_GKK_Kiel.pdf" TargetMode="External"/><Relationship  Id="rId28" Type="http://schemas.openxmlformats.org/officeDocument/2006/relationships/hyperlink" Target="https://www.ier.uni-stuttgart.de/publikationen/arbeitsberichte/downloads/Arbeitsbericht_04.pdf" TargetMode="External"/><Relationship  Id="rId27" Type="http://schemas.openxmlformats.org/officeDocument/2006/relationships/hyperlink" Target="http://seitzpumpen.homepage.t-online.de/PDF-Dateien/Preisliste/NM.pdf" TargetMode="External"/><Relationship  Id="rId23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 Id="rId22" Type="http://schemas.openxmlformats.org/officeDocument/2006/relationships/hyperlink" Target="https://www.kesselheld.de/tiefenbohrung/" TargetMode="External"/><Relationship  Id="rId21" Type="http://schemas.openxmlformats.org/officeDocument/2006/relationships/hyperlink" Target="https://www.my-hammer.de/preisradar/was-kostet-brunnen-bohren/" TargetMode="External"/><Relationship  Id="rId25" Type="http://schemas.openxmlformats.org/officeDocument/2006/relationships/hyperlink" Target="https://www.borderstep.de/wp-content/uploads/2014/07/Clausen-Kosten_-laendliche_-Waermenetze-2012.pdf" TargetMode="External"/><Relationship  Id="rId13" Type="http://schemas.openxmlformats.org/officeDocument/2006/relationships/hyperlink" Target="https://www.swissolar.ch/fileadmin/user_upload/Markterhebung/Marktumfrage_2017.pdf" TargetMode="External"/><Relationship  Id="rId11" Type="http://schemas.openxmlformats.org/officeDocument/2006/relationships/hyperlink" Target="https://heliogaia.de/t/quellen.html" TargetMode="External"/><Relationship  Id="rId24" Type="http://schemas.openxmlformats.org/officeDocument/2006/relationships/hyperlink" Target="https://enerko.de/wp-content/uploads/2020/01/191212-Kurzbericht-FW-Schiene-Rheinland.pdf" TargetMode="External"/><Relationship  Id="rId10" Type="http://schemas.openxmlformats.org/officeDocument/2006/relationships/hyperlink" Target="https://www.dwd.de/DE/leistungen/solarenergie/strahlungskarten_sum.html?nn=16102" TargetMode="External"/><Relationship  Id="rId17" Type="http://schemas.openxmlformats.org/officeDocument/2006/relationships/hyperlink" Target="https://www.dwd.de/DE/leistungen/klimadatendeutschland/mittelwerte/temp_8110_fest_html.html?view=nasPublication&amp;nn=16102" TargetMode="External"/><Relationship  Id="rId18" Type="http://schemas.openxmlformats.org/officeDocument/2006/relationships/hyperlink" Target="https://www.straelen.de/rathaus-politik/dienstleistungen/ver-und-entsorgung/wasserversorgung/" TargetMode="External"/><Relationship  Id="rId26" Type="http://schemas.openxmlformats.org/officeDocument/2006/relationships/hyperlink" Target="https://www.ksb.com/de-global/kreiselpumpenlexikon/artikel/pumpenwirkungsgrad-1074676" TargetMode="External"/><Relationship  Id="rId15" Type="http://schemas.openxmlformats.org/officeDocument/2006/relationships/hyperlink" Target="https://www.bodenrichtwerte-boris.de/borisde/?lang=de" TargetMode="External"/><Relationship  Id="rId9" Type="http://schemas.openxmlformats.org/officeDocument/2006/relationships/hyperlink" Target="https://www.dwd.de/DE/leistungen/solarenergie/strahlungskarten_mvs.html?nn=16102" TargetMode="External"/><Relationship  Id="rId8" Type="http://schemas.openxmlformats.org/officeDocument/2006/relationships/hyperlink" Target="https://www-docs.b-tu.de/fg-bauoekonomie/public/Forschung/Publikationen/Kalusche-Wolfdietrich/2016/orientierungswerte.pdf" TargetMode="External"/><Relationship  Id="rId20" Type="http://schemas.openxmlformats.org/officeDocument/2006/relationships/hyperlink" Target="https://books.google.de/books?id=hRmYJX_u7ykC&amp;printsec=frontcover&amp;hl=de" TargetMode="External"/><Relationship  Id="rId31" Type="http://schemas.microsoft.com/office/2017/10/relationships/threadedComment" Target="../threadedComments/threadedComment1.xml"/><Relationship  Id="rId19" Type="http://schemas.openxmlformats.org/officeDocument/2006/relationships/hyperlink" Target="http://baupreise24.de/baupreise/erdarbeiten" TargetMode="External"/><Relationship  Id="rId7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 Id="rId14" Type="http://schemas.openxmlformats.org/officeDocument/2006/relationships/hyperlink" Target="https://www.solaranlagen-portal.de/thermische-solaranlage/solarkollektor-preis.html" TargetMode="External"/><Relationship  Id="rId6" Type="http://schemas.openxmlformats.org/officeDocument/2006/relationships/hyperlink" Target="http://www.umweltbundesamt.de/sites/default/files/medien/384/bilder/dateien/3_tab_energieverbrauch-eev-sektor-waermezwecke_2018-02-14.pdf" TargetMode="External"/><Relationship  Id="rId5" Type="http://schemas.openxmlformats.org/officeDocument/2006/relationships/hyperlink" Target="https://heliogaia.de/Geothermisches_Potenzial_spezifische_W&#228;rmeleitf&#228;higkeit_und_spezifische_Entzugsleistung_Berlin_k218.pdf" TargetMode="External"/><Relationship  Id="rId16" Type="http://schemas.openxmlformats.org/officeDocument/2006/relationships/hyperlink" Target="https://de.wikipedia.org/wiki/Berlin" TargetMode="External"/><Relationship  Id="rId4" Type="http://schemas.openxmlformats.org/officeDocument/2006/relationships/hyperlink" Target="https://irp.cdn-website.com/d00f2507/files/uploaded/RisikenUndWirtschaftlichkeitVonNWP.pdf" TargetMode="External"/><Relationship  Id="rId12" Type="http://schemas.openxmlformats.org/officeDocument/2006/relationships/hyperlink" Target="https://www.vergleich.org/vakuumroehrenkollektor/" TargetMode="External"/><Relationship  Id="rId32" Type="http://schemas.openxmlformats.org/officeDocument/2006/relationships/comments" Target="../comments1.xml"/><Relationship  Id="rId3" Type="http://schemas.openxmlformats.org/officeDocument/2006/relationships/hyperlink" Target="http://www.solarkeymark.nl/DBF/PDF_Downloads/DS_1575.pdf" TargetMode="External"/><Relationship  Id="rId30" Type="http://schemas.openxmlformats.org/officeDocument/2006/relationships/hyperlink" Target="https://www.heizspiegel.de/heizkosten-senken/heizungswartung/" TargetMode="External"/><Relationship  Id="rId2" Type="http://schemas.openxmlformats.org/officeDocument/2006/relationships/hyperlink" Target="http://www.solarkeymark.nl/DBF/PDF_Downloads/DS_47.pdf" TargetMode="External"/><Relationship  Id="rId1" Type="http://schemas.openxmlformats.org/officeDocument/2006/relationships/hyperlink" Target="https://heliogaia.de/Heizspiegel-fuer-Deutschland-2018.pdf" TargetMode="External"/></Relationships>
</file>

<file path=xl/worksheets/_rels/sheet5.xml.rels><?xml version="1.0" encoding="UTF-8" standalone="yes"?><Relationships xmlns="http://schemas.openxmlformats.org/package/2006/relationships"><Relationship  Id="rId7" Type="http://schemas.openxmlformats.org/officeDocument/2006/relationships/hyperlink" Target="https://de.wikipedia.org/wiki/R&#246;bel/M&#252;ritz" TargetMode="External"/><Relationship  Id="rId6" Type="http://schemas.openxmlformats.org/officeDocument/2006/relationships/hyperlink" Target="https://de.wikipedia.org/wiki/Ludorf" TargetMode="External"/><Relationship  Id="rId5" Type="http://schemas.openxmlformats.org/officeDocument/2006/relationships/hyperlink" Target="https://de.wikipedia.org/wiki/Leizen" TargetMode="External"/><Relationship  Id="rId4" Type="http://schemas.openxmlformats.org/officeDocument/2006/relationships/hyperlink" Target="https://de.wikipedia.org/wiki/Gro&#223;_Kelle" TargetMode="External"/><Relationship  Id="rId3" Type="http://schemas.openxmlformats.org/officeDocument/2006/relationships/hyperlink" Target="https://de.wikipedia.org/wiki/Gotthun" TargetMode="External"/><Relationship  Id="rId2" Type="http://schemas.openxmlformats.org/officeDocument/2006/relationships/hyperlink" Target="https://de.wikipedia.org/wiki/B&#252;tow" TargetMode="External"/><Relationship  Id="rId1" Type="http://schemas.openxmlformats.org/officeDocument/2006/relationships/hyperlink" Target="https://de.wikipedia.org/wiki/Bollew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P1" zoomScale="150" workbookViewId="0">
      <pane ySplit="3" topLeftCell="A4" activePane="bottomLeft" state="frozen"/>
      <selection activeCell="Y6" activeCellId="0" sqref="Y6"/>
    </sheetView>
  </sheetViews>
  <sheetFormatPr defaultColWidth="11.53515625" defaultRowHeight="12.75"/>
  <cols>
    <col customWidth="1" min="1" max="1" style="1" width="5.1799999999999997"/>
    <col customWidth="1" min="2" max="2" style="1" width="5.9199999999999999"/>
    <col customWidth="1" min="3" max="3" style="2" width="11.66"/>
    <col customWidth="1" min="4" max="4" style="3" width="13.06"/>
    <col customWidth="1" min="5" max="7" style="4" width="13.98"/>
    <col customWidth="1" min="8" max="8" style="4" width="16.390000000000001"/>
    <col customWidth="1" min="9" max="10" style="5" width="14.539999999999999"/>
    <col customWidth="1" min="11" max="11" style="1" width="11.85"/>
    <col customWidth="1" min="12" max="12" style="6" width="13.619999999999999"/>
    <col customWidth="1" min="13" max="13" style="6" width="14.08"/>
    <col customWidth="1" min="14" max="14" style="6" width="13.06"/>
    <col customWidth="1" min="15" max="15" style="7" width="9.5399999999999991"/>
    <col customWidth="1" min="16" max="17" style="8" width="8.8900000000000006"/>
    <col customWidth="1" min="18" max="18" style="8" width="9.8200000000000003"/>
    <col customWidth="1" min="19" max="19" style="1" width="12.220000000000001"/>
    <col customWidth="1" min="20" max="20" style="1" width="2.8599999999999999"/>
    <col customWidth="1" min="21" max="21" style="1" width="50.850000000000001"/>
    <col customWidth="1" min="22" max="22" style="1" width="7.6399999999999997"/>
    <col customWidth="1" min="23" max="23" style="1" width="7.9500000000000002"/>
    <col customWidth="1" min="24" max="24" style="9" width="64.609999999999999"/>
    <col customWidth="1" min="25" max="25" style="9" width="38.759999999999998"/>
    <col customWidth="1" min="26" max="26" style="9" width="1.9299999999999999"/>
    <col customWidth="0" min="27" max="64" style="1" width="11.52"/>
    <col customWidth="0" min="65" max="1024" style="10" width="11.52"/>
  </cols>
  <sheetData>
    <row r="1" ht="12.800000000000001">
      <c r="A1" s="11" t="s">
        <v>0</v>
      </c>
      <c r="B1" s="11"/>
      <c r="C1" s="11"/>
      <c r="D1" s="11"/>
      <c r="E1" s="11"/>
      <c r="F1" s="12"/>
      <c r="G1" s="12"/>
      <c r="H1" s="12"/>
      <c r="I1" s="12"/>
      <c r="J1" s="12"/>
      <c r="K1" s="13"/>
      <c r="L1" s="13"/>
      <c r="M1" s="13"/>
      <c r="N1" s="13"/>
      <c r="O1" s="13"/>
      <c r="P1" s="13" t="s">
        <v>1</v>
      </c>
      <c r="Q1" s="14"/>
      <c r="R1" s="14"/>
      <c r="S1" s="15" t="s">
        <v>2</v>
      </c>
      <c r="T1" s="16"/>
      <c r="U1" s="17" t="s">
        <v>1</v>
      </c>
      <c r="V1" s="18"/>
      <c r="W1" s="16"/>
      <c r="X1" s="19"/>
      <c r="Y1" s="19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="20" customFormat="1" ht="69.150000000000006" customHeight="1">
      <c r="A2" s="21" t="s">
        <v>3</v>
      </c>
      <c r="B2" s="21" t="s">
        <v>4</v>
      </c>
      <c r="C2" s="22" t="s">
        <v>5</v>
      </c>
      <c r="D2" s="23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5" t="s">
        <v>11</v>
      </c>
      <c r="J2" s="25" t="s">
        <v>12</v>
      </c>
      <c r="K2" s="26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8" t="s">
        <v>18</v>
      </c>
      <c r="Q2" s="29" t="s">
        <v>19</v>
      </c>
      <c r="R2" s="29" t="s">
        <v>20</v>
      </c>
      <c r="S2" s="30" t="s">
        <v>21</v>
      </c>
      <c r="T2" s="31"/>
      <c r="U2" s="31" t="s">
        <v>22</v>
      </c>
      <c r="V2" s="32" t="s">
        <v>23</v>
      </c>
      <c r="W2" s="31" t="s">
        <v>24</v>
      </c>
      <c r="X2" s="31" t="s">
        <v>25</v>
      </c>
      <c r="Y2" s="31" t="s">
        <v>25</v>
      </c>
      <c r="Z2" s="3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</row>
    <row r="3" ht="11.949999999999999" customHeight="1">
      <c r="A3" s="16"/>
      <c r="B3" s="14"/>
      <c r="C3" s="34" t="s">
        <v>26</v>
      </c>
      <c r="D3" s="34" t="s">
        <v>26</v>
      </c>
      <c r="E3" s="35" t="s">
        <v>26</v>
      </c>
      <c r="F3" s="35" t="s">
        <v>26</v>
      </c>
      <c r="G3" s="35" t="s">
        <v>27</v>
      </c>
      <c r="H3" s="35" t="s">
        <v>27</v>
      </c>
      <c r="I3" s="36" t="s">
        <v>26</v>
      </c>
      <c r="J3" s="36" t="s">
        <v>26</v>
      </c>
      <c r="K3" s="37" t="s">
        <v>27</v>
      </c>
      <c r="L3" s="38" t="s">
        <v>26</v>
      </c>
      <c r="M3" s="38" t="s">
        <v>26</v>
      </c>
      <c r="N3" s="38" t="s">
        <v>26</v>
      </c>
      <c r="O3" s="38" t="s">
        <v>26</v>
      </c>
      <c r="P3" s="39" t="s">
        <v>26</v>
      </c>
      <c r="Q3" s="39" t="s">
        <v>28</v>
      </c>
      <c r="R3" s="40" t="s">
        <v>29</v>
      </c>
      <c r="S3" s="1" t="s">
        <v>29</v>
      </c>
      <c r="T3" s="41"/>
      <c r="U3" s="42" t="s">
        <v>30</v>
      </c>
      <c r="V3" s="43"/>
      <c r="W3" s="42"/>
      <c r="X3" s="42"/>
      <c r="Y3" s="42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ht="12.800000000000001">
      <c r="A4" s="1">
        <v>0</v>
      </c>
      <c r="B4" s="44">
        <v>43545</v>
      </c>
      <c r="C4" s="45">
        <f t="shared" ref="C4:C9" si="0">V$30-V$30*SIN(2*PI()/365*A4)</f>
        <v>16.17742987606</v>
      </c>
      <c r="D4" s="3">
        <f t="shared" ref="D4:D9" si="1">IF((E4+F4)&gt;C4,C4,E4+F4)</f>
        <v>16.17742987606</v>
      </c>
      <c r="E4" s="46">
        <f t="shared" ref="E4:E9" si="2">(V$27+V$28*SIN(2*PI()/365*A4))*V$29/100*V$9*V$10/100</f>
        <v>0</v>
      </c>
      <c r="F4" s="46">
        <f t="shared" ref="F4:F9" si="3">(V$27+V$28*SIN(2*PI()/365*A4))*V$29/100*V$11*(1-V$18/100)*(1-V$20/100)</f>
        <v>19.2635173391695</v>
      </c>
      <c r="G4" s="46">
        <f t="shared" ref="G4:G9" si="4">IF(C4&gt;E4,100,C4/E4*100)</f>
        <v>100</v>
      </c>
      <c r="H4" s="46">
        <f t="shared" ref="H4:H9" si="5">L4/F4*100</f>
        <v>83.9796263124056</v>
      </c>
      <c r="I4" s="47">
        <f t="shared" ref="I4:I9" si="6">(V$27+V$28*SIN(2*PI()/365*A4))*V$29/100*V$9*V$10/100*(1-V$19/100)</f>
        <v>0</v>
      </c>
      <c r="J4" s="47">
        <f t="shared" ref="J4:J9" si="7">(V$27+V$28*SIN(2*PI()/365*A4))*V$29/100*V$11*(1-V$18/100)</f>
        <v>21.168700372713801</v>
      </c>
      <c r="K4" s="48">
        <f t="shared" ref="K4:K9" si="8">IF(E4/C4*100&lt;100,E4/C4*100,100)</f>
        <v>0</v>
      </c>
      <c r="L4" s="7">
        <f t="shared" ref="L4:L9" si="9">IF(((C4-E4)&gt;0)AND(F4&gt;(C4-E4)),(C4-E4),IF(C4&lt;E4,0,F4))</f>
        <v>16.17742987606</v>
      </c>
      <c r="M4" s="7">
        <f t="shared" ref="M4:M9" si="10">IF(C4&lt;(E4+F4),0,C4-E4-F4)</f>
        <v>0</v>
      </c>
      <c r="N4" s="7">
        <f t="shared" ref="N4:N9" si="11">IF(C4&lt;(E4+F4),0,(C4-E4-F4)/(1-V$20/100))</f>
        <v>0</v>
      </c>
      <c r="O4" s="7">
        <f t="shared" ref="O4:O9" si="12">L4+M4</f>
        <v>16.17742987606</v>
      </c>
      <c r="P4" s="49">
        <f t="shared" ref="P4:P9" si="13">IF( N4=0,I4*(1-G4/100)+J4*(1-H4/100),-N4)</f>
        <v>3.3913049045159398</v>
      </c>
      <c r="Q4" s="8">
        <v>0</v>
      </c>
      <c r="R4" s="8">
        <f>V$21</f>
        <v>40</v>
      </c>
      <c r="S4" s="50">
        <f>R191</f>
        <v>75.729833501664601</v>
      </c>
      <c r="T4" s="1">
        <v>4</v>
      </c>
      <c r="U4" s="51" t="s">
        <v>31</v>
      </c>
      <c r="V4" s="52">
        <f>s!D32</f>
        <v>7518</v>
      </c>
      <c r="W4" s="1" t="s">
        <v>32</v>
      </c>
      <c r="X4" s="51" t="s">
        <v>33</v>
      </c>
      <c r="Y4" s="51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</row>
    <row r="5" ht="12.800000000000001">
      <c r="A5" s="1">
        <v>1</v>
      </c>
      <c r="B5" s="44">
        <v>43546</v>
      </c>
      <c r="C5" s="45">
        <f t="shared" si="0"/>
        <v>15.8989620139174</v>
      </c>
      <c r="D5" s="3">
        <f t="shared" si="1"/>
        <v>15.8989620139174</v>
      </c>
      <c r="E5" s="46">
        <f t="shared" si="2"/>
        <v>0</v>
      </c>
      <c r="F5" s="46">
        <f t="shared" si="3"/>
        <v>19.543502357049</v>
      </c>
      <c r="G5" s="46">
        <f t="shared" si="4"/>
        <v>100</v>
      </c>
      <c r="H5" s="46">
        <f t="shared" si="5"/>
        <v>81.351651937570196</v>
      </c>
      <c r="I5" s="47">
        <f t="shared" si="6"/>
        <v>0</v>
      </c>
      <c r="J5" s="47">
        <f t="shared" si="7"/>
        <v>21.4763762165374</v>
      </c>
      <c r="K5" s="48">
        <f t="shared" si="8"/>
        <v>0</v>
      </c>
      <c r="L5" s="7">
        <f t="shared" si="9"/>
        <v>15.8989620139174</v>
      </c>
      <c r="M5" s="7">
        <f t="shared" si="10"/>
        <v>0</v>
      </c>
      <c r="N5" s="7">
        <f t="shared" si="11"/>
        <v>0</v>
      </c>
      <c r="O5" s="7">
        <f t="shared" si="12"/>
        <v>15.8989620139174</v>
      </c>
      <c r="P5" s="49">
        <f t="shared" si="13"/>
        <v>4.0049893880567904</v>
      </c>
      <c r="Q5" s="54">
        <f t="shared" ref="Q5:Q10" si="14">IF(P4&gt;0,Q4+P4*(1-V$24/100),Q4+P4)</f>
        <v>2.6113047764772701</v>
      </c>
      <c r="R5" s="55">
        <f t="shared" ref="R5:R9" si="15">R$4+Q5/V$32</f>
        <v>40.0253954360264</v>
      </c>
      <c r="S5" s="50">
        <f>R365</f>
        <v>41.291088175951103</v>
      </c>
      <c r="T5" s="1">
        <v>5</v>
      </c>
      <c r="U5" s="51" t="s">
        <v>34</v>
      </c>
      <c r="V5" s="56">
        <v>80</v>
      </c>
      <c r="W5" s="1" t="s">
        <v>35</v>
      </c>
      <c r="X5" s="57" t="s">
        <v>36</v>
      </c>
      <c r="Y5" s="51" t="s">
        <v>37</v>
      </c>
      <c r="Z5" s="9" t="s">
        <v>1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</row>
    <row r="6" ht="12.800000000000001">
      <c r="A6" s="1">
        <v>2</v>
      </c>
      <c r="B6" s="44">
        <v>43547</v>
      </c>
      <c r="C6" s="45">
        <f t="shared" si="0"/>
        <v>15.620576667812101</v>
      </c>
      <c r="D6" s="3">
        <f t="shared" si="1"/>
        <v>15.620576667812101</v>
      </c>
      <c r="E6" s="46">
        <f t="shared" si="2"/>
        <v>0</v>
      </c>
      <c r="F6" s="46">
        <f t="shared" si="3"/>
        <v>19.8234044093252</v>
      </c>
      <c r="G6" s="46">
        <f t="shared" si="4"/>
        <v>100</v>
      </c>
      <c r="H6" s="46">
        <f t="shared" si="5"/>
        <v>78.7986581177951</v>
      </c>
      <c r="I6" s="47">
        <f t="shared" si="6"/>
        <v>0</v>
      </c>
      <c r="J6" s="47">
        <f t="shared" si="7"/>
        <v>21.783960889368299</v>
      </c>
      <c r="K6" s="48">
        <f t="shared" si="8"/>
        <v>0</v>
      </c>
      <c r="L6" s="7">
        <f t="shared" si="9"/>
        <v>15.620576667812101</v>
      </c>
      <c r="M6" s="7">
        <f t="shared" si="10"/>
        <v>0</v>
      </c>
      <c r="N6" s="7">
        <f t="shared" si="11"/>
        <v>0</v>
      </c>
      <c r="O6" s="7">
        <f t="shared" si="12"/>
        <v>15.620576667812101</v>
      </c>
      <c r="P6" s="49">
        <f t="shared" si="13"/>
        <v>4.6184920236407798</v>
      </c>
      <c r="Q6" s="54">
        <f t="shared" si="14"/>
        <v>5.6951466052809998</v>
      </c>
      <c r="R6" s="55">
        <f t="shared" si="15"/>
        <v>40.055386384836602</v>
      </c>
      <c r="S6" s="58">
        <f>R557</f>
        <v>77.081304001330807</v>
      </c>
      <c r="T6" s="1">
        <v>6</v>
      </c>
      <c r="U6" s="59" t="s">
        <v>38</v>
      </c>
      <c r="V6" s="60">
        <v>46.5</v>
      </c>
      <c r="W6" s="61" t="s">
        <v>39</v>
      </c>
      <c r="X6" s="51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AMJ6" s="9"/>
    </row>
    <row r="7" ht="12.800000000000001">
      <c r="A7" s="1">
        <v>3</v>
      </c>
      <c r="B7" s="44">
        <v>43548</v>
      </c>
      <c r="C7" s="45">
        <f t="shared" si="0"/>
        <v>15.3423563293303</v>
      </c>
      <c r="D7" s="3">
        <f t="shared" si="1"/>
        <v>15.3423563293303</v>
      </c>
      <c r="E7" s="46">
        <f t="shared" si="2"/>
        <v>0</v>
      </c>
      <c r="F7" s="46">
        <f t="shared" si="3"/>
        <v>20.103140554979099</v>
      </c>
      <c r="G7" s="46">
        <f t="shared" si="4"/>
        <v>100</v>
      </c>
      <c r="H7" s="46">
        <f t="shared" si="5"/>
        <v>76.318206537785599</v>
      </c>
      <c r="I7" s="47">
        <f t="shared" si="6"/>
        <v>0</v>
      </c>
      <c r="J7" s="47">
        <f t="shared" si="7"/>
        <v>22.0913632472298</v>
      </c>
      <c r="K7" s="48">
        <f t="shared" si="8"/>
        <v>0</v>
      </c>
      <c r="L7" s="7">
        <f t="shared" si="9"/>
        <v>15.3423563293303</v>
      </c>
      <c r="M7" s="7">
        <f t="shared" si="10"/>
        <v>0</v>
      </c>
      <c r="N7" s="7">
        <f t="shared" si="11"/>
        <v>0</v>
      </c>
      <c r="O7" s="7">
        <f t="shared" si="12"/>
        <v>15.3423563293303</v>
      </c>
      <c r="P7" s="49">
        <f t="shared" si="13"/>
        <v>5.2316310171965004</v>
      </c>
      <c r="Q7" s="54">
        <f t="shared" si="14"/>
        <v>9.2513854634844002</v>
      </c>
      <c r="R7" s="55">
        <f t="shared" si="15"/>
        <v>40.089971484680902</v>
      </c>
      <c r="S7" s="58">
        <f>R729</f>
        <v>42.635378292963303</v>
      </c>
      <c r="T7" s="1">
        <v>7</v>
      </c>
      <c r="U7" s="51" t="s">
        <v>40</v>
      </c>
      <c r="V7" s="56">
        <v>37</v>
      </c>
      <c r="W7" s="1" t="s">
        <v>27</v>
      </c>
      <c r="X7" s="62" t="s">
        <v>41</v>
      </c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AMJ7" s="9"/>
    </row>
    <row r="8" ht="12.800000000000001">
      <c r="A8" s="1">
        <v>4</v>
      </c>
      <c r="B8" s="44">
        <v>43549</v>
      </c>
      <c r="C8" s="45">
        <f t="shared" si="0"/>
        <v>15.0643834411627</v>
      </c>
      <c r="D8" s="3">
        <f t="shared" si="1"/>
        <v>15.0643834411627</v>
      </c>
      <c r="E8" s="46">
        <f t="shared" si="2"/>
        <v>0</v>
      </c>
      <c r="F8" s="46">
        <f t="shared" si="3"/>
        <v>20.382627902153601</v>
      </c>
      <c r="G8" s="46">
        <f t="shared" si="4"/>
        <v>100</v>
      </c>
      <c r="H8" s="46">
        <f t="shared" si="5"/>
        <v>73.907954918664103</v>
      </c>
      <c r="I8" s="47">
        <f t="shared" si="6"/>
        <v>0</v>
      </c>
      <c r="J8" s="47">
        <f t="shared" si="7"/>
        <v>22.3984922001688</v>
      </c>
      <c r="K8" s="48">
        <f t="shared" si="8"/>
        <v>0</v>
      </c>
      <c r="L8" s="7">
        <f t="shared" si="9"/>
        <v>15.0643834411627</v>
      </c>
      <c r="M8" s="7">
        <f t="shared" si="10"/>
        <v>0</v>
      </c>
      <c r="N8" s="7">
        <f t="shared" si="11"/>
        <v>0</v>
      </c>
      <c r="O8" s="7">
        <f t="shared" si="12"/>
        <v>15.0643834411627</v>
      </c>
      <c r="P8" s="49">
        <f t="shared" si="13"/>
        <v>5.8442246824075497</v>
      </c>
      <c r="Q8" s="54">
        <f t="shared" si="14"/>
        <v>13.2797413467257</v>
      </c>
      <c r="R8" s="55">
        <f t="shared" si="15"/>
        <v>40.129148012463503</v>
      </c>
      <c r="T8" s="1">
        <v>8</v>
      </c>
      <c r="U8" s="51" t="s">
        <v>42</v>
      </c>
      <c r="V8" s="63">
        <f>V6/(1-V7/100)</f>
        <v>73.809523809523796</v>
      </c>
      <c r="W8" s="1" t="s">
        <v>43</v>
      </c>
      <c r="X8" s="51" t="s">
        <v>44</v>
      </c>
      <c r="Y8" s="51" t="s">
        <v>45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</row>
    <row r="9" ht="12.800000000000001">
      <c r="A9" s="1">
        <v>5</v>
      </c>
      <c r="B9" s="44">
        <v>43550</v>
      </c>
      <c r="C9" s="45">
        <f t="shared" si="0"/>
        <v>14.7867403726754</v>
      </c>
      <c r="D9" s="3">
        <f t="shared" si="1"/>
        <v>14.7867403726754</v>
      </c>
      <c r="E9" s="46">
        <f t="shared" si="2"/>
        <v>0</v>
      </c>
      <c r="F9" s="46">
        <f t="shared" si="3"/>
        <v>20.661783632715899</v>
      </c>
      <c r="G9" s="46">
        <f t="shared" si="4"/>
        <v>100</v>
      </c>
      <c r="H9" s="46">
        <f t="shared" si="5"/>
        <v>71.565652973260299</v>
      </c>
      <c r="I9" s="47">
        <f t="shared" si="6"/>
        <v>0</v>
      </c>
      <c r="J9" s="47">
        <f t="shared" si="7"/>
        <v>22.705256739248298</v>
      </c>
      <c r="K9" s="48">
        <f t="shared" si="8"/>
        <v>0</v>
      </c>
      <c r="L9" s="7">
        <f t="shared" si="9"/>
        <v>14.7867403726754</v>
      </c>
      <c r="M9" s="7">
        <f t="shared" si="10"/>
        <v>0</v>
      </c>
      <c r="N9" s="7">
        <f t="shared" si="11"/>
        <v>0</v>
      </c>
      <c r="O9" s="7">
        <f t="shared" si="12"/>
        <v>14.7867403726754</v>
      </c>
      <c r="P9" s="49">
        <f t="shared" si="13"/>
        <v>6.4560914945500496</v>
      </c>
      <c r="Q9" s="54">
        <f t="shared" si="14"/>
        <v>17.779794352179501</v>
      </c>
      <c r="R9" s="55">
        <f t="shared" si="15"/>
        <v>40.172911884549599</v>
      </c>
      <c r="S9" s="64" t="s">
        <v>46</v>
      </c>
      <c r="T9" s="1">
        <v>9</v>
      </c>
      <c r="U9" s="51" t="s">
        <v>47</v>
      </c>
      <c r="V9" s="65">
        <v>0</v>
      </c>
      <c r="W9" s="48" t="s">
        <v>39</v>
      </c>
      <c r="X9" s="53" t="s">
        <v>48</v>
      </c>
      <c r="Y9" s="51" t="s">
        <v>1</v>
      </c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</row>
    <row r="10" ht="12.800000000000001">
      <c r="A10" s="1">
        <v>6</v>
      </c>
      <c r="B10" s="44">
        <v>43551</v>
      </c>
      <c r="C10" s="45">
        <f t="shared" ref="C10:C73" si="16">V$30-V$30*SIN(2*PI()/365*A10)</f>
        <v>14.5095093955014</v>
      </c>
      <c r="D10" s="3">
        <f t="shared" ref="D10:D73" si="17">IF((E10+F10)&gt;C10,C10,E10+F10)</f>
        <v>14.5095093955014</v>
      </c>
      <c r="E10" s="46">
        <f t="shared" ref="E10:E73" si="18">(V$27+V$28*SIN(2*PI()/365*A10))*V$29/100*V$9*V$10/100</f>
        <v>0</v>
      </c>
      <c r="F10" s="46">
        <f t="shared" ref="F10:F73" si="19">(V$27+V$28*SIN(2*PI()/365*A10))*V$29/100*V$11*(1-V$18/100)*(1-V$20/100)</f>
        <v>20.940525026798401</v>
      </c>
      <c r="G10" s="46">
        <f t="shared" ref="G10:G73" si="20">IF(C10&gt;E10,100,C10/E10*100)</f>
        <v>100</v>
      </c>
      <c r="H10" s="46">
        <f t="shared" ref="H10:H73" si="21">L10/F10*100</f>
        <v>69.289138533694896</v>
      </c>
      <c r="I10" s="47">
        <f t="shared" ref="I10:I73" si="22">(V$27+V$28*SIN(2*PI()/365*A10))*V$29/100*V$9*V$10/100*(1-V$19/100)</f>
        <v>0</v>
      </c>
      <c r="J10" s="47">
        <f t="shared" ref="J10:J73" si="23">(V$27+V$28*SIN(2*PI()/365*A10))*V$29/100*V$11*(1-V$18/100)</f>
        <v>23.011565963514698</v>
      </c>
      <c r="K10" s="48">
        <f t="shared" ref="K10:K73" si="24">IF(E10/C10*100&lt;100,E10/C10*100,100)</f>
        <v>0</v>
      </c>
      <c r="L10" s="7">
        <f t="shared" ref="L10:L73" si="25">IF(((C10-E10)&gt;0)AND(F10&gt;(C10-E10)),(C10-E10),IF(C10&lt;E10,0,F10))</f>
        <v>14.5095093955014</v>
      </c>
      <c r="M10" s="7">
        <f t="shared" ref="M10:M73" si="26">IF(C10&lt;(E10+F10),0,C10-E10-F10)</f>
        <v>0</v>
      </c>
      <c r="N10" s="7">
        <f t="shared" ref="N10:N73" si="27">IF(C10&lt;(E10+F10),0,(C10-E10-F10)/(1-V$20/100))</f>
        <v>0</v>
      </c>
      <c r="O10" s="7">
        <f t="shared" ref="O10:O73" si="28">L10+M10</f>
        <v>14.5095093955014</v>
      </c>
      <c r="P10" s="49">
        <f t="shared" ref="P10:P73" si="29">IF( N10=0,I10*(1-G10/100)+J10*(1-H10/100),-N10)</f>
        <v>7.0670501442824296</v>
      </c>
      <c r="Q10" s="54">
        <f t="shared" si="14"/>
        <v>22.750984802983101</v>
      </c>
      <c r="R10" s="55">
        <f t="shared" ref="R10:R73" si="30">R$4+Q10/V$32</f>
        <v>40.221257657975201</v>
      </c>
      <c r="S10" s="66">
        <f>t!D210</f>
        <v>727.78163071824804</v>
      </c>
      <c r="T10" s="1">
        <v>10</v>
      </c>
      <c r="U10" s="51" t="s">
        <v>49</v>
      </c>
      <c r="V10" s="65">
        <v>80</v>
      </c>
      <c r="W10" s="48" t="s">
        <v>27</v>
      </c>
      <c r="X10" s="51" t="s">
        <v>50</v>
      </c>
      <c r="Y10" s="5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</row>
    <row r="11" ht="12.800000000000001">
      <c r="A11" s="1">
        <v>7</v>
      </c>
      <c r="B11" s="44">
        <v>43552</v>
      </c>
      <c r="C11" s="45">
        <f t="shared" si="16"/>
        <v>14.232772659162499</v>
      </c>
      <c r="D11" s="3">
        <f t="shared" si="17"/>
        <v>14.232772659162499</v>
      </c>
      <c r="E11" s="46">
        <f t="shared" si="18"/>
        <v>0</v>
      </c>
      <c r="F11" s="46">
        <f t="shared" si="19"/>
        <v>21.218769487310201</v>
      </c>
      <c r="G11" s="46">
        <f t="shared" si="20"/>
        <v>100</v>
      </c>
      <c r="H11" s="46">
        <f t="shared" si="21"/>
        <v>67.076333845251</v>
      </c>
      <c r="I11" s="47">
        <f t="shared" si="22"/>
        <v>0</v>
      </c>
      <c r="J11" s="47">
        <f t="shared" si="23"/>
        <v>23.317329106934299</v>
      </c>
      <c r="K11" s="48">
        <f t="shared" si="24"/>
        <v>0</v>
      </c>
      <c r="L11" s="7">
        <f t="shared" si="25"/>
        <v>14.232772659162499</v>
      </c>
      <c r="M11" s="7">
        <f t="shared" si="26"/>
        <v>0</v>
      </c>
      <c r="N11" s="7">
        <f t="shared" si="27"/>
        <v>0</v>
      </c>
      <c r="O11" s="7">
        <f t="shared" si="28"/>
        <v>14.232772659162499</v>
      </c>
      <c r="P11" s="49">
        <f t="shared" si="29"/>
        <v>7.6769195913711803</v>
      </c>
      <c r="Q11" s="54">
        <f t="shared" ref="Q11:Q74" si="31">IF(P10&gt;0,Q10+P10*(1-V$24/100),Q10+P10)</f>
        <v>28.192613414080501</v>
      </c>
      <c r="R11" s="55">
        <f t="shared" si="30"/>
        <v>40.274178532059899</v>
      </c>
      <c r="S11" s="64" t="s">
        <v>51</v>
      </c>
      <c r="T11" s="1">
        <v>11</v>
      </c>
      <c r="U11" s="51" t="s">
        <v>52</v>
      </c>
      <c r="V11" s="65">
        <v>28</v>
      </c>
      <c r="W11" s="48" t="s">
        <v>39</v>
      </c>
      <c r="X11" s="51" t="s">
        <v>53</v>
      </c>
      <c r="Y11" s="5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</row>
    <row r="12" ht="12.800000000000001">
      <c r="A12" s="1">
        <v>8</v>
      </c>
      <c r="B12" s="44">
        <v>43553</v>
      </c>
      <c r="C12" s="45">
        <f t="shared" si="16"/>
        <v>13.956612166726099</v>
      </c>
      <c r="D12" s="3">
        <f t="shared" si="17"/>
        <v>13.956612166726099</v>
      </c>
      <c r="E12" s="46">
        <f t="shared" si="18"/>
        <v>0</v>
      </c>
      <c r="F12" s="46">
        <f t="shared" si="19"/>
        <v>21.496434564412802</v>
      </c>
      <c r="G12" s="46">
        <f t="shared" si="20"/>
        <v>100</v>
      </c>
      <c r="H12" s="46">
        <f t="shared" si="21"/>
        <v>64.9252420205123</v>
      </c>
      <c r="I12" s="47">
        <f t="shared" si="22"/>
        <v>0</v>
      </c>
      <c r="J12" s="47">
        <f t="shared" si="23"/>
        <v>23.622455565288799</v>
      </c>
      <c r="K12" s="48">
        <f t="shared" si="24"/>
        <v>0</v>
      </c>
      <c r="L12" s="7">
        <f t="shared" si="25"/>
        <v>13.956612166726099</v>
      </c>
      <c r="M12" s="7">
        <f t="shared" si="26"/>
        <v>0</v>
      </c>
      <c r="N12" s="7">
        <f t="shared" si="27"/>
        <v>0</v>
      </c>
      <c r="O12" s="7">
        <f t="shared" si="28"/>
        <v>13.956612166726099</v>
      </c>
      <c r="P12" s="49">
        <f t="shared" si="29"/>
        <v>8.2855191183370707</v>
      </c>
      <c r="Q12" s="54">
        <f t="shared" si="31"/>
        <v>34.1038414994363</v>
      </c>
      <c r="R12" s="55">
        <f t="shared" si="30"/>
        <v>40.331666350422502</v>
      </c>
      <c r="S12" s="5" t="s">
        <v>54</v>
      </c>
      <c r="T12" s="1">
        <v>12</v>
      </c>
      <c r="U12" s="53" t="s">
        <v>55</v>
      </c>
      <c r="V12" s="65">
        <v>13</v>
      </c>
      <c r="W12" s="1" t="s">
        <v>56</v>
      </c>
      <c r="X12" s="67" t="s">
        <v>57</v>
      </c>
      <c r="Y12" s="68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</row>
    <row r="13" ht="12.800000000000001">
      <c r="A13" s="1">
        <v>9</v>
      </c>
      <c r="B13" s="44">
        <v>43554</v>
      </c>
      <c r="C13" s="45">
        <f t="shared" si="16"/>
        <v>13.681109750506099</v>
      </c>
      <c r="D13" s="3">
        <f t="shared" si="17"/>
        <v>13.681109750506099</v>
      </c>
      <c r="E13" s="46">
        <f t="shared" si="18"/>
        <v>0</v>
      </c>
      <c r="F13" s="46">
        <f t="shared" si="19"/>
        <v>21.773437979951201</v>
      </c>
      <c r="G13" s="46">
        <f t="shared" si="20"/>
        <v>100</v>
      </c>
      <c r="H13" s="46">
        <f t="shared" si="21"/>
        <v>62.833943647776401</v>
      </c>
      <c r="I13" s="47">
        <f t="shared" si="22"/>
        <v>0</v>
      </c>
      <c r="J13" s="47">
        <f t="shared" si="23"/>
        <v>23.926854923023299</v>
      </c>
      <c r="K13" s="48">
        <f t="shared" si="24"/>
        <v>0</v>
      </c>
      <c r="L13" s="7">
        <f t="shared" si="25"/>
        <v>13.681109750506099</v>
      </c>
      <c r="M13" s="7">
        <f t="shared" si="26"/>
        <v>0</v>
      </c>
      <c r="N13" s="7">
        <f t="shared" si="27"/>
        <v>0</v>
      </c>
      <c r="O13" s="7">
        <f t="shared" si="28"/>
        <v>13.681109750506099</v>
      </c>
      <c r="P13" s="49">
        <f t="shared" si="29"/>
        <v>8.8926683840056207</v>
      </c>
      <c r="Q13" s="54">
        <f t="shared" si="31"/>
        <v>40.483691220555897</v>
      </c>
      <c r="R13" s="55">
        <f t="shared" si="30"/>
        <v>40.393711603397399</v>
      </c>
      <c r="S13" s="69">
        <f>t!D209</f>
        <v>959.13005702749103</v>
      </c>
      <c r="T13" s="1">
        <v>13</v>
      </c>
      <c r="U13" s="53" t="s">
        <v>58</v>
      </c>
      <c r="V13" s="65">
        <v>166</v>
      </c>
      <c r="W13" s="1" t="s">
        <v>56</v>
      </c>
      <c r="X13" s="67" t="s">
        <v>57</v>
      </c>
      <c r="Y13" s="68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</row>
    <row r="14" ht="12.800000000000001">
      <c r="A14" s="1">
        <v>10</v>
      </c>
      <c r="B14" s="44">
        <v>43555</v>
      </c>
      <c r="C14" s="45">
        <f t="shared" si="16"/>
        <v>13.4063470478143</v>
      </c>
      <c r="D14" s="3">
        <f t="shared" si="17"/>
        <v>13.4063470478143</v>
      </c>
      <c r="E14" s="46">
        <f t="shared" si="18"/>
        <v>0</v>
      </c>
      <c r="F14" s="46">
        <f t="shared" si="19"/>
        <v>22.049697651835199</v>
      </c>
      <c r="G14" s="46">
        <f t="shared" si="20"/>
        <v>100</v>
      </c>
      <c r="H14" s="46">
        <f t="shared" si="21"/>
        <v>60.800593547814501</v>
      </c>
      <c r="I14" s="47">
        <f t="shared" si="22"/>
        <v>0</v>
      </c>
      <c r="J14" s="47">
        <f t="shared" si="23"/>
        <v>24.2304369800387</v>
      </c>
      <c r="K14" s="48">
        <f t="shared" si="24"/>
        <v>0</v>
      </c>
      <c r="L14" s="7">
        <f t="shared" si="25"/>
        <v>13.4063470478143</v>
      </c>
      <c r="M14" s="7">
        <f t="shared" si="26"/>
        <v>0</v>
      </c>
      <c r="N14" s="7">
        <f t="shared" si="27"/>
        <v>0</v>
      </c>
      <c r="O14" s="7">
        <f t="shared" si="28"/>
        <v>13.4063470478143</v>
      </c>
      <c r="P14" s="49">
        <f t="shared" si="29"/>
        <v>9.4981874769460397</v>
      </c>
      <c r="Q14" s="54">
        <f t="shared" si="31"/>
        <v>47.331045876240204</v>
      </c>
      <c r="R14" s="55">
        <f t="shared" si="30"/>
        <v>40.460303430852797</v>
      </c>
      <c r="S14" s="16" t="s">
        <v>1</v>
      </c>
      <c r="T14" s="1">
        <v>14</v>
      </c>
      <c r="U14" s="70" t="s">
        <v>59</v>
      </c>
      <c r="V14" s="65">
        <v>529</v>
      </c>
      <c r="W14" s="1" t="s">
        <v>35</v>
      </c>
      <c r="X14" s="71" t="s">
        <v>60</v>
      </c>
      <c r="Y14" s="51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</row>
    <row r="15" ht="12.800000000000001">
      <c r="A15" s="1">
        <v>11</v>
      </c>
      <c r="B15" s="44">
        <v>43556</v>
      </c>
      <c r="C15" s="45">
        <f t="shared" si="16"/>
        <v>13.132405476769399</v>
      </c>
      <c r="D15" s="3">
        <f t="shared" si="17"/>
        <v>13.132405476769399</v>
      </c>
      <c r="E15" s="46">
        <f t="shared" si="18"/>
        <v>0</v>
      </c>
      <c r="F15" s="46">
        <f t="shared" si="19"/>
        <v>22.325131718361899</v>
      </c>
      <c r="G15" s="46">
        <f t="shared" si="20"/>
        <v>100</v>
      </c>
      <c r="H15" s="46">
        <f t="shared" si="21"/>
        <v>58.823417673134401</v>
      </c>
      <c r="I15" s="47">
        <f t="shared" si="22"/>
        <v>0</v>
      </c>
      <c r="J15" s="47">
        <f t="shared" si="23"/>
        <v>24.533111778419698</v>
      </c>
      <c r="K15" s="48">
        <f t="shared" si="24"/>
        <v>0</v>
      </c>
      <c r="L15" s="7">
        <f t="shared" si="25"/>
        <v>13.132405476769399</v>
      </c>
      <c r="M15" s="7">
        <f t="shared" si="26"/>
        <v>0</v>
      </c>
      <c r="N15" s="7">
        <f t="shared" si="27"/>
        <v>0</v>
      </c>
      <c r="O15" s="7">
        <f t="shared" si="28"/>
        <v>13.132405476769399</v>
      </c>
      <c r="P15" s="49">
        <f t="shared" si="29"/>
        <v>10.101896968782899</v>
      </c>
      <c r="Q15" s="54">
        <f t="shared" si="31"/>
        <v>54.644650233488697</v>
      </c>
      <c r="R15" s="55">
        <f t="shared" si="30"/>
        <v>40.531429625408997</v>
      </c>
      <c r="S15" s="72" t="s">
        <v>61</v>
      </c>
      <c r="T15" s="1">
        <v>15</v>
      </c>
      <c r="U15" s="70" t="s">
        <v>62</v>
      </c>
      <c r="V15" s="65">
        <v>370</v>
      </c>
      <c r="W15" s="1" t="s">
        <v>35</v>
      </c>
      <c r="X15" s="71" t="s">
        <v>63</v>
      </c>
      <c r="Y15" s="51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</row>
    <row r="16" ht="12.800000000000001">
      <c r="A16" s="1">
        <v>12</v>
      </c>
      <c r="B16" s="44">
        <v>43557</v>
      </c>
      <c r="C16" s="45">
        <f t="shared" si="16"/>
        <v>12.8593662121711</v>
      </c>
      <c r="D16" s="3">
        <f t="shared" si="17"/>
        <v>12.8593662121711</v>
      </c>
      <c r="E16" s="46">
        <f t="shared" si="18"/>
        <v>0</v>
      </c>
      <c r="F16" s="46">
        <f t="shared" si="19"/>
        <v>22.599658562473</v>
      </c>
      <c r="G16" s="46">
        <f t="shared" si="20"/>
        <v>100</v>
      </c>
      <c r="H16" s="46">
        <f t="shared" si="21"/>
        <v>56.900710144020501</v>
      </c>
      <c r="I16" s="47">
        <f t="shared" si="22"/>
        <v>0</v>
      </c>
      <c r="J16" s="47">
        <f t="shared" si="23"/>
        <v>24.834789629091201</v>
      </c>
      <c r="K16" s="48">
        <f t="shared" si="24"/>
        <v>0</v>
      </c>
      <c r="L16" s="7">
        <f t="shared" si="25"/>
        <v>12.8593662121711</v>
      </c>
      <c r="M16" s="7">
        <f t="shared" si="26"/>
        <v>0</v>
      </c>
      <c r="N16" s="7">
        <f t="shared" si="27"/>
        <v>0</v>
      </c>
      <c r="O16" s="7">
        <f t="shared" si="28"/>
        <v>12.8593662121711</v>
      </c>
      <c r="P16" s="49">
        <f t="shared" si="29"/>
        <v>10.7036179673647</v>
      </c>
      <c r="Q16" s="54">
        <f t="shared" si="31"/>
        <v>62.423110899451501</v>
      </c>
      <c r="R16" s="55">
        <f t="shared" si="30"/>
        <v>40.607076636055197</v>
      </c>
      <c r="S16" s="73">
        <f>t!H210</f>
        <v>0.021599316311357999</v>
      </c>
      <c r="T16" s="1">
        <v>16</v>
      </c>
      <c r="U16" s="51" t="s">
        <v>64</v>
      </c>
      <c r="V16" s="65">
        <v>30</v>
      </c>
      <c r="W16" s="1" t="s">
        <v>27</v>
      </c>
      <c r="X16" s="51" t="s">
        <v>65</v>
      </c>
      <c r="Y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</row>
    <row r="17" ht="12.800000000000001">
      <c r="A17" s="1">
        <v>13</v>
      </c>
      <c r="B17" s="44">
        <v>43558</v>
      </c>
      <c r="C17" s="45">
        <f t="shared" si="16"/>
        <v>12.587310161446</v>
      </c>
      <c r="D17" s="3">
        <f t="shared" si="17"/>
        <v>12.587310161446</v>
      </c>
      <c r="E17" s="46">
        <f t="shared" si="18"/>
        <v>0</v>
      </c>
      <c r="F17" s="46">
        <f t="shared" si="19"/>
        <v>22.873196835939801</v>
      </c>
      <c r="G17" s="46">
        <f t="shared" si="20"/>
        <v>100</v>
      </c>
      <c r="H17" s="46">
        <f t="shared" si="21"/>
        <v>55.030830415746799</v>
      </c>
      <c r="I17" s="47">
        <f t="shared" si="22"/>
        <v>0</v>
      </c>
      <c r="J17" s="47">
        <f t="shared" si="23"/>
        <v>25.135381138395399</v>
      </c>
      <c r="K17" s="48">
        <f t="shared" si="24"/>
        <v>0</v>
      </c>
      <c r="L17" s="7">
        <f t="shared" si="25"/>
        <v>12.587310161446</v>
      </c>
      <c r="M17" s="7">
        <f t="shared" si="26"/>
        <v>0</v>
      </c>
      <c r="N17" s="7">
        <f t="shared" si="27"/>
        <v>0</v>
      </c>
      <c r="O17" s="7">
        <f t="shared" si="28"/>
        <v>12.587310161446</v>
      </c>
      <c r="P17" s="49">
        <f t="shared" si="29"/>
        <v>11.303172169773401</v>
      </c>
      <c r="Q17" s="54">
        <f t="shared" si="31"/>
        <v>70.664896734322397</v>
      </c>
      <c r="R17" s="55">
        <f t="shared" si="30"/>
        <v>40.6872295721654</v>
      </c>
      <c r="S17" s="2" t="s">
        <v>54</v>
      </c>
      <c r="T17" s="1">
        <v>17</v>
      </c>
      <c r="U17" s="53" t="s">
        <v>66</v>
      </c>
      <c r="V17" s="65">
        <v>85</v>
      </c>
      <c r="W17" s="1" t="s">
        <v>27</v>
      </c>
      <c r="X17" s="51" t="s">
        <v>65</v>
      </c>
      <c r="Y17" s="51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</row>
    <row r="18" ht="12.800000000000001">
      <c r="A18" s="1">
        <v>14</v>
      </c>
      <c r="B18" s="44">
        <v>43559</v>
      </c>
      <c r="C18" s="45">
        <f t="shared" si="16"/>
        <v>12.3163179406735</v>
      </c>
      <c r="D18" s="3">
        <f t="shared" si="17"/>
        <v>12.3163179406735</v>
      </c>
      <c r="E18" s="46">
        <f t="shared" si="18"/>
        <v>0</v>
      </c>
      <c r="F18" s="46">
        <f t="shared" si="19"/>
        <v>23.145665483468399</v>
      </c>
      <c r="G18" s="46">
        <f t="shared" si="20"/>
        <v>100</v>
      </c>
      <c r="H18" s="46">
        <f t="shared" si="21"/>
        <v>53.2122005715079</v>
      </c>
      <c r="I18" s="47">
        <f t="shared" si="22"/>
        <v>0</v>
      </c>
      <c r="J18" s="47">
        <f t="shared" si="23"/>
        <v>25.434797234580699</v>
      </c>
      <c r="K18" s="48">
        <f t="shared" si="24"/>
        <v>0</v>
      </c>
      <c r="L18" s="7">
        <f t="shared" si="25"/>
        <v>12.3163179406735</v>
      </c>
      <c r="M18" s="7">
        <f t="shared" si="26"/>
        <v>0</v>
      </c>
      <c r="N18" s="7">
        <f t="shared" si="27"/>
        <v>0</v>
      </c>
      <c r="O18" s="7">
        <f t="shared" si="28"/>
        <v>12.3163179406735</v>
      </c>
      <c r="P18" s="49">
        <f t="shared" si="29"/>
        <v>11.900381915159301</v>
      </c>
      <c r="Q18" s="54">
        <f t="shared" si="31"/>
        <v>79.368339305047897</v>
      </c>
      <c r="R18" s="55">
        <f t="shared" si="30"/>
        <v>40.771872207910398</v>
      </c>
      <c r="S18" s="74">
        <f>t!H209</f>
        <v>0.401809982313581</v>
      </c>
      <c r="T18" s="1">
        <v>18</v>
      </c>
      <c r="U18" s="53" t="s">
        <v>67</v>
      </c>
      <c r="V18" s="65">
        <v>11</v>
      </c>
      <c r="W18" s="1" t="s">
        <v>27</v>
      </c>
      <c r="X18" s="51" t="s">
        <v>68</v>
      </c>
      <c r="Y18" s="5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</row>
    <row r="19" ht="12.800000000000001">
      <c r="A19" s="1">
        <v>15</v>
      </c>
      <c r="B19" s="44">
        <v>43560</v>
      </c>
      <c r="C19" s="45">
        <f t="shared" si="16"/>
        <v>12.046469850696999</v>
      </c>
      <c r="D19" s="3">
        <f t="shared" si="17"/>
        <v>12.046469850696999</v>
      </c>
      <c r="E19" s="46">
        <f t="shared" si="18"/>
        <v>0</v>
      </c>
      <c r="F19" s="46">
        <f t="shared" si="19"/>
        <v>23.4169837667183</v>
      </c>
      <c r="G19" s="46">
        <f t="shared" si="20"/>
        <v>100</v>
      </c>
      <c r="H19" s="46">
        <f t="shared" si="21"/>
        <v>51.443302735761598</v>
      </c>
      <c r="I19" s="47">
        <f t="shared" si="22"/>
        <v>0</v>
      </c>
      <c r="J19" s="47">
        <f t="shared" si="23"/>
        <v>25.7329491941959</v>
      </c>
      <c r="K19" s="48">
        <f t="shared" si="24"/>
        <v>0</v>
      </c>
      <c r="L19" s="7">
        <f t="shared" si="25"/>
        <v>12.046469850696999</v>
      </c>
      <c r="M19" s="7">
        <f t="shared" si="26"/>
        <v>0</v>
      </c>
      <c r="N19" s="7">
        <f t="shared" si="27"/>
        <v>0</v>
      </c>
      <c r="O19" s="7">
        <f t="shared" si="28"/>
        <v>12.046469850696999</v>
      </c>
      <c r="P19" s="49">
        <f t="shared" si="29"/>
        <v>12.495070237386001</v>
      </c>
      <c r="Q19" s="54">
        <f t="shared" si="31"/>
        <v>88.531633379720503</v>
      </c>
      <c r="R19" s="55">
        <f t="shared" si="30"/>
        <v>40.860986987066497</v>
      </c>
      <c r="T19" s="1">
        <v>19</v>
      </c>
      <c r="U19" s="51" t="s">
        <v>69</v>
      </c>
      <c r="V19" s="65">
        <v>20</v>
      </c>
      <c r="W19" s="1" t="s">
        <v>27</v>
      </c>
      <c r="X19" s="71" t="s">
        <v>70</v>
      </c>
      <c r="Y19" s="51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ht="12.800000000000001">
      <c r="A20" s="1">
        <v>16</v>
      </c>
      <c r="B20" s="44">
        <v>43561</v>
      </c>
      <c r="C20" s="45">
        <f t="shared" si="16"/>
        <v>11.777845853329501</v>
      </c>
      <c r="D20" s="3">
        <f t="shared" si="17"/>
        <v>11.777845853329501</v>
      </c>
      <c r="E20" s="46">
        <f t="shared" si="18"/>
        <v>0</v>
      </c>
      <c r="F20" s="46">
        <f t="shared" si="19"/>
        <v>23.687071288226502</v>
      </c>
      <c r="G20" s="46">
        <f t="shared" si="20"/>
        <v>100</v>
      </c>
      <c r="H20" s="46">
        <f t="shared" si="21"/>
        <v>49.7226766028421</v>
      </c>
      <c r="I20" s="47">
        <f t="shared" si="22"/>
        <v>0</v>
      </c>
      <c r="J20" s="47">
        <f t="shared" si="23"/>
        <v>26.029748668380801</v>
      </c>
      <c r="K20" s="48">
        <f t="shared" si="24"/>
        <v>0</v>
      </c>
      <c r="L20" s="7">
        <f t="shared" si="25"/>
        <v>11.777845853329501</v>
      </c>
      <c r="M20" s="7">
        <f t="shared" si="26"/>
        <v>0</v>
      </c>
      <c r="N20" s="7">
        <f t="shared" si="27"/>
        <v>0</v>
      </c>
      <c r="O20" s="7">
        <f t="shared" si="28"/>
        <v>11.777845853329501</v>
      </c>
      <c r="P20" s="49">
        <f t="shared" si="29"/>
        <v>13.0870609174692</v>
      </c>
      <c r="Q20" s="54">
        <f t="shared" si="31"/>
        <v>98.152837462507705</v>
      </c>
      <c r="R20" s="55">
        <f t="shared" si="30"/>
        <v>40.954555028216902</v>
      </c>
      <c r="S20" s="1" t="s">
        <v>71</v>
      </c>
      <c r="T20" s="1">
        <v>20</v>
      </c>
      <c r="U20" s="53" t="s">
        <v>72</v>
      </c>
      <c r="V20" s="56">
        <v>9</v>
      </c>
      <c r="W20" s="1" t="s">
        <v>27</v>
      </c>
      <c r="X20" s="75" t="s">
        <v>73</v>
      </c>
      <c r="Y20" s="5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ht="12.800000000000001">
      <c r="A21" s="1">
        <v>17</v>
      </c>
      <c r="B21" s="44">
        <v>43562</v>
      </c>
      <c r="C21" s="45">
        <f t="shared" si="16"/>
        <v>11.5105255476588</v>
      </c>
      <c r="D21" s="3">
        <f t="shared" si="17"/>
        <v>11.5105255476588</v>
      </c>
      <c r="E21" s="46">
        <f t="shared" si="18"/>
        <v>0</v>
      </c>
      <c r="F21" s="46">
        <f t="shared" si="19"/>
        <v>23.955848015231499</v>
      </c>
      <c r="G21" s="46">
        <f t="shared" si="20"/>
        <v>100</v>
      </c>
      <c r="H21" s="46">
        <f t="shared" si="21"/>
        <v>48.048917075864701</v>
      </c>
      <c r="I21" s="47">
        <f t="shared" si="22"/>
        <v>0</v>
      </c>
      <c r="J21" s="47">
        <f t="shared" si="23"/>
        <v>26.3251077090456</v>
      </c>
      <c r="K21" s="48">
        <f t="shared" si="24"/>
        <v>0</v>
      </c>
      <c r="L21" s="7">
        <f t="shared" si="25"/>
        <v>11.5105255476588</v>
      </c>
      <c r="M21" s="7">
        <f t="shared" si="26"/>
        <v>0</v>
      </c>
      <c r="N21" s="7">
        <f t="shared" si="27"/>
        <v>0</v>
      </c>
      <c r="O21" s="7">
        <f t="shared" si="28"/>
        <v>11.5105255476588</v>
      </c>
      <c r="P21" s="49">
        <f t="shared" si="29"/>
        <v>13.6761785357942</v>
      </c>
      <c r="Q21" s="54">
        <f t="shared" si="31"/>
        <v>108.229874368959</v>
      </c>
      <c r="R21" s="55">
        <f t="shared" si="30"/>
        <v>41.052556130347597</v>
      </c>
      <c r="S21" s="63">
        <f>t!D94</f>
        <v>0.720067916298751</v>
      </c>
      <c r="T21" s="1">
        <v>21</v>
      </c>
      <c r="U21" s="53" t="s">
        <v>74</v>
      </c>
      <c r="V21" s="65">
        <v>40</v>
      </c>
      <c r="W21" s="1" t="s">
        <v>29</v>
      </c>
      <c r="X21" s="51" t="s">
        <v>65</v>
      </c>
      <c r="Y21" s="51"/>
      <c r="AA21" s="53"/>
      <c r="AB21" s="51" t="s">
        <v>1</v>
      </c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</row>
    <row r="22" ht="12.800000000000001">
      <c r="A22" s="1">
        <v>18</v>
      </c>
      <c r="B22" s="44">
        <v>43563</v>
      </c>
      <c r="C22" s="45">
        <f t="shared" si="16"/>
        <v>11.2445881464606</v>
      </c>
      <c r="D22" s="3">
        <f t="shared" si="17"/>
        <v>11.2445881464606</v>
      </c>
      <c r="E22" s="46">
        <f t="shared" si="18"/>
        <v>0</v>
      </c>
      <c r="F22" s="46">
        <f t="shared" si="19"/>
        <v>24.223234303388399</v>
      </c>
      <c r="G22" s="46">
        <f t="shared" si="20"/>
        <v>100</v>
      </c>
      <c r="H22" s="46">
        <f t="shared" si="21"/>
        <v>46.420672011118</v>
      </c>
      <c r="I22" s="47">
        <f t="shared" si="22"/>
        <v>0</v>
      </c>
      <c r="J22" s="47">
        <f t="shared" si="23"/>
        <v>26.618938794932301</v>
      </c>
      <c r="K22" s="48">
        <f t="shared" si="24"/>
        <v>0</v>
      </c>
      <c r="L22" s="7">
        <f t="shared" si="25"/>
        <v>11.2445881464606</v>
      </c>
      <c r="M22" s="7">
        <f t="shared" si="26"/>
        <v>0</v>
      </c>
      <c r="N22" s="7">
        <f t="shared" si="27"/>
        <v>0</v>
      </c>
      <c r="O22" s="7">
        <f t="shared" si="28"/>
        <v>11.2445881464606</v>
      </c>
      <c r="P22" s="49">
        <f t="shared" si="29"/>
        <v>14.2622485240966</v>
      </c>
      <c r="Q22" s="54">
        <f t="shared" si="31"/>
        <v>118.760531841521</v>
      </c>
      <c r="R22" s="55">
        <f t="shared" si="30"/>
        <v>41.154968778832703</v>
      </c>
      <c r="S22" s="1" t="s">
        <v>75</v>
      </c>
      <c r="T22" s="1">
        <v>22</v>
      </c>
      <c r="U22" s="53" t="s">
        <v>76</v>
      </c>
      <c r="V22" s="65">
        <v>116</v>
      </c>
      <c r="W22" s="1" t="s">
        <v>77</v>
      </c>
      <c r="X22" s="51" t="s">
        <v>78</v>
      </c>
      <c r="Y22" s="5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ht="12.800000000000001">
      <c r="A23" s="1">
        <v>19</v>
      </c>
      <c r="B23" s="44">
        <v>43564</v>
      </c>
      <c r="C23" s="45">
        <f t="shared" si="16"/>
        <v>10.980112452726299</v>
      </c>
      <c r="D23" s="3">
        <f t="shared" si="17"/>
        <v>10.980112452726299</v>
      </c>
      <c r="E23" s="46">
        <f t="shared" si="18"/>
        <v>0</v>
      </c>
      <c r="F23" s="46">
        <f t="shared" si="19"/>
        <v>24.489150920369401</v>
      </c>
      <c r="G23" s="46">
        <f t="shared" si="20"/>
        <v>100</v>
      </c>
      <c r="H23" s="46">
        <f t="shared" si="21"/>
        <v>44.836640063307897</v>
      </c>
      <c r="I23" s="47">
        <f t="shared" si="22"/>
        <v>0</v>
      </c>
      <c r="J23" s="47">
        <f t="shared" si="23"/>
        <v>26.911154857548802</v>
      </c>
      <c r="K23" s="48">
        <f t="shared" si="24"/>
        <v>0</v>
      </c>
      <c r="L23" s="7">
        <f t="shared" si="25"/>
        <v>10.980112452726299</v>
      </c>
      <c r="M23" s="7">
        <f t="shared" si="26"/>
        <v>0</v>
      </c>
      <c r="N23" s="7">
        <f t="shared" si="27"/>
        <v>0</v>
      </c>
      <c r="O23" s="7">
        <f t="shared" si="28"/>
        <v>10.980112452726299</v>
      </c>
      <c r="P23" s="49">
        <f t="shared" si="29"/>
        <v>14.845097217190199</v>
      </c>
      <c r="Q23" s="54">
        <f t="shared" si="31"/>
        <v>129.74246320507501</v>
      </c>
      <c r="R23" s="55">
        <f t="shared" si="30"/>
        <v>41.261770151809998</v>
      </c>
      <c r="T23" s="1">
        <v>23</v>
      </c>
      <c r="U23" s="53" t="s">
        <v>79</v>
      </c>
      <c r="V23" s="48">
        <f>(t!D103/V22*4/PI())^0.5</f>
        <v>117.84402428521901</v>
      </c>
      <c r="W23" s="48" t="s">
        <v>77</v>
      </c>
      <c r="X23" s="51" t="s">
        <v>80</v>
      </c>
      <c r="Y23" s="51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ht="12.800000000000001">
      <c r="A24" s="1">
        <v>20</v>
      </c>
      <c r="B24" s="44">
        <v>43565</v>
      </c>
      <c r="C24" s="45">
        <f t="shared" si="16"/>
        <v>10.717176836311801</v>
      </c>
      <c r="D24" s="3">
        <f t="shared" si="17"/>
        <v>10.717176836311801</v>
      </c>
      <c r="E24" s="46">
        <f t="shared" si="18"/>
        <v>0</v>
      </c>
      <c r="F24" s="46">
        <f t="shared" si="19"/>
        <v>24.753519069341799</v>
      </c>
      <c r="G24" s="46">
        <f t="shared" si="20"/>
        <v>100</v>
      </c>
      <c r="H24" s="46">
        <f t="shared" si="21"/>
        <v>43.2955686271915</v>
      </c>
      <c r="I24" s="47">
        <f t="shared" si="22"/>
        <v>0</v>
      </c>
      <c r="J24" s="47">
        <f t="shared" si="23"/>
        <v>27.201669306968999</v>
      </c>
      <c r="K24" s="48">
        <f t="shared" si="24"/>
        <v>0</v>
      </c>
      <c r="L24" s="7">
        <f t="shared" si="25"/>
        <v>10.717176836311801</v>
      </c>
      <c r="M24" s="7">
        <f t="shared" si="26"/>
        <v>0</v>
      </c>
      <c r="N24" s="7">
        <f t="shared" si="27"/>
        <v>0</v>
      </c>
      <c r="O24" s="7">
        <f t="shared" si="28"/>
        <v>10.717176836311801</v>
      </c>
      <c r="P24" s="49">
        <f t="shared" si="29"/>
        <v>15.424551904428601</v>
      </c>
      <c r="Q24" s="54">
        <f t="shared" si="31"/>
        <v>141.173188062311</v>
      </c>
      <c r="R24" s="55">
        <f t="shared" si="30"/>
        <v>41.3729361269435</v>
      </c>
      <c r="T24" s="1">
        <v>24</v>
      </c>
      <c r="U24" s="53" t="s">
        <v>81</v>
      </c>
      <c r="V24" s="65">
        <v>23</v>
      </c>
      <c r="W24" s="48" t="s">
        <v>27</v>
      </c>
      <c r="X24" s="51" t="s">
        <v>82</v>
      </c>
      <c r="Y24" s="76">
        <f>t!F114</f>
        <v>0.225618124786824</v>
      </c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</row>
    <row r="25" ht="12.800000000000001">
      <c r="A25" s="1">
        <v>21</v>
      </c>
      <c r="B25" s="44">
        <v>43566</v>
      </c>
      <c r="C25" s="45">
        <f t="shared" si="16"/>
        <v>10.4558592107149</v>
      </c>
      <c r="D25" s="3">
        <f t="shared" si="17"/>
        <v>10.4558592107149</v>
      </c>
      <c r="E25" s="46">
        <f t="shared" si="18"/>
        <v>0</v>
      </c>
      <c r="F25" s="46">
        <f t="shared" si="19"/>
        <v>25.0162604123176</v>
      </c>
      <c r="G25" s="46">
        <f t="shared" si="20"/>
        <v>100</v>
      </c>
      <c r="H25" s="46">
        <f t="shared" si="21"/>
        <v>41.796251871309401</v>
      </c>
      <c r="I25" s="47">
        <f t="shared" si="22"/>
        <v>0</v>
      </c>
      <c r="J25" s="47">
        <f t="shared" si="23"/>
        <v>27.4903960574919</v>
      </c>
      <c r="K25" s="48">
        <f t="shared" si="24"/>
        <v>0</v>
      </c>
      <c r="L25" s="7">
        <f t="shared" si="25"/>
        <v>10.4558592107149</v>
      </c>
      <c r="M25" s="7">
        <f t="shared" si="26"/>
        <v>0</v>
      </c>
      <c r="N25" s="7">
        <f t="shared" si="27"/>
        <v>0</v>
      </c>
      <c r="O25" s="7">
        <f t="shared" si="28"/>
        <v>10.4558592107149</v>
      </c>
      <c r="P25" s="49">
        <f t="shared" si="29"/>
        <v>16.000440880882099</v>
      </c>
      <c r="Q25" s="54">
        <f t="shared" si="31"/>
        <v>153.05009302872099</v>
      </c>
      <c r="R25" s="55">
        <f t="shared" si="30"/>
        <v>41.488441288571401</v>
      </c>
      <c r="T25" s="1">
        <v>25</v>
      </c>
      <c r="U25" s="53" t="s">
        <v>83</v>
      </c>
      <c r="V25" s="65">
        <v>0.61099999999999999</v>
      </c>
      <c r="W25" s="1" t="s">
        <v>84</v>
      </c>
      <c r="X25" s="77" t="s">
        <v>85</v>
      </c>
      <c r="Y25" s="51" t="s">
        <v>86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ht="12.800000000000001">
      <c r="A26" s="1">
        <v>22</v>
      </c>
      <c r="B26" s="44">
        <v>43567</v>
      </c>
      <c r="C26" s="45">
        <f t="shared" si="16"/>
        <v>10.196237009987801</v>
      </c>
      <c r="D26" s="3">
        <f t="shared" si="17"/>
        <v>10.196237009987801</v>
      </c>
      <c r="E26" s="46">
        <f t="shared" si="18"/>
        <v>0</v>
      </c>
      <c r="F26" s="46">
        <f t="shared" si="19"/>
        <v>25.277297093366499</v>
      </c>
      <c r="G26" s="46">
        <f t="shared" si="20"/>
        <v>100</v>
      </c>
      <c r="H26" s="46">
        <f t="shared" si="21"/>
        <v>40.337528859695901</v>
      </c>
      <c r="I26" s="47">
        <f t="shared" si="22"/>
        <v>0</v>
      </c>
      <c r="J26" s="47">
        <f t="shared" si="23"/>
        <v>27.77724955315</v>
      </c>
      <c r="K26" s="48">
        <f t="shared" si="24"/>
        <v>0</v>
      </c>
      <c r="L26" s="7">
        <f t="shared" si="25"/>
        <v>10.196237009987801</v>
      </c>
      <c r="M26" s="7">
        <f t="shared" si="26"/>
        <v>0</v>
      </c>
      <c r="N26" s="7">
        <f t="shared" si="27"/>
        <v>0</v>
      </c>
      <c r="O26" s="7">
        <f t="shared" si="28"/>
        <v>10.196237009987801</v>
      </c>
      <c r="P26" s="49">
        <f t="shared" si="29"/>
        <v>16.572593498218399</v>
      </c>
      <c r="Q26" s="54">
        <f t="shared" si="31"/>
        <v>165.370432507001</v>
      </c>
      <c r="R26" s="55">
        <f t="shared" si="30"/>
        <v>41.608258935237203</v>
      </c>
      <c r="T26" s="1" t="s">
        <v>1</v>
      </c>
      <c r="U26" s="78" t="s">
        <v>87</v>
      </c>
      <c r="V26" s="79"/>
      <c r="W26" s="79"/>
      <c r="X26" s="80"/>
      <c r="Y26" s="80"/>
      <c r="AA26" s="16"/>
      <c r="AB26" s="16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ht="12.800000000000001">
      <c r="A27" s="1">
        <v>23</v>
      </c>
      <c r="B27" s="44">
        <v>43568</v>
      </c>
      <c r="C27" s="45">
        <f t="shared" si="16"/>
        <v>9.9383871657916103</v>
      </c>
      <c r="D27" s="3">
        <f t="shared" si="17"/>
        <v>9.9383871657916103</v>
      </c>
      <c r="E27" s="46">
        <f t="shared" si="18"/>
        <v>0</v>
      </c>
      <c r="F27" s="46">
        <f t="shared" si="19"/>
        <v>25.536551761686301</v>
      </c>
      <c r="G27" s="46">
        <f t="shared" si="20"/>
        <v>100</v>
      </c>
      <c r="H27" s="46">
        <f t="shared" si="21"/>
        <v>38.918281757612498</v>
      </c>
      <c r="I27" s="47">
        <f t="shared" si="22"/>
        <v>0</v>
      </c>
      <c r="J27" s="47">
        <f t="shared" si="23"/>
        <v>28.062144793061801</v>
      </c>
      <c r="K27" s="48">
        <f t="shared" si="24"/>
        <v>0</v>
      </c>
      <c r="L27" s="7">
        <f t="shared" si="25"/>
        <v>9.9383871657916103</v>
      </c>
      <c r="M27" s="7">
        <f t="shared" si="26"/>
        <v>0</v>
      </c>
      <c r="N27" s="7">
        <f t="shared" si="27"/>
        <v>0</v>
      </c>
      <c r="O27" s="7">
        <f t="shared" si="28"/>
        <v>9.9383871657916103</v>
      </c>
      <c r="P27" s="49">
        <f t="shared" si="29"/>
        <v>17.140840215268899</v>
      </c>
      <c r="Q27" s="54">
        <f t="shared" si="31"/>
        <v>178.13132950062899</v>
      </c>
      <c r="R27" s="55">
        <f t="shared" si="30"/>
        <v>41.7323610876022</v>
      </c>
      <c r="T27" s="1">
        <v>27</v>
      </c>
      <c r="U27" s="51" t="s">
        <v>88</v>
      </c>
      <c r="V27" s="81">
        <f>V33/365</f>
        <v>2.97634408602151</v>
      </c>
      <c r="W27" s="1" t="s">
        <v>89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ht="12.800000000000001">
      <c r="A28" s="1">
        <v>24</v>
      </c>
      <c r="B28" s="44">
        <v>43569</v>
      </c>
      <c r="C28" s="45">
        <f t="shared" si="16"/>
        <v>9.6823860846000507</v>
      </c>
      <c r="D28" s="3">
        <f t="shared" si="17"/>
        <v>9.6823860846000507</v>
      </c>
      <c r="E28" s="46">
        <f t="shared" si="18"/>
        <v>0</v>
      </c>
      <c r="F28" s="46">
        <f t="shared" si="19"/>
        <v>25.793947594523399</v>
      </c>
      <c r="G28" s="46">
        <f t="shared" si="20"/>
        <v>100</v>
      </c>
      <c r="H28" s="46">
        <f t="shared" si="21"/>
        <v>37.537434117512902</v>
      </c>
      <c r="I28" s="47">
        <f t="shared" si="22"/>
        <v>0</v>
      </c>
      <c r="J28" s="47">
        <f t="shared" si="23"/>
        <v>28.344997356619199</v>
      </c>
      <c r="K28" s="48">
        <f t="shared" si="24"/>
        <v>0</v>
      </c>
      <c r="L28" s="7">
        <f t="shared" si="25"/>
        <v>9.6823860846000507</v>
      </c>
      <c r="M28" s="7">
        <f t="shared" si="26"/>
        <v>0</v>
      </c>
      <c r="N28" s="7">
        <f t="shared" si="27"/>
        <v>0</v>
      </c>
      <c r="O28" s="7">
        <f t="shared" si="28"/>
        <v>9.6823860846000507</v>
      </c>
      <c r="P28" s="49">
        <f t="shared" si="29"/>
        <v>17.705012648267498</v>
      </c>
      <c r="Q28" s="54">
        <f t="shared" si="31"/>
        <v>191.32977646638599</v>
      </c>
      <c r="R28" s="55">
        <f t="shared" si="30"/>
        <v>41.860718496735998</v>
      </c>
      <c r="T28" s="1">
        <v>28</v>
      </c>
      <c r="U28" s="51" t="s">
        <v>90</v>
      </c>
      <c r="V28" s="81">
        <f>(V13-V12)/2/30.44</f>
        <v>2.51314060446781</v>
      </c>
      <c r="W28" s="1" t="s">
        <v>89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ht="12.800000000000001">
      <c r="A29" s="1">
        <v>25</v>
      </c>
      <c r="B29" s="44">
        <v>43570</v>
      </c>
      <c r="C29" s="45">
        <f t="shared" si="16"/>
        <v>9.4283096250584109</v>
      </c>
      <c r="D29" s="3">
        <f t="shared" si="17"/>
        <v>9.4283096250584109</v>
      </c>
      <c r="E29" s="46">
        <f t="shared" si="18"/>
        <v>0</v>
      </c>
      <c r="F29" s="46">
        <f t="shared" si="19"/>
        <v>26.049408319937701</v>
      </c>
      <c r="G29" s="46">
        <f t="shared" si="20"/>
        <v>100</v>
      </c>
      <c r="H29" s="46">
        <f t="shared" si="21"/>
        <v>36.193949241611598</v>
      </c>
      <c r="I29" s="47">
        <f t="shared" si="22"/>
        <v>0</v>
      </c>
      <c r="J29" s="47">
        <f t="shared" si="23"/>
        <v>28.625723428503001</v>
      </c>
      <c r="K29" s="48">
        <f t="shared" si="24"/>
        <v>0</v>
      </c>
      <c r="L29" s="7">
        <f t="shared" si="25"/>
        <v>9.4283096250584109</v>
      </c>
      <c r="M29" s="7">
        <f t="shared" si="26"/>
        <v>0</v>
      </c>
      <c r="N29" s="7">
        <f t="shared" si="27"/>
        <v>0</v>
      </c>
      <c r="O29" s="7">
        <f t="shared" si="28"/>
        <v>9.4283096250584109</v>
      </c>
      <c r="P29" s="49">
        <f t="shared" si="29"/>
        <v>18.2649436207465</v>
      </c>
      <c r="Q29" s="54">
        <f t="shared" si="31"/>
        <v>204.962636205552</v>
      </c>
      <c r="R29" s="55">
        <f t="shared" si="30"/>
        <v>41.993300652783901</v>
      </c>
      <c r="T29" s="1">
        <v>29</v>
      </c>
      <c r="U29" s="51" t="s">
        <v>91</v>
      </c>
      <c r="V29" s="82">
        <f>(V14*V16/100+V15*(1-V16/100))/1244*V17</f>
        <v>28.5405948553055</v>
      </c>
      <c r="W29" s="1" t="s">
        <v>27</v>
      </c>
    </row>
    <row r="30" ht="12.800000000000001">
      <c r="A30" s="1">
        <v>26</v>
      </c>
      <c r="B30" s="44">
        <v>43571</v>
      </c>
      <c r="C30" s="45">
        <f t="shared" si="16"/>
        <v>9.17623307550509</v>
      </c>
      <c r="D30" s="3">
        <f t="shared" si="17"/>
        <v>9.17623307550509</v>
      </c>
      <c r="E30" s="46">
        <f t="shared" si="18"/>
        <v>0</v>
      </c>
      <c r="F30" s="46">
        <f t="shared" si="19"/>
        <v>26.302858239402902</v>
      </c>
      <c r="G30" s="46">
        <f t="shared" si="20"/>
        <v>100</v>
      </c>
      <c r="H30" s="46">
        <f t="shared" si="21"/>
        <v>34.886828617578402</v>
      </c>
      <c r="I30" s="47">
        <f t="shared" si="22"/>
        <v>0</v>
      </c>
      <c r="J30" s="47">
        <f t="shared" si="23"/>
        <v>28.9042398235196</v>
      </c>
      <c r="K30" s="48">
        <f t="shared" si="24"/>
        <v>0</v>
      </c>
      <c r="L30" s="7">
        <f t="shared" si="25"/>
        <v>9.17623307550509</v>
      </c>
      <c r="M30" s="7">
        <f t="shared" si="26"/>
        <v>0</v>
      </c>
      <c r="N30" s="7">
        <f t="shared" si="27"/>
        <v>0</v>
      </c>
      <c r="O30" s="7">
        <f t="shared" si="28"/>
        <v>9.17623307550509</v>
      </c>
      <c r="P30" s="49">
        <f t="shared" si="29"/>
        <v>18.820467213074501</v>
      </c>
      <c r="Q30" s="54">
        <f t="shared" si="31"/>
        <v>219.02664279352601</v>
      </c>
      <c r="R30" s="55">
        <f t="shared" si="30"/>
        <v>42.130075794007404</v>
      </c>
      <c r="T30" s="1">
        <v>30</v>
      </c>
      <c r="U30" s="59" t="s">
        <v>92</v>
      </c>
      <c r="V30" s="83">
        <f>V8*V5/365</f>
        <v>16.17742987606</v>
      </c>
      <c r="W30" s="1" t="s">
        <v>26</v>
      </c>
    </row>
    <row r="31" ht="12.800000000000001">
      <c r="A31" s="1">
        <v>27</v>
      </c>
      <c r="B31" s="44">
        <v>43572</v>
      </c>
      <c r="C31" s="45">
        <f t="shared" si="16"/>
        <v>8.9262311316619805</v>
      </c>
      <c r="D31" s="3">
        <f t="shared" si="17"/>
        <v>8.9262311316619805</v>
      </c>
      <c r="E31" s="46">
        <f t="shared" si="18"/>
        <v>0</v>
      </c>
      <c r="F31" s="46">
        <f t="shared" si="19"/>
        <v>26.554222250237899</v>
      </c>
      <c r="G31" s="46">
        <f t="shared" si="20"/>
        <v>100</v>
      </c>
      <c r="H31" s="46">
        <f t="shared" si="21"/>
        <v>33.6151104240382</v>
      </c>
      <c r="I31" s="47">
        <f t="shared" si="22"/>
        <v>0</v>
      </c>
      <c r="J31" s="47">
        <f t="shared" si="23"/>
        <v>29.1804640112504</v>
      </c>
      <c r="K31" s="48">
        <f t="shared" si="24"/>
        <v>0</v>
      </c>
      <c r="L31" s="7">
        <f t="shared" si="25"/>
        <v>8.9262311316619805</v>
      </c>
      <c r="M31" s="7">
        <f t="shared" si="26"/>
        <v>0</v>
      </c>
      <c r="N31" s="7">
        <f t="shared" si="27"/>
        <v>0</v>
      </c>
      <c r="O31" s="7">
        <f t="shared" si="28"/>
        <v>8.9262311316619805</v>
      </c>
      <c r="P31" s="49">
        <f t="shared" si="29"/>
        <v>19.371418811621901</v>
      </c>
      <c r="Q31" s="54">
        <f t="shared" si="31"/>
        <v>233.51840254759401</v>
      </c>
      <c r="R31" s="55">
        <f t="shared" si="30"/>
        <v>42.271010916196303</v>
      </c>
      <c r="T31" s="1">
        <v>31</v>
      </c>
      <c r="U31" s="59" t="s">
        <v>93</v>
      </c>
      <c r="V31" s="84">
        <f>V23^2*PI()/4/V4</f>
        <v>1.4507837745708201</v>
      </c>
      <c r="W31" s="1" t="s">
        <v>39</v>
      </c>
    </row>
    <row r="32" ht="12.800000000000001">
      <c r="A32" s="1">
        <v>28</v>
      </c>
      <c r="B32" s="44">
        <v>43573</v>
      </c>
      <c r="C32" s="45">
        <f t="shared" si="16"/>
        <v>8.6783778745005193</v>
      </c>
      <c r="D32" s="3">
        <f t="shared" si="17"/>
        <v>8.6783778745005193</v>
      </c>
      <c r="E32" s="46">
        <f t="shared" si="18"/>
        <v>0</v>
      </c>
      <c r="F32" s="46">
        <f t="shared" si="19"/>
        <v>26.803425867861399</v>
      </c>
      <c r="G32" s="46">
        <f t="shared" si="20"/>
        <v>100</v>
      </c>
      <c r="H32" s="46">
        <f t="shared" si="21"/>
        <v>32.377868102697697</v>
      </c>
      <c r="I32" s="47">
        <f t="shared" si="22"/>
        <v>0</v>
      </c>
      <c r="J32" s="47">
        <f t="shared" si="23"/>
        <v>29.454314140507101</v>
      </c>
      <c r="K32" s="48">
        <f t="shared" si="24"/>
        <v>0</v>
      </c>
      <c r="L32" s="7">
        <f t="shared" si="25"/>
        <v>8.6783778745005193</v>
      </c>
      <c r="M32" s="7">
        <f t="shared" si="26"/>
        <v>0</v>
      </c>
      <c r="N32" s="7">
        <f t="shared" si="27"/>
        <v>0</v>
      </c>
      <c r="O32" s="7">
        <f t="shared" si="28"/>
        <v>8.6783778745005193</v>
      </c>
      <c r="P32" s="49">
        <f t="shared" si="29"/>
        <v>19.9176351575395</v>
      </c>
      <c r="Q32" s="54">
        <f t="shared" si="31"/>
        <v>248.43439503254299</v>
      </c>
      <c r="R32" s="55">
        <f t="shared" si="30"/>
        <v>42.416071782447702</v>
      </c>
      <c r="T32" s="1">
        <v>32</v>
      </c>
      <c r="U32" s="59" t="s">
        <v>94</v>
      </c>
      <c r="V32" s="85">
        <f>V23^2*PI()/4*V22*V25/V4</f>
        <v>102.825750806481</v>
      </c>
      <c r="W32" s="1" t="s">
        <v>95</v>
      </c>
    </row>
    <row r="33" ht="12.800000000000001">
      <c r="A33" s="1">
        <v>29</v>
      </c>
      <c r="B33" s="44">
        <v>43574</v>
      </c>
      <c r="C33" s="45">
        <f t="shared" si="16"/>
        <v>8.4327467482899205</v>
      </c>
      <c r="D33" s="3">
        <f t="shared" si="17"/>
        <v>8.4327467482899205</v>
      </c>
      <c r="E33" s="46">
        <f t="shared" si="18"/>
        <v>0</v>
      </c>
      <c r="F33" s="46">
        <f t="shared" si="19"/>
        <v>27.050395247863399</v>
      </c>
      <c r="G33" s="46">
        <f t="shared" si="20"/>
        <v>100</v>
      </c>
      <c r="H33" s="46">
        <f t="shared" si="21"/>
        <v>31.174208994066301</v>
      </c>
      <c r="I33" s="47">
        <f t="shared" si="22"/>
        <v>0</v>
      </c>
      <c r="J33" s="47">
        <f t="shared" si="23"/>
        <v>29.725709063586098</v>
      </c>
      <c r="K33" s="48">
        <f t="shared" si="24"/>
        <v>0</v>
      </c>
      <c r="L33" s="7">
        <f t="shared" si="25"/>
        <v>8.4327467482899205</v>
      </c>
      <c r="M33" s="7">
        <f t="shared" si="26"/>
        <v>0</v>
      </c>
      <c r="N33" s="7">
        <f t="shared" si="27"/>
        <v>0</v>
      </c>
      <c r="O33" s="7">
        <f t="shared" si="28"/>
        <v>8.4327467482899205</v>
      </c>
      <c r="P33" s="49">
        <f t="shared" si="29"/>
        <v>20.458954395135699</v>
      </c>
      <c r="Q33" s="54">
        <f t="shared" si="31"/>
        <v>263.770974103848</v>
      </c>
      <c r="R33" s="55">
        <f t="shared" si="30"/>
        <v>42.565222933312398</v>
      </c>
      <c r="T33" s="1">
        <v>33</v>
      </c>
      <c r="U33" s="53" t="s">
        <v>96</v>
      </c>
      <c r="V33" s="82">
        <f>(V12/31+V13/30)/2*365</f>
        <v>1086.36559139785</v>
      </c>
      <c r="W33" s="1" t="s">
        <v>35</v>
      </c>
    </row>
    <row r="34" ht="12.800000000000001">
      <c r="A34" s="1">
        <v>30</v>
      </c>
      <c r="B34" s="44">
        <v>43575</v>
      </c>
      <c r="C34" s="45">
        <f t="shared" si="16"/>
        <v>8.1894105388340304</v>
      </c>
      <c r="D34" s="3">
        <f t="shared" si="17"/>
        <v>8.1894105388340304</v>
      </c>
      <c r="E34" s="46">
        <f t="shared" si="18"/>
        <v>0</v>
      </c>
      <c r="F34" s="46">
        <f t="shared" si="19"/>
        <v>27.295057207886401</v>
      </c>
      <c r="G34" s="46">
        <f t="shared" si="20"/>
        <v>100</v>
      </c>
      <c r="H34" s="46">
        <f t="shared" si="21"/>
        <v>30.0032730338731</v>
      </c>
      <c r="I34" s="47">
        <f t="shared" si="22"/>
        <v>0</v>
      </c>
      <c r="J34" s="47">
        <f t="shared" si="23"/>
        <v>29.994568360314702</v>
      </c>
      <c r="K34" s="48">
        <f t="shared" si="24"/>
        <v>0</v>
      </c>
      <c r="L34" s="7">
        <f t="shared" si="25"/>
        <v>8.1894105388340304</v>
      </c>
      <c r="M34" s="7">
        <f t="shared" si="26"/>
        <v>0</v>
      </c>
      <c r="N34" s="7">
        <f t="shared" si="27"/>
        <v>0</v>
      </c>
      <c r="O34" s="7">
        <f t="shared" si="28"/>
        <v>8.1894105388340304</v>
      </c>
      <c r="P34" s="49">
        <f t="shared" si="29"/>
        <v>20.995216119837799</v>
      </c>
      <c r="Q34" s="54">
        <f t="shared" si="31"/>
        <v>279.52436898810299</v>
      </c>
      <c r="R34" s="55">
        <f t="shared" si="30"/>
        <v>42.718427697300903</v>
      </c>
    </row>
    <row r="35" ht="12.800000000000001">
      <c r="A35" s="1">
        <v>31</v>
      </c>
      <c r="B35" s="44">
        <v>43576</v>
      </c>
      <c r="C35" s="45">
        <f t="shared" si="16"/>
        <v>7.9484413519033303</v>
      </c>
      <c r="D35" s="3">
        <f t="shared" si="17"/>
        <v>7.9484413519033303</v>
      </c>
      <c r="E35" s="46">
        <f t="shared" si="18"/>
        <v>0</v>
      </c>
      <c r="F35" s="46">
        <f t="shared" si="19"/>
        <v>27.537339249311501</v>
      </c>
      <c r="G35" s="46">
        <f t="shared" si="20"/>
        <v>100</v>
      </c>
      <c r="H35" s="46">
        <f t="shared" si="21"/>
        <v>28.864231507414299</v>
      </c>
      <c r="I35" s="47">
        <f t="shared" si="22"/>
        <v>0</v>
      </c>
      <c r="J35" s="47">
        <f t="shared" si="23"/>
        <v>30.260812361880699</v>
      </c>
      <c r="K35" s="48">
        <f t="shared" si="24"/>
        <v>0</v>
      </c>
      <c r="L35" s="7">
        <f t="shared" si="25"/>
        <v>7.9484413519033303</v>
      </c>
      <c r="M35" s="7">
        <f t="shared" si="26"/>
        <v>0</v>
      </c>
      <c r="N35" s="7">
        <f t="shared" si="27"/>
        <v>0</v>
      </c>
      <c r="O35" s="7">
        <f t="shared" si="28"/>
        <v>7.9484413519033303</v>
      </c>
      <c r="P35" s="49">
        <f t="shared" si="29"/>
        <v>21.526261425723199</v>
      </c>
      <c r="Q35" s="54">
        <f t="shared" si="31"/>
        <v>295.69068540037802</v>
      </c>
      <c r="R35" s="55">
        <f t="shared" si="30"/>
        <v>42.875648201751197</v>
      </c>
    </row>
    <row r="36" ht="12.800000000000001">
      <c r="A36" s="1">
        <v>32</v>
      </c>
      <c r="B36" s="44">
        <v>43577</v>
      </c>
      <c r="C36" s="45">
        <f t="shared" si="16"/>
        <v>7.7099105918684598</v>
      </c>
      <c r="D36" s="3">
        <f t="shared" si="17"/>
        <v>7.7099105918684598</v>
      </c>
      <c r="E36" s="46">
        <f t="shared" si="18"/>
        <v>0</v>
      </c>
      <c r="F36" s="46">
        <f t="shared" si="19"/>
        <v>27.777169578740899</v>
      </c>
      <c r="G36" s="46">
        <f t="shared" si="20"/>
        <v>100</v>
      </c>
      <c r="H36" s="46">
        <f t="shared" si="21"/>
        <v>27.7562858591943</v>
      </c>
      <c r="I36" s="47">
        <f t="shared" si="22"/>
        <v>0</v>
      </c>
      <c r="J36" s="47">
        <f t="shared" si="23"/>
        <v>30.524362174440501</v>
      </c>
      <c r="K36" s="48">
        <f t="shared" si="24"/>
        <v>0</v>
      </c>
      <c r="L36" s="7">
        <f t="shared" si="25"/>
        <v>7.7099105918684598</v>
      </c>
      <c r="M36" s="7">
        <f t="shared" si="26"/>
        <v>0</v>
      </c>
      <c r="N36" s="7">
        <f t="shared" si="27"/>
        <v>0</v>
      </c>
      <c r="O36" s="7">
        <f t="shared" si="28"/>
        <v>7.7099105918684598</v>
      </c>
      <c r="P36" s="49">
        <f t="shared" si="29"/>
        <v>22.0519329526071</v>
      </c>
      <c r="Q36" s="54">
        <f t="shared" si="31"/>
        <v>312.26590669818398</v>
      </c>
      <c r="R36" s="55">
        <f t="shared" si="30"/>
        <v>43.036845384050501</v>
      </c>
    </row>
    <row r="37" ht="12.800000000000001">
      <c r="A37" s="1">
        <v>33</v>
      </c>
      <c r="B37" s="44">
        <v>43578</v>
      </c>
      <c r="C37" s="45">
        <f t="shared" si="16"/>
        <v>7.4738889405415296</v>
      </c>
      <c r="D37" s="3">
        <f t="shared" si="17"/>
        <v>7.4738889405415296</v>
      </c>
      <c r="E37" s="46">
        <f t="shared" si="18"/>
        <v>0</v>
      </c>
      <c r="F37" s="46">
        <f t="shared" si="19"/>
        <v>28.014477129271999</v>
      </c>
      <c r="G37" s="46">
        <f t="shared" si="20"/>
        <v>100</v>
      </c>
      <c r="H37" s="46">
        <f t="shared" si="21"/>
        <v>26.678666555343799</v>
      </c>
      <c r="I37" s="47">
        <f t="shared" si="22"/>
        <v>0</v>
      </c>
      <c r="J37" s="47">
        <f t="shared" si="23"/>
        <v>30.785139702496799</v>
      </c>
      <c r="K37" s="48">
        <f t="shared" si="24"/>
        <v>0</v>
      </c>
      <c r="L37" s="7">
        <f t="shared" si="25"/>
        <v>7.4738889405415296</v>
      </c>
      <c r="M37" s="7">
        <f t="shared" si="26"/>
        <v>0</v>
      </c>
      <c r="N37" s="7">
        <f t="shared" si="27"/>
        <v>0</v>
      </c>
      <c r="O37" s="7">
        <f t="shared" si="28"/>
        <v>7.4738889405415296</v>
      </c>
      <c r="P37" s="49">
        <f t="shared" si="29"/>
        <v>22.572074932670901</v>
      </c>
      <c r="Q37" s="54">
        <f t="shared" si="31"/>
        <v>329.24589507169202</v>
      </c>
      <c r="R37" s="55">
        <f t="shared" si="30"/>
        <v>43.201979003210297</v>
      </c>
    </row>
    <row r="38" ht="12.800000000000001">
      <c r="A38" s="1">
        <v>34</v>
      </c>
      <c r="B38" s="44">
        <v>43579</v>
      </c>
      <c r="C38" s="45">
        <f t="shared" si="16"/>
        <v>7.2404463362315896</v>
      </c>
      <c r="D38" s="3">
        <f t="shared" si="17"/>
        <v>7.2404463362315896</v>
      </c>
      <c r="E38" s="46">
        <f t="shared" si="18"/>
        <v>0</v>
      </c>
      <c r="F38" s="46">
        <f t="shared" si="19"/>
        <v>28.2491915815562</v>
      </c>
      <c r="G38" s="46">
        <f t="shared" si="20"/>
        <v>100</v>
      </c>
      <c r="H38" s="46">
        <f t="shared" si="21"/>
        <v>25.630631996417399</v>
      </c>
      <c r="I38" s="47">
        <f t="shared" si="22"/>
        <v>0</v>
      </c>
      <c r="J38" s="47">
        <f t="shared" si="23"/>
        <v>31.0430676720398</v>
      </c>
      <c r="K38" s="48">
        <f t="shared" si="24"/>
        <v>0</v>
      </c>
      <c r="L38" s="7">
        <f t="shared" si="25"/>
        <v>7.2404463362315896</v>
      </c>
      <c r="M38" s="7">
        <f t="shared" si="26"/>
        <v>0</v>
      </c>
      <c r="N38" s="7">
        <f t="shared" si="27"/>
        <v>0</v>
      </c>
      <c r="O38" s="7">
        <f t="shared" si="28"/>
        <v>7.2404463362315896</v>
      </c>
      <c r="P38" s="49">
        <f t="shared" si="29"/>
        <v>23.0865332366205</v>
      </c>
      <c r="Q38" s="54">
        <f t="shared" si="31"/>
        <v>346.62639276984902</v>
      </c>
      <c r="R38" s="55">
        <f t="shared" si="30"/>
        <v>43.371007651791402</v>
      </c>
    </row>
    <row r="39" ht="12.800000000000001">
      <c r="A39" s="1">
        <v>35</v>
      </c>
      <c r="B39" s="44">
        <v>43580</v>
      </c>
      <c r="C39" s="45">
        <f t="shared" si="16"/>
        <v>7.00965195302041</v>
      </c>
      <c r="D39" s="3">
        <f t="shared" si="17"/>
        <v>7.00965195302041</v>
      </c>
      <c r="E39" s="46">
        <f t="shared" si="18"/>
        <v>0</v>
      </c>
      <c r="F39" s="46">
        <f t="shared" si="19"/>
        <v>28.481243384635601</v>
      </c>
      <c r="G39" s="46">
        <f t="shared" si="20"/>
        <v>100</v>
      </c>
      <c r="H39" s="46">
        <f t="shared" si="21"/>
        <v>24.6114674782836</v>
      </c>
      <c r="I39" s="47">
        <f t="shared" si="22"/>
        <v>0</v>
      </c>
      <c r="J39" s="47">
        <f t="shared" si="23"/>
        <v>31.298069653445701</v>
      </c>
      <c r="K39" s="48">
        <f t="shared" si="24"/>
        <v>0</v>
      </c>
      <c r="L39" s="7">
        <f t="shared" si="25"/>
        <v>7.00965195302041</v>
      </c>
      <c r="M39" s="7">
        <f t="shared" si="26"/>
        <v>0</v>
      </c>
      <c r="N39" s="7">
        <f t="shared" si="27"/>
        <v>0</v>
      </c>
      <c r="O39" s="7">
        <f t="shared" si="28"/>
        <v>7.00965195302041</v>
      </c>
      <c r="P39" s="49">
        <f t="shared" si="29"/>
        <v>23.5951554193574</v>
      </c>
      <c r="Q39" s="54">
        <f t="shared" si="31"/>
        <v>364.40302336204599</v>
      </c>
      <c r="R39" s="55">
        <f t="shared" si="30"/>
        <v>43.543888768172998</v>
      </c>
    </row>
    <row r="40" ht="12.800000000000001">
      <c r="A40" s="1">
        <v>36</v>
      </c>
      <c r="B40" s="44">
        <v>43581</v>
      </c>
      <c r="C40" s="45">
        <f t="shared" si="16"/>
        <v>6.7815741802646698</v>
      </c>
      <c r="D40" s="3">
        <f t="shared" si="17"/>
        <v>6.7815741802646698</v>
      </c>
      <c r="E40" s="46">
        <f t="shared" si="18"/>
        <v>0</v>
      </c>
      <c r="F40" s="46">
        <f t="shared" si="19"/>
        <v>28.710563776552998</v>
      </c>
      <c r="G40" s="46">
        <f t="shared" si="20"/>
        <v>100</v>
      </c>
      <c r="H40" s="46">
        <f t="shared" si="21"/>
        <v>23.6204841989309</v>
      </c>
      <c r="I40" s="47">
        <f t="shared" si="22"/>
        <v>0</v>
      </c>
      <c r="J40" s="47">
        <f t="shared" si="23"/>
        <v>31.550070084124101</v>
      </c>
      <c r="K40" s="48">
        <f t="shared" si="24"/>
        <v>0</v>
      </c>
      <c r="L40" s="7">
        <f t="shared" si="25"/>
        <v>6.7815741802646698</v>
      </c>
      <c r="M40" s="7">
        <f t="shared" si="26"/>
        <v>0</v>
      </c>
      <c r="N40" s="7">
        <f t="shared" si="27"/>
        <v>0</v>
      </c>
      <c r="O40" s="7">
        <f t="shared" si="28"/>
        <v>6.7815741802646698</v>
      </c>
      <c r="P40" s="49">
        <f t="shared" si="29"/>
        <v>24.097790765151998</v>
      </c>
      <c r="Q40" s="54">
        <f t="shared" si="31"/>
        <v>382.571293034951</v>
      </c>
      <c r="R40" s="55">
        <f t="shared" si="30"/>
        <v>43.720578649164999</v>
      </c>
    </row>
    <row r="41" ht="12.800000000000001">
      <c r="A41" s="1">
        <v>37</v>
      </c>
      <c r="B41" s="44">
        <v>43582</v>
      </c>
      <c r="C41" s="45">
        <f t="shared" si="16"/>
        <v>6.5562806023307703</v>
      </c>
      <c r="D41" s="3">
        <f t="shared" si="17"/>
        <v>6.5562806023307703</v>
      </c>
      <c r="E41" s="46">
        <f t="shared" si="18"/>
        <v>0</v>
      </c>
      <c r="F41" s="46">
        <f t="shared" si="19"/>
        <v>28.937084804726901</v>
      </c>
      <c r="G41" s="46">
        <f t="shared" si="20"/>
        <v>100</v>
      </c>
      <c r="H41" s="46">
        <f t="shared" si="21"/>
        <v>22.657018309113798</v>
      </c>
      <c r="I41" s="47">
        <f t="shared" si="22"/>
        <v>0</v>
      </c>
      <c r="J41" s="47">
        <f t="shared" si="23"/>
        <v>31.798994290908698</v>
      </c>
      <c r="K41" s="48">
        <f t="shared" si="24"/>
        <v>0</v>
      </c>
      <c r="L41" s="7">
        <f t="shared" si="25"/>
        <v>6.5562806023307703</v>
      </c>
      <c r="M41" s="7">
        <f t="shared" si="26"/>
        <v>0</v>
      </c>
      <c r="N41" s="7">
        <f t="shared" si="27"/>
        <v>0</v>
      </c>
      <c r="O41" s="7">
        <f t="shared" si="28"/>
        <v>6.5562806023307703</v>
      </c>
      <c r="P41" s="49">
        <f t="shared" si="29"/>
        <v>24.594290332303501</v>
      </c>
      <c r="Q41" s="54">
        <f t="shared" si="31"/>
        <v>401.126591924119</v>
      </c>
      <c r="R41" s="55">
        <f t="shared" si="30"/>
        <v>43.901032462958099</v>
      </c>
    </row>
    <row r="42" ht="12.800000000000001">
      <c r="A42" s="1">
        <v>38</v>
      </c>
      <c r="B42" s="44">
        <v>43583</v>
      </c>
      <c r="C42" s="45">
        <f t="shared" si="16"/>
        <v>6.3338379785680798</v>
      </c>
      <c r="D42" s="3">
        <f t="shared" si="17"/>
        <v>6.3338379785680798</v>
      </c>
      <c r="E42" s="46">
        <f t="shared" si="18"/>
        <v>0</v>
      </c>
      <c r="F42" s="46">
        <f t="shared" si="19"/>
        <v>29.160739346088199</v>
      </c>
      <c r="G42" s="46">
        <f t="shared" si="20"/>
        <v>100</v>
      </c>
      <c r="H42" s="46">
        <f t="shared" si="21"/>
        <v>21.7204300048646</v>
      </c>
      <c r="I42" s="47">
        <f t="shared" si="22"/>
        <v>0</v>
      </c>
      <c r="J42" s="47">
        <f t="shared" si="23"/>
        <v>32.044768512184802</v>
      </c>
      <c r="K42" s="48">
        <f t="shared" si="24"/>
        <v>0</v>
      </c>
      <c r="L42" s="7">
        <f t="shared" si="25"/>
        <v>6.3338379785680798</v>
      </c>
      <c r="M42" s="7">
        <f t="shared" si="26"/>
        <v>0</v>
      </c>
      <c r="N42" s="7">
        <f t="shared" si="27"/>
        <v>0</v>
      </c>
      <c r="O42" s="7">
        <f t="shared" si="28"/>
        <v>6.3338379785680798</v>
      </c>
      <c r="P42" s="49">
        <f t="shared" si="29"/>
        <v>25.084506997274801</v>
      </c>
      <c r="Q42" s="54">
        <f t="shared" si="31"/>
        <v>420.06419547999201</v>
      </c>
      <c r="R42" s="55">
        <f t="shared" si="30"/>
        <v>44.085204262408503</v>
      </c>
    </row>
    <row r="43" ht="12.800000000000001">
      <c r="A43" s="1">
        <v>39</v>
      </c>
      <c r="B43" s="44">
        <v>43584</v>
      </c>
      <c r="C43" s="45">
        <f t="shared" si="16"/>
        <v>6.1143122235267402</v>
      </c>
      <c r="D43" s="3">
        <f t="shared" si="17"/>
        <v>6.1143122235267402</v>
      </c>
      <c r="E43" s="46">
        <f t="shared" si="18"/>
        <v>0</v>
      </c>
      <c r="F43" s="46">
        <f t="shared" si="19"/>
        <v>29.381461126969199</v>
      </c>
      <c r="G43" s="46">
        <f t="shared" si="20"/>
        <v>100</v>
      </c>
      <c r="H43" s="46">
        <f t="shared" si="21"/>
        <v>20.810102659987901</v>
      </c>
      <c r="I43" s="47">
        <f t="shared" si="22"/>
        <v>0</v>
      </c>
      <c r="J43" s="47">
        <f t="shared" si="23"/>
        <v>32.287319919746402</v>
      </c>
      <c r="K43" s="48">
        <f t="shared" si="24"/>
        <v>0</v>
      </c>
      <c r="L43" s="7">
        <f t="shared" si="25"/>
        <v>6.1143122235267402</v>
      </c>
      <c r="M43" s="7">
        <f t="shared" si="26"/>
        <v>0</v>
      </c>
      <c r="N43" s="7">
        <f t="shared" si="27"/>
        <v>0</v>
      </c>
      <c r="O43" s="7">
        <f t="shared" si="28"/>
        <v>6.1143122235267402</v>
      </c>
      <c r="P43" s="49">
        <f t="shared" si="29"/>
        <v>25.5682954982884</v>
      </c>
      <c r="Q43" s="54">
        <f t="shared" si="31"/>
        <v>439.37926586789399</v>
      </c>
      <c r="R43" s="55">
        <f t="shared" si="30"/>
        <v>44.2730469986532</v>
      </c>
    </row>
    <row r="44" ht="12.800000000000001">
      <c r="A44" s="1">
        <v>40</v>
      </c>
      <c r="B44" s="44">
        <v>43585</v>
      </c>
      <c r="C44" s="45">
        <f t="shared" si="16"/>
        <v>5.8977683874256996</v>
      </c>
      <c r="D44" s="3">
        <f t="shared" si="17"/>
        <v>5.8977683874256996</v>
      </c>
      <c r="E44" s="46">
        <f t="shared" si="18"/>
        <v>0</v>
      </c>
      <c r="F44" s="46">
        <f t="shared" si="19"/>
        <v>29.5991847427428</v>
      </c>
      <c r="G44" s="46">
        <f t="shared" si="20"/>
        <v>100</v>
      </c>
      <c r="H44" s="46">
        <f t="shared" si="21"/>
        <v>19.925441996748699</v>
      </c>
      <c r="I44" s="47">
        <f t="shared" si="22"/>
        <v>0</v>
      </c>
      <c r="J44" s="47">
        <f t="shared" si="23"/>
        <v>32.526576640376703</v>
      </c>
      <c r="K44" s="48">
        <f t="shared" si="24"/>
        <v>0</v>
      </c>
      <c r="L44" s="7">
        <f t="shared" si="25"/>
        <v>5.8977683874256996</v>
      </c>
      <c r="M44" s="7">
        <f t="shared" si="26"/>
        <v>0</v>
      </c>
      <c r="N44" s="7">
        <f t="shared" si="27"/>
        <v>0</v>
      </c>
      <c r="O44" s="7">
        <f t="shared" si="28"/>
        <v>5.8977683874256996</v>
      </c>
      <c r="P44" s="49">
        <f t="shared" si="29"/>
        <v>26.045512478370501</v>
      </c>
      <c r="Q44" s="54">
        <f t="shared" si="31"/>
        <v>459.066853401576</v>
      </c>
      <c r="R44" s="55">
        <f t="shared" si="30"/>
        <v>44.464512535051099</v>
      </c>
    </row>
    <row r="45" ht="12.800000000000001">
      <c r="A45" s="1">
        <v>41</v>
      </c>
      <c r="B45" s="44">
        <v>43586</v>
      </c>
      <c r="C45" s="45">
        <f t="shared" si="16"/>
        <v>5.6842706368770202</v>
      </c>
      <c r="D45" s="3">
        <f t="shared" si="17"/>
        <v>5.6842706368770202</v>
      </c>
      <c r="E45" s="46">
        <f t="shared" si="18"/>
        <v>0</v>
      </c>
      <c r="F45" s="46">
        <f t="shared" si="19"/>
        <v>29.813845677202799</v>
      </c>
      <c r="G45" s="46">
        <f t="shared" si="20"/>
        <v>100</v>
      </c>
      <c r="H45" s="46">
        <f t="shared" si="21"/>
        <v>19.065875293047199</v>
      </c>
      <c r="I45" s="47">
        <f t="shared" si="22"/>
        <v>0</v>
      </c>
      <c r="J45" s="47">
        <f t="shared" si="23"/>
        <v>32.762467777145901</v>
      </c>
      <c r="K45" s="48">
        <f t="shared" si="24"/>
        <v>0</v>
      </c>
      <c r="L45" s="7">
        <f t="shared" si="25"/>
        <v>5.6842706368770202</v>
      </c>
      <c r="M45" s="7">
        <f t="shared" si="26"/>
        <v>0</v>
      </c>
      <c r="N45" s="7">
        <f t="shared" si="27"/>
        <v>0</v>
      </c>
      <c r="O45" s="7">
        <f t="shared" si="28"/>
        <v>5.6842706368770202</v>
      </c>
      <c r="P45" s="49">
        <f t="shared" si="29"/>
        <v>26.516016527830502</v>
      </c>
      <c r="Q45" s="54">
        <f t="shared" si="31"/>
        <v>479.12189800992098</v>
      </c>
      <c r="R45" s="55">
        <f t="shared" si="30"/>
        <v>44.659551661447502</v>
      </c>
    </row>
    <row r="46" ht="12.800000000000001">
      <c r="A46" s="1">
        <v>42</v>
      </c>
      <c r="B46" s="44">
        <v>43587</v>
      </c>
      <c r="C46" s="45">
        <f t="shared" si="16"/>
        <v>5.4738822358718204</v>
      </c>
      <c r="D46" s="3">
        <f t="shared" si="17"/>
        <v>5.4738822358718204</v>
      </c>
      <c r="E46" s="46">
        <f t="shared" si="18"/>
        <v>0</v>
      </c>
      <c r="F46" s="46">
        <f t="shared" si="19"/>
        <v>30.025380321681499</v>
      </c>
      <c r="G46" s="46">
        <f t="shared" si="20"/>
        <v>100</v>
      </c>
      <c r="H46" s="46">
        <f t="shared" si="21"/>
        <v>18.230850624460199</v>
      </c>
      <c r="I46" s="47">
        <f t="shared" si="22"/>
        <v>0</v>
      </c>
      <c r="J46" s="47">
        <f t="shared" si="23"/>
        <v>32.994923430419199</v>
      </c>
      <c r="K46" s="48">
        <f t="shared" si="24"/>
        <v>0</v>
      </c>
      <c r="L46" s="7">
        <f t="shared" si="25"/>
        <v>5.4738822358718204</v>
      </c>
      <c r="M46" s="7">
        <f t="shared" si="26"/>
        <v>0</v>
      </c>
      <c r="N46" s="7">
        <f t="shared" si="27"/>
        <v>0</v>
      </c>
      <c r="O46" s="7">
        <f t="shared" si="28"/>
        <v>5.4738822358718204</v>
      </c>
      <c r="P46" s="49">
        <f t="shared" si="29"/>
        <v>26.979668226164399</v>
      </c>
      <c r="Q46" s="54">
        <f t="shared" si="31"/>
        <v>499.53923073635099</v>
      </c>
      <c r="R46" s="55">
        <f t="shared" si="30"/>
        <v>44.858114108755601</v>
      </c>
    </row>
    <row r="47" ht="12.800000000000001">
      <c r="A47" s="1">
        <v>43</v>
      </c>
      <c r="B47" s="44">
        <v>43588</v>
      </c>
      <c r="C47" s="45">
        <f t="shared" si="16"/>
        <v>5.26666552703389</v>
      </c>
      <c r="D47" s="3">
        <f t="shared" si="17"/>
        <v>5.26666552703389</v>
      </c>
      <c r="E47" s="46">
        <f t="shared" si="18"/>
        <v>0</v>
      </c>
      <c r="F47" s="46">
        <f t="shared" si="19"/>
        <v>30.2337259938984</v>
      </c>
      <c r="G47" s="46">
        <f t="shared" si="20"/>
        <v>100</v>
      </c>
      <c r="H47" s="46">
        <f t="shared" si="21"/>
        <v>17.419836139603799</v>
      </c>
      <c r="I47" s="47">
        <f t="shared" si="22"/>
        <v>0</v>
      </c>
      <c r="J47" s="47">
        <f t="shared" si="23"/>
        <v>33.223874718569697</v>
      </c>
      <c r="K47" s="48">
        <f t="shared" si="24"/>
        <v>0</v>
      </c>
      <c r="L47" s="7">
        <f t="shared" si="25"/>
        <v>5.26666552703389</v>
      </c>
      <c r="M47" s="7">
        <f t="shared" si="26"/>
        <v>0</v>
      </c>
      <c r="N47" s="7">
        <f t="shared" si="27"/>
        <v>0</v>
      </c>
      <c r="O47" s="7">
        <f t="shared" si="28"/>
        <v>5.26666552703389</v>
      </c>
      <c r="P47" s="49">
        <f t="shared" si="29"/>
        <v>27.436330183367598</v>
      </c>
      <c r="Q47" s="54">
        <f t="shared" si="31"/>
        <v>520.31357527049704</v>
      </c>
      <c r="R47" s="55">
        <f t="shared" si="30"/>
        <v>45.060148563852799</v>
      </c>
    </row>
    <row r="48" ht="12.800000000000001">
      <c r="A48" s="1">
        <v>44</v>
      </c>
      <c r="B48" s="44">
        <v>43589</v>
      </c>
      <c r="C48" s="45">
        <f t="shared" si="16"/>
        <v>5.06268191314616</v>
      </c>
      <c r="D48" s="3">
        <f t="shared" si="17"/>
        <v>5.06268191314616</v>
      </c>
      <c r="E48" s="46">
        <f t="shared" si="18"/>
        <v>0</v>
      </c>
      <c r="F48" s="46">
        <f t="shared" si="19"/>
        <v>30.4388209565344</v>
      </c>
      <c r="G48" s="46">
        <f t="shared" si="20"/>
        <v>100</v>
      </c>
      <c r="H48" s="46">
        <f t="shared" si="21"/>
        <v>16.632319367348298</v>
      </c>
      <c r="I48" s="47">
        <f t="shared" si="22"/>
        <v>0</v>
      </c>
      <c r="J48" s="47">
        <f t="shared" si="23"/>
        <v>33.449253798389499</v>
      </c>
      <c r="K48" s="48">
        <f t="shared" si="24"/>
        <v>0</v>
      </c>
      <c r="L48" s="7">
        <f t="shared" si="25"/>
        <v>5.06268191314616</v>
      </c>
      <c r="M48" s="7">
        <f t="shared" si="26"/>
        <v>0</v>
      </c>
      <c r="N48" s="7">
        <f t="shared" si="27"/>
        <v>0</v>
      </c>
      <c r="O48" s="7">
        <f t="shared" si="28"/>
        <v>5.06268191314616</v>
      </c>
      <c r="P48" s="49">
        <f t="shared" si="29"/>
        <v>27.885867080646399</v>
      </c>
      <c r="Q48" s="54">
        <f t="shared" si="31"/>
        <v>541.43954951168996</v>
      </c>
      <c r="R48" s="55">
        <f t="shared" si="30"/>
        <v>45.265602684785499</v>
      </c>
    </row>
    <row r="49" ht="12.800000000000001">
      <c r="A49" s="1">
        <v>45</v>
      </c>
      <c r="B49" s="44">
        <v>43590</v>
      </c>
      <c r="C49" s="45">
        <f t="shared" si="16"/>
        <v>4.8619918389557402</v>
      </c>
      <c r="D49" s="3">
        <f t="shared" si="17"/>
        <v>4.8619918389557402</v>
      </c>
      <c r="E49" s="46">
        <f t="shared" si="18"/>
        <v>0</v>
      </c>
      <c r="F49" s="46">
        <f t="shared" si="19"/>
        <v>30.640604435525798</v>
      </c>
      <c r="G49" s="46">
        <f t="shared" si="20"/>
        <v>100</v>
      </c>
      <c r="H49" s="46">
        <f t="shared" si="21"/>
        <v>15.8678065544901</v>
      </c>
      <c r="I49" s="47">
        <f t="shared" si="22"/>
        <v>0</v>
      </c>
      <c r="J49" s="47">
        <f t="shared" si="23"/>
        <v>33.670993885193198</v>
      </c>
      <c r="K49" s="48">
        <f t="shared" si="24"/>
        <v>0</v>
      </c>
      <c r="L49" s="7">
        <f t="shared" si="25"/>
        <v>4.8619918389557402</v>
      </c>
      <c r="M49" s="7">
        <f t="shared" si="26"/>
        <v>0</v>
      </c>
      <c r="N49" s="7">
        <f t="shared" si="27"/>
        <v>0</v>
      </c>
      <c r="O49" s="7">
        <f t="shared" si="28"/>
        <v>4.8619918389557402</v>
      </c>
      <c r="P49" s="49">
        <f t="shared" si="29"/>
        <v>28.328145710516601</v>
      </c>
      <c r="Q49" s="54">
        <f t="shared" si="31"/>
        <v>562.91166716378802</v>
      </c>
      <c r="R49" s="55">
        <f t="shared" si="30"/>
        <v>45.474423116279397</v>
      </c>
    </row>
    <row r="50" ht="12.800000000000001">
      <c r="A50" s="1">
        <v>46</v>
      </c>
      <c r="B50" s="44">
        <v>43591</v>
      </c>
      <c r="C50" s="45">
        <f t="shared" si="16"/>
        <v>4.66465477326288</v>
      </c>
      <c r="D50" s="3">
        <f t="shared" si="17"/>
        <v>4.66465477326288</v>
      </c>
      <c r="E50" s="46">
        <f t="shared" si="18"/>
        <v>0</v>
      </c>
      <c r="F50" s="46">
        <f t="shared" si="19"/>
        <v>30.839016638072899</v>
      </c>
      <c r="G50" s="46">
        <f t="shared" si="20"/>
        <v>100</v>
      </c>
      <c r="H50" s="46">
        <f t="shared" si="21"/>
        <v>15.125822032548299</v>
      </c>
      <c r="I50" s="47">
        <f t="shared" si="22"/>
        <v>0</v>
      </c>
      <c r="J50" s="47">
        <f t="shared" si="23"/>
        <v>33.889029272607601</v>
      </c>
      <c r="K50" s="48">
        <f t="shared" si="24"/>
        <v>0</v>
      </c>
      <c r="L50" s="7">
        <f t="shared" si="25"/>
        <v>4.66465477326288</v>
      </c>
      <c r="M50" s="7">
        <f t="shared" si="26"/>
        <v>0</v>
      </c>
      <c r="N50" s="7">
        <f t="shared" si="27"/>
        <v>0</v>
      </c>
      <c r="O50" s="7">
        <f t="shared" si="28"/>
        <v>4.66465477326288</v>
      </c>
      <c r="P50" s="49">
        <f t="shared" si="29"/>
        <v>28.763035016274799</v>
      </c>
      <c r="Q50" s="54">
        <f t="shared" si="31"/>
        <v>584.72433936088601</v>
      </c>
      <c r="R50" s="55">
        <f t="shared" si="30"/>
        <v>45.686555505549798</v>
      </c>
    </row>
    <row r="51" ht="12.800000000000001">
      <c r="A51" s="1">
        <v>47</v>
      </c>
      <c r="B51" s="44">
        <v>43592</v>
      </c>
      <c r="C51" s="45">
        <f t="shared" si="16"/>
        <v>4.4707291912990099</v>
      </c>
      <c r="D51" s="3">
        <f t="shared" si="17"/>
        <v>4.4707291912990099</v>
      </c>
      <c r="E51" s="46">
        <f t="shared" si="18"/>
        <v>0</v>
      </c>
      <c r="F51" s="46">
        <f t="shared" si="19"/>
        <v>31.033998770358</v>
      </c>
      <c r="G51" s="46">
        <f t="shared" si="20"/>
        <v>100</v>
      </c>
      <c r="H51" s="46">
        <f t="shared" si="21"/>
        <v>14.4059076124254</v>
      </c>
      <c r="I51" s="47">
        <f t="shared" si="22"/>
        <v>0</v>
      </c>
      <c r="J51" s="47">
        <f t="shared" si="23"/>
        <v>34.103295352041798</v>
      </c>
      <c r="K51" s="48">
        <f t="shared" si="24"/>
        <v>0</v>
      </c>
      <c r="L51" s="7">
        <f t="shared" si="25"/>
        <v>4.4707291912990099</v>
      </c>
      <c r="M51" s="7">
        <f t="shared" si="26"/>
        <v>0</v>
      </c>
      <c r="N51" s="7">
        <f t="shared" si="27"/>
        <v>0</v>
      </c>
      <c r="O51" s="7">
        <f t="shared" si="28"/>
        <v>4.4707291912990099</v>
      </c>
      <c r="P51" s="49">
        <f t="shared" si="29"/>
        <v>29.190406130834099</v>
      </c>
      <c r="Q51" s="54">
        <f t="shared" si="31"/>
        <v>606.87187632341704</v>
      </c>
      <c r="R51" s="55">
        <f t="shared" si="30"/>
        <v>45.901944518407198</v>
      </c>
    </row>
    <row r="52" ht="12.800000000000001">
      <c r="A52" s="1">
        <v>48</v>
      </c>
      <c r="B52" s="44">
        <v>43593</v>
      </c>
      <c r="C52" s="45">
        <f t="shared" si="16"/>
        <v>4.2802725573993197</v>
      </c>
      <c r="D52" s="3">
        <f t="shared" si="17"/>
        <v>4.2802725573993197</v>
      </c>
      <c r="E52" s="46">
        <f t="shared" si="18"/>
        <v>0</v>
      </c>
      <c r="F52" s="46">
        <f t="shared" si="19"/>
        <v>31.225493054967298</v>
      </c>
      <c r="G52" s="46">
        <f t="shared" si="20"/>
        <v>100</v>
      </c>
      <c r="H52" s="46">
        <f t="shared" si="21"/>
        <v>13.7076220057266</v>
      </c>
      <c r="I52" s="47">
        <f t="shared" si="22"/>
        <v>0</v>
      </c>
      <c r="J52" s="47">
        <f t="shared" si="23"/>
        <v>34.313728631832198</v>
      </c>
      <c r="K52" s="48">
        <f t="shared" si="24"/>
        <v>0</v>
      </c>
      <c r="L52" s="7">
        <f t="shared" si="25"/>
        <v>4.2802725573993197</v>
      </c>
      <c r="M52" s="7">
        <f t="shared" si="26"/>
        <v>0</v>
      </c>
      <c r="N52" s="7">
        <f t="shared" si="27"/>
        <v>0</v>
      </c>
      <c r="O52" s="7">
        <f t="shared" si="28"/>
        <v>4.2802725573993197</v>
      </c>
      <c r="P52" s="49">
        <f t="shared" si="29"/>
        <v>29.610132414909799</v>
      </c>
      <c r="Q52" s="54">
        <f t="shared" si="31"/>
        <v>629.34848904416003</v>
      </c>
      <c r="R52" s="55">
        <f t="shared" si="30"/>
        <v>46.1205338556545</v>
      </c>
    </row>
    <row r="53" ht="12.800000000000001">
      <c r="A53" s="1">
        <v>49</v>
      </c>
      <c r="B53" s="44">
        <v>43594</v>
      </c>
      <c r="C53" s="45">
        <f t="shared" si="16"/>
        <v>4.09334130797484</v>
      </c>
      <c r="D53" s="3">
        <f t="shared" si="17"/>
        <v>4.09334130797484</v>
      </c>
      <c r="E53" s="46">
        <f t="shared" si="18"/>
        <v>0</v>
      </c>
      <c r="F53" s="46">
        <f t="shared" si="19"/>
        <v>31.413442748011299</v>
      </c>
      <c r="G53" s="46">
        <f t="shared" si="20"/>
        <v>100</v>
      </c>
      <c r="H53" s="46">
        <f t="shared" si="21"/>
        <v>13.0305402715975</v>
      </c>
      <c r="I53" s="47">
        <f t="shared" si="22"/>
        <v>0</v>
      </c>
      <c r="J53" s="47">
        <f t="shared" si="23"/>
        <v>34.520266756056401</v>
      </c>
      <c r="K53" s="48">
        <f t="shared" si="24"/>
        <v>0</v>
      </c>
      <c r="L53" s="7">
        <f t="shared" si="25"/>
        <v>4.09334130797484</v>
      </c>
      <c r="M53" s="7">
        <f t="shared" si="26"/>
        <v>0</v>
      </c>
      <c r="N53" s="7">
        <f t="shared" si="27"/>
        <v>0</v>
      </c>
      <c r="O53" s="7">
        <f t="shared" si="28"/>
        <v>4.09334130797484</v>
      </c>
      <c r="P53" s="49">
        <f t="shared" si="29"/>
        <v>30.0220894945456</v>
      </c>
      <c r="Q53" s="54">
        <f t="shared" si="31"/>
        <v>652.14829100364</v>
      </c>
      <c r="R53" s="55">
        <f t="shared" si="30"/>
        <v>46.342266269769198</v>
      </c>
    </row>
    <row r="54" ht="12.800000000000001">
      <c r="A54" s="1">
        <v>50</v>
      </c>
      <c r="B54" s="44">
        <v>43595</v>
      </c>
      <c r="C54" s="45">
        <f t="shared" si="16"/>
        <v>3.9099908347890802</v>
      </c>
      <c r="D54" s="3">
        <f t="shared" si="17"/>
        <v>3.9099908347890802</v>
      </c>
      <c r="E54" s="46">
        <f t="shared" si="18"/>
        <v>0</v>
      </c>
      <c r="F54" s="46">
        <f t="shared" si="19"/>
        <v>31.597792155939899</v>
      </c>
      <c r="G54" s="46">
        <f t="shared" si="20"/>
        <v>100</v>
      </c>
      <c r="H54" s="46">
        <f t="shared" si="21"/>
        <v>12.374253287991399</v>
      </c>
      <c r="I54" s="47">
        <f t="shared" si="22"/>
        <v>0</v>
      </c>
      <c r="J54" s="47">
        <f t="shared" si="23"/>
        <v>34.722848523010903</v>
      </c>
      <c r="K54" s="48">
        <f t="shared" si="24"/>
        <v>0</v>
      </c>
      <c r="L54" s="7">
        <f t="shared" si="25"/>
        <v>3.9099908347890802</v>
      </c>
      <c r="M54" s="7">
        <f t="shared" si="26"/>
        <v>0</v>
      </c>
      <c r="N54" s="7">
        <f t="shared" si="27"/>
        <v>0</v>
      </c>
      <c r="O54" s="7">
        <f t="shared" si="28"/>
        <v>3.9099908347890802</v>
      </c>
      <c r="P54" s="49">
        <f t="shared" si="29"/>
        <v>30.426155297967998</v>
      </c>
      <c r="Q54" s="54">
        <f t="shared" si="31"/>
        <v>675.26529991443999</v>
      </c>
      <c r="R54" s="55">
        <f t="shared" si="30"/>
        <v>46.5670835818675</v>
      </c>
    </row>
    <row r="55" ht="12.800000000000001">
      <c r="A55" s="1">
        <v>51</v>
      </c>
      <c r="B55" s="44">
        <v>43596</v>
      </c>
      <c r="C55" s="45">
        <f t="shared" si="16"/>
        <v>3.7302754685442499</v>
      </c>
      <c r="D55" s="3">
        <f t="shared" si="17"/>
        <v>3.7302754685442499</v>
      </c>
      <c r="E55" s="46">
        <f t="shared" si="18"/>
        <v>0</v>
      </c>
      <c r="F55" s="46">
        <f t="shared" si="19"/>
        <v>31.778486652044801</v>
      </c>
      <c r="G55" s="46">
        <f t="shared" si="20"/>
        <v>100</v>
      </c>
      <c r="H55" s="46">
        <f t="shared" si="21"/>
        <v>11.738367246334001</v>
      </c>
      <c r="I55" s="47">
        <f t="shared" si="22"/>
        <v>0</v>
      </c>
      <c r="J55" s="47">
        <f t="shared" si="23"/>
        <v>34.921413903346</v>
      </c>
      <c r="K55" s="48">
        <f t="shared" si="24"/>
        <v>0</v>
      </c>
      <c r="L55" s="7">
        <f t="shared" si="25"/>
        <v>3.7302754685442499</v>
      </c>
      <c r="M55" s="7">
        <f t="shared" si="26"/>
        <v>0</v>
      </c>
      <c r="N55" s="7">
        <f t="shared" si="27"/>
        <v>0</v>
      </c>
      <c r="O55" s="7">
        <f t="shared" si="28"/>
        <v>3.7302754685442499</v>
      </c>
      <c r="P55" s="49">
        <f t="shared" si="29"/>
        <v>30.822210091758901</v>
      </c>
      <c r="Q55" s="54">
        <f t="shared" si="31"/>
        <v>698.69343949387599</v>
      </c>
      <c r="R55" s="55">
        <f t="shared" si="30"/>
        <v>46.794926698943598</v>
      </c>
    </row>
    <row r="56" ht="12.800000000000001">
      <c r="A56" s="1">
        <v>52</v>
      </c>
      <c r="B56" s="44">
        <v>43597</v>
      </c>
      <c r="C56" s="45">
        <f t="shared" si="16"/>
        <v>3.5542484627819801</v>
      </c>
      <c r="D56" s="3">
        <f t="shared" si="17"/>
        <v>3.5542484627819801</v>
      </c>
      <c r="E56" s="46">
        <f t="shared" si="18"/>
        <v>0</v>
      </c>
      <c r="F56" s="46">
        <f t="shared" si="19"/>
        <v>31.955472692647199</v>
      </c>
      <c r="G56" s="46">
        <f t="shared" si="20"/>
        <v>100</v>
      </c>
      <c r="H56" s="46">
        <f t="shared" si="21"/>
        <v>11.1225031686037</v>
      </c>
      <c r="I56" s="47">
        <f t="shared" si="22"/>
        <v>0</v>
      </c>
      <c r="J56" s="47">
        <f t="shared" si="23"/>
        <v>35.115904057854003</v>
      </c>
      <c r="K56" s="48">
        <f t="shared" si="24"/>
        <v>0</v>
      </c>
      <c r="L56" s="7">
        <f t="shared" si="25"/>
        <v>3.5542484627819801</v>
      </c>
      <c r="M56" s="7">
        <f t="shared" si="26"/>
        <v>0</v>
      </c>
      <c r="N56" s="7">
        <f t="shared" si="27"/>
        <v>0</v>
      </c>
      <c r="O56" s="7">
        <f t="shared" si="28"/>
        <v>3.5542484627819801</v>
      </c>
      <c r="P56" s="49">
        <f t="shared" si="29"/>
        <v>31.2101365163354</v>
      </c>
      <c r="Q56" s="54">
        <f t="shared" si="31"/>
        <v>722.42654126452999</v>
      </c>
      <c r="R56" s="55">
        <f t="shared" si="30"/>
        <v>47.0257356313803</v>
      </c>
    </row>
    <row r="57" ht="12.800000000000001">
      <c r="A57" s="1">
        <v>53</v>
      </c>
      <c r="B57" s="44">
        <v>43598</v>
      </c>
      <c r="C57" s="45">
        <f t="shared" si="16"/>
        <v>3.3819619781030199</v>
      </c>
      <c r="D57" s="3">
        <f t="shared" si="17"/>
        <v>3.3819619781030199</v>
      </c>
      <c r="E57" s="46">
        <f t="shared" si="18"/>
        <v>0</v>
      </c>
      <c r="F57" s="46">
        <f t="shared" si="19"/>
        <v>32.128697832963503</v>
      </c>
      <c r="G57" s="46">
        <f t="shared" si="20"/>
        <v>100</v>
      </c>
      <c r="H57" s="46">
        <f t="shared" si="21"/>
        <v>10.526296445893299</v>
      </c>
      <c r="I57" s="47">
        <f t="shared" si="22"/>
        <v>0</v>
      </c>
      <c r="J57" s="47">
        <f t="shared" si="23"/>
        <v>35.306261354904898</v>
      </c>
      <c r="K57" s="48">
        <f t="shared" si="24"/>
        <v>0</v>
      </c>
      <c r="L57" s="7">
        <f t="shared" si="25"/>
        <v>3.3819619781030199</v>
      </c>
      <c r="M57" s="7">
        <f t="shared" si="26"/>
        <v>0</v>
      </c>
      <c r="N57" s="7">
        <f t="shared" si="27"/>
        <v>0</v>
      </c>
      <c r="O57" s="7">
        <f t="shared" si="28"/>
        <v>3.3819619781030199</v>
      </c>
      <c r="P57" s="49">
        <f t="shared" si="29"/>
        <v>31.589819620725699</v>
      </c>
      <c r="Q57" s="54">
        <f t="shared" si="31"/>
        <v>746.45834638210795</v>
      </c>
      <c r="R57" s="55">
        <f t="shared" si="30"/>
        <v>47.259449510725702</v>
      </c>
    </row>
    <row r="58" ht="12.800000000000001">
      <c r="A58" s="1">
        <v>54</v>
      </c>
      <c r="B58" s="44">
        <v>43599</v>
      </c>
      <c r="C58" s="45">
        <f t="shared" si="16"/>
        <v>3.2134670667110399</v>
      </c>
      <c r="D58" s="3">
        <f t="shared" si="17"/>
        <v>3.2134670667110399</v>
      </c>
      <c r="E58" s="46">
        <f t="shared" si="18"/>
        <v>0</v>
      </c>
      <c r="F58" s="46">
        <f t="shared" si="19"/>
        <v>32.298110742646102</v>
      </c>
      <c r="G58" s="46">
        <f t="shared" si="20"/>
        <v>100</v>
      </c>
      <c r="H58" s="46">
        <f t="shared" si="21"/>
        <v>9.9493963975670301</v>
      </c>
      <c r="I58" s="47">
        <f t="shared" si="22"/>
        <v>0</v>
      </c>
      <c r="J58" s="47">
        <f t="shared" si="23"/>
        <v>35.492429387523202</v>
      </c>
      <c r="K58" s="48">
        <f t="shared" si="24"/>
        <v>0</v>
      </c>
      <c r="L58" s="7">
        <f t="shared" si="25"/>
        <v>3.2134670667110399</v>
      </c>
      <c r="M58" s="7">
        <f t="shared" si="26"/>
        <v>0</v>
      </c>
      <c r="N58" s="7">
        <f t="shared" si="27"/>
        <v>0</v>
      </c>
      <c r="O58" s="7">
        <f t="shared" si="28"/>
        <v>3.2134670667110399</v>
      </c>
      <c r="P58" s="49">
        <f t="shared" si="29"/>
        <v>31.961146896631899</v>
      </c>
      <c r="Q58" s="54">
        <f t="shared" si="31"/>
        <v>770.78250749006702</v>
      </c>
      <c r="R58" s="55">
        <f t="shared" si="30"/>
        <v>47.496006607728901</v>
      </c>
    </row>
    <row r="59" ht="12.800000000000001">
      <c r="A59" s="1">
        <v>55</v>
      </c>
      <c r="B59" s="44">
        <v>43600</v>
      </c>
      <c r="C59" s="45">
        <f t="shared" si="16"/>
        <v>3.0488136572847</v>
      </c>
      <c r="D59" s="3">
        <f t="shared" si="17"/>
        <v>3.0488136572847</v>
      </c>
      <c r="E59" s="46">
        <f t="shared" si="18"/>
        <v>0</v>
      </c>
      <c r="F59" s="46">
        <f t="shared" si="19"/>
        <v>32.4636612209937</v>
      </c>
      <c r="G59" s="46">
        <f t="shared" si="20"/>
        <v>100</v>
      </c>
      <c r="H59" s="46">
        <f t="shared" si="21"/>
        <v>9.3914658501706096</v>
      </c>
      <c r="I59" s="47">
        <f t="shared" si="22"/>
        <v>0</v>
      </c>
      <c r="J59" s="47">
        <f t="shared" si="23"/>
        <v>35.674352990103003</v>
      </c>
      <c r="K59" s="48">
        <f t="shared" si="24"/>
        <v>0</v>
      </c>
      <c r="L59" s="7">
        <f t="shared" si="25"/>
        <v>3.0488136572847</v>
      </c>
      <c r="M59" s="7">
        <f t="shared" si="26"/>
        <v>0</v>
      </c>
      <c r="N59" s="7">
        <f t="shared" si="27"/>
        <v>0</v>
      </c>
      <c r="O59" s="7">
        <f t="shared" si="28"/>
        <v>3.0488136572847</v>
      </c>
      <c r="P59" s="49">
        <f t="shared" si="29"/>
        <v>32.324008311768097</v>
      </c>
      <c r="Q59" s="54">
        <f t="shared" si="31"/>
        <v>795.392590600473</v>
      </c>
      <c r="R59" s="55">
        <f t="shared" si="30"/>
        <v>47.735344350632602</v>
      </c>
    </row>
    <row r="60" ht="12.800000000000001">
      <c r="A60" s="1">
        <v>56</v>
      </c>
      <c r="B60" s="44">
        <v>43601</v>
      </c>
      <c r="C60" s="45">
        <f t="shared" si="16"/>
        <v>2.8880505401827299</v>
      </c>
      <c r="D60" s="3">
        <f t="shared" si="17"/>
        <v>2.8880505401827299</v>
      </c>
      <c r="E60" s="46">
        <f t="shared" si="18"/>
        <v>0</v>
      </c>
      <c r="F60" s="46">
        <f t="shared" si="19"/>
        <v>32.625300211826698</v>
      </c>
      <c r="G60" s="46">
        <f t="shared" si="20"/>
        <v>100</v>
      </c>
      <c r="H60" s="46">
        <f t="shared" si="21"/>
        <v>8.8521807352927002</v>
      </c>
      <c r="I60" s="47">
        <f t="shared" si="22"/>
        <v>0</v>
      </c>
      <c r="J60" s="47">
        <f t="shared" si="23"/>
        <v>35.851978254754599</v>
      </c>
      <c r="K60" s="48">
        <f t="shared" si="24"/>
        <v>0</v>
      </c>
      <c r="L60" s="7">
        <f t="shared" si="25"/>
        <v>2.8880505401827299</v>
      </c>
      <c r="M60" s="7">
        <f t="shared" si="26"/>
        <v>0</v>
      </c>
      <c r="N60" s="7">
        <f t="shared" si="27"/>
        <v>0</v>
      </c>
      <c r="O60" s="7">
        <f t="shared" si="28"/>
        <v>2.8880505401827299</v>
      </c>
      <c r="P60" s="49">
        <f t="shared" si="29"/>
        <v>32.678296342465899</v>
      </c>
      <c r="Q60" s="54">
        <f t="shared" si="31"/>
        <v>820.28207700053497</v>
      </c>
      <c r="R60" s="55">
        <f t="shared" si="30"/>
        <v>47.977399343714097</v>
      </c>
    </row>
    <row r="61" ht="12.800000000000001">
      <c r="A61" s="1">
        <v>57</v>
      </c>
      <c r="B61" s="44">
        <v>43602</v>
      </c>
      <c r="C61" s="45">
        <f t="shared" si="16"/>
        <v>2.73122535298628</v>
      </c>
      <c r="D61" s="3">
        <f t="shared" si="17"/>
        <v>2.73122535298628</v>
      </c>
      <c r="E61" s="46">
        <f t="shared" si="18"/>
        <v>0</v>
      </c>
      <c r="F61" s="46">
        <f t="shared" si="19"/>
        <v>32.782979818023598</v>
      </c>
      <c r="G61" s="46">
        <f t="shared" si="20"/>
        <v>100</v>
      </c>
      <c r="H61" s="46">
        <f t="shared" si="21"/>
        <v>8.3312297056190392</v>
      </c>
      <c r="I61" s="47">
        <f t="shared" si="22"/>
        <v>0</v>
      </c>
      <c r="J61" s="47">
        <f t="shared" si="23"/>
        <v>36.025252547278697</v>
      </c>
      <c r="K61" s="48">
        <f t="shared" si="24"/>
        <v>0</v>
      </c>
      <c r="L61" s="7">
        <f t="shared" si="25"/>
        <v>2.73122535298628</v>
      </c>
      <c r="M61" s="7">
        <f t="shared" si="26"/>
        <v>0</v>
      </c>
      <c r="N61" s="7">
        <f t="shared" si="27"/>
        <v>0</v>
      </c>
      <c r="O61" s="7">
        <f t="shared" si="28"/>
        <v>2.73122535298628</v>
      </c>
      <c r="P61" s="49">
        <f t="shared" si="29"/>
        <v>33.023906005535601</v>
      </c>
      <c r="Q61" s="54">
        <f t="shared" si="31"/>
        <v>845.44436518423402</v>
      </c>
      <c r="R61" s="55">
        <f t="shared" si="30"/>
        <v>48.222107386070697</v>
      </c>
    </row>
    <row r="62" ht="12.800000000000001">
      <c r="A62" s="1">
        <v>58</v>
      </c>
      <c r="B62" s="44">
        <v>43603</v>
      </c>
      <c r="C62" s="45">
        <f t="shared" si="16"/>
        <v>2.5783845663828702</v>
      </c>
      <c r="D62" s="3">
        <f t="shared" si="17"/>
        <v>2.5783845663828702</v>
      </c>
      <c r="E62" s="46">
        <f t="shared" si="18"/>
        <v>0</v>
      </c>
      <c r="F62" s="46">
        <f t="shared" si="19"/>
        <v>32.936653315714203</v>
      </c>
      <c r="G62" s="46">
        <f t="shared" si="20"/>
        <v>100</v>
      </c>
      <c r="H62" s="46">
        <f t="shared" si="21"/>
        <v>7.8283137684566002</v>
      </c>
      <c r="I62" s="47">
        <f t="shared" si="22"/>
        <v>0</v>
      </c>
      <c r="J62" s="47">
        <f t="shared" si="23"/>
        <v>36.194124522762799</v>
      </c>
      <c r="K62" s="48">
        <f t="shared" si="24"/>
        <v>0</v>
      </c>
      <c r="L62" s="7">
        <f t="shared" si="25"/>
        <v>2.5783845663828702</v>
      </c>
      <c r="M62" s="7">
        <f t="shared" si="26"/>
        <v>0</v>
      </c>
      <c r="N62" s="7">
        <f t="shared" si="27"/>
        <v>0</v>
      </c>
      <c r="O62" s="7">
        <f t="shared" si="28"/>
        <v>2.5783845663828702</v>
      </c>
      <c r="P62" s="49">
        <f t="shared" si="29"/>
        <v>33.360734889375102</v>
      </c>
      <c r="Q62" s="54">
        <f t="shared" si="31"/>
        <v>870.87277280849605</v>
      </c>
      <c r="R62" s="55">
        <f t="shared" si="30"/>
        <v>48.469403490643899</v>
      </c>
    </row>
    <row r="63" ht="12.800000000000001">
      <c r="A63" s="1">
        <v>59</v>
      </c>
      <c r="B63" s="44">
        <v>43604</v>
      </c>
      <c r="C63" s="45">
        <f t="shared" si="16"/>
        <v>2.4295734703961598</v>
      </c>
      <c r="D63" s="3">
        <f t="shared" si="17"/>
        <v>2.4295734703961598</v>
      </c>
      <c r="E63" s="46">
        <f t="shared" si="18"/>
        <v>0</v>
      </c>
      <c r="F63" s="46">
        <f t="shared" si="19"/>
        <v>33.086275168124502</v>
      </c>
      <c r="G63" s="46">
        <f t="shared" si="20"/>
        <v>100</v>
      </c>
      <c r="H63" s="46">
        <f t="shared" si="21"/>
        <v>7.3431459360430704</v>
      </c>
      <c r="I63" s="47">
        <f t="shared" si="22"/>
        <v>0</v>
      </c>
      <c r="J63" s="47">
        <f t="shared" si="23"/>
        <v>36.358544140796099</v>
      </c>
      <c r="K63" s="48">
        <f t="shared" si="24"/>
        <v>0</v>
      </c>
      <c r="L63" s="7">
        <f t="shared" si="25"/>
        <v>2.4295734703961598</v>
      </c>
      <c r="M63" s="7">
        <f t="shared" si="26"/>
        <v>0</v>
      </c>
      <c r="N63" s="7">
        <f t="shared" si="27"/>
        <v>0</v>
      </c>
      <c r="O63" s="7">
        <f t="shared" si="28"/>
        <v>2.4295734703961598</v>
      </c>
      <c r="P63" s="49">
        <f t="shared" si="29"/>
        <v>33.688683184316801</v>
      </c>
      <c r="Q63" s="54">
        <f t="shared" si="31"/>
        <v>896.56053867331502</v>
      </c>
      <c r="R63" s="55">
        <f t="shared" si="30"/>
        <v>48.7192219034768</v>
      </c>
    </row>
    <row r="64" ht="12.800000000000001">
      <c r="A64" s="1">
        <v>60</v>
      </c>
      <c r="B64" s="44">
        <v>43605</v>
      </c>
      <c r="C64" s="45">
        <f t="shared" si="16"/>
        <v>2.2848361609654799</v>
      </c>
      <c r="D64" s="3">
        <f t="shared" si="17"/>
        <v>2.2848361609654799</v>
      </c>
      <c r="E64" s="46">
        <f t="shared" si="18"/>
        <v>0</v>
      </c>
      <c r="F64" s="46">
        <f t="shared" si="19"/>
        <v>33.231801039070497</v>
      </c>
      <c r="G64" s="46">
        <f t="shared" si="20"/>
        <v>100</v>
      </c>
      <c r="H64" s="46">
        <f t="shared" si="21"/>
        <v>6.8754508919911199</v>
      </c>
      <c r="I64" s="47">
        <f t="shared" si="22"/>
        <v>0</v>
      </c>
      <c r="J64" s="47">
        <f t="shared" si="23"/>
        <v>36.518462680297198</v>
      </c>
      <c r="K64" s="48">
        <f t="shared" si="24"/>
        <v>0</v>
      </c>
      <c r="L64" s="7">
        <f t="shared" si="25"/>
        <v>2.2848361609654799</v>
      </c>
      <c r="M64" s="7">
        <f t="shared" si="26"/>
        <v>0</v>
      </c>
      <c r="N64" s="7">
        <f t="shared" si="27"/>
        <v>0</v>
      </c>
      <c r="O64" s="7">
        <f t="shared" si="28"/>
        <v>2.2848361609654799</v>
      </c>
      <c r="P64" s="49">
        <f t="shared" si="29"/>
        <v>34.0076537122033</v>
      </c>
      <c r="Q64" s="54">
        <f t="shared" si="31"/>
        <v>922.500824725239</v>
      </c>
      <c r="R64" s="55">
        <f t="shared" si="30"/>
        <v>48.971496123197703</v>
      </c>
    </row>
    <row r="65" ht="12.800000000000001">
      <c r="A65" s="1">
        <v>61</v>
      </c>
      <c r="B65" s="44">
        <v>43606</v>
      </c>
      <c r="C65" s="45">
        <f t="shared" si="16"/>
        <v>2.1442155268793202</v>
      </c>
      <c r="D65" s="3">
        <f t="shared" si="17"/>
        <v>2.1442155268793202</v>
      </c>
      <c r="E65" s="46">
        <f t="shared" si="18"/>
        <v>0</v>
      </c>
      <c r="F65" s="46">
        <f t="shared" si="19"/>
        <v>33.373187806095899</v>
      </c>
      <c r="G65" s="46">
        <f t="shared" si="20"/>
        <v>100</v>
      </c>
      <c r="H65" s="46">
        <f t="shared" si="21"/>
        <v>6.4249646732508499</v>
      </c>
      <c r="I65" s="47">
        <f t="shared" si="22"/>
        <v>0</v>
      </c>
      <c r="J65" s="47">
        <f t="shared" si="23"/>
        <v>36.673832753951501</v>
      </c>
      <c r="K65" s="48">
        <f t="shared" si="24"/>
        <v>0</v>
      </c>
      <c r="L65" s="7">
        <f t="shared" si="25"/>
        <v>2.1442155268793202</v>
      </c>
      <c r="M65" s="7">
        <f t="shared" si="26"/>
        <v>0</v>
      </c>
      <c r="N65" s="7">
        <f t="shared" si="27"/>
        <v>0</v>
      </c>
      <c r="O65" s="7">
        <f t="shared" si="28"/>
        <v>2.1442155268793202</v>
      </c>
      <c r="P65" s="49">
        <f t="shared" si="29"/>
        <v>34.317551955183099</v>
      </c>
      <c r="Q65" s="54">
        <f t="shared" si="31"/>
        <v>948.68671808363501</v>
      </c>
      <c r="R65" s="55">
        <f t="shared" si="30"/>
        <v>49.226158920726697</v>
      </c>
    </row>
    <row r="66" ht="12.800000000000001">
      <c r="A66" s="1">
        <v>62</v>
      </c>
      <c r="B66" s="44">
        <v>43607</v>
      </c>
      <c r="C66" s="45">
        <f t="shared" si="16"/>
        <v>2.0077532370663902</v>
      </c>
      <c r="D66" s="3">
        <f t="shared" si="17"/>
        <v>2.0077532370663902</v>
      </c>
      <c r="E66" s="46">
        <f t="shared" si="18"/>
        <v>0</v>
      </c>
      <c r="F66" s="46">
        <f t="shared" si="19"/>
        <v>33.510393573250397</v>
      </c>
      <c r="G66" s="46">
        <f t="shared" si="20"/>
        <v>100</v>
      </c>
      <c r="H66" s="46">
        <f t="shared" si="21"/>
        <v>5.9914343670050902</v>
      </c>
      <c r="I66" s="47">
        <f t="shared" si="22"/>
        <v>0</v>
      </c>
      <c r="J66" s="47">
        <f t="shared" si="23"/>
        <v>36.824608322253198</v>
      </c>
      <c r="K66" s="48">
        <f t="shared" si="24"/>
        <v>0</v>
      </c>
      <c r="L66" s="7">
        <f t="shared" si="25"/>
        <v>2.0077532370663902</v>
      </c>
      <c r="M66" s="7">
        <f t="shared" si="26"/>
        <v>0</v>
      </c>
      <c r="N66" s="7">
        <f t="shared" si="27"/>
        <v>0</v>
      </c>
      <c r="O66" s="7">
        <f t="shared" si="28"/>
        <v>2.0077532370663902</v>
      </c>
      <c r="P66" s="49">
        <f t="shared" si="29"/>
        <v>34.618286083718701</v>
      </c>
      <c r="Q66" s="54">
        <f t="shared" si="31"/>
        <v>975.11123308912602</v>
      </c>
      <c r="R66" s="55">
        <f t="shared" si="30"/>
        <v>49.483142359196499</v>
      </c>
    </row>
    <row r="67" ht="12.800000000000001">
      <c r="A67" s="1">
        <v>63</v>
      </c>
      <c r="B67" s="44">
        <v>43608</v>
      </c>
      <c r="C67" s="45">
        <f t="shared" si="16"/>
        <v>1.8754897282482601</v>
      </c>
      <c r="D67" s="3">
        <f t="shared" si="17"/>
        <v>1.8754897282482601</v>
      </c>
      <c r="E67" s="46">
        <f t="shared" si="18"/>
        <v>0</v>
      </c>
      <c r="F67" s="46">
        <f t="shared" si="19"/>
        <v>33.6433776835039</v>
      </c>
      <c r="G67" s="46">
        <f t="shared" si="20"/>
        <v>100</v>
      </c>
      <c r="H67" s="46">
        <f t="shared" si="21"/>
        <v>5.5746178219431597</v>
      </c>
      <c r="I67" s="47">
        <f t="shared" si="22"/>
        <v>0</v>
      </c>
      <c r="J67" s="47">
        <f t="shared" si="23"/>
        <v>36.970744707147198</v>
      </c>
      <c r="K67" s="48">
        <f t="shared" si="24"/>
        <v>0</v>
      </c>
      <c r="L67" s="7">
        <f t="shared" si="25"/>
        <v>1.8754897282482601</v>
      </c>
      <c r="M67" s="7">
        <f t="shared" si="26"/>
        <v>0</v>
      </c>
      <c r="N67" s="7">
        <f t="shared" si="27"/>
        <v>0</v>
      </c>
      <c r="O67" s="7">
        <f t="shared" si="28"/>
        <v>1.8754897282482601</v>
      </c>
      <c r="P67" s="49">
        <f t="shared" si="29"/>
        <v>34.909766983797503</v>
      </c>
      <c r="Q67" s="54">
        <f t="shared" si="31"/>
        <v>1001.76731337359</v>
      </c>
      <c r="R67" s="55">
        <f t="shared" si="30"/>
        <v>49.742377814084001</v>
      </c>
    </row>
    <row r="68" ht="12.800000000000001">
      <c r="A68" s="1">
        <v>64</v>
      </c>
      <c r="B68" s="44">
        <v>43609</v>
      </c>
      <c r="C68" s="45">
        <f t="shared" si="16"/>
        <v>1.74746419295708</v>
      </c>
      <c r="D68" s="3">
        <f t="shared" si="17"/>
        <v>1.74746419295708</v>
      </c>
      <c r="E68" s="46">
        <f t="shared" si="18"/>
        <v>0</v>
      </c>
      <c r="F68" s="46">
        <f t="shared" si="19"/>
        <v>33.772100730794698</v>
      </c>
      <c r="G68" s="46">
        <f t="shared" si="20"/>
        <v>100</v>
      </c>
      <c r="H68" s="46">
        <f t="shared" si="21"/>
        <v>5.17428337338717</v>
      </c>
      <c r="I68" s="47">
        <f t="shared" si="22"/>
        <v>0</v>
      </c>
      <c r="J68" s="47">
        <f t="shared" si="23"/>
        <v>37.112198605268901</v>
      </c>
      <c r="K68" s="48">
        <f t="shared" si="24"/>
        <v>0</v>
      </c>
      <c r="L68" s="7">
        <f t="shared" si="25"/>
        <v>1.74746419295708</v>
      </c>
      <c r="M68" s="7">
        <f t="shared" si="26"/>
        <v>0</v>
      </c>
      <c r="N68" s="7">
        <f t="shared" si="27"/>
        <v>0</v>
      </c>
      <c r="O68" s="7">
        <f t="shared" si="28"/>
        <v>1.74746419295708</v>
      </c>
      <c r="P68" s="49">
        <f t="shared" si="29"/>
        <v>35.191908283338002</v>
      </c>
      <c r="Q68" s="54">
        <f t="shared" si="31"/>
        <v>1028.64783395111</v>
      </c>
      <c r="R68" s="55">
        <f t="shared" si="30"/>
        <v>50.003795993544799</v>
      </c>
    </row>
    <row r="69" ht="12.800000000000001">
      <c r="A69" s="1">
        <v>65</v>
      </c>
      <c r="B69" s="44">
        <v>43610</v>
      </c>
      <c r="C69" s="45">
        <f t="shared" si="16"/>
        <v>1.62371456792196</v>
      </c>
      <c r="D69" s="3">
        <f t="shared" si="17"/>
        <v>1.62371456792196</v>
      </c>
      <c r="E69" s="46">
        <f t="shared" si="18"/>
        <v>0</v>
      </c>
      <c r="F69" s="46">
        <f t="shared" si="19"/>
        <v>33.896524571705598</v>
      </c>
      <c r="G69" s="46">
        <f t="shared" si="20"/>
        <v>100</v>
      </c>
      <c r="H69" s="46">
        <f t="shared" si="21"/>
        <v>4.7902095817732402</v>
      </c>
      <c r="I69" s="47">
        <f t="shared" si="22"/>
        <v>0</v>
      </c>
      <c r="J69" s="47">
        <f t="shared" si="23"/>
        <v>37.248928100775402</v>
      </c>
      <c r="K69" s="48">
        <f t="shared" si="24"/>
        <v>0</v>
      </c>
      <c r="L69" s="7">
        <f t="shared" si="25"/>
        <v>1.62371456792196</v>
      </c>
      <c r="M69" s="7">
        <f t="shared" si="26"/>
        <v>0</v>
      </c>
      <c r="N69" s="7">
        <f t="shared" si="27"/>
        <v>0</v>
      </c>
      <c r="O69" s="7">
        <f t="shared" si="28"/>
        <v>1.62371456792196</v>
      </c>
      <c r="P69" s="49">
        <f t="shared" si="29"/>
        <v>35.464626377784199</v>
      </c>
      <c r="Q69" s="54">
        <f t="shared" si="31"/>
        <v>1055.7456033292799</v>
      </c>
      <c r="R69" s="55">
        <f t="shared" si="30"/>
        <v>50.267326958946398</v>
      </c>
    </row>
    <row r="70" ht="12.800000000000001">
      <c r="A70" s="1">
        <v>66</v>
      </c>
      <c r="B70" s="44">
        <v>43611</v>
      </c>
      <c r="C70" s="45">
        <f t="shared" si="16"/>
        <v>1.50427752282755</v>
      </c>
      <c r="D70" s="3">
        <f t="shared" si="17"/>
        <v>1.50427752282755</v>
      </c>
      <c r="E70" s="46">
        <f t="shared" si="18"/>
        <v>0</v>
      </c>
      <c r="F70" s="46">
        <f t="shared" si="19"/>
        <v>34.016612336767302</v>
      </c>
      <c r="G70" s="46">
        <f t="shared" si="20"/>
        <v>100</v>
      </c>
      <c r="H70" s="46">
        <f t="shared" si="21"/>
        <v>4.4221849840162601</v>
      </c>
      <c r="I70" s="47">
        <f t="shared" si="22"/>
        <v>0</v>
      </c>
      <c r="J70" s="47">
        <f t="shared" si="23"/>
        <v>37.380892677766298</v>
      </c>
      <c r="K70" s="48">
        <f t="shared" si="24"/>
        <v>0</v>
      </c>
      <c r="L70" s="7">
        <f t="shared" si="25"/>
        <v>1.50427752282755</v>
      </c>
      <c r="M70" s="7">
        <f t="shared" si="26"/>
        <v>0</v>
      </c>
      <c r="N70" s="7">
        <f t="shared" si="27"/>
        <v>0</v>
      </c>
      <c r="O70" s="7">
        <f t="shared" si="28"/>
        <v>1.50427752282755</v>
      </c>
      <c r="P70" s="49">
        <f t="shared" si="29"/>
        <v>35.727840454878901</v>
      </c>
      <c r="Q70" s="54">
        <f t="shared" si="31"/>
        <v>1083.0533656401799</v>
      </c>
      <c r="R70" s="55">
        <f t="shared" si="30"/>
        <v>50.532900145591903</v>
      </c>
    </row>
    <row r="71" ht="12.800000000000001">
      <c r="A71" s="1">
        <v>67</v>
      </c>
      <c r="B71" s="44">
        <v>43612</v>
      </c>
      <c r="C71" s="45">
        <f t="shared" si="16"/>
        <v>1.38918844944796</v>
      </c>
      <c r="D71" s="3">
        <f t="shared" si="17"/>
        <v>1.38918844944796</v>
      </c>
      <c r="E71" s="46">
        <f t="shared" si="18"/>
        <v>0</v>
      </c>
      <c r="F71" s="46">
        <f t="shared" si="19"/>
        <v>34.1323284413834</v>
      </c>
      <c r="G71" s="46">
        <f t="shared" si="20"/>
        <v>100</v>
      </c>
      <c r="H71" s="46">
        <f t="shared" si="21"/>
        <v>4.0700078573123397</v>
      </c>
      <c r="I71" s="47">
        <f t="shared" si="22"/>
        <v>0</v>
      </c>
      <c r="J71" s="47">
        <f t="shared" si="23"/>
        <v>37.508053232289498</v>
      </c>
      <c r="K71" s="48">
        <f t="shared" si="24"/>
        <v>0</v>
      </c>
      <c r="L71" s="7">
        <f t="shared" si="25"/>
        <v>1.38918844944796</v>
      </c>
      <c r="M71" s="7">
        <f t="shared" si="26"/>
        <v>0</v>
      </c>
      <c r="N71" s="7">
        <f t="shared" si="27"/>
        <v>0</v>
      </c>
      <c r="O71" s="7">
        <f t="shared" si="28"/>
        <v>1.38918844944796</v>
      </c>
      <c r="P71" s="49">
        <f t="shared" si="29"/>
        <v>35.981472518610403</v>
      </c>
      <c r="Q71" s="54">
        <f t="shared" si="31"/>
        <v>1110.5638027904399</v>
      </c>
      <c r="R71" s="55">
        <f t="shared" si="30"/>
        <v>50.800444383630399</v>
      </c>
    </row>
    <row r="72" ht="12.800000000000001">
      <c r="A72" s="1">
        <v>68</v>
      </c>
      <c r="B72" s="44">
        <v>43613</v>
      </c>
      <c r="C72" s="45">
        <f t="shared" si="16"/>
        <v>1.27848145115947</v>
      </c>
      <c r="D72" s="3">
        <f t="shared" si="17"/>
        <v>1.27848145115947</v>
      </c>
      <c r="E72" s="46">
        <f t="shared" si="18"/>
        <v>0</v>
      </c>
      <c r="F72" s="46">
        <f t="shared" si="19"/>
        <v>34.243638596374701</v>
      </c>
      <c r="G72" s="46">
        <f t="shared" si="20"/>
        <v>100</v>
      </c>
      <c r="H72" s="46">
        <f t="shared" si="21"/>
        <v>3.7334859949573702</v>
      </c>
      <c r="I72" s="47">
        <f t="shared" si="22"/>
        <v>0</v>
      </c>
      <c r="J72" s="47">
        <f t="shared" si="23"/>
        <v>37.6303720839283</v>
      </c>
      <c r="K72" s="48">
        <f t="shared" si="24"/>
        <v>0</v>
      </c>
      <c r="L72" s="7">
        <f t="shared" si="25"/>
        <v>1.27848145115947</v>
      </c>
      <c r="M72" s="7">
        <f t="shared" si="26"/>
        <v>0</v>
      </c>
      <c r="N72" s="7">
        <f t="shared" si="27"/>
        <v>0</v>
      </c>
      <c r="O72" s="7">
        <f t="shared" si="28"/>
        <v>1.27848145115947</v>
      </c>
      <c r="P72" s="49">
        <f t="shared" si="29"/>
        <v>36.225447412324399</v>
      </c>
      <c r="Q72" s="54">
        <f t="shared" si="31"/>
        <v>1138.2695366297601</v>
      </c>
      <c r="R72" s="55">
        <f t="shared" si="30"/>
        <v>51.069887919145799</v>
      </c>
    </row>
    <row r="73" ht="12.800000000000001">
      <c r="A73" s="1">
        <v>69</v>
      </c>
      <c r="B73" s="44">
        <v>43614</v>
      </c>
      <c r="C73" s="45">
        <f t="shared" si="16"/>
        <v>1.17218933283491</v>
      </c>
      <c r="D73" s="3">
        <f t="shared" si="17"/>
        <v>1.17218933283491</v>
      </c>
      <c r="E73" s="46">
        <f t="shared" si="18"/>
        <v>0</v>
      </c>
      <c r="F73" s="46">
        <f t="shared" si="19"/>
        <v>34.350509818139997</v>
      </c>
      <c r="G73" s="46">
        <f t="shared" si="20"/>
        <v>100</v>
      </c>
      <c r="H73" s="46">
        <f t="shared" si="21"/>
        <v>3.4124364937835598</v>
      </c>
      <c r="I73" s="47">
        <f t="shared" si="22"/>
        <v>0</v>
      </c>
      <c r="J73" s="47">
        <f t="shared" si="23"/>
        <v>37.747812986966998</v>
      </c>
      <c r="K73" s="48">
        <f t="shared" si="24"/>
        <v>0</v>
      </c>
      <c r="L73" s="7">
        <f t="shared" si="25"/>
        <v>1.17218933283491</v>
      </c>
      <c r="M73" s="7">
        <f t="shared" si="26"/>
        <v>0</v>
      </c>
      <c r="N73" s="7">
        <f t="shared" si="27"/>
        <v>0</v>
      </c>
      <c r="O73" s="7">
        <f t="shared" si="28"/>
        <v>1.17218933283491</v>
      </c>
      <c r="P73" s="49">
        <f t="shared" si="29"/>
        <v>36.459692840994599</v>
      </c>
      <c r="Q73" s="54">
        <f t="shared" si="31"/>
        <v>1166.16313113725</v>
      </c>
      <c r="R73" s="55">
        <f t="shared" si="30"/>
        <v>51.341158435419402</v>
      </c>
    </row>
    <row r="74" ht="12.800000000000001">
      <c r="A74" s="1">
        <v>70</v>
      </c>
      <c r="B74" s="44">
        <v>43615</v>
      </c>
      <c r="C74" s="45">
        <f t="shared" ref="C74:C99" si="32">V$30-V$30*SIN(2*PI()/365*A74)</f>
        <v>1.07034359112293</v>
      </c>
      <c r="D74" s="3">
        <f t="shared" ref="D74:D99" si="33">IF((E74+F74)&gt;C74,C74,E74+F74)</f>
        <v>1.07034359112293</v>
      </c>
      <c r="E74" s="46">
        <f t="shared" ref="E74:E99" si="34">(V$27+V$28*SIN(2*PI()/365*A74))*V$29/100*V$9*V$10/100</f>
        <v>0</v>
      </c>
      <c r="F74" s="46">
        <f t="shared" ref="F74:F99" si="35">(V$27+V$28*SIN(2*PI()/365*A74))*V$29/100*V$11*(1-V$18/100)*(1-V$20/100)</f>
        <v>34.452910438429797</v>
      </c>
      <c r="G74" s="46">
        <f t="shared" ref="G74:G99" si="36">IF(C74&gt;E74,100,C74/E74*100)</f>
        <v>100</v>
      </c>
      <c r="H74" s="46">
        <f t="shared" ref="H74:H99" si="37">L74/F74*100</f>
        <v>3.1066855528380599</v>
      </c>
      <c r="I74" s="47">
        <f t="shared" ref="I74:I99" si="38">(V$27+V$28*SIN(2*PI()/365*A74))*V$29/100*V$9*V$10/100*(1-V$19/100)</f>
        <v>0</v>
      </c>
      <c r="J74" s="47">
        <f t="shared" ref="J74:J99" si="39">(V$27+V$28*SIN(2*PI()/365*A74))*V$29/100*V$11*(1-V$18/100)</f>
        <v>37.860341141131599</v>
      </c>
      <c r="K74" s="48">
        <f t="shared" ref="K74:K99" si="40">IF(E74/C74*100&lt;100,E74/C74*100,100)</f>
        <v>0</v>
      </c>
      <c r="L74" s="7">
        <f t="shared" ref="L74:L99" si="41">IF(((C74-E74)&gt;0)*AND(F74&gt;(C74-E74)),(C74-E74),IF(C74&lt;E74,0,F74))</f>
        <v>1.07034359112293</v>
      </c>
      <c r="M74" s="7">
        <f t="shared" ref="M74:M99" si="42">IF(C74&lt;(E74+F74),0,C74-E74-F74)</f>
        <v>0</v>
      </c>
      <c r="N74" s="7">
        <f t="shared" ref="N74:N99" si="43">IF(C74&lt;(E74+F74),0,(C74-E74-F74)/(1-V$20/100))</f>
        <v>0</v>
      </c>
      <c r="O74" s="7">
        <f t="shared" ref="O74:O99" si="44">L74+M74</f>
        <v>1.07034359112293</v>
      </c>
      <c r="P74" s="49">
        <f t="shared" ref="P74:P99" si="45">IF(N74=0,I74*(1-G74/100)+J74*(1-H74/100),-N74)</f>
        <v>36.684139392644902</v>
      </c>
      <c r="Q74" s="54">
        <f t="shared" si="31"/>
        <v>1194.23709462482</v>
      </c>
      <c r="R74" s="55">
        <f t="shared" ref="R74:R99" si="46">R$4+Q74/V$32</f>
        <v>51.614183074358301</v>
      </c>
    </row>
    <row r="75" ht="12.800000000000001">
      <c r="A75" s="1">
        <v>71</v>
      </c>
      <c r="B75" s="44">
        <v>43616</v>
      </c>
      <c r="C75" s="45">
        <f t="shared" si="32"/>
        <v>0.97297440511480304</v>
      </c>
      <c r="D75" s="3">
        <f t="shared" si="33"/>
        <v>0.97297440511480304</v>
      </c>
      <c r="E75" s="46">
        <f t="shared" si="34"/>
        <v>0</v>
      </c>
      <c r="F75" s="46">
        <f t="shared" si="35"/>
        <v>34.5508101137303</v>
      </c>
      <c r="G75" s="46">
        <f t="shared" si="36"/>
        <v>100</v>
      </c>
      <c r="H75" s="46">
        <f t="shared" si="37"/>
        <v>2.8160682829493102</v>
      </c>
      <c r="I75" s="47">
        <f t="shared" si="38"/>
        <v>0</v>
      </c>
      <c r="J75" s="47">
        <f t="shared" si="39"/>
        <v>37.967923201901499</v>
      </c>
      <c r="K75" s="48">
        <f t="shared" si="40"/>
        <v>0</v>
      </c>
      <c r="L75" s="7">
        <f t="shared" si="41"/>
        <v>0.97297440511480304</v>
      </c>
      <c r="M75" s="7">
        <f t="shared" si="42"/>
        <v>0</v>
      </c>
      <c r="N75" s="7">
        <f t="shared" si="43"/>
        <v>0</v>
      </c>
      <c r="O75" s="7">
        <f t="shared" si="44"/>
        <v>0.97297440511480304</v>
      </c>
      <c r="P75" s="49">
        <f t="shared" si="45"/>
        <v>36.8987205589182</v>
      </c>
      <c r="Q75" s="54">
        <f t="shared" ref="Q75:Q100" si="47">IF(P74&gt;0,Q74+P74*(1-V$24/100),Q74+P74)</f>
        <v>1222.4838819571601</v>
      </c>
      <c r="R75" s="55">
        <f t="shared" si="46"/>
        <v>51.888888458085603</v>
      </c>
    </row>
    <row r="76" ht="12.800000000000001">
      <c r="A76" s="1">
        <v>72</v>
      </c>
      <c r="B76" s="44">
        <v>43617</v>
      </c>
      <c r="C76" s="45">
        <f t="shared" si="32"/>
        <v>0.88011062740173995</v>
      </c>
      <c r="D76" s="3">
        <f t="shared" si="33"/>
        <v>0.88011062740173995</v>
      </c>
      <c r="E76" s="46">
        <f t="shared" si="34"/>
        <v>0</v>
      </c>
      <c r="F76" s="46">
        <f t="shared" si="35"/>
        <v>34.644179834254999</v>
      </c>
      <c r="G76" s="46">
        <f t="shared" si="36"/>
        <v>100</v>
      </c>
      <c r="H76" s="46">
        <f t="shared" si="37"/>
        <v>2.5404285268474398</v>
      </c>
      <c r="I76" s="47">
        <f t="shared" si="38"/>
        <v>0</v>
      </c>
      <c r="J76" s="47">
        <f t="shared" si="39"/>
        <v>38.070527290390103</v>
      </c>
      <c r="K76" s="48">
        <f t="shared" si="40"/>
        <v>0</v>
      </c>
      <c r="L76" s="7">
        <f t="shared" si="41"/>
        <v>0.88011062740173995</v>
      </c>
      <c r="M76" s="7">
        <f t="shared" si="42"/>
        <v>0</v>
      </c>
      <c r="N76" s="7">
        <f t="shared" si="43"/>
        <v>0</v>
      </c>
      <c r="O76" s="7">
        <f t="shared" si="44"/>
        <v>0.88011062740173995</v>
      </c>
      <c r="P76" s="49">
        <f t="shared" si="45"/>
        <v>37.103372754783798</v>
      </c>
      <c r="Q76" s="54">
        <f t="shared" si="47"/>
        <v>1250.8958967875201</v>
      </c>
      <c r="R76" s="55">
        <f t="shared" si="46"/>
        <v>52.165200710683102</v>
      </c>
    </row>
    <row r="77" ht="12.800000000000001">
      <c r="A77" s="1">
        <v>73</v>
      </c>
      <c r="B77" s="44">
        <v>43618</v>
      </c>
      <c r="C77" s="45">
        <f t="shared" si="32"/>
        <v>0.79177977552524104</v>
      </c>
      <c r="D77" s="3">
        <f t="shared" si="33"/>
        <v>0.79177977552524104</v>
      </c>
      <c r="E77" s="46">
        <f t="shared" si="34"/>
        <v>0</v>
      </c>
      <c r="F77" s="46">
        <f t="shared" si="35"/>
        <v>34.732991932540401</v>
      </c>
      <c r="G77" s="46">
        <f t="shared" si="36"/>
        <v>100</v>
      </c>
      <c r="H77" s="46">
        <f t="shared" si="37"/>
        <v>2.2796186895245398</v>
      </c>
      <c r="I77" s="47">
        <f t="shared" si="38"/>
        <v>0</v>
      </c>
      <c r="J77" s="47">
        <f t="shared" si="39"/>
        <v>38.168123002791702</v>
      </c>
      <c r="K77" s="48">
        <f t="shared" si="40"/>
        <v>0</v>
      </c>
      <c r="L77" s="7">
        <f t="shared" si="41"/>
        <v>0.79177977552524104</v>
      </c>
      <c r="M77" s="7">
        <f t="shared" si="42"/>
        <v>0</v>
      </c>
      <c r="N77" s="7">
        <f t="shared" si="43"/>
        <v>0</v>
      </c>
      <c r="O77" s="7">
        <f t="shared" si="44"/>
        <v>0.79177977552524104</v>
      </c>
      <c r="P77" s="49">
        <f t="shared" si="45"/>
        <v>37.298035337379297</v>
      </c>
      <c r="Q77" s="54">
        <f t="shared" si="47"/>
        <v>1279.4654938087101</v>
      </c>
      <c r="R77" s="55">
        <f t="shared" si="46"/>
        <v>52.443045480082802</v>
      </c>
    </row>
    <row r="78" ht="12.800000000000001">
      <c r="A78" s="1">
        <v>74</v>
      </c>
      <c r="B78" s="44">
        <v>43619</v>
      </c>
      <c r="C78" s="45">
        <f t="shared" si="32"/>
        <v>0.70800802382305295</v>
      </c>
      <c r="D78" s="3">
        <f t="shared" si="33"/>
        <v>0.70800802382305295</v>
      </c>
      <c r="E78" s="46">
        <f t="shared" si="34"/>
        <v>0</v>
      </c>
      <c r="F78" s="46">
        <f t="shared" si="35"/>
        <v>34.817220091645197</v>
      </c>
      <c r="G78" s="46">
        <f t="shared" si="36"/>
        <v>100</v>
      </c>
      <c r="H78" s="46">
        <f t="shared" si="37"/>
        <v>2.0334995785403001</v>
      </c>
      <c r="I78" s="47">
        <f t="shared" si="38"/>
        <v>0</v>
      </c>
      <c r="J78" s="47">
        <f t="shared" si="39"/>
        <v>38.260681419390401</v>
      </c>
      <c r="K78" s="48">
        <f t="shared" si="40"/>
        <v>0</v>
      </c>
      <c r="L78" s="7">
        <f t="shared" si="41"/>
        <v>0.70800802382305295</v>
      </c>
      <c r="M78" s="7">
        <f t="shared" si="42"/>
        <v>0</v>
      </c>
      <c r="N78" s="7">
        <f t="shared" si="43"/>
        <v>0</v>
      </c>
      <c r="O78" s="7">
        <f t="shared" si="44"/>
        <v>0.70800802382305295</v>
      </c>
      <c r="P78" s="49">
        <f t="shared" si="45"/>
        <v>37.482650623980398</v>
      </c>
      <c r="Q78" s="54">
        <f t="shared" si="47"/>
        <v>1308.1849810184899</v>
      </c>
      <c r="R78" s="55">
        <f t="shared" si="46"/>
        <v>52.7223479600991</v>
      </c>
    </row>
    <row r="79" ht="12.800000000000001">
      <c r="A79" s="1">
        <v>75</v>
      </c>
      <c r="B79" s="44">
        <v>43620</v>
      </c>
      <c r="C79" s="45">
        <f t="shared" si="32"/>
        <v>0.62882019567315195</v>
      </c>
      <c r="D79" s="3">
        <f t="shared" si="33"/>
        <v>0.62882019567315195</v>
      </c>
      <c r="E79" s="46">
        <f t="shared" si="34"/>
        <v>0</v>
      </c>
      <c r="F79" s="46">
        <f t="shared" si="35"/>
        <v>34.896839352948099</v>
      </c>
      <c r="G79" s="46">
        <f t="shared" si="36"/>
        <v>100</v>
      </c>
      <c r="H79" s="46">
        <f t="shared" si="37"/>
        <v>1.80194025399618</v>
      </c>
      <c r="I79" s="47">
        <f t="shared" si="38"/>
        <v>0</v>
      </c>
      <c r="J79" s="47">
        <f t="shared" si="39"/>
        <v>38.348175113129798</v>
      </c>
      <c r="K79" s="48">
        <f t="shared" si="40"/>
        <v>0</v>
      </c>
      <c r="L79" s="7">
        <f t="shared" si="41"/>
        <v>0.62882019567315195</v>
      </c>
      <c r="M79" s="7">
        <f t="shared" si="42"/>
        <v>0</v>
      </c>
      <c r="N79" s="7">
        <f t="shared" si="43"/>
        <v>0</v>
      </c>
      <c r="O79" s="7">
        <f t="shared" si="44"/>
        <v>0.62882019567315195</v>
      </c>
      <c r="P79" s="49">
        <f t="shared" si="45"/>
        <v>37.657163909093399</v>
      </c>
      <c r="Q79" s="54">
        <f t="shared" si="47"/>
        <v>1337.0466219989501</v>
      </c>
      <c r="R79" s="55">
        <f t="shared" si="46"/>
        <v>53.003032912594897</v>
      </c>
    </row>
    <row r="80" ht="12.800000000000001">
      <c r="A80" s="1">
        <v>76</v>
      </c>
      <c r="B80" s="44">
        <v>43621</v>
      </c>
      <c r="C80" s="45">
        <f t="shared" si="32"/>
        <v>0.554239756138029</v>
      </c>
      <c r="D80" s="3">
        <f t="shared" si="33"/>
        <v>0.554239756138029</v>
      </c>
      <c r="E80" s="46">
        <f t="shared" si="34"/>
        <v>0</v>
      </c>
      <c r="F80" s="46">
        <f t="shared" si="35"/>
        <v>34.9718261235436</v>
      </c>
      <c r="G80" s="46">
        <f t="shared" si="36"/>
        <v>100</v>
      </c>
      <c r="H80" s="46">
        <f t="shared" si="37"/>
        <v>1.5848178879195201</v>
      </c>
      <c r="I80" s="47">
        <f t="shared" si="38"/>
        <v>0</v>
      </c>
      <c r="J80" s="47">
        <f t="shared" si="39"/>
        <v>38.4305781577402</v>
      </c>
      <c r="K80" s="48">
        <f t="shared" si="40"/>
        <v>0</v>
      </c>
      <c r="L80" s="7">
        <f t="shared" si="41"/>
        <v>0.554239756138029</v>
      </c>
      <c r="M80" s="7">
        <f t="shared" si="42"/>
        <v>0</v>
      </c>
      <c r="N80" s="7">
        <f t="shared" si="43"/>
        <v>0</v>
      </c>
      <c r="O80" s="7">
        <f t="shared" si="44"/>
        <v>0.554239756138029</v>
      </c>
      <c r="P80" s="49">
        <f t="shared" si="45"/>
        <v>37.821523480665498</v>
      </c>
      <c r="Q80" s="54">
        <f t="shared" si="47"/>
        <v>1366.0426382089599</v>
      </c>
      <c r="R80" s="55">
        <f t="shared" si="46"/>
        <v>53.285024689777003</v>
      </c>
    </row>
    <row r="81" ht="12.800000000000001">
      <c r="A81" s="1">
        <v>77</v>
      </c>
      <c r="B81" s="44">
        <v>43622</v>
      </c>
      <c r="C81" s="45">
        <f t="shared" si="32"/>
        <v>0.48428880501149701</v>
      </c>
      <c r="D81" s="3">
        <f t="shared" si="33"/>
        <v>0.48428880501149701</v>
      </c>
      <c r="E81" s="46">
        <f t="shared" si="34"/>
        <v>0</v>
      </c>
      <c r="F81" s="46">
        <f t="shared" si="35"/>
        <v>35.042158183233198</v>
      </c>
      <c r="G81" s="46">
        <f t="shared" si="36"/>
        <v>100</v>
      </c>
      <c r="H81" s="46">
        <f t="shared" si="37"/>
        <v>1.38201763281583</v>
      </c>
      <c r="I81" s="47">
        <f t="shared" si="38"/>
        <v>0</v>
      </c>
      <c r="J81" s="47">
        <f t="shared" si="39"/>
        <v>38.507866135421096</v>
      </c>
      <c r="K81" s="48">
        <f t="shared" si="40"/>
        <v>0</v>
      </c>
      <c r="L81" s="7">
        <f t="shared" si="41"/>
        <v>0.48428880501149701</v>
      </c>
      <c r="M81" s="7">
        <f t="shared" si="42"/>
        <v>0</v>
      </c>
      <c r="N81" s="7">
        <f t="shared" si="43"/>
        <v>0</v>
      </c>
      <c r="O81" s="7">
        <f t="shared" si="44"/>
        <v>0.48428880501149701</v>
      </c>
      <c r="P81" s="49">
        <f t="shared" si="45"/>
        <v>37.975680635408402</v>
      </c>
      <c r="Q81" s="54">
        <f t="shared" si="47"/>
        <v>1395.1652112890699</v>
      </c>
      <c r="R81" s="55">
        <f t="shared" si="46"/>
        <v>53.568247256611599</v>
      </c>
    </row>
    <row r="82" ht="12.800000000000001">
      <c r="A82" s="1">
        <v>78</v>
      </c>
      <c r="B82" s="44">
        <v>43623</v>
      </c>
      <c r="C82" s="45">
        <f t="shared" si="32"/>
        <v>0.41898807027004098</v>
      </c>
      <c r="D82" s="3">
        <f t="shared" si="33"/>
        <v>0.41898807027004098</v>
      </c>
      <c r="E82" s="46">
        <f t="shared" si="34"/>
        <v>0</v>
      </c>
      <c r="F82" s="46">
        <f t="shared" si="35"/>
        <v>35.107814691109702</v>
      </c>
      <c r="G82" s="46">
        <f t="shared" si="36"/>
        <v>100</v>
      </c>
      <c r="H82" s="46">
        <f t="shared" si="37"/>
        <v>1.19343249916418</v>
      </c>
      <c r="I82" s="47">
        <f t="shared" si="38"/>
        <v>0</v>
      </c>
      <c r="J82" s="47">
        <f t="shared" si="39"/>
        <v>38.580016144076602</v>
      </c>
      <c r="K82" s="48">
        <f t="shared" si="40"/>
        <v>0</v>
      </c>
      <c r="L82" s="7">
        <f t="shared" si="41"/>
        <v>0.41898807027004098</v>
      </c>
      <c r="M82" s="7">
        <f t="shared" si="42"/>
        <v>0</v>
      </c>
      <c r="N82" s="7">
        <f t="shared" si="43"/>
        <v>0</v>
      </c>
      <c r="O82" s="7">
        <f t="shared" si="44"/>
        <v>0.41898807027004098</v>
      </c>
      <c r="P82" s="49">
        <f t="shared" si="45"/>
        <v>38.119589693230402</v>
      </c>
      <c r="Q82" s="54">
        <f t="shared" si="47"/>
        <v>1424.40648537833</v>
      </c>
      <c r="R82" s="55">
        <f t="shared" si="46"/>
        <v>53.852624213355597</v>
      </c>
    </row>
    <row r="83" ht="12.800000000000001">
      <c r="A83" s="1">
        <v>79</v>
      </c>
      <c r="B83" s="44">
        <v>43624</v>
      </c>
      <c r="C83" s="45">
        <f t="shared" si="32"/>
        <v>0.35835690193066599</v>
      </c>
      <c r="D83" s="3">
        <f t="shared" si="33"/>
        <v>0.35835690193066599</v>
      </c>
      <c r="E83" s="46">
        <f t="shared" si="34"/>
        <v>0</v>
      </c>
      <c r="F83" s="46">
        <f t="shared" si="35"/>
        <v>35.168776191733002</v>
      </c>
      <c r="G83" s="46">
        <f t="shared" si="36"/>
        <v>100</v>
      </c>
      <c r="H83" s="46">
        <f t="shared" si="37"/>
        <v>1.01896324164645</v>
      </c>
      <c r="I83" s="47">
        <f t="shared" si="38"/>
        <v>0</v>
      </c>
      <c r="J83" s="47">
        <f t="shared" si="39"/>
        <v>38.647006804102098</v>
      </c>
      <c r="K83" s="48">
        <f t="shared" si="40"/>
        <v>0</v>
      </c>
      <c r="L83" s="7">
        <f t="shared" si="41"/>
        <v>0.35835690193066599</v>
      </c>
      <c r="M83" s="7">
        <f t="shared" si="42"/>
        <v>0</v>
      </c>
      <c r="N83" s="7">
        <f t="shared" si="43"/>
        <v>0</v>
      </c>
      <c r="O83" s="7">
        <f t="shared" si="44"/>
        <v>0.35835690193066599</v>
      </c>
      <c r="P83" s="49">
        <f t="shared" si="45"/>
        <v>38.253208010771701</v>
      </c>
      <c r="Q83" s="54">
        <f t="shared" si="47"/>
        <v>1453.75856944212</v>
      </c>
      <c r="R83" s="55">
        <f t="shared" si="46"/>
        <v>54.138078818195098</v>
      </c>
    </row>
    <row r="84" ht="12.800000000000001">
      <c r="A84" s="1">
        <v>80</v>
      </c>
      <c r="B84" s="44">
        <v>43625</v>
      </c>
      <c r="C84" s="45">
        <f t="shared" si="32"/>
        <v>0.30241326631708398</v>
      </c>
      <c r="D84" s="3">
        <f t="shared" si="33"/>
        <v>0.30241326631708398</v>
      </c>
      <c r="E84" s="46">
        <f t="shared" si="34"/>
        <v>0</v>
      </c>
      <c r="F84" s="46">
        <f t="shared" si="35"/>
        <v>35.225024620894501</v>
      </c>
      <c r="G84" s="46">
        <f t="shared" si="36"/>
        <v>100</v>
      </c>
      <c r="H84" s="46">
        <f t="shared" si="37"/>
        <v>0.858518253916848</v>
      </c>
      <c r="I84" s="47">
        <f t="shared" si="38"/>
        <v>0</v>
      </c>
      <c r="J84" s="47">
        <f t="shared" si="39"/>
        <v>38.708818264719298</v>
      </c>
      <c r="K84" s="48">
        <f t="shared" si="40"/>
        <v>0</v>
      </c>
      <c r="L84" s="7">
        <f t="shared" si="41"/>
        <v>0.30241326631708398</v>
      </c>
      <c r="M84" s="7">
        <f t="shared" si="42"/>
        <v>0</v>
      </c>
      <c r="N84" s="7">
        <f t="shared" si="43"/>
        <v>0</v>
      </c>
      <c r="O84" s="7">
        <f t="shared" si="44"/>
        <v>0.30241326631708398</v>
      </c>
      <c r="P84" s="49">
        <f t="shared" si="45"/>
        <v>38.3764959940412</v>
      </c>
      <c r="Q84" s="54">
        <f t="shared" si="47"/>
        <v>1483.21353961042</v>
      </c>
      <c r="R84" s="55">
        <f t="shared" si="46"/>
        <v>54.424534009985798</v>
      </c>
    </row>
    <row r="85" ht="12.800000000000001">
      <c r="A85" s="1">
        <v>81</v>
      </c>
      <c r="B85" s="44">
        <v>43626</v>
      </c>
      <c r="C85" s="45">
        <f t="shared" si="32"/>
        <v>0.251173740735886</v>
      </c>
      <c r="D85" s="3">
        <f t="shared" si="33"/>
        <v>0.251173740735886</v>
      </c>
      <c r="E85" s="46">
        <f t="shared" si="34"/>
        <v>0</v>
      </c>
      <c r="F85" s="46">
        <f t="shared" si="35"/>
        <v>35.276543310971</v>
      </c>
      <c r="G85" s="46">
        <f t="shared" si="36"/>
        <v>100</v>
      </c>
      <c r="H85" s="46">
        <f t="shared" si="37"/>
        <v>0.71201347173313101</v>
      </c>
      <c r="I85" s="47">
        <f t="shared" si="38"/>
        <v>0</v>
      </c>
      <c r="J85" s="47">
        <f t="shared" si="39"/>
        <v>38.765432209858297</v>
      </c>
      <c r="K85" s="48">
        <f t="shared" si="40"/>
        <v>0</v>
      </c>
      <c r="L85" s="7">
        <f t="shared" si="41"/>
        <v>0.251173740735886</v>
      </c>
      <c r="M85" s="7">
        <f t="shared" si="42"/>
        <v>0</v>
      </c>
      <c r="N85" s="7">
        <f t="shared" si="43"/>
        <v>0</v>
      </c>
      <c r="O85" s="7">
        <f t="shared" si="44"/>
        <v>0.251173740735886</v>
      </c>
      <c r="P85" s="49">
        <f t="shared" si="45"/>
        <v>38.489417110148501</v>
      </c>
      <c r="Q85" s="54">
        <f t="shared" si="47"/>
        <v>1512.7634415258301</v>
      </c>
      <c r="R85" s="55">
        <f t="shared" si="46"/>
        <v>54.711912431088003</v>
      </c>
    </row>
    <row r="86" ht="12.800000000000001">
      <c r="A86" s="1">
        <v>82</v>
      </c>
      <c r="B86" s="44">
        <v>43627</v>
      </c>
      <c r="C86" s="45">
        <f t="shared" si="32"/>
        <v>0.204653508564343</v>
      </c>
      <c r="D86" s="3">
        <f t="shared" si="33"/>
        <v>0.204653508564343</v>
      </c>
      <c r="E86" s="46">
        <f t="shared" si="34"/>
        <v>0</v>
      </c>
      <c r="F86" s="46">
        <f t="shared" si="35"/>
        <v>35.323316995862697</v>
      </c>
      <c r="G86" s="46">
        <f t="shared" si="36"/>
        <v>100</v>
      </c>
      <c r="H86" s="46">
        <f t="shared" si="37"/>
        <v>0.57937228428551502</v>
      </c>
      <c r="I86" s="47">
        <f t="shared" si="38"/>
        <v>0</v>
      </c>
      <c r="J86" s="47">
        <f t="shared" si="39"/>
        <v>38.816831863585399</v>
      </c>
      <c r="K86" s="48">
        <f t="shared" si="40"/>
        <v>0</v>
      </c>
      <c r="L86" s="7">
        <f t="shared" si="41"/>
        <v>0.204653508564343</v>
      </c>
      <c r="M86" s="7">
        <f t="shared" si="42"/>
        <v>0</v>
      </c>
      <c r="N86" s="7">
        <f t="shared" si="43"/>
        <v>0</v>
      </c>
      <c r="O86" s="7">
        <f t="shared" si="44"/>
        <v>0.204653508564343</v>
      </c>
      <c r="P86" s="49">
        <f t="shared" si="45"/>
        <v>38.591937898129999</v>
      </c>
      <c r="Q86" s="54">
        <f t="shared" si="47"/>
        <v>1542.40029270064</v>
      </c>
      <c r="R86" s="55">
        <f t="shared" si="46"/>
        <v>55.000136450289098</v>
      </c>
    </row>
    <row r="87" ht="12.800000000000001">
      <c r="A87" s="1">
        <v>83</v>
      </c>
      <c r="B87" s="44">
        <v>43628</v>
      </c>
      <c r="C87" s="45">
        <f t="shared" si="32"/>
        <v>0.16286635475123701</v>
      </c>
      <c r="D87" s="3">
        <f t="shared" si="33"/>
        <v>0.16286635475123701</v>
      </c>
      <c r="E87" s="46">
        <f t="shared" si="34"/>
        <v>0</v>
      </c>
      <c r="F87" s="46">
        <f t="shared" si="35"/>
        <v>35.365331815517202</v>
      </c>
      <c r="G87" s="46">
        <f t="shared" si="36"/>
        <v>100</v>
      </c>
      <c r="H87" s="46">
        <f t="shared" si="37"/>
        <v>0.46052545357365199</v>
      </c>
      <c r="I87" s="47">
        <f t="shared" si="38"/>
        <v>0</v>
      </c>
      <c r="J87" s="47">
        <f t="shared" si="39"/>
        <v>38.863001995073802</v>
      </c>
      <c r="K87" s="48">
        <f t="shared" si="40"/>
        <v>0</v>
      </c>
      <c r="L87" s="7">
        <f t="shared" si="41"/>
        <v>0.16286635475123701</v>
      </c>
      <c r="M87" s="7">
        <f t="shared" si="42"/>
        <v>0</v>
      </c>
      <c r="N87" s="7">
        <f t="shared" si="43"/>
        <v>0</v>
      </c>
      <c r="O87" s="7">
        <f t="shared" si="44"/>
        <v>0.16286635475123701</v>
      </c>
      <c r="P87" s="49">
        <f t="shared" si="45"/>
        <v>38.684027978863703</v>
      </c>
      <c r="Q87" s="54">
        <f t="shared" si="47"/>
        <v>1572.1160848822001</v>
      </c>
      <c r="R87" s="55">
        <f t="shared" si="46"/>
        <v>55.289128185807598</v>
      </c>
    </row>
    <row r="88" ht="12.800000000000001">
      <c r="A88" s="1">
        <v>84</v>
      </c>
      <c r="B88" s="44">
        <v>43629</v>
      </c>
      <c r="C88" s="45">
        <f t="shared" si="32"/>
        <v>0.12582466173208201</v>
      </c>
      <c r="D88" s="3">
        <f t="shared" si="33"/>
        <v>0.12582466173208201</v>
      </c>
      <c r="E88" s="46">
        <f t="shared" si="34"/>
        <v>0</v>
      </c>
      <c r="F88" s="46">
        <f t="shared" si="35"/>
        <v>35.402575320036703</v>
      </c>
      <c r="G88" s="46">
        <f t="shared" si="36"/>
        <v>100</v>
      </c>
      <c r="H88" s="46">
        <f t="shared" si="37"/>
        <v>0.35541104169579901</v>
      </c>
      <c r="I88" s="47">
        <f t="shared" si="38"/>
        <v>0</v>
      </c>
      <c r="J88" s="47">
        <f t="shared" si="39"/>
        <v>38.903928923117299</v>
      </c>
      <c r="K88" s="48">
        <f t="shared" si="40"/>
        <v>0</v>
      </c>
      <c r="L88" s="7">
        <f t="shared" si="41"/>
        <v>0.12582466173208201</v>
      </c>
      <c r="M88" s="7">
        <f t="shared" si="42"/>
        <v>0</v>
      </c>
      <c r="N88" s="7">
        <f t="shared" si="43"/>
        <v>0</v>
      </c>
      <c r="O88" s="7">
        <f t="shared" si="44"/>
        <v>0.12582466173208201</v>
      </c>
      <c r="P88" s="49">
        <f t="shared" si="45"/>
        <v>38.765660064071</v>
      </c>
      <c r="Q88" s="54">
        <f t="shared" si="47"/>
        <v>1601.9027864259299</v>
      </c>
      <c r="R88" s="55">
        <f t="shared" si="46"/>
        <v>55.578809528371202</v>
      </c>
    </row>
    <row r="89" ht="12.800000000000001">
      <c r="A89" s="1">
        <v>85</v>
      </c>
      <c r="B89" s="44">
        <v>43630</v>
      </c>
      <c r="C89" s="45">
        <f t="shared" si="32"/>
        <v>0.093539405759941005</v>
      </c>
      <c r="D89" s="3">
        <f t="shared" si="33"/>
        <v>0.093539405759941005</v>
      </c>
      <c r="E89" s="46">
        <f t="shared" si="34"/>
        <v>0</v>
      </c>
      <c r="F89" s="46">
        <f t="shared" si="35"/>
        <v>35.435036473367099</v>
      </c>
      <c r="G89" s="46">
        <f t="shared" si="36"/>
        <v>100</v>
      </c>
      <c r="H89" s="46">
        <f t="shared" si="37"/>
        <v>0.26397434592806202</v>
      </c>
      <c r="I89" s="47">
        <f t="shared" si="38"/>
        <v>0</v>
      </c>
      <c r="J89" s="47">
        <f t="shared" si="39"/>
        <v>38.939600520183603</v>
      </c>
      <c r="K89" s="48">
        <f t="shared" si="40"/>
        <v>0</v>
      </c>
      <c r="L89" s="7">
        <f t="shared" si="41"/>
        <v>0.093539405759941005</v>
      </c>
      <c r="M89" s="7">
        <f t="shared" si="42"/>
        <v>0</v>
      </c>
      <c r="N89" s="7">
        <f t="shared" si="43"/>
        <v>0</v>
      </c>
      <c r="O89" s="7">
        <f t="shared" si="44"/>
        <v>0.093539405759941005</v>
      </c>
      <c r="P89" s="49">
        <f t="shared" si="45"/>
        <v>38.8368099644035</v>
      </c>
      <c r="Q89" s="54">
        <f t="shared" si="47"/>
        <v>1631.75234467526</v>
      </c>
      <c r="R89" s="55">
        <f t="shared" si="46"/>
        <v>55.869102164361799</v>
      </c>
    </row>
    <row r="90" ht="12.800000000000001">
      <c r="A90" s="1">
        <v>86</v>
      </c>
      <c r="B90" s="44">
        <v>43631</v>
      </c>
      <c r="C90" s="45">
        <f t="shared" si="32"/>
        <v>0.066020153652942795</v>
      </c>
      <c r="D90" s="3">
        <f t="shared" si="33"/>
        <v>0.066020153652942795</v>
      </c>
      <c r="E90" s="46">
        <f t="shared" si="34"/>
        <v>0</v>
      </c>
      <c r="F90" s="46">
        <f t="shared" si="35"/>
        <v>35.462705656568097</v>
      </c>
      <c r="G90" s="46">
        <f t="shared" si="36"/>
        <v>100</v>
      </c>
      <c r="H90" s="46">
        <f t="shared" si="37"/>
        <v>0.186167841484805</v>
      </c>
      <c r="I90" s="47">
        <f t="shared" si="38"/>
        <v>0</v>
      </c>
      <c r="J90" s="47">
        <f t="shared" si="39"/>
        <v>38.970006216008898</v>
      </c>
      <c r="K90" s="48">
        <f t="shared" si="40"/>
        <v>0</v>
      </c>
      <c r="L90" s="7">
        <f t="shared" si="41"/>
        <v>0.066020153652942795</v>
      </c>
      <c r="M90" s="7">
        <f t="shared" si="42"/>
        <v>0</v>
      </c>
      <c r="N90" s="7">
        <f t="shared" si="43"/>
        <v>0</v>
      </c>
      <c r="O90" s="7">
        <f t="shared" si="44"/>
        <v>0.066020153652942795</v>
      </c>
      <c r="P90" s="49">
        <f t="shared" si="45"/>
        <v>38.897456596609999</v>
      </c>
      <c r="Q90" s="54">
        <f t="shared" si="47"/>
        <v>1661.6566883478499</v>
      </c>
      <c r="R90" s="55">
        <f t="shared" si="46"/>
        <v>56.159927599022403</v>
      </c>
    </row>
    <row r="91" ht="12.800000000000001">
      <c r="A91" s="1">
        <v>87</v>
      </c>
      <c r="B91" s="44">
        <v>43632</v>
      </c>
      <c r="C91" s="45">
        <f t="shared" si="32"/>
        <v>0.043275059959388101</v>
      </c>
      <c r="D91" s="3">
        <f t="shared" si="33"/>
        <v>0.043275059959388101</v>
      </c>
      <c r="E91" s="46">
        <f t="shared" si="34"/>
        <v>0</v>
      </c>
      <c r="F91" s="46">
        <f t="shared" si="35"/>
        <v>35.485574670663503</v>
      </c>
      <c r="G91" s="46">
        <f t="shared" si="36"/>
        <v>100</v>
      </c>
      <c r="H91" s="46">
        <f t="shared" si="37"/>
        <v>0.121951131864195</v>
      </c>
      <c r="I91" s="47">
        <f t="shared" si="38"/>
        <v>0</v>
      </c>
      <c r="J91" s="47">
        <f t="shared" si="39"/>
        <v>38.995137000729102</v>
      </c>
      <c r="K91" s="48">
        <f t="shared" si="40"/>
        <v>0</v>
      </c>
      <c r="L91" s="7">
        <f t="shared" si="41"/>
        <v>0.043275059959388101</v>
      </c>
      <c r="M91" s="7">
        <f t="shared" si="42"/>
        <v>0</v>
      </c>
      <c r="N91" s="7">
        <f t="shared" si="43"/>
        <v>0</v>
      </c>
      <c r="O91" s="7">
        <f t="shared" si="44"/>
        <v>0.043275059959388101</v>
      </c>
      <c r="P91" s="49">
        <f t="shared" si="45"/>
        <v>38.947581989784702</v>
      </c>
      <c r="Q91" s="54">
        <f t="shared" si="47"/>
        <v>1691.6077299272399</v>
      </c>
      <c r="R91" s="55">
        <f t="shared" si="46"/>
        <v>56.451207179715702</v>
      </c>
    </row>
    <row r="92" ht="12.800000000000001">
      <c r="A92" s="1">
        <v>88</v>
      </c>
      <c r="B92" s="44">
        <v>43633</v>
      </c>
      <c r="C92" s="45">
        <f t="shared" si="32"/>
        <v>0.025310864541424401</v>
      </c>
      <c r="D92" s="3">
        <f t="shared" si="33"/>
        <v>0.025310864541424401</v>
      </c>
      <c r="E92" s="46">
        <f t="shared" si="34"/>
        <v>0</v>
      </c>
      <c r="F92" s="46">
        <f t="shared" si="35"/>
        <v>35.503636739070899</v>
      </c>
      <c r="G92" s="46">
        <f t="shared" si="36"/>
        <v>100</v>
      </c>
      <c r="H92" s="46">
        <f t="shared" si="37"/>
        <v>0.0712909066962438</v>
      </c>
      <c r="I92" s="47">
        <f t="shared" si="38"/>
        <v>0</v>
      </c>
      <c r="J92" s="47">
        <f t="shared" si="39"/>
        <v>39.014985427550499</v>
      </c>
      <c r="K92" s="48">
        <f t="shared" si="40"/>
        <v>0</v>
      </c>
      <c r="L92" s="7">
        <f t="shared" si="41"/>
        <v>0.025310864541424401</v>
      </c>
      <c r="M92" s="7">
        <f t="shared" si="42"/>
        <v>0</v>
      </c>
      <c r="N92" s="7">
        <f t="shared" si="43"/>
        <v>0</v>
      </c>
      <c r="O92" s="7">
        <f t="shared" si="44"/>
        <v>0.025310864541424401</v>
      </c>
      <c r="P92" s="49">
        <f t="shared" si="45"/>
        <v>38.987171290691798</v>
      </c>
      <c r="Q92" s="54">
        <f t="shared" si="47"/>
        <v>1721.59736805938</v>
      </c>
      <c r="R92" s="55">
        <f t="shared" si="46"/>
        <v>56.742862119231503</v>
      </c>
    </row>
    <row r="93" ht="12.800000000000001">
      <c r="A93" s="1">
        <v>89</v>
      </c>
      <c r="B93" s="44">
        <v>43634</v>
      </c>
      <c r="C93" s="45">
        <f t="shared" si="32"/>
        <v>0.012132890577852599</v>
      </c>
      <c r="D93" s="3">
        <f t="shared" si="33"/>
        <v>0.012132890577852599</v>
      </c>
      <c r="E93" s="46">
        <f t="shared" si="34"/>
        <v>0</v>
      </c>
      <c r="F93" s="46">
        <f t="shared" si="35"/>
        <v>35.516886509609698</v>
      </c>
      <c r="G93" s="46">
        <f t="shared" si="36"/>
        <v>100</v>
      </c>
      <c r="H93" s="46">
        <f t="shared" si="37"/>
        <v>0.034160907022550702</v>
      </c>
      <c r="I93" s="47">
        <f t="shared" si="38"/>
        <v>0</v>
      </c>
      <c r="J93" s="47">
        <f t="shared" si="39"/>
        <v>39.029545614955701</v>
      </c>
      <c r="K93" s="48">
        <f t="shared" si="40"/>
        <v>0</v>
      </c>
      <c r="L93" s="7">
        <f t="shared" si="41"/>
        <v>0.012132890577852599</v>
      </c>
      <c r="M93" s="7">
        <f t="shared" si="42"/>
        <v>0</v>
      </c>
      <c r="N93" s="7">
        <f t="shared" si="43"/>
        <v>0</v>
      </c>
      <c r="O93" s="7">
        <f t="shared" si="44"/>
        <v>0.012132890577852599</v>
      </c>
      <c r="P93" s="49">
        <f t="shared" si="45"/>
        <v>39.016212768166803</v>
      </c>
      <c r="Q93" s="54">
        <f t="shared" si="47"/>
        <v>1751.61748995321</v>
      </c>
      <c r="R93" s="55">
        <f t="shared" si="46"/>
        <v>57.034813519132598</v>
      </c>
    </row>
    <row r="94" ht="12.800000000000001">
      <c r="A94" s="1">
        <v>90</v>
      </c>
      <c r="B94" s="44">
        <v>43635</v>
      </c>
      <c r="C94" s="45">
        <f t="shared" si="32"/>
        <v>0.0037450429867611499</v>
      </c>
      <c r="D94" s="3">
        <f t="shared" si="33"/>
        <v>0.0037450429867611499</v>
      </c>
      <c r="E94" s="46">
        <f t="shared" si="34"/>
        <v>0</v>
      </c>
      <c r="F94" s="46">
        <f t="shared" si="35"/>
        <v>35.525320056086798</v>
      </c>
      <c r="G94" s="46">
        <f t="shared" si="36"/>
        <v>100</v>
      </c>
      <c r="H94" s="46">
        <f t="shared" si="37"/>
        <v>0.010541897950105799</v>
      </c>
      <c r="I94" s="47">
        <f t="shared" si="38"/>
        <v>0</v>
      </c>
      <c r="J94" s="47">
        <f t="shared" si="39"/>
        <v>39.038813248446999</v>
      </c>
      <c r="K94" s="48">
        <f t="shared" si="40"/>
        <v>0</v>
      </c>
      <c r="L94" s="7">
        <f t="shared" si="41"/>
        <v>0.0037450429867611499</v>
      </c>
      <c r="M94" s="7">
        <f t="shared" si="42"/>
        <v>0</v>
      </c>
      <c r="N94" s="7">
        <f t="shared" si="43"/>
        <v>0</v>
      </c>
      <c r="O94" s="7">
        <f t="shared" si="44"/>
        <v>0.0037450429867611499</v>
      </c>
      <c r="P94" s="49">
        <f t="shared" si="45"/>
        <v>39.0346978165934</v>
      </c>
      <c r="Q94" s="54">
        <f t="shared" si="47"/>
        <v>1781.6599737847</v>
      </c>
      <c r="R94" s="55">
        <f t="shared" si="46"/>
        <v>57.326982393134102</v>
      </c>
    </row>
    <row r="95" ht="12.800000000000001">
      <c r="A95" s="1">
        <v>91</v>
      </c>
      <c r="B95" s="44">
        <v>43636</v>
      </c>
      <c r="C95" s="45">
        <f t="shared" si="32"/>
        <v>0.00014980726841784501</v>
      </c>
      <c r="D95" s="3">
        <f t="shared" si="33"/>
        <v>0.00014980726841784501</v>
      </c>
      <c r="E95" s="46">
        <f t="shared" si="34"/>
        <v>0</v>
      </c>
      <c r="F95" s="46">
        <f t="shared" si="35"/>
        <v>35.528934879460401</v>
      </c>
      <c r="G95" s="46">
        <f t="shared" si="36"/>
        <v>100</v>
      </c>
      <c r="H95" s="46">
        <f t="shared" si="37"/>
        <v>0.000421648633504209</v>
      </c>
      <c r="I95" s="47">
        <f t="shared" si="38"/>
        <v>0</v>
      </c>
      <c r="J95" s="47">
        <f t="shared" si="39"/>
        <v>39.042785581824603</v>
      </c>
      <c r="K95" s="48">
        <f t="shared" si="40"/>
        <v>0</v>
      </c>
      <c r="L95" s="7">
        <f t="shared" si="41"/>
        <v>0.00014980726841784501</v>
      </c>
      <c r="M95" s="7">
        <f t="shared" si="42"/>
        <v>0</v>
      </c>
      <c r="N95" s="7">
        <f t="shared" si="43"/>
        <v>0</v>
      </c>
      <c r="O95" s="7">
        <f t="shared" si="44"/>
        <v>0.00014980726841784501</v>
      </c>
      <c r="P95" s="49">
        <f t="shared" si="45"/>
        <v>39.042620958452702</v>
      </c>
      <c r="Q95" s="54">
        <f t="shared" si="47"/>
        <v>1811.7166911034701</v>
      </c>
      <c r="R95" s="55">
        <f t="shared" si="46"/>
        <v>57.6192896905089</v>
      </c>
    </row>
    <row r="96" ht="12.800000000000001">
      <c r="A96" s="1">
        <v>92</v>
      </c>
      <c r="B96" s="44">
        <v>43637</v>
      </c>
      <c r="C96" s="45">
        <f t="shared" si="32"/>
        <v>0.00134824876875328</v>
      </c>
      <c r="D96" s="3">
        <f t="shared" si="33"/>
        <v>0.00134824876875328</v>
      </c>
      <c r="E96" s="46">
        <f t="shared" si="34"/>
        <v>0</v>
      </c>
      <c r="F96" s="46">
        <f t="shared" si="35"/>
        <v>35.527729908580397</v>
      </c>
      <c r="G96" s="46">
        <f t="shared" si="36"/>
        <v>100</v>
      </c>
      <c r="H96" s="46">
        <f t="shared" si="37"/>
        <v>0.00379491955219931</v>
      </c>
      <c r="I96" s="47">
        <f t="shared" si="38"/>
        <v>0</v>
      </c>
      <c r="J96" s="47">
        <f t="shared" si="39"/>
        <v>39.041461438000503</v>
      </c>
      <c r="K96" s="48">
        <f t="shared" si="40"/>
        <v>0</v>
      </c>
      <c r="L96" s="7">
        <f t="shared" si="41"/>
        <v>0.00134824876875328</v>
      </c>
      <c r="M96" s="7">
        <f t="shared" si="42"/>
        <v>0</v>
      </c>
      <c r="N96" s="7">
        <f t="shared" si="43"/>
        <v>0</v>
      </c>
      <c r="O96" s="7">
        <f t="shared" si="44"/>
        <v>0.00134824876875328</v>
      </c>
      <c r="P96" s="49">
        <f t="shared" si="45"/>
        <v>39.039979845946903</v>
      </c>
      <c r="Q96" s="54">
        <f t="shared" si="47"/>
        <v>1841.7795092414799</v>
      </c>
      <c r="R96" s="55">
        <f t="shared" si="46"/>
        <v>57.911656319512097</v>
      </c>
    </row>
    <row r="97" ht="12.800000000000001">
      <c r="A97" s="1">
        <v>93</v>
      </c>
      <c r="B97" s="44">
        <v>43638</v>
      </c>
      <c r="C97" s="45">
        <f t="shared" si="32"/>
        <v>0.0073400123636915299</v>
      </c>
      <c r="D97" s="3">
        <f t="shared" si="33"/>
        <v>0.0073400123636915299</v>
      </c>
      <c r="E97" s="46">
        <f t="shared" si="34"/>
        <v>0</v>
      </c>
      <c r="F97" s="46">
        <f t="shared" si="35"/>
        <v>35.521705500505597</v>
      </c>
      <c r="G97" s="46">
        <f t="shared" si="36"/>
        <v>100</v>
      </c>
      <c r="H97" s="46">
        <f t="shared" si="37"/>
        <v>0.020663457061730998</v>
      </c>
      <c r="I97" s="47">
        <f t="shared" si="38"/>
        <v>0</v>
      </c>
      <c r="J97" s="47">
        <f t="shared" si="39"/>
        <v>39.034841209346901</v>
      </c>
      <c r="K97" s="48">
        <f t="shared" si="40"/>
        <v>0</v>
      </c>
      <c r="L97" s="7">
        <f t="shared" si="41"/>
        <v>0.0073400123636915299</v>
      </c>
      <c r="M97" s="7">
        <f t="shared" si="42"/>
        <v>0</v>
      </c>
      <c r="N97" s="7">
        <f t="shared" si="43"/>
        <v>0</v>
      </c>
      <c r="O97" s="7">
        <f t="shared" si="44"/>
        <v>0.0073400123636915299</v>
      </c>
      <c r="P97" s="49">
        <f t="shared" si="45"/>
        <v>39.026775261694503</v>
      </c>
      <c r="Q97" s="54">
        <f t="shared" si="47"/>
        <v>1871.84029372286</v>
      </c>
      <c r="R97" s="55">
        <f t="shared" si="46"/>
        <v>58.204003170817401</v>
      </c>
    </row>
    <row r="98" ht="12.800000000000001">
      <c r="A98" s="1">
        <v>94</v>
      </c>
      <c r="B98" s="44">
        <v>43639</v>
      </c>
      <c r="C98" s="45">
        <f t="shared" si="32"/>
        <v>0.018123322564360202</v>
      </c>
      <c r="D98" s="3">
        <f t="shared" si="33"/>
        <v>0.018123322564360202</v>
      </c>
      <c r="E98" s="46">
        <f t="shared" si="34"/>
        <v>0</v>
      </c>
      <c r="F98" s="46">
        <f t="shared" si="35"/>
        <v>35.510863440398197</v>
      </c>
      <c r="G98" s="46">
        <f t="shared" si="36"/>
        <v>100</v>
      </c>
      <c r="H98" s="46">
        <f t="shared" si="37"/>
        <v>0.051035995209687303</v>
      </c>
      <c r="I98" s="47">
        <f t="shared" si="38"/>
        <v>0</v>
      </c>
      <c r="J98" s="47">
        <f t="shared" si="39"/>
        <v>39.022926857580501</v>
      </c>
      <c r="K98" s="48">
        <f t="shared" si="40"/>
        <v>0</v>
      </c>
      <c r="L98" s="7">
        <f t="shared" si="41"/>
        <v>0.018123322564360202</v>
      </c>
      <c r="M98" s="7">
        <f t="shared" si="42"/>
        <v>0</v>
      </c>
      <c r="N98" s="7">
        <f t="shared" si="43"/>
        <v>0</v>
      </c>
      <c r="O98" s="7">
        <f t="shared" si="44"/>
        <v>0.018123322564360202</v>
      </c>
      <c r="P98" s="49">
        <f t="shared" si="45"/>
        <v>39.003011118498797</v>
      </c>
      <c r="Q98" s="54">
        <f t="shared" si="47"/>
        <v>1901.8909106743699</v>
      </c>
      <c r="R98" s="55">
        <f t="shared" si="46"/>
        <v>58.496251140959203</v>
      </c>
    </row>
    <row r="99" ht="12.800000000000001">
      <c r="A99" s="1">
        <v>95</v>
      </c>
      <c r="B99" s="44">
        <v>43640</v>
      </c>
      <c r="C99" s="45">
        <f t="shared" si="32"/>
        <v>0.033694984043233199</v>
      </c>
      <c r="D99" s="3">
        <f t="shared" si="33"/>
        <v>0.033694984043233199</v>
      </c>
      <c r="E99" s="46">
        <f t="shared" si="34"/>
        <v>0</v>
      </c>
      <c r="F99" s="46">
        <f t="shared" si="35"/>
        <v>35.495206940994599</v>
      </c>
      <c r="G99" s="46">
        <f t="shared" si="36"/>
        <v>100</v>
      </c>
      <c r="H99" s="46">
        <f t="shared" si="37"/>
        <v>0.094928264819658797</v>
      </c>
      <c r="I99" s="47">
        <f t="shared" si="38"/>
        <v>0</v>
      </c>
      <c r="J99" s="47">
        <f t="shared" si="39"/>
        <v>39.0057219131808</v>
      </c>
      <c r="K99" s="48">
        <f t="shared" si="40"/>
        <v>0</v>
      </c>
      <c r="L99" s="7">
        <f t="shared" si="41"/>
        <v>0.033694984043233199</v>
      </c>
      <c r="M99" s="7">
        <f t="shared" si="42"/>
        <v>0</v>
      </c>
      <c r="N99" s="7">
        <f t="shared" si="43"/>
        <v>0</v>
      </c>
      <c r="O99" s="7">
        <f t="shared" si="44"/>
        <v>0.033694984043233199</v>
      </c>
      <c r="P99" s="49">
        <f t="shared" si="45"/>
        <v>38.968694458188303</v>
      </c>
      <c r="Q99" s="54">
        <f t="shared" si="47"/>
        <v>1931.9232292356101</v>
      </c>
      <c r="R99" s="55">
        <f t="shared" si="46"/>
        <v>58.7883211557726</v>
      </c>
    </row>
    <row r="100" ht="12.800000000000001">
      <c r="A100" s="1">
        <v>96</v>
      </c>
      <c r="B100" s="44">
        <v>43641</v>
      </c>
      <c r="C100" s="45">
        <f t="shared" ref="C100:C163" si="48">V$30-V$30*SIN(2*PI()/365*A100)</f>
        <v>0.054050382580939499</v>
      </c>
      <c r="D100" s="3">
        <f t="shared" ref="D100:D163" si="49">IF((E100+F100)&gt;C100,C100,E100+F100)</f>
        <v>0.054050382580939499</v>
      </c>
      <c r="E100" s="46">
        <f t="shared" ref="E100:E163" si="50">(V$27+V$28*SIN(2*PI()/365*A100))*V$29/100*V$9*V$10/100</f>
        <v>0</v>
      </c>
      <c r="F100" s="46">
        <f t="shared" ref="F100:F163" si="51">(V$27+V$28*SIN(2*PI()/365*A100))*V$29/100*V$11*(1-V$18/100)*(1-V$20/100)</f>
        <v>35.474740641653298</v>
      </c>
      <c r="G100" s="46">
        <f t="shared" ref="G100:G163" si="52">IF(C100&gt;E100,100,C100/E100*100)</f>
        <v>100</v>
      </c>
      <c r="H100" s="46">
        <f t="shared" ref="H100:H163" si="53">L100/F100*100</f>
        <v>0.152363009857992</v>
      </c>
      <c r="I100" s="47">
        <f t="shared" ref="I100:I163" si="54">(V$27+V$28*SIN(2*PI()/365*A100))*V$29/100*V$9*V$10/100*(1-V$19/100)</f>
        <v>0</v>
      </c>
      <c r="J100" s="47">
        <f t="shared" ref="J100:J163" si="55">(V$27+V$28*SIN(2*PI()/365*A100))*V$29/100*V$11*(1-V$18/100)</f>
        <v>38.983231474344301</v>
      </c>
      <c r="K100" s="48">
        <f t="shared" ref="K100:K163" si="56">IF(E100/C100*100&lt;100,E100/C100*100,100)</f>
        <v>0</v>
      </c>
      <c r="L100" s="7">
        <f t="shared" ref="L100:L163" si="57">IF(((C100-E100)&gt;0)AND(F100&gt;(C100-E100)),(C100-E100),IF(C100&lt;E100,0,F100))</f>
        <v>0.054050382580939499</v>
      </c>
      <c r="M100" s="7">
        <f t="shared" ref="M100:M163" si="58">IF(C100&lt;(E100+F100),0,C100-E100-F100)</f>
        <v>0</v>
      </c>
      <c r="N100" s="7">
        <f t="shared" ref="N100:N163" si="59">IF(C100&lt;(E100+F100),0,(C100-E100-F100)/(1-V$20/100))</f>
        <v>0</v>
      </c>
      <c r="O100" s="7">
        <f t="shared" ref="O100:O163" si="60">L100+M100</f>
        <v>0.054050382580939499</v>
      </c>
      <c r="P100" s="49">
        <f t="shared" ref="P100:P163" si="61">IF( N100=0,I100*(1-G100/100)+J100*(1-H100/100),-N100)</f>
        <v>38.923835449530102</v>
      </c>
      <c r="Q100" s="54">
        <f t="shared" si="47"/>
        <v>1961.9291239684201</v>
      </c>
      <c r="R100" s="55">
        <f t="shared" ref="R100:R163" si="62">R$4+Q100/V$32</f>
        <v>59.080134193824499</v>
      </c>
    </row>
    <row r="101" ht="12.800000000000001">
      <c r="A101" s="1">
        <v>97</v>
      </c>
      <c r="B101" s="44">
        <v>43642</v>
      </c>
      <c r="C101" s="45">
        <f t="shared" si="48"/>
        <v>0.079183486433596101</v>
      </c>
      <c r="D101" s="3">
        <f t="shared" si="49"/>
        <v>0.079183486433596101</v>
      </c>
      <c r="E101" s="46">
        <f t="shared" si="50"/>
        <v>0</v>
      </c>
      <c r="F101" s="46">
        <f t="shared" si="51"/>
        <v>35.449470606980697</v>
      </c>
      <c r="G101" s="46">
        <f t="shared" si="52"/>
        <v>100</v>
      </c>
      <c r="H101" s="46">
        <f t="shared" si="53"/>
        <v>0.22337001111097901</v>
      </c>
      <c r="I101" s="47">
        <f t="shared" si="54"/>
        <v>0</v>
      </c>
      <c r="J101" s="47">
        <f t="shared" si="55"/>
        <v>38.955462205473303</v>
      </c>
      <c r="K101" s="48">
        <f t="shared" si="56"/>
        <v>0</v>
      </c>
      <c r="L101" s="7">
        <f t="shared" si="57"/>
        <v>0.079183486433596101</v>
      </c>
      <c r="M101" s="7">
        <f t="shared" si="58"/>
        <v>0</v>
      </c>
      <c r="N101" s="7">
        <f t="shared" si="59"/>
        <v>0</v>
      </c>
      <c r="O101" s="7">
        <f t="shared" si="60"/>
        <v>0.079183486433596101</v>
      </c>
      <c r="P101" s="49">
        <f t="shared" si="61"/>
        <v>38.868447385216598</v>
      </c>
      <c r="Q101" s="54">
        <f t="shared" ref="Q101:Q164" si="63">IF(P100&gt;0,Q100+P100*(1-V$24/100),Q100+P100)</f>
        <v>1991.9004772645501</v>
      </c>
      <c r="R101" s="55">
        <f t="shared" si="62"/>
        <v>59.371611309829603</v>
      </c>
    </row>
    <row r="102" ht="12.800000000000001">
      <c r="A102" s="1">
        <v>98</v>
      </c>
      <c r="B102" s="44">
        <v>43643</v>
      </c>
      <c r="C102" s="45">
        <f t="shared" si="48"/>
        <v>0.10908684812010699</v>
      </c>
      <c r="D102" s="3">
        <f t="shared" si="49"/>
        <v>0.10908684812010699</v>
      </c>
      <c r="E102" s="46">
        <f t="shared" si="50"/>
        <v>0</v>
      </c>
      <c r="F102" s="46">
        <f t="shared" si="51"/>
        <v>35.419404325033398</v>
      </c>
      <c r="G102" s="46">
        <f t="shared" si="52"/>
        <v>100</v>
      </c>
      <c r="H102" s="46">
        <f t="shared" si="53"/>
        <v>0.307986117211485</v>
      </c>
      <c r="I102" s="47">
        <f t="shared" si="54"/>
        <v>0</v>
      </c>
      <c r="J102" s="47">
        <f t="shared" si="55"/>
        <v>38.922422335201503</v>
      </c>
      <c r="K102" s="48">
        <f t="shared" si="56"/>
        <v>0</v>
      </c>
      <c r="L102" s="7">
        <f t="shared" si="57"/>
        <v>0.10908684812010699</v>
      </c>
      <c r="M102" s="7">
        <f t="shared" si="58"/>
        <v>0</v>
      </c>
      <c r="N102" s="7">
        <f t="shared" si="59"/>
        <v>0</v>
      </c>
      <c r="O102" s="7">
        <f t="shared" si="60"/>
        <v>0.10908684812010699</v>
      </c>
      <c r="P102" s="49">
        <f t="shared" si="61"/>
        <v>38.802546677926699</v>
      </c>
      <c r="Q102" s="54">
        <f t="shared" si="63"/>
        <v>2021.8291817511699</v>
      </c>
      <c r="R102" s="55">
        <f t="shared" si="62"/>
        <v>59.662673658043801</v>
      </c>
    </row>
    <row r="103" ht="12.800000000000001">
      <c r="A103" s="1">
        <v>99</v>
      </c>
      <c r="B103" s="44">
        <v>43644</v>
      </c>
      <c r="C103" s="45">
        <f t="shared" si="48"/>
        <v>0.14375160662904199</v>
      </c>
      <c r="D103" s="3">
        <f t="shared" si="49"/>
        <v>0.14375160662904199</v>
      </c>
      <c r="E103" s="46">
        <f t="shared" si="50"/>
        <v>0</v>
      </c>
      <c r="F103" s="46">
        <f t="shared" si="51"/>
        <v>35.3845507050995</v>
      </c>
      <c r="G103" s="46">
        <f t="shared" si="52"/>
        <v>100</v>
      </c>
      <c r="H103" s="46">
        <f t="shared" si="53"/>
        <v>0.40625528306715197</v>
      </c>
      <c r="I103" s="47">
        <f t="shared" si="54"/>
        <v>0</v>
      </c>
      <c r="J103" s="47">
        <f t="shared" si="55"/>
        <v>38.884121653955503</v>
      </c>
      <c r="K103" s="48">
        <f t="shared" si="56"/>
        <v>0</v>
      </c>
      <c r="L103" s="7">
        <f t="shared" si="57"/>
        <v>0.14375160662904199</v>
      </c>
      <c r="M103" s="7">
        <f t="shared" si="58"/>
        <v>0</v>
      </c>
      <c r="N103" s="7">
        <f t="shared" si="59"/>
        <v>0</v>
      </c>
      <c r="O103" s="7">
        <f t="shared" si="60"/>
        <v>0.14375160662904199</v>
      </c>
      <c r="P103" s="49">
        <f t="shared" si="61"/>
        <v>38.726152855462097</v>
      </c>
      <c r="Q103" s="54">
        <f t="shared" si="63"/>
        <v>2051.7071426931702</v>
      </c>
      <c r="R103" s="55">
        <f t="shared" si="62"/>
        <v>59.953242515627302</v>
      </c>
    </row>
    <row r="104" ht="12.800000000000001">
      <c r="A104" s="1">
        <v>100</v>
      </c>
      <c r="B104" s="44">
        <v>43645</v>
      </c>
      <c r="C104" s="45">
        <f t="shared" si="48"/>
        <v>0.18316749004433</v>
      </c>
      <c r="D104" s="3">
        <f t="shared" si="49"/>
        <v>0.18316749004433</v>
      </c>
      <c r="E104" s="46">
        <f t="shared" si="50"/>
        <v>0</v>
      </c>
      <c r="F104" s="46">
        <f t="shared" si="51"/>
        <v>35.344920075059001</v>
      </c>
      <c r="G104" s="46">
        <f t="shared" si="52"/>
        <v>100</v>
      </c>
      <c r="H104" s="46">
        <f t="shared" si="53"/>
        <v>0.51822861575398305</v>
      </c>
      <c r="I104" s="47">
        <f t="shared" si="54"/>
        <v>0</v>
      </c>
      <c r="J104" s="47">
        <f t="shared" si="55"/>
        <v>38.840571511053803</v>
      </c>
      <c r="K104" s="48">
        <f t="shared" si="56"/>
        <v>0</v>
      </c>
      <c r="L104" s="7">
        <f t="shared" si="57"/>
        <v>0.18316749004433</v>
      </c>
      <c r="M104" s="7">
        <f t="shared" si="58"/>
        <v>0</v>
      </c>
      <c r="N104" s="7">
        <f t="shared" si="59"/>
        <v>0</v>
      </c>
      <c r="O104" s="7">
        <f t="shared" si="60"/>
        <v>0.18316749004433</v>
      </c>
      <c r="P104" s="49">
        <f t="shared" si="61"/>
        <v>38.639288554961098</v>
      </c>
      <c r="Q104" s="54">
        <f t="shared" si="63"/>
        <v>2081.5262803918799</v>
      </c>
      <c r="R104" s="55">
        <f t="shared" si="62"/>
        <v>60.243239305972402</v>
      </c>
    </row>
    <row r="105" ht="12.800000000000001">
      <c r="A105" s="1">
        <v>101</v>
      </c>
      <c r="B105" s="44">
        <v>43646</v>
      </c>
      <c r="C105" s="45">
        <f t="shared" si="48"/>
        <v>0.22732281858904499</v>
      </c>
      <c r="D105" s="3">
        <f t="shared" si="49"/>
        <v>0.22732281858904499</v>
      </c>
      <c r="E105" s="46">
        <f t="shared" si="50"/>
        <v>0</v>
      </c>
      <c r="F105" s="46">
        <f t="shared" si="51"/>
        <v>35.300524178322597</v>
      </c>
      <c r="G105" s="46">
        <f t="shared" si="52"/>
        <v>100</v>
      </c>
      <c r="H105" s="46">
        <f t="shared" si="53"/>
        <v>0.64396442795214703</v>
      </c>
      <c r="I105" s="47">
        <f t="shared" si="54"/>
        <v>0</v>
      </c>
      <c r="J105" s="47">
        <f t="shared" si="55"/>
        <v>38.791784811343597</v>
      </c>
      <c r="K105" s="48">
        <f t="shared" si="56"/>
        <v>0</v>
      </c>
      <c r="L105" s="7">
        <f t="shared" si="57"/>
        <v>0.22732281858904499</v>
      </c>
      <c r="M105" s="7">
        <f t="shared" si="58"/>
        <v>0</v>
      </c>
      <c r="N105" s="7">
        <f t="shared" si="59"/>
        <v>0</v>
      </c>
      <c r="O105" s="7">
        <f t="shared" si="60"/>
        <v>0.22732281858904499</v>
      </c>
      <c r="P105" s="49">
        <f t="shared" si="61"/>
        <v>38.5419795161908</v>
      </c>
      <c r="Q105" s="54">
        <f t="shared" si="63"/>
        <v>2111.2785325792001</v>
      </c>
      <c r="R105" s="55">
        <f t="shared" si="62"/>
        <v>60.532585621987202</v>
      </c>
    </row>
    <row r="106" ht="12.800000000000001">
      <c r="A106" s="1">
        <v>102</v>
      </c>
      <c r="B106" s="44">
        <v>43647</v>
      </c>
      <c r="C106" s="45">
        <f t="shared" si="48"/>
        <v>0.27620450808639202</v>
      </c>
      <c r="D106" s="3">
        <f t="shared" si="49"/>
        <v>0.27620450808639202</v>
      </c>
      <c r="E106" s="46">
        <f t="shared" si="50"/>
        <v>0</v>
      </c>
      <c r="F106" s="46">
        <f t="shared" si="51"/>
        <v>35.251376170352898</v>
      </c>
      <c r="G106" s="46">
        <f t="shared" si="52"/>
        <v>100</v>
      </c>
      <c r="H106" s="46">
        <f t="shared" si="53"/>
        <v>0.78352829901343202</v>
      </c>
      <c r="I106" s="47">
        <f t="shared" si="54"/>
        <v>0</v>
      </c>
      <c r="J106" s="47">
        <f t="shared" si="55"/>
        <v>38.737776011376802</v>
      </c>
      <c r="K106" s="48">
        <f t="shared" si="56"/>
        <v>0</v>
      </c>
      <c r="L106" s="7">
        <f t="shared" si="57"/>
        <v>0.27620450808639202</v>
      </c>
      <c r="M106" s="7">
        <f t="shared" si="58"/>
        <v>0</v>
      </c>
      <c r="N106" s="7">
        <f t="shared" si="59"/>
        <v>0</v>
      </c>
      <c r="O106" s="7">
        <f t="shared" si="60"/>
        <v>0.27620450808639202</v>
      </c>
      <c r="P106" s="49">
        <f t="shared" si="61"/>
        <v>38.434254573919297</v>
      </c>
      <c r="Q106" s="54">
        <f t="shared" si="63"/>
        <v>2140.95585680667</v>
      </c>
      <c r="R106" s="55">
        <f t="shared" si="62"/>
        <v>60.821203249329599</v>
      </c>
    </row>
    <row r="107" ht="12.800000000000001">
      <c r="A107" s="1">
        <v>103</v>
      </c>
      <c r="B107" s="44">
        <v>43648</v>
      </c>
      <c r="C107" s="45">
        <f t="shared" si="48"/>
        <v>0.32979807383682103</v>
      </c>
      <c r="D107" s="3">
        <f t="shared" si="49"/>
        <v>0.32979807383682103</v>
      </c>
      <c r="E107" s="46">
        <f t="shared" si="50"/>
        <v>0</v>
      </c>
      <c r="F107" s="46">
        <f t="shared" si="51"/>
        <v>35.1974906147653</v>
      </c>
      <c r="G107" s="46">
        <f t="shared" si="52"/>
        <v>100</v>
      </c>
      <c r="H107" s="46">
        <f t="shared" si="53"/>
        <v>0.93699314376256104</v>
      </c>
      <c r="I107" s="47">
        <f t="shared" si="54"/>
        <v>0</v>
      </c>
      <c r="J107" s="47">
        <f t="shared" si="55"/>
        <v>38.678561115126698</v>
      </c>
      <c r="K107" s="48">
        <f t="shared" si="56"/>
        <v>0</v>
      </c>
      <c r="L107" s="7">
        <f t="shared" si="57"/>
        <v>0.32979807383682103</v>
      </c>
      <c r="M107" s="7">
        <f t="shared" si="58"/>
        <v>0</v>
      </c>
      <c r="N107" s="7">
        <f t="shared" si="59"/>
        <v>0</v>
      </c>
      <c r="O107" s="7">
        <f t="shared" si="60"/>
        <v>0.32979807383682103</v>
      </c>
      <c r="P107" s="49">
        <f t="shared" si="61"/>
        <v>38.316145649371897</v>
      </c>
      <c r="Q107" s="54">
        <f t="shared" si="63"/>
        <v>2170.5502328285802</v>
      </c>
      <c r="R107" s="55">
        <f t="shared" si="62"/>
        <v>61.109014189583398</v>
      </c>
    </row>
    <row r="108" ht="12.800000000000001">
      <c r="A108" s="1">
        <v>104</v>
      </c>
      <c r="B108" s="44">
        <v>43649</v>
      </c>
      <c r="C108" s="45">
        <f t="shared" si="48"/>
        <v>0.38808763491015302</v>
      </c>
      <c r="D108" s="3">
        <f t="shared" si="49"/>
        <v>0.38808763491015302</v>
      </c>
      <c r="E108" s="46">
        <f t="shared" si="50"/>
        <v>0</v>
      </c>
      <c r="F108" s="46">
        <f t="shared" si="51"/>
        <v>35.138883479012797</v>
      </c>
      <c r="G108" s="46">
        <f t="shared" si="52"/>
        <v>100</v>
      </c>
      <c r="H108" s="46">
        <f t="shared" si="53"/>
        <v>1.1044392891479999</v>
      </c>
      <c r="I108" s="47">
        <f t="shared" si="54"/>
        <v>0</v>
      </c>
      <c r="J108" s="47">
        <f t="shared" si="55"/>
        <v>38.614157669244797</v>
      </c>
      <c r="K108" s="48">
        <f t="shared" si="56"/>
        <v>0</v>
      </c>
      <c r="L108" s="7">
        <f t="shared" si="57"/>
        <v>0.38808763491015302</v>
      </c>
      <c r="M108" s="7">
        <f t="shared" si="58"/>
        <v>0</v>
      </c>
      <c r="N108" s="7">
        <f t="shared" si="59"/>
        <v>0</v>
      </c>
      <c r="O108" s="7">
        <f t="shared" si="60"/>
        <v>0.38808763491015302</v>
      </c>
      <c r="P108" s="49">
        <f t="shared" si="61"/>
        <v>38.187687740772098</v>
      </c>
      <c r="Q108" s="54">
        <f t="shared" si="63"/>
        <v>2200.0536649786</v>
      </c>
      <c r="R108" s="55">
        <f t="shared" si="62"/>
        <v>61.3959406833714</v>
      </c>
    </row>
    <row r="109" ht="12.800000000000001">
      <c r="A109" s="1">
        <v>105</v>
      </c>
      <c r="B109" s="44">
        <v>43650</v>
      </c>
      <c r="C109" s="45">
        <f t="shared" si="48"/>
        <v>0.45105591885145402</v>
      </c>
      <c r="D109" s="3">
        <f t="shared" si="49"/>
        <v>0.45105591885145402</v>
      </c>
      <c r="E109" s="46">
        <f t="shared" si="50"/>
        <v>0</v>
      </c>
      <c r="F109" s="46">
        <f t="shared" si="51"/>
        <v>35.075572129654603</v>
      </c>
      <c r="G109" s="46">
        <f t="shared" si="52"/>
        <v>100</v>
      </c>
      <c r="H109" s="46">
        <f t="shared" si="53"/>
        <v>1.28595455887121</v>
      </c>
      <c r="I109" s="47">
        <f t="shared" si="54"/>
        <v>0</v>
      </c>
      <c r="J109" s="47">
        <f t="shared" si="55"/>
        <v>38.544584757862197</v>
      </c>
      <c r="K109" s="48">
        <f t="shared" si="56"/>
        <v>0</v>
      </c>
      <c r="L109" s="7">
        <f t="shared" si="57"/>
        <v>0.45105591885145402</v>
      </c>
      <c r="M109" s="7">
        <f t="shared" si="58"/>
        <v>0</v>
      </c>
      <c r="N109" s="7">
        <f t="shared" si="59"/>
        <v>0</v>
      </c>
      <c r="O109" s="7">
        <f t="shared" si="60"/>
        <v>0.45105591885145402</v>
      </c>
      <c r="P109" s="49">
        <f t="shared" si="61"/>
        <v>38.0489189129704</v>
      </c>
      <c r="Q109" s="54">
        <f t="shared" si="63"/>
        <v>2229.4581845389998</v>
      </c>
      <c r="R109" s="55">
        <f t="shared" si="62"/>
        <v>61.681905233396797</v>
      </c>
    </row>
    <row r="110" ht="12.800000000000001">
      <c r="A110" s="1">
        <v>106</v>
      </c>
      <c r="B110" s="44">
        <v>43651</v>
      </c>
      <c r="C110" s="45">
        <f t="shared" si="48"/>
        <v>0.51868426679922097</v>
      </c>
      <c r="D110" s="3">
        <f t="shared" si="49"/>
        <v>0.51868426679922097</v>
      </c>
      <c r="E110" s="46">
        <f t="shared" si="50"/>
        <v>0</v>
      </c>
      <c r="F110" s="46">
        <f t="shared" si="51"/>
        <v>35.0075753272098</v>
      </c>
      <c r="G110" s="46">
        <f t="shared" si="52"/>
        <v>100</v>
      </c>
      <c r="H110" s="46">
        <f t="shared" si="53"/>
        <v>1.48163436613695</v>
      </c>
      <c r="I110" s="47">
        <f t="shared" si="54"/>
        <v>0</v>
      </c>
      <c r="J110" s="47">
        <f t="shared" si="55"/>
        <v>38.469862996933898</v>
      </c>
      <c r="K110" s="48">
        <f t="shared" si="56"/>
        <v>0</v>
      </c>
      <c r="L110" s="7">
        <f t="shared" si="57"/>
        <v>0.51868426679922097</v>
      </c>
      <c r="M110" s="7">
        <f t="shared" si="58"/>
        <v>0</v>
      </c>
      <c r="N110" s="7">
        <f t="shared" si="59"/>
        <v>0</v>
      </c>
      <c r="O110" s="7">
        <f t="shared" si="60"/>
        <v>0.51868426679922097</v>
      </c>
      <c r="P110" s="49">
        <f t="shared" si="61"/>
        <v>37.899880286165498</v>
      </c>
      <c r="Q110" s="54">
        <f t="shared" si="63"/>
        <v>2258.7558521019801</v>
      </c>
      <c r="R110" s="55">
        <f t="shared" si="62"/>
        <v>61.966830627407496</v>
      </c>
    </row>
    <row r="111" ht="12.800000000000001">
      <c r="A111" s="1">
        <v>107</v>
      </c>
      <c r="B111" s="44">
        <v>43652</v>
      </c>
      <c r="C111" s="45">
        <f t="shared" si="48"/>
        <v>0.59095263901442197</v>
      </c>
      <c r="D111" s="3">
        <f t="shared" si="49"/>
        <v>0.59095263901442197</v>
      </c>
      <c r="E111" s="46">
        <f t="shared" si="50"/>
        <v>0</v>
      </c>
      <c r="F111" s="46">
        <f t="shared" si="51"/>
        <v>34.934913220598702</v>
      </c>
      <c r="G111" s="46">
        <f t="shared" si="52"/>
        <v>100</v>
      </c>
      <c r="H111" s="46">
        <f t="shared" si="53"/>
        <v>1.69158181468153</v>
      </c>
      <c r="I111" s="47">
        <f t="shared" si="54"/>
        <v>0</v>
      </c>
      <c r="J111" s="47">
        <f t="shared" si="55"/>
        <v>38.390014528130401</v>
      </c>
      <c r="K111" s="48">
        <f t="shared" si="56"/>
        <v>0</v>
      </c>
      <c r="L111" s="7">
        <f t="shared" si="57"/>
        <v>0.59095263901442197</v>
      </c>
      <c r="M111" s="7">
        <f t="shared" si="58"/>
        <v>0</v>
      </c>
      <c r="N111" s="7">
        <f t="shared" si="59"/>
        <v>0</v>
      </c>
      <c r="O111" s="7">
        <f t="shared" si="60"/>
        <v>0.59095263901442197</v>
      </c>
      <c r="P111" s="49">
        <f t="shared" si="61"/>
        <v>37.740616023718999</v>
      </c>
      <c r="Q111" s="54">
        <f t="shared" si="63"/>
        <v>2287.9387599223301</v>
      </c>
      <c r="R111" s="55">
        <f t="shared" si="62"/>
        <v>62.250639961075997</v>
      </c>
    </row>
    <row r="112" ht="12.800000000000001">
      <c r="A112" s="1">
        <v>108</v>
      </c>
      <c r="B112" s="44">
        <v>43653</v>
      </c>
      <c r="C112" s="45">
        <f t="shared" si="48"/>
        <v>0.66783962081868797</v>
      </c>
      <c r="D112" s="3">
        <f t="shared" si="49"/>
        <v>0.66783962081868797</v>
      </c>
      <c r="E112" s="46">
        <f t="shared" si="50"/>
        <v>0</v>
      </c>
      <c r="F112" s="46">
        <f t="shared" si="51"/>
        <v>34.857607341171402</v>
      </c>
      <c r="G112" s="46">
        <f t="shared" si="52"/>
        <v>100</v>
      </c>
      <c r="H112" s="46">
        <f t="shared" si="53"/>
        <v>1.9159078082501699</v>
      </c>
      <c r="I112" s="47">
        <f t="shared" si="54"/>
        <v>0</v>
      </c>
      <c r="J112" s="47">
        <f t="shared" si="55"/>
        <v>38.3050630122763</v>
      </c>
      <c r="K112" s="48">
        <f t="shared" si="56"/>
        <v>0</v>
      </c>
      <c r="L112" s="7">
        <f t="shared" si="57"/>
        <v>0.66783962081868797</v>
      </c>
      <c r="M112" s="7">
        <f t="shared" si="58"/>
        <v>0</v>
      </c>
      <c r="N112" s="7">
        <f t="shared" si="59"/>
        <v>0</v>
      </c>
      <c r="O112" s="7">
        <f t="shared" si="60"/>
        <v>0.66783962081868797</v>
      </c>
      <c r="P112" s="49">
        <f t="shared" si="61"/>
        <v>37.571173319068897</v>
      </c>
      <c r="Q112" s="54">
        <f t="shared" si="63"/>
        <v>2316.9990342605902</v>
      </c>
      <c r="R112" s="55">
        <f t="shared" si="62"/>
        <v>62.533256660787302</v>
      </c>
    </row>
    <row r="113" ht="12.800000000000001">
      <c r="A113" s="1">
        <v>109</v>
      </c>
      <c r="B113" s="44">
        <v>43654</v>
      </c>
      <c r="C113" s="45">
        <f t="shared" si="48"/>
        <v>0.74932242893995105</v>
      </c>
      <c r="D113" s="3">
        <f t="shared" si="49"/>
        <v>0.74932242893995105</v>
      </c>
      <c r="E113" s="46">
        <f t="shared" si="50"/>
        <v>0</v>
      </c>
      <c r="F113" s="46">
        <f t="shared" si="51"/>
        <v>34.775680596328499</v>
      </c>
      <c r="G113" s="46">
        <f t="shared" si="52"/>
        <v>100</v>
      </c>
      <c r="H113" s="46">
        <f t="shared" si="53"/>
        <v>2.1547311687095001</v>
      </c>
      <c r="I113" s="47">
        <f t="shared" si="54"/>
        <v>0</v>
      </c>
      <c r="J113" s="47">
        <f t="shared" si="55"/>
        <v>38.215033622339</v>
      </c>
      <c r="K113" s="48">
        <f t="shared" si="56"/>
        <v>0</v>
      </c>
      <c r="L113" s="7">
        <f t="shared" si="57"/>
        <v>0.74932242893995105</v>
      </c>
      <c r="M113" s="7">
        <f t="shared" si="58"/>
        <v>0</v>
      </c>
      <c r="N113" s="7">
        <f t="shared" si="59"/>
        <v>0</v>
      </c>
      <c r="O113" s="7">
        <f t="shared" si="60"/>
        <v>0.74932242893995105</v>
      </c>
      <c r="P113" s="49">
        <f t="shared" si="61"/>
        <v>37.391602381745699</v>
      </c>
      <c r="Q113" s="54">
        <f t="shared" si="63"/>
        <v>2345.9288377162802</v>
      </c>
      <c r="R113" s="55">
        <f t="shared" si="62"/>
        <v>62.814604506329701</v>
      </c>
    </row>
    <row r="114" ht="12.800000000000001">
      <c r="A114" s="1">
        <v>110</v>
      </c>
      <c r="B114" s="44">
        <v>43655</v>
      </c>
      <c r="C114" s="45">
        <f t="shared" si="48"/>
        <v>0.83537691826362903</v>
      </c>
      <c r="D114" s="3">
        <f t="shared" si="49"/>
        <v>0.83537691826362903</v>
      </c>
      <c r="E114" s="46">
        <f t="shared" si="50"/>
        <v>0</v>
      </c>
      <c r="F114" s="46">
        <f t="shared" si="51"/>
        <v>34.6891572627326</v>
      </c>
      <c r="G114" s="46">
        <f t="shared" si="52"/>
        <v>100</v>
      </c>
      <c r="H114" s="46">
        <f t="shared" si="53"/>
        <v>2.4081787629966298</v>
      </c>
      <c r="I114" s="47">
        <f t="shared" si="54"/>
        <v>0</v>
      </c>
      <c r="J114" s="47">
        <f t="shared" si="55"/>
        <v>38.1199530359699</v>
      </c>
      <c r="K114" s="48">
        <f t="shared" si="56"/>
        <v>0</v>
      </c>
      <c r="L114" s="7">
        <f t="shared" si="57"/>
        <v>0.83537691826362903</v>
      </c>
      <c r="M114" s="7">
        <f t="shared" si="58"/>
        <v>0</v>
      </c>
      <c r="N114" s="7">
        <f t="shared" si="59"/>
        <v>0</v>
      </c>
      <c r="O114" s="7">
        <f t="shared" si="60"/>
        <v>0.83537691826362903</v>
      </c>
      <c r="P114" s="49">
        <f t="shared" si="61"/>
        <v>37.201956422493403</v>
      </c>
      <c r="Q114" s="54">
        <f t="shared" si="63"/>
        <v>2374.7203715502201</v>
      </c>
      <c r="R114" s="55">
        <f t="shared" si="62"/>
        <v>63.094607653480303</v>
      </c>
    </row>
    <row r="115" ht="12.800000000000001">
      <c r="A115" s="1">
        <v>111</v>
      </c>
      <c r="B115" s="44">
        <v>43656</v>
      </c>
      <c r="C115" s="45">
        <f t="shared" si="48"/>
        <v>0.92597758898732097</v>
      </c>
      <c r="D115" s="3">
        <f t="shared" si="49"/>
        <v>0.92597758898732097</v>
      </c>
      <c r="E115" s="46">
        <f t="shared" si="50"/>
        <v>0</v>
      </c>
      <c r="F115" s="46">
        <f t="shared" si="51"/>
        <v>34.5980629791148</v>
      </c>
      <c r="G115" s="46">
        <f t="shared" si="52"/>
        <v>100</v>
      </c>
      <c r="H115" s="46">
        <f t="shared" si="53"/>
        <v>2.67638563912173</v>
      </c>
      <c r="I115" s="47">
        <f t="shared" si="54"/>
        <v>0</v>
      </c>
      <c r="J115" s="47">
        <f t="shared" si="55"/>
        <v>38.0198494275987</v>
      </c>
      <c r="K115" s="48">
        <f t="shared" si="56"/>
        <v>0</v>
      </c>
      <c r="L115" s="7">
        <f t="shared" si="57"/>
        <v>0.92597758898732097</v>
      </c>
      <c r="M115" s="7">
        <f t="shared" si="58"/>
        <v>0</v>
      </c>
      <c r="N115" s="7">
        <f t="shared" si="59"/>
        <v>0</v>
      </c>
      <c r="O115" s="7">
        <f t="shared" si="60"/>
        <v>0.92597758898732097</v>
      </c>
      <c r="P115" s="49">
        <f t="shared" si="61"/>
        <v>37.002291637502701</v>
      </c>
      <c r="Q115" s="54">
        <f t="shared" si="63"/>
        <v>2403.3658779955399</v>
      </c>
      <c r="R115" s="55">
        <f t="shared" si="62"/>
        <v>63.373190656479501</v>
      </c>
    </row>
    <row r="116" ht="12.800000000000001">
      <c r="A116" s="1">
        <v>112</v>
      </c>
      <c r="B116" s="44">
        <v>43657</v>
      </c>
      <c r="C116" s="45">
        <f t="shared" si="48"/>
        <v>1.02109759417697</v>
      </c>
      <c r="D116" s="3">
        <f t="shared" si="49"/>
        <v>1.02109759417697</v>
      </c>
      <c r="E116" s="46">
        <f t="shared" si="50"/>
        <v>0</v>
      </c>
      <c r="F116" s="46">
        <f t="shared" si="51"/>
        <v>34.502424738677298</v>
      </c>
      <c r="G116" s="46">
        <f t="shared" si="52"/>
        <v>100</v>
      </c>
      <c r="H116" s="46">
        <f t="shared" si="53"/>
        <v>2.9594951714576698</v>
      </c>
      <c r="I116" s="47">
        <f t="shared" si="54"/>
        <v>0</v>
      </c>
      <c r="J116" s="47">
        <f t="shared" si="55"/>
        <v>37.914752460084898</v>
      </c>
      <c r="K116" s="48">
        <f t="shared" si="56"/>
        <v>0</v>
      </c>
      <c r="L116" s="7">
        <f t="shared" si="57"/>
        <v>1.02109759417697</v>
      </c>
      <c r="M116" s="7">
        <f t="shared" si="58"/>
        <v>0</v>
      </c>
      <c r="N116" s="7">
        <f t="shared" si="59"/>
        <v>0</v>
      </c>
      <c r="O116" s="7">
        <f t="shared" si="60"/>
        <v>1.02109759417697</v>
      </c>
      <c r="P116" s="49">
        <f t="shared" si="61"/>
        <v>36.792667191758603</v>
      </c>
      <c r="Q116" s="54">
        <f t="shared" si="63"/>
        <v>2431.8576425564202</v>
      </c>
      <c r="R116" s="55">
        <f t="shared" si="62"/>
        <v>63.650278490387002</v>
      </c>
    </row>
    <row r="117" ht="12.800000000000001">
      <c r="A117" s="1">
        <v>113</v>
      </c>
      <c r="B117" s="44">
        <v>43658</v>
      </c>
      <c r="C117" s="45">
        <f t="shared" si="48"/>
        <v>1.12070874772219</v>
      </c>
      <c r="D117" s="3">
        <f t="shared" si="49"/>
        <v>1.12070874772219</v>
      </c>
      <c r="E117" s="46">
        <f t="shared" si="50"/>
        <v>0</v>
      </c>
      <c r="F117" s="46">
        <f t="shared" si="51"/>
        <v>34.402270881094701</v>
      </c>
      <c r="G117" s="46">
        <f t="shared" si="52"/>
        <v>100</v>
      </c>
      <c r="H117" s="46">
        <f t="shared" si="53"/>
        <v>3.2576592155666502</v>
      </c>
      <c r="I117" s="47">
        <f t="shared" si="54"/>
        <v>0</v>
      </c>
      <c r="J117" s="47">
        <f t="shared" si="55"/>
        <v>37.804693275928301</v>
      </c>
      <c r="K117" s="48">
        <f t="shared" si="56"/>
        <v>0</v>
      </c>
      <c r="L117" s="7">
        <f t="shared" si="57"/>
        <v>1.12070874772219</v>
      </c>
      <c r="M117" s="7">
        <f t="shared" si="58"/>
        <v>0</v>
      </c>
      <c r="N117" s="7">
        <f t="shared" si="59"/>
        <v>0</v>
      </c>
      <c r="O117" s="7">
        <f t="shared" si="60"/>
        <v>1.12070874772219</v>
      </c>
      <c r="P117" s="49">
        <f t="shared" si="61"/>
        <v>36.573145201508297</v>
      </c>
      <c r="Q117" s="54">
        <f t="shared" si="63"/>
        <v>2460.1879962940702</v>
      </c>
      <c r="R117" s="55">
        <f t="shared" si="62"/>
        <v>63.925796573313299</v>
      </c>
    </row>
    <row r="118" ht="12.800000000000001">
      <c r="A118" s="1">
        <v>114</v>
      </c>
      <c r="B118" s="44">
        <v>43659</v>
      </c>
      <c r="C118" s="45">
        <f t="shared" si="48"/>
        <v>1.22478153268838</v>
      </c>
      <c r="D118" s="3">
        <f t="shared" si="49"/>
        <v>1.22478153268838</v>
      </c>
      <c r="E118" s="46">
        <f t="shared" si="50"/>
        <v>0</v>
      </c>
      <c r="F118" s="46">
        <f t="shared" si="51"/>
        <v>34.297631084116603</v>
      </c>
      <c r="G118" s="46">
        <f t="shared" si="52"/>
        <v>100</v>
      </c>
      <c r="H118" s="46">
        <f t="shared" si="53"/>
        <v>3.5710382728315602</v>
      </c>
      <c r="I118" s="47">
        <f t="shared" si="54"/>
        <v>0</v>
      </c>
      <c r="J118" s="47">
        <f t="shared" si="55"/>
        <v>37.689704488040299</v>
      </c>
      <c r="K118" s="48">
        <f t="shared" si="56"/>
        <v>0</v>
      </c>
      <c r="L118" s="7">
        <f t="shared" si="57"/>
        <v>1.22478153268838</v>
      </c>
      <c r="M118" s="7">
        <f t="shared" si="58"/>
        <v>0</v>
      </c>
      <c r="N118" s="7">
        <f t="shared" si="59"/>
        <v>0</v>
      </c>
      <c r="O118" s="7">
        <f t="shared" si="60"/>
        <v>1.22478153268838</v>
      </c>
      <c r="P118" s="49">
        <f t="shared" si="61"/>
        <v>36.343790715855199</v>
      </c>
      <c r="Q118" s="54">
        <f t="shared" si="63"/>
        <v>2488.34931809923</v>
      </c>
      <c r="R118" s="55">
        <f t="shared" si="62"/>
        <v>64.199670788519896</v>
      </c>
    </row>
    <row r="119" ht="12.800000000000001">
      <c r="A119" s="1">
        <v>115</v>
      </c>
      <c r="B119" s="44">
        <v>43660</v>
      </c>
      <c r="C119" s="45">
        <f t="shared" si="48"/>
        <v>1.3332851100633001</v>
      </c>
      <c r="D119" s="3">
        <f t="shared" si="49"/>
        <v>1.3332851100633001</v>
      </c>
      <c r="E119" s="46">
        <f t="shared" si="50"/>
        <v>0</v>
      </c>
      <c r="F119" s="46">
        <f t="shared" si="51"/>
        <v>34.188536354773198</v>
      </c>
      <c r="G119" s="46">
        <f t="shared" si="52"/>
        <v>100</v>
      </c>
      <c r="H119" s="46">
        <f t="shared" si="53"/>
        <v>3.89980166517761</v>
      </c>
      <c r="I119" s="47">
        <f t="shared" si="54"/>
        <v>0</v>
      </c>
      <c r="J119" s="47">
        <f t="shared" si="55"/>
        <v>37.569820170080398</v>
      </c>
      <c r="K119" s="48">
        <f t="shared" si="56"/>
        <v>0</v>
      </c>
      <c r="L119" s="7">
        <f t="shared" si="57"/>
        <v>1.3332851100633001</v>
      </c>
      <c r="M119" s="7">
        <f t="shared" si="58"/>
        <v>0</v>
      </c>
      <c r="N119" s="7">
        <f t="shared" si="59"/>
        <v>0</v>
      </c>
      <c r="O119" s="7">
        <f t="shared" si="60"/>
        <v>1.3332851100633001</v>
      </c>
      <c r="P119" s="49">
        <f t="shared" si="61"/>
        <v>36.104671697483397</v>
      </c>
      <c r="Q119" s="54">
        <f t="shared" si="63"/>
        <v>2516.3340369504399</v>
      </c>
      <c r="R119" s="55">
        <f t="shared" si="62"/>
        <v>64.471827506382098</v>
      </c>
    </row>
    <row r="120" ht="12.800000000000001">
      <c r="A120" s="1">
        <v>116</v>
      </c>
      <c r="B120" s="44">
        <v>43661</v>
      </c>
      <c r="C120" s="45">
        <f t="shared" si="48"/>
        <v>1.4461873278952599</v>
      </c>
      <c r="D120" s="3">
        <f t="shared" si="49"/>
        <v>1.4461873278952599</v>
      </c>
      <c r="E120" s="46">
        <f t="shared" si="50"/>
        <v>0</v>
      </c>
      <c r="F120" s="46">
        <f t="shared" si="51"/>
        <v>34.075019020187099</v>
      </c>
      <c r="G120" s="46">
        <f t="shared" si="52"/>
        <v>100</v>
      </c>
      <c r="H120" s="46">
        <f t="shared" si="53"/>
        <v>4.2441277201884899</v>
      </c>
      <c r="I120" s="47">
        <f t="shared" si="54"/>
        <v>0</v>
      </c>
      <c r="J120" s="47">
        <f t="shared" si="55"/>
        <v>37.445075846359401</v>
      </c>
      <c r="K120" s="48">
        <f t="shared" si="56"/>
        <v>0</v>
      </c>
      <c r="L120" s="7">
        <f t="shared" si="57"/>
        <v>1.4461873278952599</v>
      </c>
      <c r="M120" s="7">
        <f t="shared" si="58"/>
        <v>0</v>
      </c>
      <c r="N120" s="7">
        <f t="shared" si="59"/>
        <v>0</v>
      </c>
      <c r="O120" s="7">
        <f t="shared" si="60"/>
        <v>1.4461873278952599</v>
      </c>
      <c r="P120" s="49">
        <f t="shared" si="61"/>
        <v>35.8558590025185</v>
      </c>
      <c r="Q120" s="54">
        <f t="shared" si="63"/>
        <v>2544.1346341574999</v>
      </c>
      <c r="R120" s="55">
        <f t="shared" si="62"/>
        <v>64.742193606206499</v>
      </c>
    </row>
    <row r="121" ht="12.800000000000001">
      <c r="A121" s="1">
        <v>117</v>
      </c>
      <c r="B121" s="44">
        <v>43662</v>
      </c>
      <c r="C121" s="45">
        <f t="shared" si="48"/>
        <v>1.5634547308205</v>
      </c>
      <c r="D121" s="3">
        <f t="shared" si="49"/>
        <v>1.5634547308205</v>
      </c>
      <c r="E121" s="46">
        <f t="shared" si="50"/>
        <v>0</v>
      </c>
      <c r="F121" s="46">
        <f t="shared" si="51"/>
        <v>33.957112717994498</v>
      </c>
      <c r="G121" s="46">
        <f t="shared" si="52"/>
        <v>100</v>
      </c>
      <c r="H121" s="46">
        <f t="shared" si="53"/>
        <v>4.6042039669409096</v>
      </c>
      <c r="I121" s="47">
        <f t="shared" si="54"/>
        <v>0</v>
      </c>
      <c r="J121" s="47">
        <f t="shared" si="55"/>
        <v>37.315508481312698</v>
      </c>
      <c r="K121" s="48">
        <f t="shared" si="56"/>
        <v>0</v>
      </c>
      <c r="L121" s="7">
        <f t="shared" si="57"/>
        <v>1.5634547308205</v>
      </c>
      <c r="M121" s="7">
        <f t="shared" si="58"/>
        <v>0</v>
      </c>
      <c r="N121" s="7">
        <f t="shared" si="59"/>
        <v>0</v>
      </c>
      <c r="O121" s="7">
        <f t="shared" si="60"/>
        <v>1.5634547308205</v>
      </c>
      <c r="P121" s="49">
        <f t="shared" si="61"/>
        <v>35.597426359531902</v>
      </c>
      <c r="Q121" s="54">
        <f t="shared" si="63"/>
        <v>2571.7436455894399</v>
      </c>
      <c r="R121" s="55">
        <f t="shared" si="62"/>
        <v>65.010696497898493</v>
      </c>
    </row>
    <row r="122" ht="12.800000000000001">
      <c r="A122" s="1">
        <v>118</v>
      </c>
      <c r="B122" s="44">
        <v>43663</v>
      </c>
      <c r="C122" s="45">
        <f t="shared" si="48"/>
        <v>1.6850525699766901</v>
      </c>
      <c r="D122" s="3">
        <f t="shared" si="49"/>
        <v>1.6850525699766901</v>
      </c>
      <c r="E122" s="46">
        <f t="shared" si="50"/>
        <v>0</v>
      </c>
      <c r="F122" s="46">
        <f t="shared" si="51"/>
        <v>33.834852386377499</v>
      </c>
      <c r="G122" s="46">
        <f t="shared" si="52"/>
        <v>100</v>
      </c>
      <c r="H122" s="46">
        <f t="shared" si="53"/>
        <v>4.9802273429013599</v>
      </c>
      <c r="I122" s="47">
        <f t="shared" si="54"/>
        <v>0</v>
      </c>
      <c r="J122" s="47">
        <f t="shared" si="55"/>
        <v>37.181156468546703</v>
      </c>
      <c r="K122" s="48">
        <f t="shared" si="56"/>
        <v>0</v>
      </c>
      <c r="L122" s="7">
        <f t="shared" si="57"/>
        <v>1.6850525699766901</v>
      </c>
      <c r="M122" s="7">
        <f t="shared" si="58"/>
        <v>0</v>
      </c>
      <c r="N122" s="7">
        <f t="shared" si="59"/>
        <v>0</v>
      </c>
      <c r="O122" s="7">
        <f t="shared" si="60"/>
        <v>1.6850525699766901</v>
      </c>
      <c r="P122" s="49">
        <f t="shared" si="61"/>
        <v>35.329450347693196</v>
      </c>
      <c r="Q122" s="54">
        <f t="shared" si="63"/>
        <v>2599.1536638862799</v>
      </c>
      <c r="R122" s="55">
        <f t="shared" si="62"/>
        <v>65.277264143472294</v>
      </c>
    </row>
    <row r="123" ht="12.800000000000001">
      <c r="A123" s="1">
        <v>119</v>
      </c>
      <c r="B123" s="44">
        <v>43664</v>
      </c>
      <c r="C123" s="45">
        <f t="shared" si="48"/>
        <v>1.8109448132997801</v>
      </c>
      <c r="D123" s="3">
        <f t="shared" si="49"/>
        <v>1.8109448132997801</v>
      </c>
      <c r="E123" s="46">
        <f t="shared" si="50"/>
        <v>0</v>
      </c>
      <c r="F123" s="46">
        <f t="shared" si="51"/>
        <v>33.708274253710798</v>
      </c>
      <c r="G123" s="46">
        <f t="shared" si="52"/>
        <v>100</v>
      </c>
      <c r="H123" s="46">
        <f t="shared" si="53"/>
        <v>5.3724044122502903</v>
      </c>
      <c r="I123" s="47">
        <f t="shared" si="54"/>
        <v>0</v>
      </c>
      <c r="J123" s="47">
        <f t="shared" si="55"/>
        <v>37.0420596194624</v>
      </c>
      <c r="K123" s="48">
        <f t="shared" si="56"/>
        <v>0</v>
      </c>
      <c r="L123" s="7">
        <f t="shared" si="57"/>
        <v>1.8109448132997801</v>
      </c>
      <c r="M123" s="7">
        <f t="shared" si="58"/>
        <v>0</v>
      </c>
      <c r="N123" s="7">
        <f t="shared" si="59"/>
        <v>0</v>
      </c>
      <c r="O123" s="7">
        <f t="shared" si="60"/>
        <v>1.8109448132997801</v>
      </c>
      <c r="P123" s="49">
        <f t="shared" si="61"/>
        <v>35.052010374078002</v>
      </c>
      <c r="Q123" s="54">
        <f t="shared" si="63"/>
        <v>2626.3573406540099</v>
      </c>
      <c r="R123" s="55">
        <f t="shared" si="62"/>
        <v>65.541825078397196</v>
      </c>
    </row>
    <row r="124" ht="12.800000000000001">
      <c r="A124" s="1">
        <v>120</v>
      </c>
      <c r="B124" s="44">
        <v>43665</v>
      </c>
      <c r="C124" s="45">
        <f t="shared" si="48"/>
        <v>1.9410941562011199</v>
      </c>
      <c r="D124" s="3">
        <f t="shared" si="49"/>
        <v>1.9410941562011199</v>
      </c>
      <c r="E124" s="46">
        <f t="shared" si="50"/>
        <v>0</v>
      </c>
      <c r="F124" s="46">
        <f t="shared" si="51"/>
        <v>33.577415827826897</v>
      </c>
      <c r="G124" s="46">
        <f t="shared" si="52"/>
        <v>100</v>
      </c>
      <c r="H124" s="46">
        <f t="shared" si="53"/>
        <v>5.7809515960202598</v>
      </c>
      <c r="I124" s="47">
        <f t="shared" si="54"/>
        <v>0</v>
      </c>
      <c r="J124" s="47">
        <f t="shared" si="55"/>
        <v>36.898259151458099</v>
      </c>
      <c r="K124" s="48">
        <f t="shared" si="56"/>
        <v>0</v>
      </c>
      <c r="L124" s="7">
        <f t="shared" si="57"/>
        <v>1.9410941562011199</v>
      </c>
      <c r="M124" s="7">
        <f t="shared" si="58"/>
        <v>0</v>
      </c>
      <c r="N124" s="7">
        <f t="shared" si="59"/>
        <v>0</v>
      </c>
      <c r="O124" s="7">
        <f t="shared" si="60"/>
        <v>1.9410941562011199</v>
      </c>
      <c r="P124" s="49">
        <f t="shared" si="61"/>
        <v>34.765188650138199</v>
      </c>
      <c r="Q124" s="54">
        <f t="shared" si="63"/>
        <v>2653.3473886420502</v>
      </c>
      <c r="R124" s="55">
        <f t="shared" si="62"/>
        <v>65.804308432774405</v>
      </c>
    </row>
    <row r="125" ht="12.800000000000001">
      <c r="A125" s="1">
        <v>121</v>
      </c>
      <c r="B125" s="44">
        <v>43666</v>
      </c>
      <c r="C125" s="45">
        <f t="shared" si="48"/>
        <v>2.0754620326215401</v>
      </c>
      <c r="D125" s="3">
        <f t="shared" si="49"/>
        <v>2.0754620326215401</v>
      </c>
      <c r="E125" s="46">
        <f t="shared" si="50"/>
        <v>0</v>
      </c>
      <c r="F125" s="46">
        <f t="shared" si="51"/>
        <v>33.442315884901603</v>
      </c>
      <c r="G125" s="46">
        <f t="shared" si="52"/>
        <v>100</v>
      </c>
      <c r="H125" s="46">
        <f t="shared" si="53"/>
        <v>6.2060954144583</v>
      </c>
      <c r="I125" s="47">
        <f t="shared" si="54"/>
        <v>0</v>
      </c>
      <c r="J125" s="47">
        <f t="shared" si="55"/>
        <v>36.749797675716003</v>
      </c>
      <c r="K125" s="48">
        <f t="shared" si="56"/>
        <v>0</v>
      </c>
      <c r="L125" s="7">
        <f t="shared" si="57"/>
        <v>2.0754620326215401</v>
      </c>
      <c r="M125" s="7">
        <f t="shared" si="58"/>
        <v>0</v>
      </c>
      <c r="N125" s="7">
        <f t="shared" si="59"/>
        <v>0</v>
      </c>
      <c r="O125" s="7">
        <f t="shared" si="60"/>
        <v>2.0754620326215401</v>
      </c>
      <c r="P125" s="49">
        <f t="shared" si="61"/>
        <v>34.469070167340703</v>
      </c>
      <c r="Q125" s="54">
        <f t="shared" si="63"/>
        <v>2680.1165839026498</v>
      </c>
      <c r="R125" s="55">
        <f t="shared" si="62"/>
        <v>66.064643952336894</v>
      </c>
    </row>
    <row r="126" ht="12.800000000000001">
      <c r="A126" s="1">
        <v>122</v>
      </c>
      <c r="B126" s="44">
        <v>43667</v>
      </c>
      <c r="C126" s="45">
        <f t="shared" si="48"/>
        <v>2.2140086264593601</v>
      </c>
      <c r="D126" s="3">
        <f t="shared" si="49"/>
        <v>2.2140086264593601</v>
      </c>
      <c r="E126" s="46">
        <f t="shared" si="50"/>
        <v>0</v>
      </c>
      <c r="F126" s="46">
        <f t="shared" si="51"/>
        <v>33.303014457963698</v>
      </c>
      <c r="G126" s="46">
        <f t="shared" si="52"/>
        <v>100</v>
      </c>
      <c r="H126" s="46">
        <f t="shared" si="53"/>
        <v>6.6480727420455201</v>
      </c>
      <c r="I126" s="47">
        <f t="shared" si="54"/>
        <v>0</v>
      </c>
      <c r="J126" s="47">
        <f t="shared" si="55"/>
        <v>36.596719184575399</v>
      </c>
      <c r="K126" s="48">
        <f t="shared" si="56"/>
        <v>0</v>
      </c>
      <c r="L126" s="7">
        <f t="shared" si="57"/>
        <v>2.2140086264593601</v>
      </c>
      <c r="M126" s="7">
        <f t="shared" si="58"/>
        <v>0</v>
      </c>
      <c r="N126" s="7">
        <f t="shared" si="59"/>
        <v>0</v>
      </c>
      <c r="O126" s="7">
        <f t="shared" si="60"/>
        <v>2.2140086264593601</v>
      </c>
      <c r="P126" s="49">
        <f t="shared" si="61"/>
        <v>34.163742671982703</v>
      </c>
      <c r="Q126" s="54">
        <f t="shared" si="63"/>
        <v>2706.6577679315101</v>
      </c>
      <c r="R126" s="55">
        <f t="shared" si="62"/>
        <v>66.3227620192675</v>
      </c>
    </row>
    <row r="127" ht="12.800000000000001">
      <c r="A127" s="1">
        <v>123</v>
      </c>
      <c r="B127" s="44">
        <v>43668</v>
      </c>
      <c r="C127" s="45">
        <f t="shared" si="48"/>
        <v>2.3566928833687499</v>
      </c>
      <c r="D127" s="3">
        <f t="shared" si="49"/>
        <v>2.3566928833687499</v>
      </c>
      <c r="E127" s="46">
        <f t="shared" si="50"/>
        <v>0</v>
      </c>
      <c r="F127" s="46">
        <f t="shared" si="51"/>
        <v>33.1595528250323</v>
      </c>
      <c r="G127" s="46">
        <f t="shared" si="52"/>
        <v>100</v>
      </c>
      <c r="H127" s="46">
        <f t="shared" si="53"/>
        <v>7.1071310756328199</v>
      </c>
      <c r="I127" s="47">
        <f t="shared" si="54"/>
        <v>0</v>
      </c>
      <c r="J127" s="47">
        <f t="shared" si="55"/>
        <v>36.439069038497003</v>
      </c>
      <c r="K127" s="48">
        <f t="shared" si="56"/>
        <v>0</v>
      </c>
      <c r="L127" s="7">
        <f t="shared" si="57"/>
        <v>2.3566928833687499</v>
      </c>
      <c r="M127" s="7">
        <f t="shared" si="58"/>
        <v>0</v>
      </c>
      <c r="N127" s="7">
        <f t="shared" si="59"/>
        <v>0</v>
      </c>
      <c r="O127" s="7">
        <f t="shared" si="60"/>
        <v>2.3566928833687499</v>
      </c>
      <c r="P127" s="49">
        <f t="shared" si="61"/>
        <v>33.849296639190698</v>
      </c>
      <c r="Q127" s="54">
        <f t="shared" si="63"/>
        <v>2732.96384978893</v>
      </c>
      <c r="R127" s="55">
        <f t="shared" si="62"/>
        <v>66.578593672828006</v>
      </c>
    </row>
    <row r="128" ht="12.800000000000001">
      <c r="A128" s="1">
        <v>124</v>
      </c>
      <c r="B128" s="44">
        <v>43669</v>
      </c>
      <c r="C128" s="45">
        <f t="shared" si="48"/>
        <v>2.5034725229250001</v>
      </c>
      <c r="D128" s="3">
        <f t="shared" si="49"/>
        <v>2.5034725229250001</v>
      </c>
      <c r="E128" s="46">
        <f t="shared" si="50"/>
        <v>0</v>
      </c>
      <c r="F128" s="46">
        <f t="shared" si="51"/>
        <v>33.011973496885403</v>
      </c>
      <c r="G128" s="46">
        <f t="shared" si="52"/>
        <v>100</v>
      </c>
      <c r="H128" s="46">
        <f t="shared" si="53"/>
        <v>7.5835288161769601</v>
      </c>
      <c r="I128" s="47">
        <f t="shared" si="54"/>
        <v>0</v>
      </c>
      <c r="J128" s="47">
        <f t="shared" si="55"/>
        <v>36.2768939526213</v>
      </c>
      <c r="K128" s="48">
        <f t="shared" si="56"/>
        <v>0</v>
      </c>
      <c r="L128" s="7">
        <f t="shared" si="57"/>
        <v>2.5034725229250001</v>
      </c>
      <c r="M128" s="7">
        <f t="shared" si="58"/>
        <v>0</v>
      </c>
      <c r="N128" s="7">
        <f t="shared" si="59"/>
        <v>0</v>
      </c>
      <c r="O128" s="7">
        <f t="shared" si="60"/>
        <v>2.5034725229250001</v>
      </c>
      <c r="P128" s="49">
        <f t="shared" si="61"/>
        <v>33.525825246110301</v>
      </c>
      <c r="Q128" s="54">
        <f t="shared" si="63"/>
        <v>2759.02780820111</v>
      </c>
      <c r="R128" s="55">
        <f t="shared" si="62"/>
        <v>66.832070629794103</v>
      </c>
    </row>
    <row r="129" ht="12.800000000000001">
      <c r="A129" s="1">
        <v>125</v>
      </c>
      <c r="B129" s="44">
        <v>43670</v>
      </c>
      <c r="C129" s="45">
        <f t="shared" si="48"/>
        <v>2.6543040511531601</v>
      </c>
      <c r="D129" s="3">
        <f t="shared" si="49"/>
        <v>2.6543040511531601</v>
      </c>
      <c r="E129" s="46">
        <f t="shared" si="50"/>
        <v>0</v>
      </c>
      <c r="F129" s="46">
        <f t="shared" si="51"/>
        <v>32.860320204463001</v>
      </c>
      <c r="G129" s="46">
        <f t="shared" si="52"/>
        <v>100</v>
      </c>
      <c r="H129" s="46">
        <f t="shared" si="53"/>
        <v>8.0775355645885103</v>
      </c>
      <c r="I129" s="47">
        <f t="shared" si="54"/>
        <v>0</v>
      </c>
      <c r="J129" s="47">
        <f t="shared" si="55"/>
        <v>36.110241982926397</v>
      </c>
      <c r="K129" s="48">
        <f t="shared" si="56"/>
        <v>0</v>
      </c>
      <c r="L129" s="7">
        <f t="shared" si="57"/>
        <v>2.6543040511531601</v>
      </c>
      <c r="M129" s="7">
        <f t="shared" si="58"/>
        <v>0</v>
      </c>
      <c r="N129" s="7">
        <f t="shared" si="59"/>
        <v>0</v>
      </c>
      <c r="O129" s="7">
        <f t="shared" si="60"/>
        <v>2.6543040511531601</v>
      </c>
      <c r="P129" s="49">
        <f t="shared" si="61"/>
        <v>33.193424344296503</v>
      </c>
      <c r="Q129" s="54">
        <f t="shared" si="63"/>
        <v>2784.8426936406099</v>
      </c>
      <c r="R129" s="55">
        <f t="shared" si="62"/>
        <v>67.083125304688593</v>
      </c>
    </row>
    <row r="130" ht="12.800000000000001">
      <c r="A130" s="1">
        <v>126</v>
      </c>
      <c r="B130" s="44">
        <v>43671</v>
      </c>
      <c r="C130" s="45">
        <f t="shared" si="48"/>
        <v>2.8091427734162102</v>
      </c>
      <c r="D130" s="3">
        <f t="shared" si="49"/>
        <v>2.8091427734162102</v>
      </c>
      <c r="E130" s="46">
        <f t="shared" si="50"/>
        <v>0</v>
      </c>
      <c r="F130" s="46">
        <f t="shared" si="51"/>
        <v>32.704637885908603</v>
      </c>
      <c r="G130" s="46">
        <f t="shared" si="52"/>
        <v>100</v>
      </c>
      <c r="H130" s="46">
        <f t="shared" si="53"/>
        <v>8.5894324322318099</v>
      </c>
      <c r="I130" s="47">
        <f t="shared" si="54"/>
        <v>0</v>
      </c>
      <c r="J130" s="47">
        <f t="shared" si="55"/>
        <v>35.939162511987497</v>
      </c>
      <c r="K130" s="48">
        <f t="shared" si="56"/>
        <v>0</v>
      </c>
      <c r="L130" s="7">
        <f t="shared" si="57"/>
        <v>2.8091427734162102</v>
      </c>
      <c r="M130" s="7">
        <f t="shared" si="58"/>
        <v>0</v>
      </c>
      <c r="N130" s="7">
        <f t="shared" si="59"/>
        <v>0</v>
      </c>
      <c r="O130" s="7">
        <f t="shared" si="60"/>
        <v>2.8091427734162102</v>
      </c>
      <c r="P130" s="49">
        <f t="shared" si="61"/>
        <v>32.8521924313103</v>
      </c>
      <c r="Q130" s="54">
        <f t="shared" si="63"/>
        <v>2810.4016303857202</v>
      </c>
      <c r="R130" s="55">
        <f t="shared" si="62"/>
        <v>67.331690829809006</v>
      </c>
    </row>
    <row r="131" ht="12.800000000000001">
      <c r="A131" s="1">
        <v>127</v>
      </c>
      <c r="B131" s="44">
        <v>43672</v>
      </c>
      <c r="C131" s="45">
        <f t="shared" si="48"/>
        <v>2.96794280765902</v>
      </c>
      <c r="D131" s="3">
        <f t="shared" si="49"/>
        <v>2.96794280765902</v>
      </c>
      <c r="E131" s="46">
        <f t="shared" si="50"/>
        <v>0</v>
      </c>
      <c r="F131" s="46">
        <f t="shared" si="51"/>
        <v>32.544972673253099</v>
      </c>
      <c r="G131" s="46">
        <f t="shared" si="52"/>
        <v>100</v>
      </c>
      <c r="H131" s="46">
        <f t="shared" si="53"/>
        <v>9.1195123666464593</v>
      </c>
      <c r="I131" s="47">
        <f t="shared" si="54"/>
        <v>0</v>
      </c>
      <c r="J131" s="47">
        <f t="shared" si="55"/>
        <v>35.763706234343999</v>
      </c>
      <c r="K131" s="48">
        <f t="shared" si="56"/>
        <v>0</v>
      </c>
      <c r="L131" s="7">
        <f t="shared" si="57"/>
        <v>2.96794280765902</v>
      </c>
      <c r="M131" s="7">
        <f t="shared" si="58"/>
        <v>0</v>
      </c>
      <c r="N131" s="7">
        <f t="shared" si="59"/>
        <v>0</v>
      </c>
      <c r="O131" s="7">
        <f t="shared" si="60"/>
        <v>2.96794280765902</v>
      </c>
      <c r="P131" s="49">
        <f t="shared" si="61"/>
        <v>32.502230621531901</v>
      </c>
      <c r="Q131" s="54">
        <f t="shared" si="63"/>
        <v>2835.69781855783</v>
      </c>
      <c r="R131" s="55">
        <f t="shared" si="62"/>
        <v>67.577701075041304</v>
      </c>
    </row>
    <row r="132" ht="12.800000000000001">
      <c r="A132" s="1">
        <v>128</v>
      </c>
      <c r="B132" s="44">
        <v>43673</v>
      </c>
      <c r="C132" s="45">
        <f t="shared" si="48"/>
        <v>3.13065709800428</v>
      </c>
      <c r="D132" s="3">
        <f t="shared" si="49"/>
        <v>3.13065709800428</v>
      </c>
      <c r="E132" s="46">
        <f t="shared" si="50"/>
        <v>0</v>
      </c>
      <c r="F132" s="46">
        <f t="shared" si="51"/>
        <v>32.381371878744702</v>
      </c>
      <c r="G132" s="46">
        <f t="shared" si="52"/>
        <v>100</v>
      </c>
      <c r="H132" s="46">
        <f t="shared" si="53"/>
        <v>9.66808049309134</v>
      </c>
      <c r="I132" s="47">
        <f t="shared" si="54"/>
        <v>0</v>
      </c>
      <c r="J132" s="47">
        <f t="shared" si="55"/>
        <v>35.5839251414777</v>
      </c>
      <c r="K132" s="48">
        <f t="shared" si="56"/>
        <v>0</v>
      </c>
      <c r="L132" s="7">
        <f t="shared" si="57"/>
        <v>3.13065709800428</v>
      </c>
      <c r="M132" s="7">
        <f t="shared" si="58"/>
        <v>0</v>
      </c>
      <c r="N132" s="7">
        <f t="shared" si="59"/>
        <v>0</v>
      </c>
      <c r="O132" s="7">
        <f t="shared" si="60"/>
        <v>3.13065709800428</v>
      </c>
      <c r="P132" s="49">
        <f t="shared" si="61"/>
        <v>32.143642616198299</v>
      </c>
      <c r="Q132" s="54">
        <f t="shared" si="63"/>
        <v>2860.7245361364098</v>
      </c>
      <c r="R132" s="55">
        <f t="shared" si="62"/>
        <v>67.821090667456602</v>
      </c>
    </row>
    <row r="133" ht="12.800000000000001">
      <c r="A133" s="1">
        <v>129</v>
      </c>
      <c r="B133" s="44">
        <v>43674</v>
      </c>
      <c r="C133" s="45">
        <f t="shared" si="48"/>
        <v>3.2972374286960999</v>
      </c>
      <c r="D133" s="3">
        <f t="shared" si="49"/>
        <v>3.2972374286960999</v>
      </c>
      <c r="E133" s="46">
        <f t="shared" si="50"/>
        <v>0</v>
      </c>
      <c r="F133" s="46">
        <f t="shared" si="51"/>
        <v>32.213883980829898</v>
      </c>
      <c r="G133" s="46">
        <f t="shared" si="52"/>
        <v>100</v>
      </c>
      <c r="H133" s="46">
        <f t="shared" si="53"/>
        <v>10.235454472544401</v>
      </c>
      <c r="I133" s="47">
        <f t="shared" si="54"/>
        <v>0</v>
      </c>
      <c r="J133" s="47">
        <f t="shared" si="55"/>
        <v>35.399872506406403</v>
      </c>
      <c r="K133" s="48">
        <f t="shared" si="56"/>
        <v>0</v>
      </c>
      <c r="L133" s="7">
        <f t="shared" si="57"/>
        <v>3.2972374286960999</v>
      </c>
      <c r="M133" s="7">
        <f t="shared" si="58"/>
        <v>0</v>
      </c>
      <c r="N133" s="7">
        <f t="shared" si="59"/>
        <v>0</v>
      </c>
      <c r="O133" s="7">
        <f t="shared" si="60"/>
        <v>3.2972374286960999</v>
      </c>
      <c r="P133" s="49">
        <f t="shared" si="61"/>
        <v>31.776534672674501</v>
      </c>
      <c r="Q133" s="54">
        <f t="shared" si="63"/>
        <v>2885.4751409508799</v>
      </c>
      <c r="R133" s="55">
        <f t="shared" si="62"/>
        <v>68.061795010681394</v>
      </c>
    </row>
    <row r="134" ht="12.800000000000001">
      <c r="A134" s="1">
        <v>130</v>
      </c>
      <c r="B134" s="44">
        <v>43675</v>
      </c>
      <c r="C134" s="45">
        <f t="shared" si="48"/>
        <v>3.4676344383874</v>
      </c>
      <c r="D134" s="3">
        <f t="shared" si="49"/>
        <v>3.4676344383874</v>
      </c>
      <c r="E134" s="46">
        <f t="shared" si="50"/>
        <v>0</v>
      </c>
      <c r="F134" s="46">
        <f t="shared" si="51"/>
        <v>32.042558609787299</v>
      </c>
      <c r="G134" s="46">
        <f t="shared" si="52"/>
        <v>100</v>
      </c>
      <c r="H134" s="46">
        <f t="shared" si="53"/>
        <v>10.821964876825501</v>
      </c>
      <c r="I134" s="47">
        <f t="shared" si="54"/>
        <v>0</v>
      </c>
      <c r="J134" s="47">
        <f t="shared" si="55"/>
        <v>35.211602867898101</v>
      </c>
      <c r="K134" s="48">
        <f t="shared" si="56"/>
        <v>0</v>
      </c>
      <c r="L134" s="7">
        <f t="shared" si="57"/>
        <v>3.4676344383874</v>
      </c>
      <c r="M134" s="7">
        <f t="shared" si="58"/>
        <v>0</v>
      </c>
      <c r="N134" s="7">
        <f t="shared" si="59"/>
        <v>0</v>
      </c>
      <c r="O134" s="7">
        <f t="shared" si="60"/>
        <v>3.4676344383874</v>
      </c>
      <c r="P134" s="49">
        <f t="shared" si="61"/>
        <v>31.401015572966902</v>
      </c>
      <c r="Q134" s="54">
        <f t="shared" si="63"/>
        <v>2909.9430726488399</v>
      </c>
      <c r="R134" s="55">
        <f t="shared" si="62"/>
        <v>68.299750304039904</v>
      </c>
    </row>
    <row r="135" ht="12.800000000000001">
      <c r="A135" s="1">
        <v>131</v>
      </c>
      <c r="B135" s="44">
        <v>43676</v>
      </c>
      <c r="C135" s="45">
        <f t="shared" si="48"/>
        <v>3.6417976347667298</v>
      </c>
      <c r="D135" s="3">
        <f t="shared" si="49"/>
        <v>3.6417976347667298</v>
      </c>
      <c r="E135" s="46">
        <f t="shared" si="50"/>
        <v>0</v>
      </c>
      <c r="F135" s="46">
        <f t="shared" si="51"/>
        <v>31.867446533021901</v>
      </c>
      <c r="G135" s="46">
        <f t="shared" si="52"/>
        <v>100</v>
      </c>
      <c r="H135" s="46">
        <f t="shared" si="53"/>
        <v>11.4279555815462</v>
      </c>
      <c r="I135" s="47">
        <f t="shared" si="54"/>
        <v>0</v>
      </c>
      <c r="J135" s="47">
        <f t="shared" si="55"/>
        <v>35.019172014309703</v>
      </c>
      <c r="K135" s="48">
        <f t="shared" si="56"/>
        <v>0</v>
      </c>
      <c r="L135" s="7">
        <f t="shared" si="57"/>
        <v>3.6417976347667298</v>
      </c>
      <c r="M135" s="7">
        <f t="shared" si="58"/>
        <v>0</v>
      </c>
      <c r="N135" s="7">
        <f t="shared" si="59"/>
        <v>0</v>
      </c>
      <c r="O135" s="7">
        <f t="shared" si="60"/>
        <v>3.6417976347667298</v>
      </c>
      <c r="P135" s="49">
        <f t="shared" si="61"/>
        <v>31.017196591489199</v>
      </c>
      <c r="Q135" s="54">
        <f t="shared" si="63"/>
        <v>2934.1218546400301</v>
      </c>
      <c r="R135" s="55">
        <f t="shared" si="62"/>
        <v>68.534893561458802</v>
      </c>
    </row>
    <row r="136" ht="12.800000000000001">
      <c r="A136" s="1">
        <v>132</v>
      </c>
      <c r="B136" s="44">
        <v>43677</v>
      </c>
      <c r="C136" s="45">
        <f t="shared" si="48"/>
        <v>3.8196754095202499</v>
      </c>
      <c r="D136" s="3">
        <f t="shared" si="49"/>
        <v>3.8196754095202499</v>
      </c>
      <c r="E136" s="46">
        <f t="shared" si="50"/>
        <v>0</v>
      </c>
      <c r="F136" s="46">
        <f t="shared" si="51"/>
        <v>31.688599640021302</v>
      </c>
      <c r="G136" s="46">
        <f t="shared" si="52"/>
        <v>100</v>
      </c>
      <c r="H136" s="46">
        <f t="shared" si="53"/>
        <v>12.053784177626399</v>
      </c>
      <c r="I136" s="47">
        <f t="shared" si="54"/>
        <v>0</v>
      </c>
      <c r="J136" s="47">
        <f t="shared" si="55"/>
        <v>34.822636967056297</v>
      </c>
      <c r="K136" s="48">
        <f t="shared" si="56"/>
        <v>0</v>
      </c>
      <c r="L136" s="7">
        <f t="shared" si="57"/>
        <v>3.8196754095202499</v>
      </c>
      <c r="M136" s="7">
        <f t="shared" si="58"/>
        <v>0</v>
      </c>
      <c r="N136" s="7">
        <f t="shared" si="59"/>
        <v>0</v>
      </c>
      <c r="O136" s="7">
        <f t="shared" si="60"/>
        <v>3.8196754095202499</v>
      </c>
      <c r="P136" s="49">
        <f t="shared" si="61"/>
        <v>30.625191462088999</v>
      </c>
      <c r="Q136" s="54">
        <f t="shared" si="63"/>
        <v>2958.0050960154799</v>
      </c>
      <c r="R136" s="55">
        <f t="shared" si="62"/>
        <v>68.767162630132006</v>
      </c>
    </row>
    <row r="137" ht="12.800000000000001">
      <c r="A137" s="1">
        <v>133</v>
      </c>
      <c r="B137" s="44">
        <v>43678</v>
      </c>
      <c r="C137" s="45">
        <f t="shared" si="48"/>
        <v>4.0012150536243896</v>
      </c>
      <c r="D137" s="3">
        <f t="shared" si="49"/>
        <v>4.0012150536243896</v>
      </c>
      <c r="E137" s="46">
        <f t="shared" si="50"/>
        <v>0</v>
      </c>
      <c r="F137" s="46">
        <f t="shared" si="51"/>
        <v>31.506070926979699</v>
      </c>
      <c r="G137" s="46">
        <f t="shared" si="52"/>
        <v>100</v>
      </c>
      <c r="H137" s="46">
        <f t="shared" si="53"/>
        <v>12.6998224021581</v>
      </c>
      <c r="I137" s="47">
        <f t="shared" si="54"/>
        <v>0</v>
      </c>
      <c r="J137" s="47">
        <f t="shared" si="55"/>
        <v>34.622055963713997</v>
      </c>
      <c r="K137" s="48">
        <f t="shared" si="56"/>
        <v>0</v>
      </c>
      <c r="L137" s="7">
        <f t="shared" si="57"/>
        <v>4.0012150536243896</v>
      </c>
      <c r="M137" s="7">
        <f t="shared" si="58"/>
        <v>0</v>
      </c>
      <c r="N137" s="7">
        <f t="shared" si="59"/>
        <v>0</v>
      </c>
      <c r="O137" s="7">
        <f t="shared" si="60"/>
        <v>4.0012150536243896</v>
      </c>
      <c r="P137" s="49">
        <f t="shared" si="61"/>
        <v>30.2251163443465</v>
      </c>
      <c r="Q137" s="54">
        <f t="shared" si="63"/>
        <v>2981.5864934412798</v>
      </c>
      <c r="R137" s="55">
        <f t="shared" si="62"/>
        <v>68.996496208937501</v>
      </c>
    </row>
    <row r="138" ht="12.800000000000001">
      <c r="A138" s="1">
        <v>134</v>
      </c>
      <c r="B138" s="44">
        <v>43679</v>
      </c>
      <c r="C138" s="45">
        <f t="shared" si="48"/>
        <v>4.1863627729646602</v>
      </c>
      <c r="D138" s="3">
        <f t="shared" si="49"/>
        <v>4.1863627729646602</v>
      </c>
      <c r="E138" s="46">
        <f t="shared" si="50"/>
        <v>0</v>
      </c>
      <c r="F138" s="46">
        <f t="shared" si="51"/>
        <v>31.319914481094099</v>
      </c>
      <c r="G138" s="46">
        <f t="shared" si="52"/>
        <v>100</v>
      </c>
      <c r="H138" s="46">
        <f t="shared" si="53"/>
        <v>13.3664565894383</v>
      </c>
      <c r="I138" s="47">
        <f t="shared" si="54"/>
        <v>0</v>
      </c>
      <c r="J138" s="47">
        <f t="shared" si="55"/>
        <v>34.417488440762803</v>
      </c>
      <c r="K138" s="48">
        <f t="shared" si="56"/>
        <v>0</v>
      </c>
      <c r="L138" s="7">
        <f t="shared" si="57"/>
        <v>4.1863627729646602</v>
      </c>
      <c r="M138" s="7">
        <f t="shared" si="58"/>
        <v>0</v>
      </c>
      <c r="N138" s="7">
        <f t="shared" si="59"/>
        <v>0</v>
      </c>
      <c r="O138" s="7">
        <f t="shared" si="60"/>
        <v>4.1863627729646602</v>
      </c>
      <c r="P138" s="49">
        <f t="shared" si="61"/>
        <v>29.817089789153201</v>
      </c>
      <c r="Q138" s="54">
        <f t="shared" si="63"/>
        <v>3004.8598330264299</v>
      </c>
      <c r="R138" s="55">
        <f t="shared" si="62"/>
        <v>69.222833866602102</v>
      </c>
    </row>
    <row r="139" ht="12.800000000000001">
      <c r="A139" s="1">
        <v>135</v>
      </c>
      <c r="B139" s="44">
        <v>43680</v>
      </c>
      <c r="C139" s="45">
        <f t="shared" si="48"/>
        <v>4.3750637042760001</v>
      </c>
      <c r="D139" s="3">
        <f t="shared" si="49"/>
        <v>4.3750637042760001</v>
      </c>
      <c r="E139" s="46">
        <f t="shared" si="50"/>
        <v>0</v>
      </c>
      <c r="F139" s="46">
        <f t="shared" si="51"/>
        <v>31.130185464537</v>
      </c>
      <c r="G139" s="46">
        <f t="shared" si="52"/>
        <v>100</v>
      </c>
      <c r="H139" s="46">
        <f t="shared" si="53"/>
        <v>14.054088143034001</v>
      </c>
      <c r="I139" s="47">
        <f t="shared" si="54"/>
        <v>0</v>
      </c>
      <c r="J139" s="47">
        <f t="shared" si="55"/>
        <v>34.2089950159747</v>
      </c>
      <c r="K139" s="48">
        <f t="shared" si="56"/>
        <v>0</v>
      </c>
      <c r="L139" s="7">
        <f t="shared" si="57"/>
        <v>4.3750637042760001</v>
      </c>
      <c r="M139" s="7">
        <f t="shared" si="58"/>
        <v>0</v>
      </c>
      <c r="N139" s="7">
        <f t="shared" si="59"/>
        <v>0</v>
      </c>
      <c r="O139" s="7">
        <f t="shared" si="60"/>
        <v>4.3750637042760001</v>
      </c>
      <c r="P139" s="49">
        <f t="shared" si="61"/>
        <v>29.401232703583499</v>
      </c>
      <c r="Q139" s="54">
        <f t="shared" si="63"/>
        <v>3027.8189921640801</v>
      </c>
      <c r="R139" s="55">
        <f t="shared" si="62"/>
        <v>69.446116059608997</v>
      </c>
    </row>
    <row r="140" ht="12.800000000000001">
      <c r="A140" s="1">
        <v>136</v>
      </c>
      <c r="B140" s="44">
        <v>43681</v>
      </c>
      <c r="C140" s="45">
        <f t="shared" si="48"/>
        <v>4.5672619313999601</v>
      </c>
      <c r="D140" s="3">
        <f t="shared" si="49"/>
        <v>4.5672619313999601</v>
      </c>
      <c r="E140" s="46">
        <f t="shared" si="50"/>
        <v>0</v>
      </c>
      <c r="F140" s="46">
        <f t="shared" si="51"/>
        <v>30.9369400981107</v>
      </c>
      <c r="G140" s="46">
        <f t="shared" si="52"/>
        <v>100</v>
      </c>
      <c r="H140" s="46">
        <f t="shared" si="53"/>
        <v>14.7631340297901</v>
      </c>
      <c r="I140" s="47">
        <f t="shared" si="54"/>
        <v>0</v>
      </c>
      <c r="J140" s="47">
        <f t="shared" si="55"/>
        <v>33.996637470451297</v>
      </c>
      <c r="K140" s="48">
        <f t="shared" si="56"/>
        <v>0</v>
      </c>
      <c r="L140" s="7">
        <f t="shared" si="57"/>
        <v>4.5672619313999601</v>
      </c>
      <c r="M140" s="7">
        <f t="shared" si="58"/>
        <v>0</v>
      </c>
      <c r="N140" s="7">
        <f t="shared" si="59"/>
        <v>0</v>
      </c>
      <c r="O140" s="7">
        <f t="shared" si="60"/>
        <v>4.5672619313999601</v>
      </c>
      <c r="P140" s="49">
        <f t="shared" si="61"/>
        <v>28.977668315066701</v>
      </c>
      <c r="Q140" s="54">
        <f t="shared" si="63"/>
        <v>3050.45794134584</v>
      </c>
      <c r="R140" s="55">
        <f t="shared" si="62"/>
        <v>69.666284149841204</v>
      </c>
    </row>
    <row r="141" ht="12.800000000000001">
      <c r="A141" s="1">
        <v>137</v>
      </c>
      <c r="B141" s="44">
        <v>43682</v>
      </c>
      <c r="C141" s="45">
        <f t="shared" si="48"/>
        <v>4.7629005018538697</v>
      </c>
      <c r="D141" s="3">
        <f t="shared" si="49"/>
        <v>4.7629005018538697</v>
      </c>
      <c r="E141" s="46">
        <f t="shared" si="50"/>
        <v>0</v>
      </c>
      <c r="F141" s="46">
        <f t="shared" si="51"/>
        <v>30.740235644587798</v>
      </c>
      <c r="G141" s="46">
        <f t="shared" si="52"/>
        <v>100</v>
      </c>
      <c r="H141" s="46">
        <f t="shared" si="53"/>
        <v>15.494027296737499</v>
      </c>
      <c r="I141" s="47">
        <f t="shared" si="54"/>
        <v>0</v>
      </c>
      <c r="J141" s="47">
        <f t="shared" si="55"/>
        <v>33.780478730316197</v>
      </c>
      <c r="K141" s="48">
        <f t="shared" si="56"/>
        <v>0</v>
      </c>
      <c r="L141" s="7">
        <f t="shared" si="57"/>
        <v>4.7629005018538697</v>
      </c>
      <c r="M141" s="7">
        <f t="shared" si="58"/>
        <v>0</v>
      </c>
      <c r="N141" s="7">
        <f t="shared" si="59"/>
        <v>0</v>
      </c>
      <c r="O141" s="7">
        <f t="shared" si="60"/>
        <v>4.7629005018538697</v>
      </c>
      <c r="P141" s="49">
        <f t="shared" si="61"/>
        <v>28.546522134872401</v>
      </c>
      <c r="Q141" s="54">
        <f t="shared" si="63"/>
        <v>3072.77074594844</v>
      </c>
      <c r="R141" s="55">
        <f t="shared" si="62"/>
        <v>69.883280421957906</v>
      </c>
    </row>
    <row r="142" ht="12.800000000000001">
      <c r="A142" s="1">
        <v>138</v>
      </c>
      <c r="B142" s="44">
        <v>43683</v>
      </c>
      <c r="C142" s="45">
        <f t="shared" si="48"/>
        <v>4.9619214437070802</v>
      </c>
      <c r="D142" s="3">
        <f t="shared" si="49"/>
        <v>4.9619214437070802</v>
      </c>
      <c r="E142" s="46">
        <f t="shared" si="50"/>
        <v>0</v>
      </c>
      <c r="F142" s="46">
        <f t="shared" si="51"/>
        <v>30.540130391743102</v>
      </c>
      <c r="G142" s="46">
        <f t="shared" si="52"/>
        <v>100</v>
      </c>
      <c r="H142" s="46">
        <f t="shared" si="53"/>
        <v>16.2472176119084</v>
      </c>
      <c r="I142" s="47">
        <f t="shared" si="54"/>
        <v>0</v>
      </c>
      <c r="J142" s="47">
        <f t="shared" si="55"/>
        <v>33.560582848069402</v>
      </c>
      <c r="K142" s="48">
        <f t="shared" si="56"/>
        <v>0</v>
      </c>
      <c r="L142" s="7">
        <f t="shared" si="57"/>
        <v>4.9619214437070802</v>
      </c>
      <c r="M142" s="7">
        <f t="shared" si="58"/>
        <v>0</v>
      </c>
      <c r="N142" s="7">
        <f t="shared" si="59"/>
        <v>0</v>
      </c>
      <c r="O142" s="7">
        <f t="shared" si="60"/>
        <v>4.9619214437070802</v>
      </c>
      <c r="P142" s="49">
        <f t="shared" si="61"/>
        <v>28.107921920918699</v>
      </c>
      <c r="Q142" s="54">
        <f t="shared" si="63"/>
        <v>3094.7515679922899</v>
      </c>
      <c r="R142" s="55">
        <f t="shared" si="62"/>
        <v>70.097048100496096</v>
      </c>
    </row>
    <row r="143" ht="12.800000000000001">
      <c r="A143" s="1">
        <v>139</v>
      </c>
      <c r="B143" s="44">
        <v>43684</v>
      </c>
      <c r="C143" s="45">
        <f t="shared" si="48"/>
        <v>5.1642657827592897</v>
      </c>
      <c r="D143" s="3">
        <f t="shared" si="49"/>
        <v>5.1642657827592897</v>
      </c>
      <c r="E143" s="46">
        <f t="shared" si="50"/>
        <v>0</v>
      </c>
      <c r="F143" s="46">
        <f t="shared" si="51"/>
        <v>30.336683635081702</v>
      </c>
      <c r="G143" s="46">
        <f t="shared" si="52"/>
        <v>100</v>
      </c>
      <c r="H143" s="46">
        <f t="shared" si="53"/>
        <v>17.023171830118098</v>
      </c>
      <c r="I143" s="47">
        <f t="shared" si="54"/>
        <v>0</v>
      </c>
      <c r="J143" s="47">
        <f t="shared" si="55"/>
        <v>33.337014983606302</v>
      </c>
      <c r="K143" s="48">
        <f t="shared" si="56"/>
        <v>0</v>
      </c>
      <c r="L143" s="7">
        <f t="shared" si="57"/>
        <v>5.1642657827592897</v>
      </c>
      <c r="M143" s="7">
        <f t="shared" si="58"/>
        <v>0</v>
      </c>
      <c r="N143" s="7">
        <f t="shared" si="59"/>
        <v>0</v>
      </c>
      <c r="O143" s="7">
        <f t="shared" si="60"/>
        <v>5.1642657827592897</v>
      </c>
      <c r="P143" s="49">
        <f t="shared" si="61"/>
        <v>27.661997639914802</v>
      </c>
      <c r="Q143" s="54">
        <f t="shared" si="63"/>
        <v>3116.3946678714001</v>
      </c>
      <c r="R143" s="55">
        <f t="shared" si="62"/>
        <v>70.307531366695102</v>
      </c>
    </row>
    <row r="144" ht="12.800000000000001">
      <c r="A144" s="1">
        <v>140</v>
      </c>
      <c r="B144" s="44">
        <v>43685</v>
      </c>
      <c r="C144" s="45">
        <f t="shared" si="48"/>
        <v>5.3698735600158898</v>
      </c>
      <c r="D144" s="3">
        <f t="shared" si="49"/>
        <v>5.3698735600158898</v>
      </c>
      <c r="E144" s="46">
        <f t="shared" si="50"/>
        <v>0</v>
      </c>
      <c r="F144" s="46">
        <f t="shared" si="51"/>
        <v>30.129955660268401</v>
      </c>
      <c r="G144" s="46">
        <f t="shared" si="52"/>
        <v>100</v>
      </c>
      <c r="H144" s="46">
        <f t="shared" si="53"/>
        <v>17.8223745848289</v>
      </c>
      <c r="I144" s="47">
        <f t="shared" si="54"/>
        <v>0</v>
      </c>
      <c r="J144" s="47">
        <f t="shared" si="55"/>
        <v>33.109841384910297</v>
      </c>
      <c r="K144" s="48">
        <f t="shared" si="56"/>
        <v>0</v>
      </c>
      <c r="L144" s="7">
        <f t="shared" si="57"/>
        <v>5.3698735600158898</v>
      </c>
      <c r="M144" s="7">
        <f t="shared" si="58"/>
        <v>0</v>
      </c>
      <c r="N144" s="7">
        <f t="shared" si="59"/>
        <v>0</v>
      </c>
      <c r="O144" s="7">
        <f t="shared" si="60"/>
        <v>5.3698735600158898</v>
      </c>
      <c r="P144" s="49">
        <f t="shared" si="61"/>
        <v>27.208881428848901</v>
      </c>
      <c r="Q144" s="54">
        <f t="shared" si="63"/>
        <v>3137.69440605413</v>
      </c>
      <c r="R144" s="55">
        <f t="shared" si="62"/>
        <v>70.514675375036106</v>
      </c>
    </row>
    <row r="145" ht="12.800000000000001">
      <c r="A145" s="1">
        <v>141</v>
      </c>
      <c r="B145" s="44">
        <v>43686</v>
      </c>
      <c r="C145" s="45">
        <f t="shared" si="48"/>
        <v>5.5786838494551096</v>
      </c>
      <c r="D145" s="3">
        <f t="shared" si="49"/>
        <v>5.5786838494551096</v>
      </c>
      <c r="E145" s="46">
        <f t="shared" si="50"/>
        <v>0</v>
      </c>
      <c r="F145" s="46">
        <f t="shared" si="51"/>
        <v>29.920007725263499</v>
      </c>
      <c r="G145" s="46">
        <f t="shared" si="52"/>
        <v>100</v>
      </c>
      <c r="H145" s="46">
        <f t="shared" si="53"/>
        <v>18.6453289072671</v>
      </c>
      <c r="I145" s="47">
        <f t="shared" si="54"/>
        <v>0</v>
      </c>
      <c r="J145" s="47">
        <f t="shared" si="55"/>
        <v>32.879129368421502</v>
      </c>
      <c r="K145" s="48">
        <f t="shared" si="56"/>
        <v>0</v>
      </c>
      <c r="L145" s="7">
        <f t="shared" si="57"/>
        <v>5.5786838494551096</v>
      </c>
      <c r="M145" s="7">
        <f t="shared" si="58"/>
        <v>0</v>
      </c>
      <c r="N145" s="7">
        <f t="shared" si="59"/>
        <v>0</v>
      </c>
      <c r="O145" s="7">
        <f t="shared" si="60"/>
        <v>5.5786838494551096</v>
      </c>
      <c r="P145" s="49">
        <f t="shared" si="61"/>
        <v>26.748707555833398</v>
      </c>
      <c r="Q145" s="54">
        <f t="shared" si="63"/>
        <v>3158.6452447543502</v>
      </c>
      <c r="R145" s="55">
        <f t="shared" si="62"/>
        <v>70.718426269494898</v>
      </c>
    </row>
    <row r="146" ht="12.800000000000001">
      <c r="A146" s="1">
        <v>142</v>
      </c>
      <c r="B146" s="44">
        <v>43687</v>
      </c>
      <c r="C146" s="45">
        <f t="shared" si="48"/>
        <v>5.7906347760816796</v>
      </c>
      <c r="D146" s="3">
        <f t="shared" si="49"/>
        <v>5.7906347760816796</v>
      </c>
      <c r="E146" s="46">
        <f t="shared" si="50"/>
        <v>0</v>
      </c>
      <c r="F146" s="46">
        <f t="shared" si="51"/>
        <v>29.7069020421714</v>
      </c>
      <c r="G146" s="46">
        <f t="shared" si="52"/>
        <v>100</v>
      </c>
      <c r="H146" s="46">
        <f t="shared" si="53"/>
        <v>19.4925568740268</v>
      </c>
      <c r="I146" s="47">
        <f t="shared" si="54"/>
        <v>0</v>
      </c>
      <c r="J146" s="47">
        <f t="shared" si="55"/>
        <v>32.644947299089402</v>
      </c>
      <c r="K146" s="48">
        <f t="shared" si="56"/>
        <v>0</v>
      </c>
      <c r="L146" s="7">
        <f t="shared" si="57"/>
        <v>5.7906347760816796</v>
      </c>
      <c r="M146" s="7">
        <f t="shared" si="58"/>
        <v>0</v>
      </c>
      <c r="N146" s="7">
        <f t="shared" si="59"/>
        <v>0</v>
      </c>
      <c r="O146" s="7">
        <f t="shared" si="60"/>
        <v>5.7906347760816796</v>
      </c>
      <c r="P146" s="49">
        <f t="shared" si="61"/>
        <v>26.2816123803183</v>
      </c>
      <c r="Q146" s="54">
        <f t="shared" si="63"/>
        <v>3179.2417495723398</v>
      </c>
      <c r="R146" s="55">
        <f t="shared" si="62"/>
        <v>70.918731199499803</v>
      </c>
    </row>
    <row r="147" ht="12.800000000000001">
      <c r="A147" s="1">
        <v>143</v>
      </c>
      <c r="B147" s="44">
        <v>43688</v>
      </c>
      <c r="C147" s="45">
        <f t="shared" si="48"/>
        <v>6.0056635342617701</v>
      </c>
      <c r="D147" s="3">
        <f t="shared" si="49"/>
        <v>6.0056635342617701</v>
      </c>
      <c r="E147" s="46">
        <f t="shared" si="50"/>
        <v>0</v>
      </c>
      <c r="F147" s="46">
        <f t="shared" si="51"/>
        <v>29.490701758804999</v>
      </c>
      <c r="G147" s="46">
        <f t="shared" si="52"/>
        <v>100</v>
      </c>
      <c r="H147" s="46">
        <f t="shared" si="53"/>
        <v>20.364600284456301</v>
      </c>
      <c r="I147" s="47">
        <f t="shared" si="54"/>
        <v>0</v>
      </c>
      <c r="J147" s="47">
        <f t="shared" si="55"/>
        <v>32.407364570115398</v>
      </c>
      <c r="K147" s="48">
        <f t="shared" si="56"/>
        <v>0</v>
      </c>
      <c r="L147" s="7">
        <f t="shared" si="57"/>
        <v>6.0056635342617701</v>
      </c>
      <c r="M147" s="7">
        <f t="shared" si="58"/>
        <v>0</v>
      </c>
      <c r="N147" s="7">
        <f t="shared" si="59"/>
        <v>0</v>
      </c>
      <c r="O147" s="7">
        <f t="shared" si="60"/>
        <v>6.0056635342617701</v>
      </c>
      <c r="P147" s="49">
        <f t="shared" si="61"/>
        <v>25.8077343126849</v>
      </c>
      <c r="Q147" s="54">
        <f t="shared" si="63"/>
        <v>3199.4785911051799</v>
      </c>
      <c r="R147" s="55">
        <f t="shared" si="62"/>
        <v>71.115538335592802</v>
      </c>
    </row>
    <row r="148" ht="12.800000000000001">
      <c r="A148" s="1">
        <v>144</v>
      </c>
      <c r="B148" s="44">
        <v>43689</v>
      </c>
      <c r="C148" s="45">
        <f t="shared" si="48"/>
        <v>6.2237064063336396</v>
      </c>
      <c r="D148" s="3">
        <f t="shared" si="49"/>
        <v>6.2237064063336396</v>
      </c>
      <c r="E148" s="46">
        <f t="shared" si="50"/>
        <v>0</v>
      </c>
      <c r="F148" s="46">
        <f t="shared" si="51"/>
        <v>29.2714709399744</v>
      </c>
      <c r="G148" s="46">
        <f t="shared" si="52"/>
        <v>100</v>
      </c>
      <c r="H148" s="46">
        <f t="shared" si="53"/>
        <v>21.262021369190101</v>
      </c>
      <c r="I148" s="47">
        <f t="shared" si="54"/>
        <v>0</v>
      </c>
      <c r="J148" s="47">
        <f t="shared" si="55"/>
        <v>32.166451582389499</v>
      </c>
      <c r="K148" s="48">
        <f t="shared" si="56"/>
        <v>0</v>
      </c>
      <c r="L148" s="7">
        <f t="shared" si="57"/>
        <v>6.2237064063336396</v>
      </c>
      <c r="M148" s="7">
        <f t="shared" si="58"/>
        <v>0</v>
      </c>
      <c r="N148" s="7">
        <f t="shared" si="59"/>
        <v>0</v>
      </c>
      <c r="O148" s="7">
        <f t="shared" si="60"/>
        <v>6.2237064063336396</v>
      </c>
      <c r="P148" s="49">
        <f t="shared" si="61"/>
        <v>25.327213773231701</v>
      </c>
      <c r="Q148" s="54">
        <f t="shared" si="63"/>
        <v>3219.35054652595</v>
      </c>
      <c r="R148" s="55">
        <f t="shared" si="62"/>
        <v>71.308796884787995</v>
      </c>
    </row>
    <row r="149" ht="12.800000000000001">
      <c r="A149" s="1">
        <v>145</v>
      </c>
      <c r="B149" s="44">
        <v>43690</v>
      </c>
      <c r="C149" s="45">
        <f t="shared" si="48"/>
        <v>6.4446987814885297</v>
      </c>
      <c r="D149" s="3">
        <f t="shared" si="49"/>
        <v>6.4446987814885297</v>
      </c>
      <c r="E149" s="46">
        <f t="shared" si="50"/>
        <v>0</v>
      </c>
      <c r="F149" s="46">
        <f t="shared" si="51"/>
        <v>29.049274548502598</v>
      </c>
      <c r="G149" s="46">
        <f t="shared" si="52"/>
        <v>100</v>
      </c>
      <c r="H149" s="46">
        <f t="shared" si="53"/>
        <v>22.1854035312587</v>
      </c>
      <c r="I149" s="47">
        <f t="shared" si="54"/>
        <v>0</v>
      </c>
      <c r="J149" s="47">
        <f t="shared" si="55"/>
        <v>31.922279723629199</v>
      </c>
      <c r="K149" s="48">
        <f t="shared" si="56"/>
        <v>0</v>
      </c>
      <c r="L149" s="7">
        <f t="shared" si="57"/>
        <v>6.4446987814885297</v>
      </c>
      <c r="M149" s="7">
        <f t="shared" si="58"/>
        <v>0</v>
      </c>
      <c r="N149" s="7">
        <f t="shared" si="59"/>
        <v>0</v>
      </c>
      <c r="O149" s="7">
        <f t="shared" si="60"/>
        <v>6.4446987814885297</v>
      </c>
      <c r="P149" s="49">
        <f t="shared" si="61"/>
        <v>24.8401931505649</v>
      </c>
      <c r="Q149" s="54">
        <f t="shared" si="63"/>
        <v>3238.85250113134</v>
      </c>
      <c r="R149" s="55">
        <f t="shared" si="62"/>
        <v>71.498457105622094</v>
      </c>
    </row>
    <row r="150" ht="12.800000000000001">
      <c r="A150" s="1">
        <v>146</v>
      </c>
      <c r="B150" s="44">
        <v>43691</v>
      </c>
      <c r="C150" s="45">
        <f t="shared" si="48"/>
        <v>6.66857517491629</v>
      </c>
      <c r="D150" s="3">
        <f t="shared" si="49"/>
        <v>6.66857517491629</v>
      </c>
      <c r="E150" s="46">
        <f t="shared" si="50"/>
        <v>0</v>
      </c>
      <c r="F150" s="46">
        <f t="shared" si="51"/>
        <v>28.824178425975699</v>
      </c>
      <c r="G150" s="46">
        <f t="shared" si="52"/>
        <v>100</v>
      </c>
      <c r="H150" s="46">
        <f t="shared" si="53"/>
        <v>23.1353521212827</v>
      </c>
      <c r="I150" s="47">
        <f t="shared" si="54"/>
        <v>0</v>
      </c>
      <c r="J150" s="47">
        <f t="shared" si="55"/>
        <v>31.674921347226</v>
      </c>
      <c r="K150" s="48">
        <f t="shared" si="56"/>
        <v>0</v>
      </c>
      <c r="L150" s="7">
        <f t="shared" si="57"/>
        <v>6.66857517491629</v>
      </c>
      <c r="M150" s="7">
        <f t="shared" si="58"/>
        <v>0</v>
      </c>
      <c r="N150" s="7">
        <f t="shared" si="59"/>
        <v>0</v>
      </c>
      <c r="O150" s="7">
        <f t="shared" si="60"/>
        <v>6.66857517491629</v>
      </c>
      <c r="P150" s="49">
        <f t="shared" si="61"/>
        <v>24.3468167594059</v>
      </c>
      <c r="Q150" s="54">
        <f t="shared" si="63"/>
        <v>3257.9794498572701</v>
      </c>
      <c r="R150" s="55">
        <f t="shared" si="62"/>
        <v>71.684470322894299</v>
      </c>
    </row>
    <row r="151" ht="12.800000000000001">
      <c r="A151" s="1">
        <v>147</v>
      </c>
      <c r="B151" s="44">
        <v>43692</v>
      </c>
      <c r="C151" s="45">
        <f t="shared" si="48"/>
        <v>6.89526924720988</v>
      </c>
      <c r="D151" s="3">
        <f t="shared" si="49"/>
        <v>6.89526924720988</v>
      </c>
      <c r="E151" s="46">
        <f t="shared" si="50"/>
        <v>0</v>
      </c>
      <c r="F151" s="46">
        <f t="shared" si="51"/>
        <v>28.5962492732328</v>
      </c>
      <c r="G151" s="46">
        <f t="shared" si="52"/>
        <v>100</v>
      </c>
      <c r="H151" s="46">
        <f t="shared" si="53"/>
        <v>24.112495248333602</v>
      </c>
      <c r="I151" s="47">
        <f t="shared" si="54"/>
        <v>0</v>
      </c>
      <c r="J151" s="47">
        <f t="shared" si="55"/>
        <v>31.424449750805302</v>
      </c>
      <c r="K151" s="48">
        <f t="shared" si="56"/>
        <v>0</v>
      </c>
      <c r="L151" s="7">
        <f t="shared" si="57"/>
        <v>6.89526924720988</v>
      </c>
      <c r="M151" s="7">
        <f t="shared" si="58"/>
        <v>0</v>
      </c>
      <c r="N151" s="7">
        <f t="shared" si="59"/>
        <v>0</v>
      </c>
      <c r="O151" s="7">
        <f t="shared" si="60"/>
        <v>6.89526924720988</v>
      </c>
      <c r="P151" s="49">
        <f t="shared" si="61"/>
        <v>23.8472307978274</v>
      </c>
      <c r="Q151" s="54">
        <f t="shared" si="63"/>
        <v>3276.7264987620201</v>
      </c>
      <c r="R151" s="55">
        <f t="shared" si="62"/>
        <v>71.8667889420894</v>
      </c>
    </row>
    <row r="152" ht="12.800000000000001">
      <c r="A152" s="1">
        <v>148</v>
      </c>
      <c r="B152" s="44">
        <v>43693</v>
      </c>
      <c r="C152" s="45">
        <f t="shared" si="48"/>
        <v>7.1247138240232299</v>
      </c>
      <c r="D152" s="3">
        <f t="shared" si="49"/>
        <v>7.1247138240232299</v>
      </c>
      <c r="E152" s="46">
        <f t="shared" si="50"/>
        <v>0</v>
      </c>
      <c r="F152" s="46">
        <f t="shared" si="51"/>
        <v>28.365554630601</v>
      </c>
      <c r="G152" s="46">
        <f t="shared" si="52"/>
        <v>100</v>
      </c>
      <c r="H152" s="46">
        <f t="shared" si="53"/>
        <v>25.117484628123702</v>
      </c>
      <c r="I152" s="47">
        <f t="shared" si="54"/>
        <v>0</v>
      </c>
      <c r="J152" s="47">
        <f t="shared" si="55"/>
        <v>31.170939154506598</v>
      </c>
      <c r="K152" s="48">
        <f t="shared" si="56"/>
        <v>0</v>
      </c>
      <c r="L152" s="7">
        <f t="shared" si="57"/>
        <v>7.1247138240232299</v>
      </c>
      <c r="M152" s="7">
        <f t="shared" si="58"/>
        <v>0</v>
      </c>
      <c r="N152" s="7">
        <f t="shared" si="59"/>
        <v>0</v>
      </c>
      <c r="O152" s="7">
        <f t="shared" si="60"/>
        <v>7.1247138240232299</v>
      </c>
      <c r="P152" s="49">
        <f t="shared" si="61"/>
        <v>23.3415833039316</v>
      </c>
      <c r="Q152" s="54">
        <f t="shared" si="63"/>
        <v>3295.0888664763402</v>
      </c>
      <c r="R152" s="55">
        <f t="shared" si="62"/>
        <v>72.045366463481699</v>
      </c>
    </row>
    <row r="153" ht="12.800000000000001">
      <c r="A153" s="1">
        <v>149</v>
      </c>
      <c r="B153" s="44">
        <v>43694</v>
      </c>
      <c r="C153" s="45">
        <f t="shared" si="48"/>
        <v>7.3568409159764201</v>
      </c>
      <c r="D153" s="3">
        <f t="shared" si="49"/>
        <v>7.3568409159764201</v>
      </c>
      <c r="E153" s="46">
        <f t="shared" si="50"/>
        <v>0</v>
      </c>
      <c r="F153" s="46">
        <f t="shared" si="51"/>
        <v>28.132162857881699</v>
      </c>
      <c r="G153" s="46">
        <f t="shared" si="52"/>
        <v>100</v>
      </c>
      <c r="H153" s="46">
        <f t="shared" si="53"/>
        <v>26.150996470274201</v>
      </c>
      <c r="I153" s="47">
        <f t="shared" si="54"/>
        <v>0</v>
      </c>
      <c r="J153" s="47">
        <f t="shared" si="55"/>
        <v>30.9144646789909</v>
      </c>
      <c r="K153" s="48">
        <f t="shared" si="56"/>
        <v>0</v>
      </c>
      <c r="L153" s="7">
        <f t="shared" si="57"/>
        <v>7.3568409159764201</v>
      </c>
      <c r="M153" s="7">
        <f t="shared" si="58"/>
        <v>0</v>
      </c>
      <c r="N153" s="7">
        <f t="shared" si="59"/>
        <v>0</v>
      </c>
      <c r="O153" s="7">
        <f t="shared" si="60"/>
        <v>7.3568409159764201</v>
      </c>
      <c r="P153" s="49">
        <f t="shared" si="61"/>
        <v>22.8300241119838</v>
      </c>
      <c r="Q153" s="54">
        <f t="shared" si="63"/>
        <v>3313.06188562037</v>
      </c>
      <c r="R153" s="55">
        <f t="shared" si="62"/>
        <v>72.220157495913398</v>
      </c>
    </row>
    <row r="154" ht="12.800000000000001">
      <c r="A154" s="1">
        <v>150</v>
      </c>
      <c r="B154" s="44">
        <v>43695</v>
      </c>
      <c r="C154" s="45">
        <f t="shared" si="48"/>
        <v>7.5915817388023799</v>
      </c>
      <c r="D154" s="3">
        <f t="shared" si="49"/>
        <v>7.5915817388023799</v>
      </c>
      <c r="E154" s="46">
        <f t="shared" si="50"/>
        <v>0</v>
      </c>
      <c r="F154" s="46">
        <f t="shared" si="51"/>
        <v>27.896143114094102</v>
      </c>
      <c r="G154" s="46">
        <f t="shared" si="52"/>
        <v>100</v>
      </c>
      <c r="H154" s="46">
        <f t="shared" si="53"/>
        <v>27.213732406494699</v>
      </c>
      <c r="I154" s="47">
        <f t="shared" si="54"/>
        <v>0</v>
      </c>
      <c r="J154" s="47">
        <f t="shared" si="55"/>
        <v>30.655102323180301</v>
      </c>
      <c r="K154" s="48">
        <f t="shared" si="56"/>
        <v>0</v>
      </c>
      <c r="L154" s="7">
        <f t="shared" si="57"/>
        <v>7.5915817388023799</v>
      </c>
      <c r="M154" s="7">
        <f t="shared" si="58"/>
        <v>0</v>
      </c>
      <c r="N154" s="7">
        <f t="shared" si="59"/>
        <v>0</v>
      </c>
      <c r="O154" s="7">
        <f t="shared" si="60"/>
        <v>7.5915817388023799</v>
      </c>
      <c r="P154" s="49">
        <f t="shared" si="61"/>
        <v>22.312704808012899</v>
      </c>
      <c r="Q154" s="54">
        <f t="shared" si="63"/>
        <v>3330.6410041866002</v>
      </c>
      <c r="R154" s="55">
        <f t="shared" si="62"/>
        <v>72.391117770245003</v>
      </c>
    </row>
    <row r="155" ht="12.800000000000001">
      <c r="A155" s="1">
        <v>151</v>
      </c>
      <c r="B155" s="44">
        <v>43696</v>
      </c>
      <c r="C155" s="45">
        <f t="shared" si="48"/>
        <v>7.82886673372919</v>
      </c>
      <c r="D155" s="3">
        <f t="shared" si="49"/>
        <v>7.82886673372919</v>
      </c>
      <c r="E155" s="46">
        <f t="shared" si="50"/>
        <v>0</v>
      </c>
      <c r="F155" s="46">
        <f t="shared" si="51"/>
        <v>27.657565336982099</v>
      </c>
      <c r="G155" s="46">
        <f t="shared" si="52"/>
        <v>100</v>
      </c>
      <c r="H155" s="46">
        <f t="shared" si="53"/>
        <v>28.306420461604699</v>
      </c>
      <c r="I155" s="47">
        <f t="shared" si="54"/>
        <v>0</v>
      </c>
      <c r="J155" s="47">
        <f t="shared" si="55"/>
        <v>30.392928941738599</v>
      </c>
      <c r="K155" s="48">
        <f t="shared" si="56"/>
        <v>0</v>
      </c>
      <c r="L155" s="7">
        <f t="shared" si="57"/>
        <v>7.82886673372919</v>
      </c>
      <c r="M155" s="7">
        <f t="shared" si="58"/>
        <v>0</v>
      </c>
      <c r="N155" s="7">
        <f t="shared" si="59"/>
        <v>0</v>
      </c>
      <c r="O155" s="7">
        <f t="shared" si="60"/>
        <v>7.82886673372919</v>
      </c>
      <c r="P155" s="49">
        <f t="shared" si="61"/>
        <v>21.789778684893299</v>
      </c>
      <c r="Q155" s="54">
        <f t="shared" si="63"/>
        <v>3347.82178688877</v>
      </c>
      <c r="R155" s="55">
        <f t="shared" si="62"/>
        <v>72.558204152473394</v>
      </c>
    </row>
    <row r="156" ht="12.800000000000001">
      <c r="A156" s="1">
        <v>152</v>
      </c>
      <c r="B156" s="44">
        <v>43697</v>
      </c>
      <c r="C156" s="45">
        <f t="shared" si="48"/>
        <v>8.0686255880918196</v>
      </c>
      <c r="D156" s="3">
        <f t="shared" si="49"/>
        <v>8.0686255880918196</v>
      </c>
      <c r="E156" s="46">
        <f t="shared" si="50"/>
        <v>0</v>
      </c>
      <c r="F156" s="46">
        <f t="shared" si="51"/>
        <v>27.416500222290001</v>
      </c>
      <c r="G156" s="46">
        <f t="shared" si="52"/>
        <v>100</v>
      </c>
      <c r="H156" s="46">
        <f t="shared" si="53"/>
        <v>29.4298160694191</v>
      </c>
      <c r="I156" s="47">
        <f t="shared" si="54"/>
        <v>0</v>
      </c>
      <c r="J156" s="47">
        <f t="shared" si="55"/>
        <v>30.1280222222967</v>
      </c>
      <c r="K156" s="48">
        <f t="shared" si="56"/>
        <v>0</v>
      </c>
      <c r="L156" s="7">
        <f t="shared" si="57"/>
        <v>8.0686255880918196</v>
      </c>
      <c r="M156" s="7">
        <f t="shared" si="58"/>
        <v>0</v>
      </c>
      <c r="N156" s="7">
        <f t="shared" si="59"/>
        <v>0</v>
      </c>
      <c r="O156" s="7">
        <f t="shared" si="60"/>
        <v>8.0686255880918196</v>
      </c>
      <c r="P156" s="49">
        <f t="shared" si="61"/>
        <v>21.2614006969211</v>
      </c>
      <c r="Q156" s="54">
        <f t="shared" si="63"/>
        <v>3364.5999164761402</v>
      </c>
      <c r="R156" s="55">
        <f t="shared" si="62"/>
        <v>72.721374656513206</v>
      </c>
    </row>
    <row r="157" ht="12.800000000000001">
      <c r="A157" s="1">
        <v>153</v>
      </c>
      <c r="B157" s="44">
        <v>43698</v>
      </c>
      <c r="C157" s="45">
        <f t="shared" si="48"/>
        <v>8.3107872561673108</v>
      </c>
      <c r="D157" s="3">
        <f t="shared" si="49"/>
        <v>8.3107872561673108</v>
      </c>
      <c r="E157" s="46">
        <f t="shared" si="50"/>
        <v>0</v>
      </c>
      <c r="F157" s="46">
        <f t="shared" si="51"/>
        <v>27.173019202813801</v>
      </c>
      <c r="G157" s="46">
        <f t="shared" si="52"/>
        <v>100</v>
      </c>
      <c r="H157" s="46">
        <f t="shared" si="53"/>
        <v>30.584703135626199</v>
      </c>
      <c r="I157" s="47">
        <f t="shared" si="54"/>
        <v>0</v>
      </c>
      <c r="J157" s="47">
        <f t="shared" si="55"/>
        <v>29.8604606624328</v>
      </c>
      <c r="K157" s="48">
        <f t="shared" si="56"/>
        <v>0</v>
      </c>
      <c r="L157" s="7">
        <f t="shared" si="57"/>
        <v>8.3107872561673108</v>
      </c>
      <c r="M157" s="7">
        <f t="shared" si="58"/>
        <v>0</v>
      </c>
      <c r="N157" s="7">
        <f t="shared" si="59"/>
        <v>0</v>
      </c>
      <c r="O157" s="7">
        <f t="shared" si="60"/>
        <v>8.3107872561673108</v>
      </c>
      <c r="P157" s="49">
        <f t="shared" si="61"/>
        <v>20.727727413897298</v>
      </c>
      <c r="Q157" s="54">
        <f t="shared" si="63"/>
        <v>3380.9711950127698</v>
      </c>
      <c r="R157" s="55">
        <f t="shared" si="62"/>
        <v>72.880588456638407</v>
      </c>
    </row>
    <row r="158" ht="12.800000000000001">
      <c r="A158" s="1">
        <v>154</v>
      </c>
      <c r="B158" s="44">
        <v>43699</v>
      </c>
      <c r="C158" s="45">
        <f t="shared" si="48"/>
        <v>8.5552799802271196</v>
      </c>
      <c r="D158" s="3">
        <f t="shared" si="49"/>
        <v>8.5552799802271196</v>
      </c>
      <c r="E158" s="46">
        <f t="shared" si="50"/>
        <v>0</v>
      </c>
      <c r="F158" s="46">
        <f t="shared" si="51"/>
        <v>26.927194427234401</v>
      </c>
      <c r="G158" s="46">
        <f t="shared" si="52"/>
        <v>100</v>
      </c>
      <c r="H158" s="46">
        <f t="shared" si="53"/>
        <v>31.771895149886898</v>
      </c>
      <c r="I158" s="47">
        <f t="shared" si="54"/>
        <v>0</v>
      </c>
      <c r="J158" s="47">
        <f t="shared" si="55"/>
        <v>29.590323546411401</v>
      </c>
      <c r="K158" s="48">
        <f t="shared" si="56"/>
        <v>0</v>
      </c>
      <c r="L158" s="7">
        <f t="shared" si="57"/>
        <v>8.5552799802271196</v>
      </c>
      <c r="M158" s="7">
        <f t="shared" si="58"/>
        <v>0</v>
      </c>
      <c r="N158" s="7">
        <f t="shared" si="59"/>
        <v>0</v>
      </c>
      <c r="O158" s="7">
        <f t="shared" si="60"/>
        <v>8.5552799802271196</v>
      </c>
      <c r="P158" s="49">
        <f t="shared" si="61"/>
        <v>20.188916974733299</v>
      </c>
      <c r="Q158" s="54">
        <f t="shared" si="63"/>
        <v>3396.9315451214702</v>
      </c>
      <c r="R158" s="55">
        <f t="shared" si="62"/>
        <v>73.035805899579699</v>
      </c>
    </row>
    <row r="159" ht="12.800000000000001">
      <c r="A159" s="1">
        <v>155</v>
      </c>
      <c r="B159" s="44">
        <v>43700</v>
      </c>
      <c r="C159" s="45">
        <f t="shared" si="48"/>
        <v>8.8020313118005298</v>
      </c>
      <c r="D159" s="3">
        <f t="shared" si="49"/>
        <v>8.8020313118005298</v>
      </c>
      <c r="E159" s="46">
        <f t="shared" si="50"/>
        <v>0</v>
      </c>
      <c r="F159" s="46">
        <f t="shared" si="51"/>
        <v>26.679098738738102</v>
      </c>
      <c r="G159" s="46">
        <f t="shared" si="52"/>
        <v>100</v>
      </c>
      <c r="H159" s="46">
        <f t="shared" si="53"/>
        <v>32.992236349498398</v>
      </c>
      <c r="I159" s="47">
        <f t="shared" si="54"/>
        <v>0</v>
      </c>
      <c r="J159" s="47">
        <f t="shared" si="55"/>
        <v>29.3176909216902</v>
      </c>
      <c r="K159" s="48">
        <f t="shared" si="56"/>
        <v>0</v>
      </c>
      <c r="L159" s="7">
        <f t="shared" si="57"/>
        <v>8.8020313118005298</v>
      </c>
      <c r="M159" s="7">
        <f t="shared" si="58"/>
        <v>0</v>
      </c>
      <c r="N159" s="7">
        <f t="shared" si="59"/>
        <v>0</v>
      </c>
      <c r="O159" s="7">
        <f t="shared" si="60"/>
        <v>8.8020313118005298</v>
      </c>
      <c r="P159" s="49">
        <f t="shared" si="61"/>
        <v>19.645129040590799</v>
      </c>
      <c r="Q159" s="54">
        <f t="shared" si="63"/>
        <v>3412.4770111920102</v>
      </c>
      <c r="R159" s="55">
        <f t="shared" si="62"/>
        <v>73.186988516274695</v>
      </c>
    </row>
    <row r="160" ht="12.800000000000001">
      <c r="A160" s="1">
        <v>156</v>
      </c>
      <c r="B160" s="44">
        <v>43701</v>
      </c>
      <c r="C160" s="45">
        <f t="shared" si="48"/>
        <v>9.0509681331426801</v>
      </c>
      <c r="D160" s="3">
        <f t="shared" si="49"/>
        <v>9.0509681331426801</v>
      </c>
      <c r="E160" s="46">
        <f t="shared" si="50"/>
        <v>0</v>
      </c>
      <c r="F160" s="46">
        <f t="shared" si="51"/>
        <v>26.428805653431802</v>
      </c>
      <c r="G160" s="46">
        <f t="shared" si="52"/>
        <v>100</v>
      </c>
      <c r="H160" s="46">
        <f t="shared" si="53"/>
        <v>34.246602937077597</v>
      </c>
      <c r="I160" s="47">
        <f t="shared" si="54"/>
        <v>0</v>
      </c>
      <c r="J160" s="47">
        <f t="shared" si="55"/>
        <v>29.042643575199701</v>
      </c>
      <c r="K160" s="48">
        <f t="shared" si="56"/>
        <v>0</v>
      </c>
      <c r="L160" s="7">
        <f t="shared" si="57"/>
        <v>9.0509681331426801</v>
      </c>
      <c r="M160" s="7">
        <f t="shared" si="58"/>
        <v>0</v>
      </c>
      <c r="N160" s="7">
        <f t="shared" si="59"/>
        <v>0</v>
      </c>
      <c r="O160" s="7">
        <f t="shared" si="60"/>
        <v>9.0509681331426801</v>
      </c>
      <c r="P160" s="49">
        <f t="shared" si="61"/>
        <v>19.096524747570399</v>
      </c>
      <c r="Q160" s="54">
        <f t="shared" si="63"/>
        <v>3427.6037605532701</v>
      </c>
      <c r="R160" s="55">
        <f t="shared" si="62"/>
        <v>73.334099033266895</v>
      </c>
    </row>
    <row r="161" ht="12.800000000000001">
      <c r="A161" s="1">
        <v>157</v>
      </c>
      <c r="B161" s="44">
        <v>43702</v>
      </c>
      <c r="C161" s="45">
        <f t="shared" si="48"/>
        <v>9.3020166789008893</v>
      </c>
      <c r="D161" s="3">
        <f t="shared" si="49"/>
        <v>9.3020166789008893</v>
      </c>
      <c r="E161" s="46">
        <f t="shared" si="50"/>
        <v>0</v>
      </c>
      <c r="F161" s="46">
        <f t="shared" si="51"/>
        <v>26.176389338558302</v>
      </c>
      <c r="G161" s="46">
        <f t="shared" si="52"/>
        <v>100</v>
      </c>
      <c r="H161" s="46">
        <f t="shared" si="53"/>
        <v>35.535904354841001</v>
      </c>
      <c r="I161" s="47">
        <f t="shared" si="54"/>
        <v>0</v>
      </c>
      <c r="J161" s="47">
        <f t="shared" si="55"/>
        <v>28.765263009404698</v>
      </c>
      <c r="K161" s="48">
        <f t="shared" si="56"/>
        <v>0</v>
      </c>
      <c r="L161" s="7">
        <f t="shared" si="57"/>
        <v>9.3020166789008893</v>
      </c>
      <c r="M161" s="7">
        <f t="shared" si="58"/>
        <v>0</v>
      </c>
      <c r="N161" s="7">
        <f t="shared" si="59"/>
        <v>0</v>
      </c>
      <c r="O161" s="7">
        <f t="shared" si="60"/>
        <v>9.3020166789008893</v>
      </c>
      <c r="P161" s="49">
        <f t="shared" si="61"/>
        <v>18.5432666589642</v>
      </c>
      <c r="Q161" s="54">
        <f t="shared" si="63"/>
        <v>3442.3080846088901</v>
      </c>
      <c r="R161" s="55">
        <f t="shared" si="62"/>
        <v>73.477101383751105</v>
      </c>
    </row>
    <row r="162" ht="12.800000000000001">
      <c r="A162" s="1">
        <v>158</v>
      </c>
      <c r="B162" s="44">
        <v>43703</v>
      </c>
      <c r="C162" s="45">
        <f t="shared" si="48"/>
        <v>9.5551025579729796</v>
      </c>
      <c r="D162" s="3">
        <f t="shared" si="49"/>
        <v>9.5551025579729796</v>
      </c>
      <c r="E162" s="46">
        <f t="shared" si="50"/>
        <v>0</v>
      </c>
      <c r="F162" s="46">
        <f t="shared" si="51"/>
        <v>25.921924590519399</v>
      </c>
      <c r="G162" s="46">
        <f t="shared" si="52"/>
        <v>100</v>
      </c>
      <c r="H162" s="46">
        <f t="shared" si="53"/>
        <v>36.861084618183099</v>
      </c>
      <c r="I162" s="47">
        <f t="shared" si="54"/>
        <v>0</v>
      </c>
      <c r="J162" s="47">
        <f t="shared" si="55"/>
        <v>28.485631418153201</v>
      </c>
      <c r="K162" s="48">
        <f t="shared" si="56"/>
        <v>0</v>
      </c>
      <c r="L162" s="7">
        <f t="shared" si="57"/>
        <v>9.5551025579729796</v>
      </c>
      <c r="M162" s="7">
        <f t="shared" si="58"/>
        <v>0</v>
      </c>
      <c r="N162" s="7">
        <f t="shared" si="59"/>
        <v>0</v>
      </c>
      <c r="O162" s="7">
        <f t="shared" si="60"/>
        <v>9.5551025579729796</v>
      </c>
      <c r="P162" s="49">
        <f t="shared" si="61"/>
        <v>17.985518717083998</v>
      </c>
      <c r="Q162" s="54">
        <f t="shared" si="63"/>
        <v>3456.5863999363</v>
      </c>
      <c r="R162" s="55">
        <f t="shared" si="62"/>
        <v>73.615960718260297</v>
      </c>
    </row>
    <row r="163" ht="12.800000000000001">
      <c r="A163" s="1">
        <v>159</v>
      </c>
      <c r="B163" s="44">
        <v>43704</v>
      </c>
      <c r="C163" s="45">
        <f t="shared" si="48"/>
        <v>9.8101507755509605</v>
      </c>
      <c r="D163" s="3">
        <f t="shared" si="49"/>
        <v>9.8101507755509605</v>
      </c>
      <c r="E163" s="46">
        <f t="shared" si="50"/>
        <v>0</v>
      </c>
      <c r="F163" s="46">
        <f t="shared" si="51"/>
        <v>25.665486812711801</v>
      </c>
      <c r="G163" s="46">
        <f t="shared" si="52"/>
        <v>100</v>
      </c>
      <c r="H163" s="46">
        <f t="shared" si="53"/>
        <v>38.223123711380801</v>
      </c>
      <c r="I163" s="47">
        <f t="shared" si="54"/>
        <v>0</v>
      </c>
      <c r="J163" s="47">
        <f t="shared" si="55"/>
        <v>28.203831662320699</v>
      </c>
      <c r="K163" s="48">
        <f t="shared" si="56"/>
        <v>0</v>
      </c>
      <c r="L163" s="7">
        <f t="shared" si="57"/>
        <v>9.8101507755509605</v>
      </c>
      <c r="M163" s="7">
        <f t="shared" si="58"/>
        <v>0</v>
      </c>
      <c r="N163" s="7">
        <f t="shared" si="59"/>
        <v>0</v>
      </c>
      <c r="O163" s="7">
        <f t="shared" si="60"/>
        <v>9.8101507755509605</v>
      </c>
      <c r="P163" s="49">
        <f t="shared" si="61"/>
        <v>17.423446194682199</v>
      </c>
      <c r="Q163" s="54">
        <f t="shared" si="63"/>
        <v>3470.4352493484498</v>
      </c>
      <c r="R163" s="55">
        <f t="shared" si="62"/>
        <v>73.750643414992794</v>
      </c>
    </row>
    <row r="164" ht="12.800000000000001">
      <c r="A164" s="1">
        <v>160</v>
      </c>
      <c r="B164" s="44">
        <v>43705</v>
      </c>
      <c r="C164" s="45">
        <f t="shared" ref="C164:C227" si="64">V$30-V$30*SIN(2*PI()/365*A164)</f>
        <v>10.0670857553435</v>
      </c>
      <c r="D164" s="3">
        <f t="shared" ref="D164:D227" si="65">IF((E164+F164)&gt;C164,C164,E164+F164)</f>
        <v>10.0670857553435</v>
      </c>
      <c r="E164" s="46">
        <f t="shared" ref="E164:E227" si="66">(V$27+V$28*SIN(2*PI()/365*A164))*V$29/100*V$9*V$10/100</f>
        <v>0</v>
      </c>
      <c r="F164" s="46">
        <f t="shared" ref="F164:F227" si="67">(V$27+V$28*SIN(2*PI()/365*A164))*V$29/100*V$11*(1-V$18/100)*(1-V$20/100)</f>
        <v>25.407151993183302</v>
      </c>
      <c r="G164" s="46">
        <f t="shared" ref="G164:G227" si="68">IF(C164&gt;E164,100,C164/E164*100)</f>
        <v>100</v>
      </c>
      <c r="H164" s="46">
        <f t="shared" ref="H164:H227" si="69">L164/F164*100</f>
        <v>39.623039048392798</v>
      </c>
      <c r="I164" s="47">
        <f t="shared" ref="I164:I227" si="70">(V$27+V$28*SIN(2*PI()/365*A164))*V$29/100*V$9*V$10/100*(1-V$19/100)</f>
        <v>0</v>
      </c>
      <c r="J164" s="47">
        <f t="shared" ref="J164:J227" si="71">(V$27+V$28*SIN(2*PI()/365*A164))*V$29/100*V$11*(1-V$18/100)</f>
        <v>27.919947245256399</v>
      </c>
      <c r="K164" s="48">
        <f t="shared" ref="K164:K227" si="72">IF(E164/C164*100&lt;100,E164/C164*100,100)</f>
        <v>0</v>
      </c>
      <c r="L164" s="7">
        <f t="shared" ref="L164:L227" si="73">IF(((C164-E164)&gt;0)*AND(F164&gt;(C164-E164)),(C164-E164),IF(C164&lt;E164,0,F164))</f>
        <v>10.0670857553435</v>
      </c>
      <c r="M164" s="7">
        <f t="shared" ref="M164:M227" si="74">IF(C164&lt;(E164+F164),0,C164-E164-F164)</f>
        <v>0</v>
      </c>
      <c r="N164" s="7">
        <f t="shared" ref="N164:N227" si="75">IF(C164&lt;(E164+F164),0,(C164-E164-F164)/(1-V$20/100))</f>
        <v>0</v>
      </c>
      <c r="O164" s="7">
        <f t="shared" ref="O164:O227" si="76">L164+M164</f>
        <v>10.0670857553435</v>
      </c>
      <c r="P164" s="49">
        <f t="shared" ref="P164:P227" si="77">IF(N164=0,I164*(1-G164/100)+J164*(1-H164/100),-N164)</f>
        <v>16.857215645977799</v>
      </c>
      <c r="Q164" s="54">
        <f t="shared" si="63"/>
        <v>3483.85130291836</v>
      </c>
      <c r="R164" s="55">
        <f t="shared" ref="R164:R227" si="78">R$4+Q164/V$32</f>
        <v>73.881117089774406</v>
      </c>
    </row>
    <row r="165" ht="12.800000000000001">
      <c r="A165" s="1">
        <v>161</v>
      </c>
      <c r="B165" s="44">
        <v>43706</v>
      </c>
      <c r="C165" s="45">
        <f t="shared" si="64"/>
        <v>10.325831361971099</v>
      </c>
      <c r="D165" s="3">
        <f t="shared" si="65"/>
        <v>10.325831361971099</v>
      </c>
      <c r="E165" s="46">
        <f t="shared" si="66"/>
        <v>0</v>
      </c>
      <c r="F165" s="46">
        <f t="shared" si="67"/>
        <v>25.146996682116399</v>
      </c>
      <c r="G165" s="46">
        <f t="shared" si="68"/>
        <v>100</v>
      </c>
      <c r="H165" s="46">
        <f t="shared" si="69"/>
        <v>41.061887001856199</v>
      </c>
      <c r="I165" s="47">
        <f t="shared" si="70"/>
        <v>0</v>
      </c>
      <c r="J165" s="47">
        <f t="shared" si="71"/>
        <v>27.634062288039999</v>
      </c>
      <c r="K165" s="48">
        <f t="shared" si="72"/>
        <v>0</v>
      </c>
      <c r="L165" s="7">
        <f t="shared" si="73"/>
        <v>10.325831361971099</v>
      </c>
      <c r="M165" s="7">
        <f t="shared" si="74"/>
        <v>0</v>
      </c>
      <c r="N165" s="7">
        <f t="shared" si="75"/>
        <v>0</v>
      </c>
      <c r="O165" s="7">
        <f t="shared" si="76"/>
        <v>10.325831361971099</v>
      </c>
      <c r="P165" s="49">
        <f t="shared" si="77"/>
        <v>16.286994857302499</v>
      </c>
      <c r="Q165" s="54">
        <f t="shared" ref="Q165:Q228" si="79">IF(P164&gt;0,Q164+P164*(1-V$24/100),Q164+P164)</f>
        <v>3496.83135896576</v>
      </c>
      <c r="R165" s="55">
        <f t="shared" si="78"/>
        <v>74.007350605655404</v>
      </c>
    </row>
    <row r="166" ht="12.800000000000001">
      <c r="A166" s="1">
        <v>162</v>
      </c>
      <c r="B166" s="44">
        <v>43707</v>
      </c>
      <c r="C166" s="45">
        <f t="shared" si="64"/>
        <v>10.5863109235263</v>
      </c>
      <c r="D166" s="3">
        <f t="shared" si="65"/>
        <v>10.5863109235263</v>
      </c>
      <c r="E166" s="46">
        <f t="shared" si="66"/>
        <v>0</v>
      </c>
      <c r="F166" s="46">
        <f t="shared" si="67"/>
        <v>24.885097969144201</v>
      </c>
      <c r="G166" s="46">
        <f t="shared" si="68"/>
        <v>100</v>
      </c>
      <c r="H166" s="46">
        <f t="shared" si="69"/>
        <v>42.540764503529701</v>
      </c>
      <c r="I166" s="47">
        <f t="shared" si="70"/>
        <v>0</v>
      </c>
      <c r="J166" s="47">
        <f t="shared" si="71"/>
        <v>27.3462615045541</v>
      </c>
      <c r="K166" s="48">
        <f t="shared" si="72"/>
        <v>0</v>
      </c>
      <c r="L166" s="7">
        <f t="shared" si="73"/>
        <v>10.5863109235263</v>
      </c>
      <c r="M166" s="7">
        <f t="shared" si="74"/>
        <v>0</v>
      </c>
      <c r="N166" s="7">
        <f t="shared" si="75"/>
        <v>0</v>
      </c>
      <c r="O166" s="7">
        <f t="shared" si="76"/>
        <v>10.5863109235263</v>
      </c>
      <c r="P166" s="49">
        <f t="shared" si="77"/>
        <v>15.7129527973823</v>
      </c>
      <c r="Q166" s="54">
        <f t="shared" si="79"/>
        <v>3509.3723450058801</v>
      </c>
      <c r="R166" s="55">
        <f t="shared" si="78"/>
        <v>74.129314082136403</v>
      </c>
    </row>
    <row r="167" ht="12.800000000000001">
      <c r="A167" s="1">
        <v>163</v>
      </c>
      <c r="B167" s="44">
        <v>43708</v>
      </c>
      <c r="C167" s="45">
        <f t="shared" si="64"/>
        <v>10.848447254293299</v>
      </c>
      <c r="D167" s="3">
        <f t="shared" si="65"/>
        <v>10.848447254293299</v>
      </c>
      <c r="E167" s="46">
        <f t="shared" si="66"/>
        <v>0</v>
      </c>
      <c r="F167" s="46">
        <f t="shared" si="67"/>
        <v>24.621533460507798</v>
      </c>
      <c r="G167" s="46">
        <f t="shared" si="68"/>
        <v>100</v>
      </c>
      <c r="H167" s="46">
        <f t="shared" si="69"/>
        <v>44.060810719583699</v>
      </c>
      <c r="I167" s="47">
        <f t="shared" si="70"/>
        <v>0</v>
      </c>
      <c r="J167" s="47">
        <f t="shared" si="71"/>
        <v>27.0566301763822</v>
      </c>
      <c r="K167" s="48">
        <f t="shared" si="72"/>
        <v>0</v>
      </c>
      <c r="L167" s="7">
        <f t="shared" si="73"/>
        <v>10.848447254293299</v>
      </c>
      <c r="M167" s="7">
        <f t="shared" si="74"/>
        <v>0</v>
      </c>
      <c r="N167" s="7">
        <f t="shared" si="75"/>
        <v>0</v>
      </c>
      <c r="O167" s="7">
        <f t="shared" si="76"/>
        <v>10.848447254293299</v>
      </c>
      <c r="P167" s="49">
        <f t="shared" si="77"/>
        <v>15.1352595672686</v>
      </c>
      <c r="Q167" s="54">
        <f t="shared" si="79"/>
        <v>3521.4713186598701</v>
      </c>
      <c r="R167" s="55">
        <f t="shared" si="78"/>
        <v>74.246978904022797</v>
      </c>
    </row>
    <row r="168" ht="12.800000000000001">
      <c r="A168" s="1">
        <v>164</v>
      </c>
      <c r="B168" s="44">
        <v>43709</v>
      </c>
      <c r="C168" s="45">
        <f t="shared" si="64"/>
        <v>11.112162677620001</v>
      </c>
      <c r="D168" s="3">
        <f t="shared" si="65"/>
        <v>11.112162677620001</v>
      </c>
      <c r="E168" s="46">
        <f t="shared" si="66"/>
        <v>0</v>
      </c>
      <c r="F168" s="46">
        <f t="shared" si="67"/>
        <v>24.356381256059102</v>
      </c>
      <c r="G168" s="46">
        <f t="shared" si="68"/>
        <v>100</v>
      </c>
      <c r="H168" s="46">
        <f t="shared" si="69"/>
        <v>45.623208804286797</v>
      </c>
      <c r="I168" s="47">
        <f t="shared" si="70"/>
        <v>0</v>
      </c>
      <c r="J168" s="47">
        <f t="shared" si="71"/>
        <v>26.765254127537499</v>
      </c>
      <c r="K168" s="48">
        <f t="shared" si="72"/>
        <v>0</v>
      </c>
      <c r="L168" s="7">
        <f t="shared" si="73"/>
        <v>11.112162677620001</v>
      </c>
      <c r="M168" s="7">
        <f t="shared" si="74"/>
        <v>0</v>
      </c>
      <c r="N168" s="7">
        <f t="shared" si="75"/>
        <v>0</v>
      </c>
      <c r="O168" s="7">
        <f t="shared" si="76"/>
        <v>11.112162677620001</v>
      </c>
      <c r="P168" s="49">
        <f t="shared" si="77"/>
        <v>14.554086349933099</v>
      </c>
      <c r="Q168" s="54">
        <f t="shared" si="79"/>
        <v>3533.1254685266599</v>
      </c>
      <c r="R168" s="55">
        <f t="shared" si="78"/>
        <v>74.360317729904395</v>
      </c>
    </row>
    <row r="169" ht="12.800000000000001">
      <c r="A169" s="1">
        <v>165</v>
      </c>
      <c r="B169" s="44">
        <v>43710</v>
      </c>
      <c r="C169" s="45">
        <f t="shared" si="64"/>
        <v>11.377379048935101</v>
      </c>
      <c r="D169" s="3">
        <f t="shared" si="65"/>
        <v>11.377379048935101</v>
      </c>
      <c r="E169" s="46">
        <f t="shared" si="66"/>
        <v>0</v>
      </c>
      <c r="F169" s="46">
        <f t="shared" si="67"/>
        <v>24.089719926118899</v>
      </c>
      <c r="G169" s="46">
        <f t="shared" si="68"/>
        <v>100</v>
      </c>
      <c r="H169" s="46">
        <f t="shared" si="69"/>
        <v>47.229187735799798</v>
      </c>
      <c r="I169" s="47">
        <f t="shared" si="70"/>
        <v>0</v>
      </c>
      <c r="J169" s="47">
        <f t="shared" si="71"/>
        <v>26.472219699031701</v>
      </c>
      <c r="K169" s="48">
        <f t="shared" si="72"/>
        <v>0</v>
      </c>
      <c r="L169" s="7">
        <f t="shared" si="73"/>
        <v>11.377379048935101</v>
      </c>
      <c r="M169" s="7">
        <f t="shared" si="74"/>
        <v>0</v>
      </c>
      <c r="N169" s="7">
        <f t="shared" si="75"/>
        <v>0</v>
      </c>
      <c r="O169" s="7">
        <f t="shared" si="76"/>
        <v>11.377379048935101</v>
      </c>
      <c r="P169" s="49">
        <f t="shared" si="77"/>
        <v>13.9696053595426</v>
      </c>
      <c r="Q169" s="54">
        <f t="shared" si="79"/>
        <v>3544.33211501611</v>
      </c>
      <c r="R169" s="55">
        <f t="shared" si="78"/>
        <v>74.469304500256698</v>
      </c>
    </row>
    <row r="170" ht="12.800000000000001">
      <c r="A170" s="1">
        <v>166</v>
      </c>
      <c r="B170" s="44">
        <v>43711</v>
      </c>
      <c r="C170" s="45">
        <f t="shared" si="64"/>
        <v>11.6440177789037</v>
      </c>
      <c r="D170" s="3">
        <f t="shared" si="65"/>
        <v>11.6440177789037</v>
      </c>
      <c r="E170" s="46">
        <f t="shared" si="66"/>
        <v>0</v>
      </c>
      <c r="F170" s="46">
        <f t="shared" si="67"/>
        <v>23.821628488194101</v>
      </c>
      <c r="G170" s="46">
        <f t="shared" si="68"/>
        <v>100</v>
      </c>
      <c r="H170" s="46">
        <f t="shared" si="69"/>
        <v>48.880024237950202</v>
      </c>
      <c r="I170" s="47">
        <f t="shared" si="70"/>
        <v>0</v>
      </c>
      <c r="J170" s="47">
        <f t="shared" si="71"/>
        <v>26.1776137232903</v>
      </c>
      <c r="K170" s="48">
        <f t="shared" si="72"/>
        <v>0</v>
      </c>
      <c r="L170" s="7">
        <f t="shared" si="73"/>
        <v>11.6440177789037</v>
      </c>
      <c r="M170" s="7">
        <f t="shared" si="74"/>
        <v>0</v>
      </c>
      <c r="N170" s="7">
        <f t="shared" si="75"/>
        <v>0</v>
      </c>
      <c r="O170" s="7">
        <f t="shared" si="76"/>
        <v>11.6440177789037</v>
      </c>
      <c r="P170" s="49">
        <f t="shared" si="77"/>
        <v>13.381989790428999</v>
      </c>
      <c r="Q170" s="54">
        <f t="shared" si="79"/>
        <v>3555.0887111429602</v>
      </c>
      <c r="R170" s="55">
        <f t="shared" si="78"/>
        <v>74.573914445163297</v>
      </c>
    </row>
    <row r="171" ht="12.800000000000001">
      <c r="A171" s="1">
        <v>167</v>
      </c>
      <c r="B171" s="44">
        <v>43712</v>
      </c>
      <c r="C171" s="45">
        <f t="shared" si="64"/>
        <v>11.9119998567159</v>
      </c>
      <c r="D171" s="3">
        <f t="shared" si="65"/>
        <v>11.9119998567159</v>
      </c>
      <c r="E171" s="46">
        <f t="shared" si="66"/>
        <v>0</v>
      </c>
      <c r="F171" s="46">
        <f t="shared" si="67"/>
        <v>23.5521863835638</v>
      </c>
      <c r="G171" s="46">
        <f t="shared" si="68"/>
        <v>100</v>
      </c>
      <c r="H171" s="46">
        <f t="shared" si="69"/>
        <v>50.577044792023202</v>
      </c>
      <c r="I171" s="47">
        <f t="shared" si="70"/>
        <v>0</v>
      </c>
      <c r="J171" s="47">
        <f t="shared" si="71"/>
        <v>25.881523498421799</v>
      </c>
      <c r="K171" s="48">
        <f t="shared" si="72"/>
        <v>0</v>
      </c>
      <c r="L171" s="7">
        <f t="shared" si="73"/>
        <v>11.9119998567159</v>
      </c>
      <c r="M171" s="7">
        <f t="shared" si="74"/>
        <v>0</v>
      </c>
      <c r="N171" s="7">
        <f t="shared" si="75"/>
        <v>0</v>
      </c>
      <c r="O171" s="7">
        <f t="shared" si="76"/>
        <v>11.9119998567159</v>
      </c>
      <c r="P171" s="49">
        <f t="shared" si="77"/>
        <v>12.791413765767</v>
      </c>
      <c r="Q171" s="54">
        <f t="shared" si="79"/>
        <v>3565.3928432815901</v>
      </c>
      <c r="R171" s="55">
        <f t="shared" si="78"/>
        <v>74.674124091655599</v>
      </c>
    </row>
    <row r="172" ht="12.800000000000001">
      <c r="A172" s="1">
        <v>168</v>
      </c>
      <c r="B172" s="44">
        <v>43713</v>
      </c>
      <c r="C172" s="45">
        <f t="shared" si="64"/>
        <v>12.181245873498201</v>
      </c>
      <c r="D172" s="3">
        <f t="shared" si="65"/>
        <v>12.181245873498201</v>
      </c>
      <c r="E172" s="46">
        <f t="shared" si="66"/>
        <v>0</v>
      </c>
      <c r="F172" s="46">
        <f t="shared" si="67"/>
        <v>23.281473453738599</v>
      </c>
      <c r="G172" s="46">
        <f t="shared" si="68"/>
        <v>100</v>
      </c>
      <c r="H172" s="46">
        <f t="shared" si="69"/>
        <v>52.321627742775497</v>
      </c>
      <c r="I172" s="47">
        <f t="shared" si="70"/>
        <v>0</v>
      </c>
      <c r="J172" s="47">
        <f t="shared" si="71"/>
        <v>25.584036762350099</v>
      </c>
      <c r="K172" s="48">
        <f t="shared" si="72"/>
        <v>0</v>
      </c>
      <c r="L172" s="7">
        <f t="shared" si="73"/>
        <v>12.181245873498201</v>
      </c>
      <c r="M172" s="7">
        <f t="shared" si="74"/>
        <v>0</v>
      </c>
      <c r="N172" s="7">
        <f t="shared" si="75"/>
        <v>0</v>
      </c>
      <c r="O172" s="7">
        <f t="shared" si="76"/>
        <v>12.181245873498201</v>
      </c>
      <c r="P172" s="49">
        <f t="shared" si="77"/>
        <v>12.1980522859785</v>
      </c>
      <c r="Q172" s="54">
        <f t="shared" si="79"/>
        <v>3575.2422318812301</v>
      </c>
      <c r="R172" s="55">
        <f t="shared" si="78"/>
        <v>74.769911270668601</v>
      </c>
    </row>
    <row r="173" ht="12.800000000000001">
      <c r="A173" s="1">
        <v>169</v>
      </c>
      <c r="B173" s="44">
        <v>43714</v>
      </c>
      <c r="C173" s="45">
        <f t="shared" si="64"/>
        <v>12.4516760458453</v>
      </c>
      <c r="D173" s="3">
        <f t="shared" si="65"/>
        <v>12.4516760458453</v>
      </c>
      <c r="E173" s="46">
        <f t="shared" si="66"/>
        <v>0</v>
      </c>
      <c r="F173" s="46">
        <f t="shared" si="67"/>
        <v>23.0095699168021</v>
      </c>
      <c r="G173" s="46">
        <f t="shared" si="68"/>
        <v>100</v>
      </c>
      <c r="H173" s="46">
        <f t="shared" si="69"/>
        <v>54.115205503049403</v>
      </c>
      <c r="I173" s="47">
        <f t="shared" si="70"/>
        <v>0</v>
      </c>
      <c r="J173" s="47">
        <f t="shared" si="71"/>
        <v>25.285241666815502</v>
      </c>
      <c r="K173" s="48">
        <f t="shared" si="72"/>
        <v>0</v>
      </c>
      <c r="L173" s="7">
        <f t="shared" si="73"/>
        <v>12.4516760458453</v>
      </c>
      <c r="M173" s="7">
        <f t="shared" si="74"/>
        <v>0</v>
      </c>
      <c r="N173" s="7">
        <f t="shared" si="75"/>
        <v>0</v>
      </c>
      <c r="O173" s="7">
        <f t="shared" si="76"/>
        <v>12.4516760458453</v>
      </c>
      <c r="P173" s="49">
        <f t="shared" si="77"/>
        <v>11.6020811768756</v>
      </c>
      <c r="Q173" s="54">
        <f t="shared" si="79"/>
        <v>3584.63473214143</v>
      </c>
      <c r="R173" s="55">
        <f t="shared" si="78"/>
        <v>74.861255123609496</v>
      </c>
    </row>
    <row r="174" ht="12.800000000000001">
      <c r="A174" s="1">
        <v>170</v>
      </c>
      <c r="B174" s="44">
        <v>43715</v>
      </c>
      <c r="C174" s="45">
        <f t="shared" si="64"/>
        <v>12.723210239460601</v>
      </c>
      <c r="D174" s="3">
        <f t="shared" si="65"/>
        <v>12.723210239460601</v>
      </c>
      <c r="E174" s="46">
        <f t="shared" si="66"/>
        <v>0</v>
      </c>
      <c r="F174" s="46">
        <f t="shared" si="67"/>
        <v>22.736556343640402</v>
      </c>
      <c r="G174" s="46">
        <f t="shared" si="68"/>
        <v>100</v>
      </c>
      <c r="H174" s="46">
        <f t="shared" si="69"/>
        <v>55.959266861533301</v>
      </c>
      <c r="I174" s="47">
        <f t="shared" si="70"/>
        <v>0</v>
      </c>
      <c r="J174" s="47">
        <f t="shared" si="71"/>
        <v>24.985226751253101</v>
      </c>
      <c r="K174" s="48">
        <f t="shared" si="72"/>
        <v>0</v>
      </c>
      <c r="L174" s="7">
        <f t="shared" si="73"/>
        <v>12.723210239460601</v>
      </c>
      <c r="M174" s="7">
        <f t="shared" si="74"/>
        <v>0</v>
      </c>
      <c r="N174" s="7">
        <f t="shared" si="75"/>
        <v>0</v>
      </c>
      <c r="O174" s="7">
        <f t="shared" si="76"/>
        <v>12.723210239460601</v>
      </c>
      <c r="P174" s="49">
        <f t="shared" si="77"/>
        <v>11.0036770375602</v>
      </c>
      <c r="Q174" s="54">
        <f t="shared" si="79"/>
        <v>3593.5683346476299</v>
      </c>
      <c r="R174" s="55">
        <f t="shared" si="78"/>
        <v>74.948136108539103</v>
      </c>
    </row>
    <row r="175" ht="12.800000000000001">
      <c r="A175" s="1">
        <v>171</v>
      </c>
      <c r="B175" s="44">
        <v>43716</v>
      </c>
      <c r="C175" s="45">
        <f t="shared" si="64"/>
        <v>12.995767992902399</v>
      </c>
      <c r="D175" s="3">
        <f t="shared" si="65"/>
        <v>12.995767992902399</v>
      </c>
      <c r="E175" s="46">
        <f t="shared" si="66"/>
        <v>0</v>
      </c>
      <c r="F175" s="46">
        <f t="shared" si="67"/>
        <v>22.4625136340673</v>
      </c>
      <c r="G175" s="46">
        <f t="shared" si="68"/>
        <v>100</v>
      </c>
      <c r="H175" s="46">
        <f t="shared" si="69"/>
        <v>57.855359398391698</v>
      </c>
      <c r="I175" s="47">
        <f t="shared" si="70"/>
        <v>0</v>
      </c>
      <c r="J175" s="47">
        <f t="shared" si="71"/>
        <v>24.684080916557399</v>
      </c>
      <c r="K175" s="48">
        <f t="shared" si="72"/>
        <v>0</v>
      </c>
      <c r="L175" s="7">
        <f t="shared" si="73"/>
        <v>12.995767992902399</v>
      </c>
      <c r="M175" s="7">
        <f t="shared" si="74"/>
        <v>0</v>
      </c>
      <c r="N175" s="7">
        <f t="shared" si="75"/>
        <v>0</v>
      </c>
      <c r="O175" s="7">
        <f t="shared" si="76"/>
        <v>12.995767992902399</v>
      </c>
      <c r="P175" s="49">
        <f t="shared" si="77"/>
        <v>10.403017188093299</v>
      </c>
      <c r="Q175" s="54">
        <f t="shared" si="79"/>
        <v>3602.0411659665501</v>
      </c>
      <c r="R175" s="55">
        <f t="shared" si="78"/>
        <v>75.030536005962304</v>
      </c>
    </row>
    <row r="176" ht="12.800000000000001">
      <c r="A176" s="1">
        <v>172</v>
      </c>
      <c r="B176" s="44">
        <v>43717</v>
      </c>
      <c r="C176" s="45">
        <f t="shared" si="64"/>
        <v>13.269268541425999</v>
      </c>
      <c r="D176" s="3">
        <f t="shared" si="65"/>
        <v>13.269268541425999</v>
      </c>
      <c r="E176" s="46">
        <f t="shared" si="66"/>
        <v>0</v>
      </c>
      <c r="F176" s="46">
        <f t="shared" si="67"/>
        <v>22.187522992851999</v>
      </c>
      <c r="G176" s="46">
        <f t="shared" si="68"/>
        <v>100</v>
      </c>
      <c r="H176" s="46">
        <f t="shared" si="69"/>
        <v>59.8050920136549</v>
      </c>
      <c r="I176" s="47">
        <f t="shared" si="70"/>
        <v>0</v>
      </c>
      <c r="J176" s="47">
        <f t="shared" si="71"/>
        <v>24.381893398738502</v>
      </c>
      <c r="K176" s="48">
        <f t="shared" si="72"/>
        <v>0</v>
      </c>
      <c r="L176" s="7">
        <f t="shared" si="73"/>
        <v>13.269268541425999</v>
      </c>
      <c r="M176" s="7">
        <f t="shared" si="74"/>
        <v>0</v>
      </c>
      <c r="N176" s="7">
        <f t="shared" si="75"/>
        <v>0</v>
      </c>
      <c r="O176" s="7">
        <f t="shared" si="76"/>
        <v>13.269268541425999</v>
      </c>
      <c r="P176" s="49">
        <f t="shared" si="77"/>
        <v>9.8002796169516806</v>
      </c>
      <c r="Q176" s="54">
        <f t="shared" si="79"/>
        <v>3610.0514892013798</v>
      </c>
      <c r="R176" s="55">
        <f t="shared" si="78"/>
        <v>75.108437924227005</v>
      </c>
    </row>
    <row r="177" ht="12.800000000000001">
      <c r="A177" s="1">
        <v>173</v>
      </c>
      <c r="B177" s="44">
        <v>43718</v>
      </c>
      <c r="C177" s="45">
        <f t="shared" si="64"/>
        <v>13.5436308409164</v>
      </c>
      <c r="D177" s="3">
        <f t="shared" si="65"/>
        <v>13.5436308409164</v>
      </c>
      <c r="E177" s="46">
        <f t="shared" si="66"/>
        <v>0</v>
      </c>
      <c r="F177" s="46">
        <f t="shared" si="67"/>
        <v>21.911665905656399</v>
      </c>
      <c r="G177" s="46">
        <f t="shared" si="68"/>
        <v>100</v>
      </c>
      <c r="H177" s="46">
        <f t="shared" si="69"/>
        <v>61.810137573429103</v>
      </c>
      <c r="I177" s="47">
        <f t="shared" si="70"/>
        <v>0</v>
      </c>
      <c r="J177" s="47">
        <f t="shared" si="71"/>
        <v>24.078753742479499</v>
      </c>
      <c r="K177" s="48">
        <f t="shared" si="72"/>
        <v>0</v>
      </c>
      <c r="L177" s="7">
        <f t="shared" si="73"/>
        <v>13.5436308409164</v>
      </c>
      <c r="M177" s="7">
        <f t="shared" si="74"/>
        <v>0</v>
      </c>
      <c r="N177" s="7">
        <f t="shared" si="75"/>
        <v>0</v>
      </c>
      <c r="O177" s="7">
        <f t="shared" si="76"/>
        <v>13.5436308409164</v>
      </c>
      <c r="P177" s="49">
        <f t="shared" si="77"/>
        <v>9.1956429282857393</v>
      </c>
      <c r="Q177" s="54">
        <f t="shared" si="79"/>
        <v>3617.5977045064401</v>
      </c>
      <c r="R177" s="55">
        <f t="shared" si="78"/>
        <v>75.181826304529295</v>
      </c>
    </row>
    <row r="178" ht="12.800000000000001">
      <c r="A178" s="1">
        <v>174</v>
      </c>
      <c r="B178" s="44">
        <v>43719</v>
      </c>
      <c r="C178" s="45">
        <f t="shared" si="64"/>
        <v>13.8187735919029</v>
      </c>
      <c r="D178" s="3">
        <f t="shared" si="65"/>
        <v>13.8187735919029</v>
      </c>
      <c r="E178" s="46">
        <f t="shared" si="66"/>
        <v>0</v>
      </c>
      <c r="F178" s="46">
        <f t="shared" si="67"/>
        <v>21.6350241148888</v>
      </c>
      <c r="G178" s="46">
        <f t="shared" si="68"/>
        <v>100</v>
      </c>
      <c r="H178" s="46">
        <f t="shared" si="69"/>
        <v>63.872235679150897</v>
      </c>
      <c r="I178" s="47">
        <f t="shared" si="70"/>
        <v>0</v>
      </c>
      <c r="J178" s="47">
        <f t="shared" si="71"/>
        <v>23.774751774603001</v>
      </c>
      <c r="K178" s="48">
        <f t="shared" si="72"/>
        <v>0</v>
      </c>
      <c r="L178" s="7">
        <f t="shared" si="73"/>
        <v>13.8187735919029</v>
      </c>
      <c r="M178" s="7">
        <f t="shared" si="74"/>
        <v>0</v>
      </c>
      <c r="N178" s="7">
        <f t="shared" si="75"/>
        <v>0</v>
      </c>
      <c r="O178" s="7">
        <f t="shared" si="76"/>
        <v>13.8187735919029</v>
      </c>
      <c r="P178" s="49">
        <f t="shared" si="77"/>
        <v>8.5892862889954706</v>
      </c>
      <c r="Q178" s="54">
        <f t="shared" si="79"/>
        <v>3624.6783495612199</v>
      </c>
      <c r="R178" s="55">
        <f t="shared" si="78"/>
        <v>75.250686925523993</v>
      </c>
    </row>
    <row r="179" ht="12.800000000000001">
      <c r="A179" s="1">
        <v>175</v>
      </c>
      <c r="B179" s="44">
        <v>43720</v>
      </c>
      <c r="C179" s="45">
        <f t="shared" si="64"/>
        <v>14.0946152636504</v>
      </c>
      <c r="D179" s="3">
        <f t="shared" si="65"/>
        <v>14.0946152636504</v>
      </c>
      <c r="E179" s="46">
        <f t="shared" si="66"/>
        <v>0</v>
      </c>
      <c r="F179" s="46">
        <f t="shared" si="67"/>
        <v>21.3576795954822</v>
      </c>
      <c r="G179" s="46">
        <f t="shared" si="68"/>
        <v>100</v>
      </c>
      <c r="H179" s="46">
        <f t="shared" si="69"/>
        <v>65.993195565270199</v>
      </c>
      <c r="I179" s="47">
        <f t="shared" si="70"/>
        <v>0</v>
      </c>
      <c r="J179" s="47">
        <f t="shared" si="71"/>
        <v>23.469977577452902</v>
      </c>
      <c r="K179" s="48">
        <f t="shared" si="72"/>
        <v>0</v>
      </c>
      <c r="L179" s="7">
        <f t="shared" si="73"/>
        <v>14.0946152636504</v>
      </c>
      <c r="M179" s="7">
        <f t="shared" si="74"/>
        <v>0</v>
      </c>
      <c r="N179" s="7">
        <f t="shared" si="75"/>
        <v>0</v>
      </c>
      <c r="O179" s="7">
        <f t="shared" si="76"/>
        <v>14.0946152636504</v>
      </c>
      <c r="P179" s="49">
        <f t="shared" si="77"/>
        <v>7.9813893756393499</v>
      </c>
      <c r="Q179" s="54">
        <f t="shared" si="79"/>
        <v>3631.29210000374</v>
      </c>
      <c r="R179" s="55">
        <f t="shared" si="78"/>
        <v>75.315006907538802</v>
      </c>
    </row>
    <row r="180" ht="12.800000000000001">
      <c r="A180" s="1">
        <v>176</v>
      </c>
      <c r="B180" s="44">
        <v>43721</v>
      </c>
      <c r="C180" s="45">
        <f t="shared" si="64"/>
        <v>14.371074118318299</v>
      </c>
      <c r="D180" s="3">
        <f t="shared" si="65"/>
        <v>14.371074118318299</v>
      </c>
      <c r="E180" s="46">
        <f t="shared" si="66"/>
        <v>0</v>
      </c>
      <c r="F180" s="46">
        <f t="shared" si="67"/>
        <v>21.079714530603301</v>
      </c>
      <c r="G180" s="46">
        <f t="shared" si="68"/>
        <v>100</v>
      </c>
      <c r="H180" s="46">
        <f t="shared" si="69"/>
        <v>68.174899130889699</v>
      </c>
      <c r="I180" s="47">
        <f t="shared" si="70"/>
        <v>0</v>
      </c>
      <c r="J180" s="47">
        <f t="shared" si="71"/>
        <v>23.1645214622014</v>
      </c>
      <c r="K180" s="48">
        <f t="shared" si="72"/>
        <v>0</v>
      </c>
      <c r="L180" s="7">
        <f t="shared" si="73"/>
        <v>14.371074118318299</v>
      </c>
      <c r="M180" s="7">
        <f t="shared" si="74"/>
        <v>0</v>
      </c>
      <c r="N180" s="7">
        <f t="shared" si="75"/>
        <v>0</v>
      </c>
      <c r="O180" s="7">
        <f t="shared" si="76"/>
        <v>14.371074118318299</v>
      </c>
      <c r="P180" s="49">
        <f t="shared" si="77"/>
        <v>7.3721323211923204</v>
      </c>
      <c r="Q180" s="54">
        <f t="shared" si="79"/>
        <v>3637.43776982298</v>
      </c>
      <c r="R180" s="55">
        <f t="shared" si="78"/>
        <v>75.374774716390505</v>
      </c>
    </row>
    <row r="181" ht="12.800000000000001">
      <c r="A181" s="1">
        <v>177</v>
      </c>
      <c r="B181" s="44">
        <v>43722</v>
      </c>
      <c r="C181" s="45">
        <f t="shared" si="64"/>
        <v>14.648068235181601</v>
      </c>
      <c r="D181" s="3">
        <f t="shared" si="65"/>
        <v>14.648068235181601</v>
      </c>
      <c r="E181" s="46">
        <f t="shared" si="66"/>
        <v>0</v>
      </c>
      <c r="F181" s="46">
        <f t="shared" si="67"/>
        <v>20.8012112872999</v>
      </c>
      <c r="G181" s="46">
        <f t="shared" si="68"/>
        <v>100</v>
      </c>
      <c r="H181" s="46">
        <f t="shared" si="69"/>
        <v>70.419304111030101</v>
      </c>
      <c r="I181" s="47">
        <f t="shared" si="70"/>
        <v>0</v>
      </c>
      <c r="J181" s="47">
        <f t="shared" si="71"/>
        <v>22.858473942087802</v>
      </c>
      <c r="K181" s="48">
        <f t="shared" si="72"/>
        <v>0</v>
      </c>
      <c r="L181" s="7">
        <f t="shared" si="73"/>
        <v>14.648068235181601</v>
      </c>
      <c r="M181" s="7">
        <f t="shared" si="74"/>
        <v>0</v>
      </c>
      <c r="N181" s="7">
        <f t="shared" si="75"/>
        <v>0</v>
      </c>
      <c r="O181" s="7">
        <f t="shared" si="76"/>
        <v>14.648068235181601</v>
      </c>
      <c r="P181" s="49">
        <f t="shared" si="77"/>
        <v>6.7616956616684298</v>
      </c>
      <c r="Q181" s="54">
        <f t="shared" si="79"/>
        <v>3643.1143117103002</v>
      </c>
      <c r="R181" s="55">
        <f t="shared" si="78"/>
        <v>75.429980166803503</v>
      </c>
    </row>
    <row r="182" ht="12.800000000000001">
      <c r="A182" s="1">
        <v>178</v>
      </c>
      <c r="B182" s="44">
        <v>43723</v>
      </c>
      <c r="C182" s="45">
        <f t="shared" si="64"/>
        <v>14.9255155349055</v>
      </c>
      <c r="D182" s="3">
        <f t="shared" si="65"/>
        <v>14.9255155349055</v>
      </c>
      <c r="E182" s="46">
        <f t="shared" si="66"/>
        <v>0</v>
      </c>
      <c r="F182" s="46">
        <f t="shared" si="67"/>
        <v>20.522252392093499</v>
      </c>
      <c r="G182" s="46">
        <f t="shared" si="68"/>
        <v>100</v>
      </c>
      <c r="H182" s="46">
        <f t="shared" si="69"/>
        <v>72.728447393307306</v>
      </c>
      <c r="I182" s="47">
        <f t="shared" si="70"/>
        <v>0</v>
      </c>
      <c r="J182" s="47">
        <f t="shared" si="71"/>
        <v>22.551925705597299</v>
      </c>
      <c r="K182" s="48">
        <f t="shared" si="72"/>
        <v>0</v>
      </c>
      <c r="L182" s="7">
        <f t="shared" si="73"/>
        <v>14.9255155349055</v>
      </c>
      <c r="M182" s="7">
        <f t="shared" si="74"/>
        <v>0</v>
      </c>
      <c r="N182" s="7">
        <f t="shared" si="75"/>
        <v>0</v>
      </c>
      <c r="O182" s="7">
        <f t="shared" si="76"/>
        <v>14.9255155349055</v>
      </c>
      <c r="P182" s="49">
        <f t="shared" si="77"/>
        <v>6.1502602826241999</v>
      </c>
      <c r="Q182" s="54">
        <f t="shared" si="79"/>
        <v>3648.3208173697899</v>
      </c>
      <c r="R182" s="55">
        <f t="shared" si="78"/>
        <v>75.480614425426893</v>
      </c>
    </row>
    <row r="183" ht="12.800000000000001">
      <c r="A183" s="1">
        <v>179</v>
      </c>
      <c r="B183" s="44">
        <v>43724</v>
      </c>
      <c r="C183" s="45">
        <f t="shared" si="64"/>
        <v>15.2033338038671</v>
      </c>
      <c r="D183" s="3">
        <f t="shared" si="65"/>
        <v>15.2033338038671</v>
      </c>
      <c r="E183" s="46">
        <f t="shared" si="66"/>
        <v>0</v>
      </c>
      <c r="F183" s="46">
        <f t="shared" si="67"/>
        <v>20.242920506525198</v>
      </c>
      <c r="G183" s="46">
        <f t="shared" si="68"/>
        <v>100</v>
      </c>
      <c r="H183" s="46">
        <f t="shared" si="69"/>
        <v>75.104448485911007</v>
      </c>
      <c r="I183" s="47">
        <f t="shared" si="70"/>
        <v>0</v>
      </c>
      <c r="J183" s="47">
        <f t="shared" si="71"/>
        <v>22.2449675895881</v>
      </c>
      <c r="K183" s="48">
        <f t="shared" si="72"/>
        <v>0</v>
      </c>
      <c r="L183" s="7">
        <f t="shared" si="73"/>
        <v>15.2033338038671</v>
      </c>
      <c r="M183" s="7">
        <f t="shared" si="74"/>
        <v>0</v>
      </c>
      <c r="N183" s="7">
        <f t="shared" si="75"/>
        <v>0</v>
      </c>
      <c r="O183" s="7">
        <f t="shared" si="76"/>
        <v>15.2033338038671</v>
      </c>
      <c r="P183" s="49">
        <f t="shared" si="77"/>
        <v>5.5380073655583102</v>
      </c>
      <c r="Q183" s="54">
        <f t="shared" si="79"/>
        <v>3653.05651778741</v>
      </c>
      <c r="R183" s="55">
        <f t="shared" si="78"/>
        <v>75.526670013453</v>
      </c>
    </row>
    <row r="184" ht="12.800000000000001">
      <c r="A184" s="1">
        <v>180</v>
      </c>
      <c r="B184" s="44">
        <v>43725</v>
      </c>
      <c r="C184" s="45">
        <f t="shared" si="64"/>
        <v>15.4814407185177</v>
      </c>
      <c r="D184" s="3">
        <f t="shared" si="65"/>
        <v>15.4814407185177</v>
      </c>
      <c r="E184" s="46">
        <f t="shared" si="66"/>
        <v>0</v>
      </c>
      <c r="F184" s="46">
        <f t="shared" si="67"/>
        <v>19.963298402661199</v>
      </c>
      <c r="G184" s="46">
        <f t="shared" si="68"/>
        <v>100</v>
      </c>
      <c r="H184" s="46">
        <f t="shared" si="69"/>
        <v>77.549513142848198</v>
      </c>
      <c r="I184" s="47">
        <f t="shared" si="70"/>
        <v>0</v>
      </c>
      <c r="J184" s="47">
        <f t="shared" si="71"/>
        <v>21.9376905523749</v>
      </c>
      <c r="K184" s="48">
        <f t="shared" si="72"/>
        <v>0</v>
      </c>
      <c r="L184" s="7">
        <f t="shared" si="73"/>
        <v>15.4814407185177</v>
      </c>
      <c r="M184" s="7">
        <f t="shared" si="74"/>
        <v>0</v>
      </c>
      <c r="N184" s="7">
        <f t="shared" si="75"/>
        <v>0</v>
      </c>
      <c r="O184" s="7">
        <f t="shared" si="76"/>
        <v>15.4814407185177</v>
      </c>
      <c r="P184" s="49">
        <f t="shared" si="77"/>
        <v>4.92511833422357</v>
      </c>
      <c r="Q184" s="54">
        <f t="shared" si="79"/>
        <v>3657.3207834588902</v>
      </c>
      <c r="R184" s="55">
        <f t="shared" si="78"/>
        <v>75.568140808832894</v>
      </c>
    </row>
    <row r="185" ht="12.800000000000001">
      <c r="A185" s="1">
        <v>181</v>
      </c>
      <c r="B185" s="44">
        <v>43726</v>
      </c>
      <c r="C185" s="45">
        <f t="shared" si="64"/>
        <v>15.759753869776301</v>
      </c>
      <c r="D185" s="3">
        <f t="shared" si="65"/>
        <v>15.759753869776301</v>
      </c>
      <c r="E185" s="46">
        <f t="shared" si="66"/>
        <v>0</v>
      </c>
      <c r="F185" s="46">
        <f t="shared" si="67"/>
        <v>19.6834689385655</v>
      </c>
      <c r="G185" s="46">
        <f t="shared" si="68"/>
        <v>100</v>
      </c>
      <c r="H185" s="46">
        <f t="shared" si="69"/>
        <v>80.065937152462496</v>
      </c>
      <c r="I185" s="47">
        <f t="shared" si="70"/>
        <v>0</v>
      </c>
      <c r="J185" s="47">
        <f t="shared" si="71"/>
        <v>21.630185646775299</v>
      </c>
      <c r="K185" s="48">
        <f t="shared" si="72"/>
        <v>0</v>
      </c>
      <c r="L185" s="7">
        <f t="shared" si="73"/>
        <v>15.759753869776301</v>
      </c>
      <c r="M185" s="7">
        <f t="shared" si="74"/>
        <v>0</v>
      </c>
      <c r="N185" s="7">
        <f t="shared" si="75"/>
        <v>0</v>
      </c>
      <c r="O185" s="7">
        <f t="shared" si="76"/>
        <v>15.759753869776301</v>
      </c>
      <c r="P185" s="49">
        <f t="shared" si="77"/>
        <v>4.3117748008672097</v>
      </c>
      <c r="Q185" s="54">
        <f t="shared" si="79"/>
        <v>3661.1131245762399</v>
      </c>
      <c r="R185" s="55">
        <f t="shared" si="78"/>
        <v>75.605022048090703</v>
      </c>
    </row>
    <row r="186" ht="12.800000000000001">
      <c r="A186" s="1">
        <v>182</v>
      </c>
      <c r="B186" s="44">
        <v>43727</v>
      </c>
      <c r="C186" s="45">
        <f t="shared" si="64"/>
        <v>16.0381907874498</v>
      </c>
      <c r="D186" s="3">
        <f t="shared" si="65"/>
        <v>16.0381907874498</v>
      </c>
      <c r="E186" s="46">
        <f t="shared" si="66"/>
        <v>0</v>
      </c>
      <c r="F186" s="46">
        <f t="shared" si="67"/>
        <v>19.403515033747599</v>
      </c>
      <c r="G186" s="46">
        <f t="shared" si="68"/>
        <v>100</v>
      </c>
      <c r="H186" s="46">
        <f t="shared" si="69"/>
        <v>82.656110295249704</v>
      </c>
      <c r="I186" s="47">
        <f t="shared" si="70"/>
        <v>0</v>
      </c>
      <c r="J186" s="47">
        <f t="shared" si="71"/>
        <v>21.322543993129202</v>
      </c>
      <c r="K186" s="48">
        <f t="shared" si="72"/>
        <v>0</v>
      </c>
      <c r="L186" s="7">
        <f t="shared" si="73"/>
        <v>16.0381907874498</v>
      </c>
      <c r="M186" s="7">
        <f t="shared" si="74"/>
        <v>0</v>
      </c>
      <c r="N186" s="7">
        <f t="shared" si="75"/>
        <v>0</v>
      </c>
      <c r="O186" s="7">
        <f t="shared" si="76"/>
        <v>16.0381907874498</v>
      </c>
      <c r="P186" s="49">
        <f t="shared" si="77"/>
        <v>3.6981585124151901</v>
      </c>
      <c r="Q186" s="54">
        <f t="shared" si="79"/>
        <v>3664.43319117291</v>
      </c>
      <c r="R186" s="55">
        <f t="shared" si="78"/>
        <v>75.637310327734895</v>
      </c>
    </row>
    <row r="187" ht="12.800000000000001">
      <c r="A187" s="1">
        <v>183</v>
      </c>
      <c r="B187" s="44">
        <v>43728</v>
      </c>
      <c r="C187" s="45">
        <f t="shared" si="64"/>
        <v>16.3166689646702</v>
      </c>
      <c r="D187" s="3">
        <f t="shared" si="65"/>
        <v>16.3166689646702</v>
      </c>
      <c r="E187" s="46">
        <f t="shared" si="66"/>
        <v>0</v>
      </c>
      <c r="F187" s="46">
        <f t="shared" si="67"/>
        <v>19.123519644591401</v>
      </c>
      <c r="G187" s="46">
        <f t="shared" si="68"/>
        <v>100</v>
      </c>
      <c r="H187" s="46">
        <f t="shared" si="69"/>
        <v>85.3225204769508</v>
      </c>
      <c r="I187" s="47">
        <f t="shared" si="70"/>
        <v>0</v>
      </c>
      <c r="J187" s="47">
        <f t="shared" si="71"/>
        <v>21.0148567522983</v>
      </c>
      <c r="K187" s="48">
        <f t="shared" si="72"/>
        <v>0</v>
      </c>
      <c r="L187" s="7">
        <f t="shared" si="73"/>
        <v>16.3166689646702</v>
      </c>
      <c r="M187" s="7">
        <f t="shared" si="74"/>
        <v>0</v>
      </c>
      <c r="N187" s="7">
        <f t="shared" si="75"/>
        <v>0</v>
      </c>
      <c r="O187" s="7">
        <f t="shared" si="76"/>
        <v>16.3166689646702</v>
      </c>
      <c r="P187" s="49">
        <f t="shared" si="77"/>
        <v>3.0844512966167099</v>
      </c>
      <c r="Q187" s="54">
        <f t="shared" si="79"/>
        <v>3667.28077322747</v>
      </c>
      <c r="R187" s="55">
        <f t="shared" si="78"/>
        <v>75.665003605267302</v>
      </c>
    </row>
    <row r="188" ht="12.800000000000001">
      <c r="A188" s="1">
        <v>184</v>
      </c>
      <c r="B188" s="44">
        <v>43729</v>
      </c>
      <c r="C188" s="45">
        <f t="shared" si="64"/>
        <v>16.595105882343699</v>
      </c>
      <c r="D188" s="3">
        <f t="shared" si="65"/>
        <v>16.595105882343699</v>
      </c>
      <c r="E188" s="46">
        <f t="shared" si="66"/>
        <v>0</v>
      </c>
      <c r="F188" s="46">
        <f t="shared" si="67"/>
        <v>18.843565739773599</v>
      </c>
      <c r="G188" s="46">
        <f t="shared" si="68"/>
        <v>100</v>
      </c>
      <c r="H188" s="46">
        <f t="shared" si="69"/>
        <v>88.067758042820998</v>
      </c>
      <c r="I188" s="47">
        <f t="shared" si="70"/>
        <v>0</v>
      </c>
      <c r="J188" s="47">
        <f t="shared" si="71"/>
        <v>20.707215098652298</v>
      </c>
      <c r="K188" s="48">
        <f t="shared" si="72"/>
        <v>0</v>
      </c>
      <c r="L188" s="7">
        <f t="shared" si="73"/>
        <v>16.595105882343699</v>
      </c>
      <c r="M188" s="7">
        <f t="shared" si="74"/>
        <v>0</v>
      </c>
      <c r="N188" s="7">
        <f t="shared" si="75"/>
        <v>0</v>
      </c>
      <c r="O188" s="7">
        <f t="shared" si="76"/>
        <v>16.595105882343699</v>
      </c>
      <c r="P188" s="49">
        <f t="shared" si="77"/>
        <v>2.4708350081647001</v>
      </c>
      <c r="Q188" s="54">
        <f t="shared" si="79"/>
        <v>3669.65580072586</v>
      </c>
      <c r="R188" s="55">
        <f t="shared" si="78"/>
        <v>75.688101199787795</v>
      </c>
    </row>
    <row r="189" ht="12.800000000000001">
      <c r="A189" s="1">
        <v>185</v>
      </c>
      <c r="B189" s="44">
        <v>43730</v>
      </c>
      <c r="C189" s="45">
        <f t="shared" si="64"/>
        <v>16.8734190336023</v>
      </c>
      <c r="D189" s="3">
        <f t="shared" si="65"/>
        <v>16.8734190336023</v>
      </c>
      <c r="E189" s="46">
        <f t="shared" si="66"/>
        <v>0</v>
      </c>
      <c r="F189" s="46">
        <f t="shared" si="67"/>
        <v>18.563736275677901</v>
      </c>
      <c r="G189" s="46">
        <f t="shared" si="68"/>
        <v>100</v>
      </c>
      <c r="H189" s="46">
        <f t="shared" si="69"/>
        <v>90.894520278817893</v>
      </c>
      <c r="I189" s="47">
        <f t="shared" si="70"/>
        <v>0</v>
      </c>
      <c r="J189" s="47">
        <f t="shared" si="71"/>
        <v>20.399710193052599</v>
      </c>
      <c r="K189" s="48">
        <f t="shared" si="72"/>
        <v>0</v>
      </c>
      <c r="L189" s="7">
        <f t="shared" si="73"/>
        <v>16.8734190336023</v>
      </c>
      <c r="M189" s="7">
        <f t="shared" si="74"/>
        <v>0</v>
      </c>
      <c r="N189" s="7">
        <f t="shared" si="75"/>
        <v>0</v>
      </c>
      <c r="O189" s="7">
        <f t="shared" si="76"/>
        <v>16.8734190336023</v>
      </c>
      <c r="P189" s="49">
        <f t="shared" si="77"/>
        <v>1.85749147480832</v>
      </c>
      <c r="Q189" s="54">
        <f t="shared" si="79"/>
        <v>3671.5583436821498</v>
      </c>
      <c r="R189" s="55">
        <f t="shared" si="78"/>
        <v>75.706603792196404</v>
      </c>
    </row>
    <row r="190" ht="12.800000000000001">
      <c r="A190" s="1">
        <v>186</v>
      </c>
      <c r="B190" s="44">
        <v>43731</v>
      </c>
      <c r="C190" s="45">
        <f t="shared" si="64"/>
        <v>17.1515259482529</v>
      </c>
      <c r="D190" s="3">
        <f t="shared" si="65"/>
        <v>17.1515259482529</v>
      </c>
      <c r="E190" s="46">
        <f t="shared" si="66"/>
        <v>0</v>
      </c>
      <c r="F190" s="46">
        <f t="shared" si="67"/>
        <v>18.284114171813801</v>
      </c>
      <c r="G190" s="46">
        <f t="shared" si="68"/>
        <v>100</v>
      </c>
      <c r="H190" s="46">
        <f t="shared" si="69"/>
        <v>93.805616105225795</v>
      </c>
      <c r="I190" s="47">
        <f t="shared" si="70"/>
        <v>0</v>
      </c>
      <c r="J190" s="47">
        <f t="shared" si="71"/>
        <v>20.092433155839402</v>
      </c>
      <c r="K190" s="48">
        <f t="shared" si="72"/>
        <v>0</v>
      </c>
      <c r="L190" s="7">
        <f t="shared" si="73"/>
        <v>17.1515259482529</v>
      </c>
      <c r="M190" s="7">
        <f t="shared" si="74"/>
        <v>0</v>
      </c>
      <c r="N190" s="7">
        <f t="shared" si="75"/>
        <v>0</v>
      </c>
      <c r="O190" s="7">
        <f t="shared" si="76"/>
        <v>17.1515259482529</v>
      </c>
      <c r="P190" s="49">
        <f t="shared" si="77"/>
        <v>1.2446024434735901</v>
      </c>
      <c r="Q190" s="54">
        <f t="shared" si="79"/>
        <v>3672.9886121177501</v>
      </c>
      <c r="R190" s="55">
        <f t="shared" si="78"/>
        <v>75.720513424991594</v>
      </c>
    </row>
    <row r="191" ht="12.800000000000001">
      <c r="A191" s="1">
        <v>187</v>
      </c>
      <c r="B191" s="44">
        <v>43732</v>
      </c>
      <c r="C191" s="45">
        <f t="shared" si="64"/>
        <v>17.429344217214499</v>
      </c>
      <c r="D191" s="3">
        <f t="shared" si="65"/>
        <v>17.429344217214499</v>
      </c>
      <c r="E191" s="46">
        <f t="shared" si="66"/>
        <v>0</v>
      </c>
      <c r="F191" s="46">
        <f t="shared" si="67"/>
        <v>18.004782286245501</v>
      </c>
      <c r="G191" s="46">
        <f t="shared" si="68"/>
        <v>100</v>
      </c>
      <c r="H191" s="46">
        <f t="shared" si="69"/>
        <v>96.803970967921103</v>
      </c>
      <c r="I191" s="47">
        <f t="shared" si="70"/>
        <v>0</v>
      </c>
      <c r="J191" s="47">
        <f t="shared" si="71"/>
        <v>19.785475039830299</v>
      </c>
      <c r="K191" s="48">
        <f t="shared" si="72"/>
        <v>0</v>
      </c>
      <c r="L191" s="7">
        <f t="shared" si="73"/>
        <v>17.429344217214499</v>
      </c>
      <c r="M191" s="7">
        <f t="shared" si="74"/>
        <v>0</v>
      </c>
      <c r="N191" s="7">
        <f t="shared" si="75"/>
        <v>0</v>
      </c>
      <c r="O191" s="7">
        <f t="shared" si="76"/>
        <v>17.429344217214499</v>
      </c>
      <c r="P191" s="49">
        <f t="shared" si="77"/>
        <v>0.63234952640769804</v>
      </c>
      <c r="Q191" s="54">
        <f t="shared" si="79"/>
        <v>3673.9469559992299</v>
      </c>
      <c r="R191" s="55">
        <f t="shared" si="78"/>
        <v>75.729833501664601</v>
      </c>
    </row>
    <row r="192" ht="12.800000000000001">
      <c r="A192" s="1">
        <v>188</v>
      </c>
      <c r="B192" s="44">
        <v>43733</v>
      </c>
      <c r="C192" s="45">
        <f t="shared" si="64"/>
        <v>17.706791516938399</v>
      </c>
      <c r="D192" s="3">
        <f t="shared" si="65"/>
        <v>17.706791516938399</v>
      </c>
      <c r="E192" s="46">
        <f t="shared" si="66"/>
        <v>0</v>
      </c>
      <c r="F192" s="46">
        <f t="shared" si="67"/>
        <v>17.7258233910391</v>
      </c>
      <c r="G192" s="46">
        <f t="shared" si="68"/>
        <v>100</v>
      </c>
      <c r="H192" s="46">
        <f t="shared" si="69"/>
        <v>99.892631932063694</v>
      </c>
      <c r="I192" s="47">
        <f t="shared" si="70"/>
        <v>0</v>
      </c>
      <c r="J192" s="47">
        <f t="shared" si="71"/>
        <v>19.4789268033397</v>
      </c>
      <c r="K192" s="48">
        <f t="shared" si="72"/>
        <v>0</v>
      </c>
      <c r="L192" s="7">
        <f t="shared" si="73"/>
        <v>17.706791516938399</v>
      </c>
      <c r="M192" s="7">
        <f t="shared" si="74"/>
        <v>0</v>
      </c>
      <c r="N192" s="7">
        <f t="shared" si="75"/>
        <v>0</v>
      </c>
      <c r="O192" s="7">
        <f t="shared" si="76"/>
        <v>17.706791516938399</v>
      </c>
      <c r="P192" s="49">
        <f t="shared" si="77"/>
        <v>0.020914147363473599</v>
      </c>
      <c r="Q192" s="54">
        <f t="shared" si="79"/>
        <v>3674.4338651345602</v>
      </c>
      <c r="R192" s="55">
        <f t="shared" si="78"/>
        <v>75.734568785691394</v>
      </c>
    </row>
    <row r="193" ht="12.800000000000001">
      <c r="A193" s="1">
        <v>189</v>
      </c>
      <c r="B193" s="44">
        <v>43734</v>
      </c>
      <c r="C193" s="45">
        <f t="shared" si="64"/>
        <v>17.983785633801698</v>
      </c>
      <c r="D193" s="3">
        <f t="shared" si="65"/>
        <v>17.447320147735699</v>
      </c>
      <c r="E193" s="46">
        <f t="shared" si="66"/>
        <v>0</v>
      </c>
      <c r="F193" s="46">
        <f t="shared" si="67"/>
        <v>17.447320147735699</v>
      </c>
      <c r="G193" s="46">
        <f t="shared" si="68"/>
        <v>100</v>
      </c>
      <c r="H193" s="46">
        <f t="shared" si="69"/>
        <v>100</v>
      </c>
      <c r="I193" s="47">
        <f t="shared" si="70"/>
        <v>0</v>
      </c>
      <c r="J193" s="47">
        <f t="shared" si="71"/>
        <v>19.172879283226099</v>
      </c>
      <c r="K193" s="48">
        <f t="shared" si="72"/>
        <v>0</v>
      </c>
      <c r="L193" s="7">
        <f t="shared" si="73"/>
        <v>17.447320147735699</v>
      </c>
      <c r="M193" s="7">
        <f t="shared" si="74"/>
        <v>0.53646548606598199</v>
      </c>
      <c r="N193" s="7">
        <f t="shared" si="75"/>
        <v>0.58952251216041995</v>
      </c>
      <c r="O193" s="7">
        <f t="shared" si="76"/>
        <v>17.983785633801698</v>
      </c>
      <c r="P193" s="49">
        <f t="shared" si="77"/>
        <v>-0.58952251216041995</v>
      </c>
      <c r="Q193" s="54">
        <f t="shared" si="79"/>
        <v>3674.44996902803</v>
      </c>
      <c r="R193" s="55">
        <f t="shared" si="78"/>
        <v>75.734725399120805</v>
      </c>
    </row>
    <row r="194" ht="12.800000000000001">
      <c r="A194" s="1">
        <v>190</v>
      </c>
      <c r="B194" s="44">
        <v>43735</v>
      </c>
      <c r="C194" s="45">
        <f t="shared" si="64"/>
        <v>18.260244488469699</v>
      </c>
      <c r="D194" s="3">
        <f t="shared" si="65"/>
        <v>17.169355082856899</v>
      </c>
      <c r="E194" s="46">
        <f t="shared" si="66"/>
        <v>0</v>
      </c>
      <c r="F194" s="46">
        <f t="shared" si="67"/>
        <v>17.169355082856899</v>
      </c>
      <c r="G194" s="46">
        <f t="shared" si="68"/>
        <v>100</v>
      </c>
      <c r="H194" s="46">
        <f t="shared" si="69"/>
        <v>100</v>
      </c>
      <c r="I194" s="47">
        <f t="shared" si="70"/>
        <v>0</v>
      </c>
      <c r="J194" s="47">
        <f t="shared" si="71"/>
        <v>18.8674231679746</v>
      </c>
      <c r="K194" s="48">
        <f t="shared" si="72"/>
        <v>0</v>
      </c>
      <c r="L194" s="7">
        <f t="shared" si="73"/>
        <v>17.169355082856899</v>
      </c>
      <c r="M194" s="7">
        <f t="shared" si="74"/>
        <v>1.0908894056128</v>
      </c>
      <c r="N194" s="7">
        <f t="shared" si="75"/>
        <v>1.1987795666074701</v>
      </c>
      <c r="O194" s="7">
        <f t="shared" si="76"/>
        <v>18.260244488469699</v>
      </c>
      <c r="P194" s="49">
        <f t="shared" si="77"/>
        <v>-1.1987795666074701</v>
      </c>
      <c r="Q194" s="54">
        <f t="shared" si="79"/>
        <v>3673.8604465158701</v>
      </c>
      <c r="R194" s="55">
        <f t="shared" si="78"/>
        <v>75.728992180471394</v>
      </c>
    </row>
    <row r="195" ht="12.800000000000001">
      <c r="A195" s="1">
        <v>191</v>
      </c>
      <c r="B195" s="44">
        <v>43736</v>
      </c>
      <c r="C195" s="45">
        <f t="shared" si="64"/>
        <v>18.536086160217199</v>
      </c>
      <c r="D195" s="3">
        <f t="shared" si="65"/>
        <v>16.892010563450299</v>
      </c>
      <c r="E195" s="46">
        <f t="shared" si="66"/>
        <v>0</v>
      </c>
      <c r="F195" s="46">
        <f t="shared" si="67"/>
        <v>16.892010563450299</v>
      </c>
      <c r="G195" s="46">
        <f t="shared" si="68"/>
        <v>100</v>
      </c>
      <c r="H195" s="46">
        <f t="shared" si="69"/>
        <v>100</v>
      </c>
      <c r="I195" s="47">
        <f t="shared" si="70"/>
        <v>0</v>
      </c>
      <c r="J195" s="47">
        <f t="shared" si="71"/>
        <v>18.562648970824501</v>
      </c>
      <c r="K195" s="48">
        <f t="shared" si="72"/>
        <v>0</v>
      </c>
      <c r="L195" s="7">
        <f t="shared" si="73"/>
        <v>16.892010563450299</v>
      </c>
      <c r="M195" s="7">
        <f t="shared" si="74"/>
        <v>1.6440755967668601</v>
      </c>
      <c r="N195" s="7">
        <f t="shared" si="75"/>
        <v>1.8066764799635799</v>
      </c>
      <c r="O195" s="7">
        <f t="shared" si="76"/>
        <v>18.536086160217199</v>
      </c>
      <c r="P195" s="49">
        <f t="shared" si="77"/>
        <v>-1.8066764799635799</v>
      </c>
      <c r="Q195" s="54">
        <f t="shared" si="79"/>
        <v>3672.6616669492601</v>
      </c>
      <c r="R195" s="55">
        <f t="shared" si="78"/>
        <v>75.717333820992295</v>
      </c>
    </row>
    <row r="196" ht="12.800000000000001">
      <c r="A196" s="1">
        <v>192</v>
      </c>
      <c r="B196" s="44">
        <v>43737</v>
      </c>
      <c r="C196" s="45">
        <f t="shared" si="64"/>
        <v>18.811228911203699</v>
      </c>
      <c r="D196" s="3">
        <f t="shared" si="65"/>
        <v>16.6153687726827</v>
      </c>
      <c r="E196" s="46">
        <f t="shared" si="66"/>
        <v>0</v>
      </c>
      <c r="F196" s="46">
        <f t="shared" si="67"/>
        <v>16.6153687726827</v>
      </c>
      <c r="G196" s="46">
        <f t="shared" si="68"/>
        <v>100</v>
      </c>
      <c r="H196" s="46">
        <f t="shared" si="69"/>
        <v>100</v>
      </c>
      <c r="I196" s="47">
        <f t="shared" si="70"/>
        <v>0</v>
      </c>
      <c r="J196" s="47">
        <f t="shared" si="71"/>
        <v>18.258647002947999</v>
      </c>
      <c r="K196" s="48">
        <f t="shared" si="72"/>
        <v>0</v>
      </c>
      <c r="L196" s="7">
        <f t="shared" si="73"/>
        <v>16.6153687726827</v>
      </c>
      <c r="M196" s="7">
        <f t="shared" si="74"/>
        <v>2.1958601385210001</v>
      </c>
      <c r="N196" s="7">
        <f t="shared" si="75"/>
        <v>2.4130331192538401</v>
      </c>
      <c r="O196" s="7">
        <f t="shared" si="76"/>
        <v>18.811228911203699</v>
      </c>
      <c r="P196" s="49">
        <f t="shared" si="77"/>
        <v>-2.4130331192538401</v>
      </c>
      <c r="Q196" s="54">
        <f t="shared" si="79"/>
        <v>3670.8549904693</v>
      </c>
      <c r="R196" s="55">
        <f t="shared" si="78"/>
        <v>75.699763548314607</v>
      </c>
    </row>
    <row r="197" ht="12.800000000000001">
      <c r="A197" s="1">
        <v>193</v>
      </c>
      <c r="B197" s="44">
        <v>43738</v>
      </c>
      <c r="C197" s="45">
        <f t="shared" si="64"/>
        <v>19.085591210694002</v>
      </c>
      <c r="D197" s="3">
        <f t="shared" si="65"/>
        <v>16.339511685487</v>
      </c>
      <c r="E197" s="46">
        <f t="shared" si="66"/>
        <v>0</v>
      </c>
      <c r="F197" s="46">
        <f t="shared" si="67"/>
        <v>16.339511685487</v>
      </c>
      <c r="G197" s="46">
        <f t="shared" si="68"/>
        <v>100</v>
      </c>
      <c r="H197" s="46">
        <f t="shared" si="69"/>
        <v>100</v>
      </c>
      <c r="I197" s="47">
        <f t="shared" si="70"/>
        <v>0</v>
      </c>
      <c r="J197" s="47">
        <f t="shared" si="71"/>
        <v>17.955507346689</v>
      </c>
      <c r="K197" s="48">
        <f t="shared" si="72"/>
        <v>0</v>
      </c>
      <c r="L197" s="7">
        <f t="shared" si="73"/>
        <v>16.339511685487</v>
      </c>
      <c r="M197" s="7">
        <f t="shared" si="74"/>
        <v>2.746079525207</v>
      </c>
      <c r="N197" s="7">
        <f t="shared" si="75"/>
        <v>3.0176698079197801</v>
      </c>
      <c r="O197" s="7">
        <f t="shared" si="76"/>
        <v>19.085591210694002</v>
      </c>
      <c r="P197" s="49">
        <f t="shared" si="77"/>
        <v>-3.0176698079197801</v>
      </c>
      <c r="Q197" s="54">
        <f t="shared" si="79"/>
        <v>3668.44195735004</v>
      </c>
      <c r="R197" s="55">
        <f t="shared" si="78"/>
        <v>75.676296341896702</v>
      </c>
    </row>
    <row r="198" ht="12.800000000000001">
      <c r="A198" s="1">
        <v>194</v>
      </c>
      <c r="B198" s="44">
        <v>43739</v>
      </c>
      <c r="C198" s="45">
        <f t="shared" si="64"/>
        <v>19.359091759217701</v>
      </c>
      <c r="D198" s="3">
        <f t="shared" si="65"/>
        <v>16.0645210442718</v>
      </c>
      <c r="E198" s="46">
        <f t="shared" si="66"/>
        <v>0</v>
      </c>
      <c r="F198" s="46">
        <f t="shared" si="67"/>
        <v>16.0645210442718</v>
      </c>
      <c r="G198" s="46">
        <f t="shared" si="68"/>
        <v>100</v>
      </c>
      <c r="H198" s="46">
        <f t="shared" si="69"/>
        <v>100</v>
      </c>
      <c r="I198" s="47">
        <f t="shared" si="70"/>
        <v>0</v>
      </c>
      <c r="J198" s="47">
        <f t="shared" si="71"/>
        <v>17.653319828870099</v>
      </c>
      <c r="K198" s="48">
        <f t="shared" si="72"/>
        <v>0</v>
      </c>
      <c r="L198" s="7">
        <f t="shared" si="73"/>
        <v>16.0645210442718</v>
      </c>
      <c r="M198" s="7">
        <f t="shared" si="74"/>
        <v>3.2945707149459</v>
      </c>
      <c r="N198" s="7">
        <f t="shared" si="75"/>
        <v>3.62040737906143</v>
      </c>
      <c r="O198" s="7">
        <f t="shared" si="76"/>
        <v>19.359091759217701</v>
      </c>
      <c r="P198" s="49">
        <f t="shared" si="77"/>
        <v>-3.62040737906143</v>
      </c>
      <c r="Q198" s="54">
        <f t="shared" si="79"/>
        <v>3665.4242875421201</v>
      </c>
      <c r="R198" s="55">
        <f t="shared" si="78"/>
        <v>75.6469489285858</v>
      </c>
    </row>
    <row r="199" ht="12.800000000000001">
      <c r="A199" s="1">
        <v>195</v>
      </c>
      <c r="B199" s="44">
        <v>43740</v>
      </c>
      <c r="C199" s="45">
        <f t="shared" si="64"/>
        <v>19.6316495126595</v>
      </c>
      <c r="D199" s="3">
        <f t="shared" si="65"/>
        <v>15.790478334698699</v>
      </c>
      <c r="E199" s="46">
        <f t="shared" si="66"/>
        <v>0</v>
      </c>
      <c r="F199" s="46">
        <f t="shared" si="67"/>
        <v>15.790478334698699</v>
      </c>
      <c r="G199" s="46">
        <f t="shared" si="68"/>
        <v>100</v>
      </c>
      <c r="H199" s="46">
        <f t="shared" si="69"/>
        <v>100</v>
      </c>
      <c r="I199" s="47">
        <f t="shared" si="70"/>
        <v>0</v>
      </c>
      <c r="J199" s="47">
        <f t="shared" si="71"/>
        <v>17.3521739941744</v>
      </c>
      <c r="K199" s="48">
        <f t="shared" si="72"/>
        <v>0</v>
      </c>
      <c r="L199" s="7">
        <f t="shared" si="73"/>
        <v>15.790478334698699</v>
      </c>
      <c r="M199" s="7">
        <f t="shared" si="74"/>
        <v>3.8411711779607698</v>
      </c>
      <c r="N199" s="7">
        <f t="shared" si="75"/>
        <v>4.2210672285283097</v>
      </c>
      <c r="O199" s="7">
        <f t="shared" si="76"/>
        <v>19.6316495126595</v>
      </c>
      <c r="P199" s="49">
        <f t="shared" si="77"/>
        <v>-4.2210672285283097</v>
      </c>
      <c r="Q199" s="54">
        <f t="shared" si="79"/>
        <v>3661.8038801630601</v>
      </c>
      <c r="R199" s="55">
        <f t="shared" si="78"/>
        <v>75.611739777661398</v>
      </c>
    </row>
    <row r="200" ht="12.800000000000001">
      <c r="A200" s="1">
        <v>196</v>
      </c>
      <c r="B200" s="44">
        <v>43741</v>
      </c>
      <c r="C200" s="45">
        <f t="shared" si="64"/>
        <v>19.903183706274699</v>
      </c>
      <c r="D200" s="3">
        <f t="shared" si="65"/>
        <v>15.517464761536999</v>
      </c>
      <c r="E200" s="46">
        <f t="shared" si="66"/>
        <v>0</v>
      </c>
      <c r="F200" s="46">
        <f t="shared" si="67"/>
        <v>15.517464761536999</v>
      </c>
      <c r="G200" s="46">
        <f t="shared" si="68"/>
        <v>100</v>
      </c>
      <c r="H200" s="46">
        <f t="shared" si="69"/>
        <v>100</v>
      </c>
      <c r="I200" s="47">
        <f t="shared" si="70"/>
        <v>0</v>
      </c>
      <c r="J200" s="47">
        <f t="shared" si="71"/>
        <v>17.052159078612</v>
      </c>
      <c r="K200" s="48">
        <f t="shared" si="72"/>
        <v>0</v>
      </c>
      <c r="L200" s="7">
        <f t="shared" si="73"/>
        <v>15.517464761536999</v>
      </c>
      <c r="M200" s="7">
        <f t="shared" si="74"/>
        <v>4.38571894473779</v>
      </c>
      <c r="N200" s="7">
        <f t="shared" si="75"/>
        <v>4.81947136784372</v>
      </c>
      <c r="O200" s="7">
        <f t="shared" si="76"/>
        <v>19.903183706274699</v>
      </c>
      <c r="P200" s="49">
        <f t="shared" si="77"/>
        <v>-4.81947136784372</v>
      </c>
      <c r="Q200" s="54">
        <f t="shared" si="79"/>
        <v>3657.58281293454</v>
      </c>
      <c r="R200" s="55">
        <f t="shared" si="78"/>
        <v>75.570689095362198</v>
      </c>
    </row>
    <row r="201" ht="12.800000000000001">
      <c r="A201" s="1">
        <v>197</v>
      </c>
      <c r="B201" s="44">
        <v>43742</v>
      </c>
      <c r="C201" s="45">
        <f t="shared" si="64"/>
        <v>20.173613878621801</v>
      </c>
      <c r="D201" s="3">
        <f t="shared" si="65"/>
        <v>15.245561224600401</v>
      </c>
      <c r="E201" s="46">
        <f t="shared" si="66"/>
        <v>0</v>
      </c>
      <c r="F201" s="46">
        <f t="shared" si="67"/>
        <v>15.245561224600401</v>
      </c>
      <c r="G201" s="46">
        <f t="shared" si="68"/>
        <v>100</v>
      </c>
      <c r="H201" s="46">
        <f t="shared" si="69"/>
        <v>100</v>
      </c>
      <c r="I201" s="47">
        <f t="shared" si="70"/>
        <v>0</v>
      </c>
      <c r="J201" s="47">
        <f t="shared" si="71"/>
        <v>16.753363983077399</v>
      </c>
      <c r="K201" s="48">
        <f t="shared" si="72"/>
        <v>0</v>
      </c>
      <c r="L201" s="7">
        <f t="shared" si="73"/>
        <v>15.245561224600401</v>
      </c>
      <c r="M201" s="7">
        <f t="shared" si="74"/>
        <v>4.9280526540213803</v>
      </c>
      <c r="N201" s="7">
        <f t="shared" si="75"/>
        <v>5.4154424769465699</v>
      </c>
      <c r="O201" s="7">
        <f t="shared" si="76"/>
        <v>20.173613878621801</v>
      </c>
      <c r="P201" s="49">
        <f t="shared" si="77"/>
        <v>-5.4154424769465699</v>
      </c>
      <c r="Q201" s="54">
        <f t="shared" si="79"/>
        <v>3652.7633415666901</v>
      </c>
      <c r="R201" s="55">
        <f t="shared" si="78"/>
        <v>75.523818818899002</v>
      </c>
    </row>
    <row r="202" ht="12.800000000000001">
      <c r="A202" s="1">
        <v>198</v>
      </c>
      <c r="B202" s="44">
        <v>43743</v>
      </c>
      <c r="C202" s="45">
        <f t="shared" si="64"/>
        <v>20.442859895404201</v>
      </c>
      <c r="D202" s="3">
        <f t="shared" si="65"/>
        <v>14.9748482947752</v>
      </c>
      <c r="E202" s="46">
        <f t="shared" si="66"/>
        <v>0</v>
      </c>
      <c r="F202" s="46">
        <f t="shared" si="67"/>
        <v>14.9748482947752</v>
      </c>
      <c r="G202" s="46">
        <f t="shared" si="68"/>
        <v>100</v>
      </c>
      <c r="H202" s="46">
        <f t="shared" si="69"/>
        <v>100</v>
      </c>
      <c r="I202" s="47">
        <f t="shared" si="70"/>
        <v>0</v>
      </c>
      <c r="J202" s="47">
        <f t="shared" si="71"/>
        <v>16.455877247005699</v>
      </c>
      <c r="K202" s="48">
        <f t="shared" si="72"/>
        <v>0</v>
      </c>
      <c r="L202" s="7">
        <f t="shared" si="73"/>
        <v>14.9748482947752</v>
      </c>
      <c r="M202" s="7">
        <f t="shared" si="74"/>
        <v>5.4680116006289499</v>
      </c>
      <c r="N202" s="7">
        <f t="shared" si="75"/>
        <v>6.0088039567351101</v>
      </c>
      <c r="O202" s="7">
        <f t="shared" si="76"/>
        <v>20.442859895404201</v>
      </c>
      <c r="P202" s="49">
        <f t="shared" si="77"/>
        <v>-6.0088039567351101</v>
      </c>
      <c r="Q202" s="54">
        <f t="shared" si="79"/>
        <v>3647.3478990897502</v>
      </c>
      <c r="R202" s="55">
        <f t="shared" si="78"/>
        <v>75.471152609953506</v>
      </c>
    </row>
    <row r="203" ht="12.800000000000001">
      <c r="A203" s="1">
        <v>199</v>
      </c>
      <c r="B203" s="44">
        <v>43744</v>
      </c>
      <c r="C203" s="45">
        <f t="shared" si="64"/>
        <v>20.710841973216301</v>
      </c>
      <c r="D203" s="3">
        <f t="shared" si="65"/>
        <v>14.705406190144901</v>
      </c>
      <c r="E203" s="46">
        <f t="shared" si="66"/>
        <v>0</v>
      </c>
      <c r="F203" s="46">
        <f t="shared" si="67"/>
        <v>14.705406190144901</v>
      </c>
      <c r="G203" s="46">
        <f t="shared" si="68"/>
        <v>100</v>
      </c>
      <c r="H203" s="46">
        <f t="shared" si="69"/>
        <v>100</v>
      </c>
      <c r="I203" s="47">
        <f t="shared" si="70"/>
        <v>0</v>
      </c>
      <c r="J203" s="47">
        <f t="shared" si="71"/>
        <v>16.159787022137301</v>
      </c>
      <c r="K203" s="48">
        <f t="shared" si="72"/>
        <v>0</v>
      </c>
      <c r="L203" s="7">
        <f t="shared" si="73"/>
        <v>14.705406190144901</v>
      </c>
      <c r="M203" s="7">
        <f t="shared" si="74"/>
        <v>6.0054357830713601</v>
      </c>
      <c r="N203" s="7">
        <f t="shared" si="75"/>
        <v>6.5993799813971004</v>
      </c>
      <c r="O203" s="7">
        <f t="shared" si="76"/>
        <v>20.710841973216301</v>
      </c>
      <c r="P203" s="49">
        <f t="shared" si="77"/>
        <v>-6.5993799813971004</v>
      </c>
      <c r="Q203" s="54">
        <f t="shared" si="79"/>
        <v>3641.3390951330098</v>
      </c>
      <c r="R203" s="55">
        <f t="shared" si="78"/>
        <v>75.412715847667698</v>
      </c>
    </row>
    <row r="204" ht="12.800000000000001">
      <c r="A204" s="1">
        <v>200</v>
      </c>
      <c r="B204" s="44">
        <v>43745</v>
      </c>
      <c r="C204" s="45">
        <f t="shared" si="64"/>
        <v>20.977480703185002</v>
      </c>
      <c r="D204" s="3">
        <f t="shared" si="65"/>
        <v>14.4373147522202</v>
      </c>
      <c r="E204" s="46">
        <f t="shared" si="66"/>
        <v>0</v>
      </c>
      <c r="F204" s="46">
        <f t="shared" si="67"/>
        <v>14.4373147522202</v>
      </c>
      <c r="G204" s="46">
        <f t="shared" si="68"/>
        <v>100</v>
      </c>
      <c r="H204" s="46">
        <f t="shared" si="69"/>
        <v>100</v>
      </c>
      <c r="I204" s="47">
        <f t="shared" si="70"/>
        <v>0</v>
      </c>
      <c r="J204" s="47">
        <f t="shared" si="71"/>
        <v>15.865181046395801</v>
      </c>
      <c r="K204" s="48">
        <f t="shared" si="72"/>
        <v>0</v>
      </c>
      <c r="L204" s="7">
        <f t="shared" si="73"/>
        <v>14.4373147522202</v>
      </c>
      <c r="M204" s="7">
        <f t="shared" si="74"/>
        <v>6.5401659509648002</v>
      </c>
      <c r="N204" s="7">
        <f t="shared" si="75"/>
        <v>7.1869955505107699</v>
      </c>
      <c r="O204" s="7">
        <f t="shared" si="76"/>
        <v>20.977480703185002</v>
      </c>
      <c r="P204" s="49">
        <f t="shared" si="77"/>
        <v>-7.1869955505107699</v>
      </c>
      <c r="Q204" s="54">
        <f t="shared" si="79"/>
        <v>3634.7397151516102</v>
      </c>
      <c r="R204" s="55">
        <f t="shared" si="78"/>
        <v>75.348535621122906</v>
      </c>
    </row>
    <row r="205" ht="12.800000000000001">
      <c r="A205" s="1">
        <v>201</v>
      </c>
      <c r="B205" s="44">
        <v>43746</v>
      </c>
      <c r="C205" s="45">
        <f t="shared" si="64"/>
        <v>21.242697074500001</v>
      </c>
      <c r="D205" s="3">
        <f t="shared" si="65"/>
        <v>14.1706534222799</v>
      </c>
      <c r="E205" s="46">
        <f t="shared" si="66"/>
        <v>0</v>
      </c>
      <c r="F205" s="46">
        <f t="shared" si="67"/>
        <v>14.1706534222799</v>
      </c>
      <c r="G205" s="46">
        <f t="shared" si="68"/>
        <v>100</v>
      </c>
      <c r="H205" s="46">
        <f t="shared" si="69"/>
        <v>100</v>
      </c>
      <c r="I205" s="47">
        <f t="shared" si="70"/>
        <v>0</v>
      </c>
      <c r="J205" s="47">
        <f t="shared" si="71"/>
        <v>15.572146617890001</v>
      </c>
      <c r="K205" s="48">
        <f t="shared" si="72"/>
        <v>0</v>
      </c>
      <c r="L205" s="7">
        <f t="shared" si="73"/>
        <v>14.1706534222799</v>
      </c>
      <c r="M205" s="7">
        <f t="shared" si="74"/>
        <v>7.0720436522200698</v>
      </c>
      <c r="N205" s="7">
        <f t="shared" si="75"/>
        <v>7.7714765409011797</v>
      </c>
      <c r="O205" s="7">
        <f t="shared" si="76"/>
        <v>21.242697074500001</v>
      </c>
      <c r="P205" s="49">
        <f t="shared" si="77"/>
        <v>-7.7714765409011797</v>
      </c>
      <c r="Q205" s="54">
        <f t="shared" si="79"/>
        <v>3627.5527196010999</v>
      </c>
      <c r="R205" s="55">
        <f t="shared" si="78"/>
        <v>75.278640721312897</v>
      </c>
    </row>
    <row r="206" ht="12.800000000000001">
      <c r="A206" s="1">
        <v>202</v>
      </c>
      <c r="B206" s="44">
        <v>43747</v>
      </c>
      <c r="C206" s="45">
        <f t="shared" si="64"/>
        <v>21.506412497826702</v>
      </c>
      <c r="D206" s="3">
        <f t="shared" si="65"/>
        <v>13.905501217831301</v>
      </c>
      <c r="E206" s="46">
        <f t="shared" si="66"/>
        <v>0</v>
      </c>
      <c r="F206" s="46">
        <f t="shared" si="67"/>
        <v>13.905501217831301</v>
      </c>
      <c r="G206" s="46">
        <f t="shared" si="68"/>
        <v>100</v>
      </c>
      <c r="H206" s="46">
        <f t="shared" si="69"/>
        <v>100</v>
      </c>
      <c r="I206" s="47">
        <f t="shared" si="70"/>
        <v>0</v>
      </c>
      <c r="J206" s="47">
        <f t="shared" si="71"/>
        <v>15.2807705690453</v>
      </c>
      <c r="K206" s="48">
        <f t="shared" si="72"/>
        <v>0</v>
      </c>
      <c r="L206" s="7">
        <f t="shared" si="73"/>
        <v>13.905501217831301</v>
      </c>
      <c r="M206" s="7">
        <f t="shared" si="74"/>
        <v>7.6009112799954499</v>
      </c>
      <c r="N206" s="7">
        <f t="shared" si="75"/>
        <v>8.3526497582367494</v>
      </c>
      <c r="O206" s="7">
        <f t="shared" si="76"/>
        <v>21.506412497826702</v>
      </c>
      <c r="P206" s="49">
        <f t="shared" si="77"/>
        <v>-8.3526497582367494</v>
      </c>
      <c r="Q206" s="54">
        <f t="shared" si="79"/>
        <v>3619.7812430601998</v>
      </c>
      <c r="R206" s="55">
        <f t="shared" si="78"/>
        <v>75.203061632612403</v>
      </c>
    </row>
    <row r="207" ht="12.800000000000001">
      <c r="A207" s="1">
        <v>203</v>
      </c>
      <c r="B207" s="44">
        <v>43748</v>
      </c>
      <c r="C207" s="45">
        <f t="shared" si="64"/>
        <v>21.768548828593701</v>
      </c>
      <c r="D207" s="3">
        <f t="shared" si="65"/>
        <v>13.6419367091948</v>
      </c>
      <c r="E207" s="46">
        <f t="shared" si="66"/>
        <v>0</v>
      </c>
      <c r="F207" s="46">
        <f t="shared" si="67"/>
        <v>13.6419367091948</v>
      </c>
      <c r="G207" s="46">
        <f t="shared" si="68"/>
        <v>100</v>
      </c>
      <c r="H207" s="46">
        <f t="shared" si="69"/>
        <v>100</v>
      </c>
      <c r="I207" s="47">
        <f t="shared" si="70"/>
        <v>0</v>
      </c>
      <c r="J207" s="47">
        <f t="shared" si="71"/>
        <v>14.9911392408734</v>
      </c>
      <c r="K207" s="48">
        <f t="shared" si="72"/>
        <v>0</v>
      </c>
      <c r="L207" s="7">
        <f t="shared" si="73"/>
        <v>13.6419367091948</v>
      </c>
      <c r="M207" s="7">
        <f t="shared" si="74"/>
        <v>8.12661211939891</v>
      </c>
      <c r="N207" s="7">
        <f t="shared" si="75"/>
        <v>8.9303429883504499</v>
      </c>
      <c r="O207" s="7">
        <f t="shared" si="76"/>
        <v>21.768548828593701</v>
      </c>
      <c r="P207" s="49">
        <f t="shared" si="77"/>
        <v>-8.9303429883504499</v>
      </c>
      <c r="Q207" s="54">
        <f t="shared" si="79"/>
        <v>3611.4285933019601</v>
      </c>
      <c r="R207" s="55">
        <f t="shared" si="78"/>
        <v>75.121830523743995</v>
      </c>
    </row>
    <row r="208" ht="12.800000000000001">
      <c r="A208" s="1">
        <v>204</v>
      </c>
      <c r="B208" s="44">
        <v>43749</v>
      </c>
      <c r="C208" s="45">
        <f t="shared" si="64"/>
        <v>22.029028390148898</v>
      </c>
      <c r="D208" s="3">
        <f t="shared" si="65"/>
        <v>13.380037996222701</v>
      </c>
      <c r="E208" s="46">
        <f t="shared" si="66"/>
        <v>0</v>
      </c>
      <c r="F208" s="46">
        <f t="shared" si="67"/>
        <v>13.380037996222701</v>
      </c>
      <c r="G208" s="46">
        <f t="shared" si="68"/>
        <v>100</v>
      </c>
      <c r="H208" s="46">
        <f t="shared" si="69"/>
        <v>100</v>
      </c>
      <c r="I208" s="47">
        <f t="shared" si="70"/>
        <v>0</v>
      </c>
      <c r="J208" s="47">
        <f t="shared" si="71"/>
        <v>14.703338457387501</v>
      </c>
      <c r="K208" s="48">
        <f t="shared" si="72"/>
        <v>0</v>
      </c>
      <c r="L208" s="7">
        <f t="shared" si="73"/>
        <v>13.380037996222701</v>
      </c>
      <c r="M208" s="7">
        <f t="shared" si="74"/>
        <v>8.6489903939262103</v>
      </c>
      <c r="N208" s="7">
        <f t="shared" si="75"/>
        <v>9.5043850482705601</v>
      </c>
      <c r="O208" s="7">
        <f t="shared" si="76"/>
        <v>22.029028390148898</v>
      </c>
      <c r="P208" s="49">
        <f t="shared" si="77"/>
        <v>-9.5043850482705601</v>
      </c>
      <c r="Q208" s="54">
        <f t="shared" si="79"/>
        <v>3602.4982503136098</v>
      </c>
      <c r="R208" s="55">
        <f t="shared" si="78"/>
        <v>75.034981238245905</v>
      </c>
    </row>
    <row r="209" ht="12.800000000000001">
      <c r="A209" s="1">
        <v>205</v>
      </c>
      <c r="B209" s="44">
        <v>43750</v>
      </c>
      <c r="C209" s="45">
        <f t="shared" si="64"/>
        <v>22.287773996776501</v>
      </c>
      <c r="D209" s="3">
        <f t="shared" si="65"/>
        <v>13.1198826851557</v>
      </c>
      <c r="E209" s="46">
        <f t="shared" si="66"/>
        <v>0</v>
      </c>
      <c r="F209" s="46">
        <f t="shared" si="67"/>
        <v>13.1198826851557</v>
      </c>
      <c r="G209" s="46">
        <f t="shared" si="68"/>
        <v>100</v>
      </c>
      <c r="H209" s="46">
        <f t="shared" si="69"/>
        <v>100</v>
      </c>
      <c r="I209" s="47">
        <f t="shared" si="70"/>
        <v>0</v>
      </c>
      <c r="J209" s="47">
        <f t="shared" si="71"/>
        <v>14.417453500171099</v>
      </c>
      <c r="K209" s="48">
        <f t="shared" si="72"/>
        <v>0</v>
      </c>
      <c r="L209" s="7">
        <f t="shared" si="73"/>
        <v>13.1198826851557</v>
      </c>
      <c r="M209" s="7">
        <f t="shared" si="74"/>
        <v>9.1678913116207603</v>
      </c>
      <c r="N209" s="7">
        <f t="shared" si="75"/>
        <v>10.074605836945899</v>
      </c>
      <c r="O209" s="7">
        <f t="shared" si="76"/>
        <v>22.287773996776501</v>
      </c>
      <c r="P209" s="49">
        <f t="shared" si="77"/>
        <v>-10.074605836945899</v>
      </c>
      <c r="Q209" s="54">
        <f t="shared" si="79"/>
        <v>3592.99386526534</v>
      </c>
      <c r="R209" s="55">
        <f t="shared" si="78"/>
        <v>74.942549284443203</v>
      </c>
    </row>
    <row r="210" ht="12.800000000000001">
      <c r="A210" s="1">
        <v>206</v>
      </c>
      <c r="B210" s="44">
        <v>43751</v>
      </c>
      <c r="C210" s="45">
        <f t="shared" si="64"/>
        <v>22.544708976569101</v>
      </c>
      <c r="D210" s="3">
        <f t="shared" si="65"/>
        <v>12.8615478656272</v>
      </c>
      <c r="E210" s="46">
        <f t="shared" si="66"/>
        <v>0</v>
      </c>
      <c r="F210" s="46">
        <f t="shared" si="67"/>
        <v>12.8615478656272</v>
      </c>
      <c r="G210" s="46">
        <f t="shared" si="68"/>
        <v>100</v>
      </c>
      <c r="H210" s="46">
        <f t="shared" si="69"/>
        <v>100</v>
      </c>
      <c r="I210" s="47">
        <f t="shared" si="70"/>
        <v>0</v>
      </c>
      <c r="J210" s="47">
        <f t="shared" si="71"/>
        <v>14.133569083106901</v>
      </c>
      <c r="K210" s="48">
        <f t="shared" si="72"/>
        <v>0</v>
      </c>
      <c r="L210" s="7">
        <f t="shared" si="73"/>
        <v>12.8615478656272</v>
      </c>
      <c r="M210" s="7">
        <f t="shared" si="74"/>
        <v>9.6831611109418194</v>
      </c>
      <c r="N210" s="7">
        <f t="shared" si="75"/>
        <v>10.640836385650299</v>
      </c>
      <c r="O210" s="7">
        <f t="shared" si="76"/>
        <v>22.544708976569101</v>
      </c>
      <c r="P210" s="49">
        <f t="shared" si="77"/>
        <v>-10.640836385650299</v>
      </c>
      <c r="Q210" s="54">
        <f t="shared" si="79"/>
        <v>3582.9192594284</v>
      </c>
      <c r="R210" s="55">
        <f t="shared" si="78"/>
        <v>74.844571824926206</v>
      </c>
    </row>
    <row r="211" ht="12.800000000000001">
      <c r="A211" s="1">
        <v>207</v>
      </c>
      <c r="B211" s="44">
        <v>43752</v>
      </c>
      <c r="C211" s="45">
        <f t="shared" si="64"/>
        <v>22.799757194146999</v>
      </c>
      <c r="D211" s="3">
        <f t="shared" si="65"/>
        <v>12.6051100878196</v>
      </c>
      <c r="E211" s="46">
        <f t="shared" si="66"/>
        <v>0</v>
      </c>
      <c r="F211" s="46">
        <f t="shared" si="67"/>
        <v>12.6051100878196</v>
      </c>
      <c r="G211" s="46">
        <f t="shared" si="68"/>
        <v>100</v>
      </c>
      <c r="H211" s="46">
        <f t="shared" si="69"/>
        <v>100</v>
      </c>
      <c r="I211" s="47">
        <f t="shared" si="70"/>
        <v>0</v>
      </c>
      <c r="J211" s="47">
        <f t="shared" si="71"/>
        <v>13.851769327274299</v>
      </c>
      <c r="K211" s="48">
        <f t="shared" si="72"/>
        <v>0</v>
      </c>
      <c r="L211" s="7">
        <f t="shared" si="73"/>
        <v>12.6051100878196</v>
      </c>
      <c r="M211" s="7">
        <f t="shared" si="74"/>
        <v>10.1946471063274</v>
      </c>
      <c r="N211" s="7">
        <f t="shared" si="75"/>
        <v>11.2029089080521</v>
      </c>
      <c r="O211" s="7">
        <f t="shared" si="76"/>
        <v>22.799757194146999</v>
      </c>
      <c r="P211" s="49">
        <f t="shared" si="77"/>
        <v>-11.2029089080521</v>
      </c>
      <c r="Q211" s="54">
        <f t="shared" si="79"/>
        <v>3572.2784230427501</v>
      </c>
      <c r="R211" s="55">
        <f t="shared" si="78"/>
        <v>74.741087665538203</v>
      </c>
    </row>
    <row r="212" ht="12.800000000000001">
      <c r="A212" s="1">
        <v>208</v>
      </c>
      <c r="B212" s="44">
        <v>43753</v>
      </c>
      <c r="C212" s="45">
        <f t="shared" si="64"/>
        <v>23.052843073219101</v>
      </c>
      <c r="D212" s="3">
        <f t="shared" si="65"/>
        <v>12.3506453397807</v>
      </c>
      <c r="E212" s="46">
        <f t="shared" si="66"/>
        <v>0</v>
      </c>
      <c r="F212" s="46">
        <f t="shared" si="67"/>
        <v>12.3506453397807</v>
      </c>
      <c r="G212" s="46">
        <f t="shared" si="68"/>
        <v>100</v>
      </c>
      <c r="H212" s="46">
        <f t="shared" si="69"/>
        <v>100</v>
      </c>
      <c r="I212" s="47">
        <f t="shared" si="70"/>
        <v>0</v>
      </c>
      <c r="J212" s="47">
        <f t="shared" si="71"/>
        <v>13.5721377360228</v>
      </c>
      <c r="K212" s="48">
        <f t="shared" si="72"/>
        <v>0</v>
      </c>
      <c r="L212" s="7">
        <f t="shared" si="73"/>
        <v>12.3506453397807</v>
      </c>
      <c r="M212" s="7">
        <f t="shared" si="74"/>
        <v>10.7021977334384</v>
      </c>
      <c r="N212" s="7">
        <f t="shared" si="75"/>
        <v>11.7606568499323</v>
      </c>
      <c r="O212" s="7">
        <f t="shared" si="76"/>
        <v>23.052843073219101</v>
      </c>
      <c r="P212" s="49">
        <f t="shared" si="77"/>
        <v>-11.7606568499323</v>
      </c>
      <c r="Q212" s="54">
        <f t="shared" si="79"/>
        <v>3561.0755141346899</v>
      </c>
      <c r="R212" s="55">
        <f t="shared" si="78"/>
        <v>74.6321372438764</v>
      </c>
    </row>
    <row r="213" ht="12.800000000000001">
      <c r="A213" s="1">
        <v>209</v>
      </c>
      <c r="B213" s="44">
        <v>43754</v>
      </c>
      <c r="C213" s="45">
        <f t="shared" si="64"/>
        <v>23.3038916189773</v>
      </c>
      <c r="D213" s="3">
        <f t="shared" si="65"/>
        <v>12.098229024907299</v>
      </c>
      <c r="E213" s="46">
        <f t="shared" si="66"/>
        <v>0</v>
      </c>
      <c r="F213" s="46">
        <f t="shared" si="67"/>
        <v>12.098229024907299</v>
      </c>
      <c r="G213" s="46">
        <f t="shared" si="68"/>
        <v>100</v>
      </c>
      <c r="H213" s="46">
        <f t="shared" si="69"/>
        <v>100</v>
      </c>
      <c r="I213" s="47">
        <f t="shared" si="70"/>
        <v>0</v>
      </c>
      <c r="J213" s="47">
        <f t="shared" si="71"/>
        <v>13.2947571702278</v>
      </c>
      <c r="K213" s="48">
        <f t="shared" si="72"/>
        <v>0</v>
      </c>
      <c r="L213" s="7">
        <f t="shared" si="73"/>
        <v>12.098229024907299</v>
      </c>
      <c r="M213" s="7">
        <f t="shared" si="74"/>
        <v>11.2056625940701</v>
      </c>
      <c r="N213" s="7">
        <f t="shared" si="75"/>
        <v>12.313914938538501</v>
      </c>
      <c r="O213" s="7">
        <f t="shared" si="76"/>
        <v>23.3038916189773</v>
      </c>
      <c r="P213" s="49">
        <f t="shared" si="77"/>
        <v>-12.313914938538501</v>
      </c>
      <c r="Q213" s="54">
        <f t="shared" si="79"/>
        <v>3549.3148572847599</v>
      </c>
      <c r="R213" s="55">
        <f t="shared" si="78"/>
        <v>74.5177626173097</v>
      </c>
    </row>
    <row r="214" ht="12.800000000000001">
      <c r="A214" s="1">
        <v>210</v>
      </c>
      <c r="B214" s="44">
        <v>43755</v>
      </c>
      <c r="C214" s="45">
        <f t="shared" si="64"/>
        <v>23.552828440319502</v>
      </c>
      <c r="D214" s="3">
        <f t="shared" si="65"/>
        <v>11.8479359396009</v>
      </c>
      <c r="E214" s="46">
        <f t="shared" si="66"/>
        <v>0</v>
      </c>
      <c r="F214" s="46">
        <f t="shared" si="67"/>
        <v>11.8479359396009</v>
      </c>
      <c r="G214" s="46">
        <f t="shared" si="68"/>
        <v>100</v>
      </c>
      <c r="H214" s="46">
        <f t="shared" si="69"/>
        <v>100</v>
      </c>
      <c r="I214" s="47">
        <f t="shared" si="70"/>
        <v>0</v>
      </c>
      <c r="J214" s="47">
        <f t="shared" si="71"/>
        <v>13.019709823737299</v>
      </c>
      <c r="K214" s="48">
        <f t="shared" si="72"/>
        <v>0</v>
      </c>
      <c r="L214" s="7">
        <f t="shared" si="73"/>
        <v>11.8479359396009</v>
      </c>
      <c r="M214" s="7">
        <f t="shared" si="74"/>
        <v>11.704892500718501</v>
      </c>
      <c r="N214" s="7">
        <f t="shared" si="75"/>
        <v>12.8625192315588</v>
      </c>
      <c r="O214" s="7">
        <f t="shared" si="76"/>
        <v>23.552828440319502</v>
      </c>
      <c r="P214" s="49">
        <f t="shared" si="77"/>
        <v>-12.8625192315588</v>
      </c>
      <c r="Q214" s="54">
        <f t="shared" si="79"/>
        <v>3537.0009423462202</v>
      </c>
      <c r="R214" s="55">
        <f t="shared" si="78"/>
        <v>74.398007450515806</v>
      </c>
    </row>
    <row r="215" ht="12.800000000000001">
      <c r="A215" s="1">
        <v>211</v>
      </c>
      <c r="B215" s="44">
        <v>43756</v>
      </c>
      <c r="C215" s="45">
        <f t="shared" si="64"/>
        <v>23.799579771892901</v>
      </c>
      <c r="D215" s="3">
        <f t="shared" si="65"/>
        <v>11.599840251104601</v>
      </c>
      <c r="E215" s="46">
        <f t="shared" si="66"/>
        <v>0</v>
      </c>
      <c r="F215" s="46">
        <f t="shared" si="67"/>
        <v>11.599840251104601</v>
      </c>
      <c r="G215" s="46">
        <f t="shared" si="68"/>
        <v>100</v>
      </c>
      <c r="H215" s="46">
        <f t="shared" si="69"/>
        <v>100</v>
      </c>
      <c r="I215" s="47">
        <f t="shared" si="70"/>
        <v>0</v>
      </c>
      <c r="J215" s="47">
        <f t="shared" si="71"/>
        <v>12.7470771990161</v>
      </c>
      <c r="K215" s="48">
        <f t="shared" si="72"/>
        <v>0</v>
      </c>
      <c r="L215" s="7">
        <f t="shared" si="73"/>
        <v>11.599840251104601</v>
      </c>
      <c r="M215" s="7">
        <f t="shared" si="74"/>
        <v>12.199739520788301</v>
      </c>
      <c r="N215" s="7">
        <f t="shared" si="75"/>
        <v>13.406307165701399</v>
      </c>
      <c r="O215" s="7">
        <f t="shared" si="76"/>
        <v>23.799579771892901</v>
      </c>
      <c r="P215" s="49">
        <f t="shared" si="77"/>
        <v>-13.406307165701399</v>
      </c>
      <c r="Q215" s="54">
        <f t="shared" si="79"/>
        <v>3524.1384231146699</v>
      </c>
      <c r="R215" s="55">
        <f t="shared" si="78"/>
        <v>74.272917002542698</v>
      </c>
    </row>
    <row r="216" ht="12.800000000000001">
      <c r="A216" s="1">
        <v>212</v>
      </c>
      <c r="B216" s="44">
        <v>43757</v>
      </c>
      <c r="C216" s="45">
        <f t="shared" si="64"/>
        <v>24.044072495952701</v>
      </c>
      <c r="D216" s="3">
        <f t="shared" si="65"/>
        <v>11.3540154755252</v>
      </c>
      <c r="E216" s="46">
        <f t="shared" si="66"/>
        <v>0</v>
      </c>
      <c r="F216" s="46">
        <f t="shared" si="67"/>
        <v>11.3540154755252</v>
      </c>
      <c r="G216" s="46">
        <f t="shared" si="68"/>
        <v>100</v>
      </c>
      <c r="H216" s="46">
        <f t="shared" si="69"/>
        <v>100</v>
      </c>
      <c r="I216" s="47">
        <f t="shared" si="70"/>
        <v>0</v>
      </c>
      <c r="J216" s="47">
        <f t="shared" si="71"/>
        <v>12.476940082994799</v>
      </c>
      <c r="K216" s="48">
        <f t="shared" si="72"/>
        <v>0</v>
      </c>
      <c r="L216" s="7">
        <f t="shared" si="73"/>
        <v>11.3540154755252</v>
      </c>
      <c r="M216" s="7">
        <f t="shared" si="74"/>
        <v>12.690057020427499</v>
      </c>
      <c r="N216" s="7">
        <f t="shared" si="75"/>
        <v>13.9451176048654</v>
      </c>
      <c r="O216" s="7">
        <f t="shared" si="76"/>
        <v>24.044072495952701</v>
      </c>
      <c r="P216" s="49">
        <f t="shared" si="77"/>
        <v>-13.9451176048654</v>
      </c>
      <c r="Q216" s="54">
        <f t="shared" si="79"/>
        <v>3510.7321159489602</v>
      </c>
      <c r="R216" s="55">
        <f t="shared" si="78"/>
        <v>74.142538113397194</v>
      </c>
    </row>
    <row r="217" ht="12.800000000000001">
      <c r="A217" s="1">
        <v>213</v>
      </c>
      <c r="B217" s="44">
        <v>43758</v>
      </c>
      <c r="C217" s="45">
        <f t="shared" si="64"/>
        <v>24.286234164028201</v>
      </c>
      <c r="D217" s="3">
        <f t="shared" si="65"/>
        <v>11.110534456049001</v>
      </c>
      <c r="E217" s="46">
        <f t="shared" si="66"/>
        <v>0</v>
      </c>
      <c r="F217" s="46">
        <f t="shared" si="67"/>
        <v>11.110534456049001</v>
      </c>
      <c r="G217" s="46">
        <f t="shared" si="68"/>
        <v>100</v>
      </c>
      <c r="H217" s="46">
        <f t="shared" si="69"/>
        <v>100</v>
      </c>
      <c r="I217" s="47">
        <f t="shared" si="70"/>
        <v>0</v>
      </c>
      <c r="J217" s="47">
        <f t="shared" si="71"/>
        <v>12.2093785231308</v>
      </c>
      <c r="K217" s="48">
        <f t="shared" si="72"/>
        <v>0</v>
      </c>
      <c r="L217" s="7">
        <f t="shared" si="73"/>
        <v>11.110534456049001</v>
      </c>
      <c r="M217" s="7">
        <f t="shared" si="74"/>
        <v>13.1756997079792</v>
      </c>
      <c r="N217" s="7">
        <f t="shared" si="75"/>
        <v>14.4787908878892</v>
      </c>
      <c r="O217" s="7">
        <f t="shared" si="76"/>
        <v>24.286234164028201</v>
      </c>
      <c r="P217" s="49">
        <f t="shared" si="77"/>
        <v>-14.4787908878892</v>
      </c>
      <c r="Q217" s="54">
        <f t="shared" si="79"/>
        <v>3496.7869983441001</v>
      </c>
      <c r="R217" s="55">
        <f t="shared" si="78"/>
        <v>74.006919190165505</v>
      </c>
    </row>
    <row r="218" ht="12.800000000000001">
      <c r="A218" s="1">
        <v>214</v>
      </c>
      <c r="B218" s="44">
        <v>43759</v>
      </c>
      <c r="C218" s="45">
        <f t="shared" si="64"/>
        <v>24.5259930183908</v>
      </c>
      <c r="D218" s="3">
        <f t="shared" si="65"/>
        <v>10.869469341356901</v>
      </c>
      <c r="E218" s="46">
        <f t="shared" si="66"/>
        <v>0</v>
      </c>
      <c r="F218" s="46">
        <f t="shared" si="67"/>
        <v>10.869469341356901</v>
      </c>
      <c r="G218" s="46">
        <f t="shared" si="68"/>
        <v>100</v>
      </c>
      <c r="H218" s="46">
        <f t="shared" si="69"/>
        <v>100</v>
      </c>
      <c r="I218" s="47">
        <f t="shared" si="70"/>
        <v>0</v>
      </c>
      <c r="J218" s="47">
        <f t="shared" si="71"/>
        <v>11.9444718036889</v>
      </c>
      <c r="K218" s="48">
        <f t="shared" si="72"/>
        <v>0</v>
      </c>
      <c r="L218" s="7">
        <f t="shared" si="73"/>
        <v>10.869469341356901</v>
      </c>
      <c r="M218" s="7">
        <f t="shared" si="74"/>
        <v>13.656523677033899</v>
      </c>
      <c r="N218" s="7">
        <f t="shared" si="75"/>
        <v>15.007168875861399</v>
      </c>
      <c r="O218" s="7">
        <f t="shared" si="76"/>
        <v>24.5259930183908</v>
      </c>
      <c r="P218" s="49">
        <f t="shared" si="77"/>
        <v>-15.007168875861399</v>
      </c>
      <c r="Q218" s="54">
        <f t="shared" si="79"/>
        <v>3482.3082074562099</v>
      </c>
      <c r="R218" s="55">
        <f t="shared" si="78"/>
        <v>73.866110192668899</v>
      </c>
    </row>
    <row r="219" ht="12.800000000000001">
      <c r="A219" s="1">
        <v>215</v>
      </c>
      <c r="B219" s="44">
        <v>43760</v>
      </c>
      <c r="C219" s="45">
        <f t="shared" si="64"/>
        <v>24.763278013317599</v>
      </c>
      <c r="D219" s="3">
        <f t="shared" si="65"/>
        <v>10.6308915642449</v>
      </c>
      <c r="E219" s="46">
        <f t="shared" si="66"/>
        <v>0</v>
      </c>
      <c r="F219" s="46">
        <f t="shared" si="67"/>
        <v>10.6308915642449</v>
      </c>
      <c r="G219" s="46">
        <f t="shared" si="68"/>
        <v>100</v>
      </c>
      <c r="H219" s="46">
        <f t="shared" si="69"/>
        <v>100</v>
      </c>
      <c r="I219" s="47">
        <f t="shared" si="70"/>
        <v>0</v>
      </c>
      <c r="J219" s="47">
        <f t="shared" si="71"/>
        <v>11.6822984222472</v>
      </c>
      <c r="K219" s="48">
        <f t="shared" si="72"/>
        <v>0</v>
      </c>
      <c r="L219" s="7">
        <f t="shared" si="73"/>
        <v>10.6308915642449</v>
      </c>
      <c r="M219" s="7">
        <f t="shared" si="74"/>
        <v>14.132386449072699</v>
      </c>
      <c r="N219" s="7">
        <f t="shared" si="75"/>
        <v>15.530094998980999</v>
      </c>
      <c r="O219" s="7">
        <f t="shared" si="76"/>
        <v>24.763278013317599</v>
      </c>
      <c r="P219" s="49">
        <f t="shared" si="77"/>
        <v>-15.530094998980999</v>
      </c>
      <c r="Q219" s="54">
        <f t="shared" si="79"/>
        <v>3467.30103858035</v>
      </c>
      <c r="R219" s="55">
        <f t="shared" si="78"/>
        <v>73.720162618659899</v>
      </c>
    </row>
    <row r="220" ht="12.800000000000001">
      <c r="A220" s="1">
        <v>216</v>
      </c>
      <c r="B220" s="44">
        <v>43761</v>
      </c>
      <c r="C220" s="45">
        <f t="shared" si="64"/>
        <v>24.998018836143601</v>
      </c>
      <c r="D220" s="3">
        <f t="shared" si="65"/>
        <v>10.3948718204574</v>
      </c>
      <c r="E220" s="46">
        <f t="shared" si="66"/>
        <v>0</v>
      </c>
      <c r="F220" s="46">
        <f t="shared" si="67"/>
        <v>10.3948718204574</v>
      </c>
      <c r="G220" s="46">
        <f t="shared" si="68"/>
        <v>100</v>
      </c>
      <c r="H220" s="46">
        <f t="shared" si="69"/>
        <v>100</v>
      </c>
      <c r="I220" s="47">
        <f t="shared" si="70"/>
        <v>0</v>
      </c>
      <c r="J220" s="47">
        <f t="shared" si="71"/>
        <v>11.4229360664367</v>
      </c>
      <c r="K220" s="48">
        <f t="shared" si="72"/>
        <v>0</v>
      </c>
      <c r="L220" s="7">
        <f t="shared" si="73"/>
        <v>10.3948718204574</v>
      </c>
      <c r="M220" s="7">
        <f t="shared" si="74"/>
        <v>14.603147015686201</v>
      </c>
      <c r="N220" s="7">
        <f t="shared" si="75"/>
        <v>16.0474143029519</v>
      </c>
      <c r="O220" s="7">
        <f t="shared" si="76"/>
        <v>24.998018836143601</v>
      </c>
      <c r="P220" s="49">
        <f t="shared" si="77"/>
        <v>-16.0474143029519</v>
      </c>
      <c r="Q220" s="54">
        <f t="shared" si="79"/>
        <v>3451.7709435813699</v>
      </c>
      <c r="R220" s="55">
        <f t="shared" si="78"/>
        <v>73.569129488561899</v>
      </c>
    </row>
    <row r="221" ht="12.800000000000001">
      <c r="A221" s="1">
        <v>217</v>
      </c>
      <c r="B221" s="44">
        <v>43762</v>
      </c>
      <c r="C221" s="45">
        <f t="shared" si="64"/>
        <v>25.2301459280968</v>
      </c>
      <c r="D221" s="3">
        <f t="shared" si="65"/>
        <v>10.161480047738101</v>
      </c>
      <c r="E221" s="46">
        <f t="shared" si="66"/>
        <v>0</v>
      </c>
      <c r="F221" s="46">
        <f t="shared" si="67"/>
        <v>10.161480047738101</v>
      </c>
      <c r="G221" s="46">
        <f t="shared" si="68"/>
        <v>100</v>
      </c>
      <c r="H221" s="46">
        <f t="shared" si="69"/>
        <v>100</v>
      </c>
      <c r="I221" s="47">
        <f t="shared" si="70"/>
        <v>0</v>
      </c>
      <c r="J221" s="47">
        <f t="shared" si="71"/>
        <v>11.1664615909209</v>
      </c>
      <c r="K221" s="48">
        <f t="shared" si="72"/>
        <v>0</v>
      </c>
      <c r="L221" s="7">
        <f t="shared" si="73"/>
        <v>10.161480047738101</v>
      </c>
      <c r="M221" s="7">
        <f t="shared" si="74"/>
        <v>15.068665880358701</v>
      </c>
      <c r="N221" s="7">
        <f t="shared" si="75"/>
        <v>16.5589734948997</v>
      </c>
      <c r="O221" s="7">
        <f t="shared" si="76"/>
        <v>25.2301459280968</v>
      </c>
      <c r="P221" s="49">
        <f t="shared" si="77"/>
        <v>-16.5589734948997</v>
      </c>
      <c r="Q221" s="54">
        <f t="shared" si="79"/>
        <v>3435.7235292784098</v>
      </c>
      <c r="R221" s="55">
        <f t="shared" si="78"/>
        <v>73.413065329758396</v>
      </c>
    </row>
    <row r="222" ht="12.800000000000001">
      <c r="A222" s="1">
        <v>218</v>
      </c>
      <c r="B222" s="44">
        <v>43763</v>
      </c>
      <c r="C222" s="45">
        <f t="shared" si="64"/>
        <v>25.4595905049101</v>
      </c>
      <c r="D222" s="3">
        <f t="shared" si="65"/>
        <v>9.9307854051062492</v>
      </c>
      <c r="E222" s="46">
        <f t="shared" si="66"/>
        <v>0</v>
      </c>
      <c r="F222" s="46">
        <f t="shared" si="67"/>
        <v>9.9307854051062492</v>
      </c>
      <c r="G222" s="46">
        <f t="shared" si="68"/>
        <v>100</v>
      </c>
      <c r="H222" s="46">
        <f t="shared" si="69"/>
        <v>100</v>
      </c>
      <c r="I222" s="47">
        <f t="shared" si="70"/>
        <v>0</v>
      </c>
      <c r="J222" s="47">
        <f t="shared" si="71"/>
        <v>10.9129509946223</v>
      </c>
      <c r="K222" s="48">
        <f t="shared" si="72"/>
        <v>0</v>
      </c>
      <c r="L222" s="7">
        <f t="shared" si="73"/>
        <v>9.9307854051062492</v>
      </c>
      <c r="M222" s="7">
        <f t="shared" si="74"/>
        <v>15.5288050998039</v>
      </c>
      <c r="N222" s="7">
        <f t="shared" si="75"/>
        <v>17.0646209887955</v>
      </c>
      <c r="O222" s="7">
        <f t="shared" si="76"/>
        <v>25.4595905049101</v>
      </c>
      <c r="P222" s="49">
        <f t="shared" si="77"/>
        <v>-17.0646209887955</v>
      </c>
      <c r="Q222" s="54">
        <f t="shared" si="79"/>
        <v>3419.16455578351</v>
      </c>
      <c r="R222" s="55">
        <f t="shared" si="78"/>
        <v>73.252026160435307</v>
      </c>
    </row>
    <row r="223" ht="12.800000000000001">
      <c r="A223" s="1">
        <v>219</v>
      </c>
      <c r="B223" s="44">
        <v>43764</v>
      </c>
      <c r="C223" s="45">
        <f t="shared" si="64"/>
        <v>25.686284577203701</v>
      </c>
      <c r="D223" s="3">
        <f t="shared" si="65"/>
        <v>9.7028562523633504</v>
      </c>
      <c r="E223" s="46">
        <f t="shared" si="66"/>
        <v>0</v>
      </c>
      <c r="F223" s="46">
        <f t="shared" si="67"/>
        <v>9.7028562523633504</v>
      </c>
      <c r="G223" s="46">
        <f t="shared" si="68"/>
        <v>100</v>
      </c>
      <c r="H223" s="46">
        <f t="shared" si="69"/>
        <v>100</v>
      </c>
      <c r="I223" s="47">
        <f t="shared" si="70"/>
        <v>0</v>
      </c>
      <c r="J223" s="47">
        <f t="shared" si="71"/>
        <v>10.6624793982015</v>
      </c>
      <c r="K223" s="48">
        <f t="shared" si="72"/>
        <v>0</v>
      </c>
      <c r="L223" s="7">
        <f t="shared" si="73"/>
        <v>9.7028562523633504</v>
      </c>
      <c r="M223" s="7">
        <f t="shared" si="74"/>
        <v>15.9834283248404</v>
      </c>
      <c r="N223" s="7">
        <f t="shared" si="75"/>
        <v>17.564206950374</v>
      </c>
      <c r="O223" s="7">
        <f t="shared" si="76"/>
        <v>25.686284577203701</v>
      </c>
      <c r="P223" s="49">
        <f t="shared" si="77"/>
        <v>-17.564206950374</v>
      </c>
      <c r="Q223" s="54">
        <f t="shared" si="79"/>
        <v>3402.09993479472</v>
      </c>
      <c r="R223" s="55">
        <f t="shared" si="78"/>
        <v>73.086069472981507</v>
      </c>
    </row>
    <row r="224" ht="12.800000000000001">
      <c r="A224" s="1">
        <v>220</v>
      </c>
      <c r="B224" s="44">
        <v>43765</v>
      </c>
      <c r="C224" s="45">
        <f t="shared" si="64"/>
        <v>25.910160970631502</v>
      </c>
      <c r="D224" s="3">
        <f t="shared" si="65"/>
        <v>9.4777601298364402</v>
      </c>
      <c r="E224" s="46">
        <f t="shared" si="66"/>
        <v>0</v>
      </c>
      <c r="F224" s="46">
        <f t="shared" si="67"/>
        <v>9.4777601298364402</v>
      </c>
      <c r="G224" s="46">
        <f t="shared" si="68"/>
        <v>100</v>
      </c>
      <c r="H224" s="46">
        <f t="shared" si="69"/>
        <v>100</v>
      </c>
      <c r="I224" s="47">
        <f t="shared" si="70"/>
        <v>0</v>
      </c>
      <c r="J224" s="47">
        <f t="shared" si="71"/>
        <v>10.415121021798299</v>
      </c>
      <c r="K224" s="48">
        <f t="shared" si="72"/>
        <v>0</v>
      </c>
      <c r="L224" s="7">
        <f t="shared" si="73"/>
        <v>9.4777601298364402</v>
      </c>
      <c r="M224" s="7">
        <f t="shared" si="74"/>
        <v>16.432400840795101</v>
      </c>
      <c r="N224" s="7">
        <f t="shared" si="75"/>
        <v>18.057583341533</v>
      </c>
      <c r="O224" s="7">
        <f t="shared" si="76"/>
        <v>25.910160970631502</v>
      </c>
      <c r="P224" s="49">
        <f t="shared" si="77"/>
        <v>-18.057583341533</v>
      </c>
      <c r="Q224" s="54">
        <f t="shared" si="79"/>
        <v>3384.5357278443498</v>
      </c>
      <c r="R224" s="55">
        <f t="shared" si="78"/>
        <v>72.915254216952604</v>
      </c>
    </row>
    <row r="225" ht="12.800000000000001">
      <c r="A225" s="1">
        <v>221</v>
      </c>
      <c r="B225" s="44">
        <v>43766</v>
      </c>
      <c r="C225" s="45">
        <f t="shared" si="64"/>
        <v>26.131153345786402</v>
      </c>
      <c r="D225" s="3">
        <f t="shared" si="65"/>
        <v>9.2555637383645895</v>
      </c>
      <c r="E225" s="46">
        <f t="shared" si="66"/>
        <v>0</v>
      </c>
      <c r="F225" s="46">
        <f t="shared" si="67"/>
        <v>9.2555637383645895</v>
      </c>
      <c r="G225" s="46">
        <f t="shared" si="68"/>
        <v>100</v>
      </c>
      <c r="H225" s="46">
        <f t="shared" si="69"/>
        <v>100</v>
      </c>
      <c r="I225" s="47">
        <f t="shared" si="70"/>
        <v>0</v>
      </c>
      <c r="J225" s="47">
        <f t="shared" si="71"/>
        <v>10.170949163037999</v>
      </c>
      <c r="K225" s="48">
        <f t="shared" si="72"/>
        <v>0</v>
      </c>
      <c r="L225" s="7">
        <f t="shared" si="73"/>
        <v>9.2555637383645895</v>
      </c>
      <c r="M225" s="7">
        <f t="shared" si="74"/>
        <v>16.875589607421801</v>
      </c>
      <c r="N225" s="7">
        <f t="shared" si="75"/>
        <v>18.544603964199801</v>
      </c>
      <c r="O225" s="7">
        <f t="shared" si="76"/>
        <v>26.131153345786402</v>
      </c>
      <c r="P225" s="49">
        <f t="shared" si="77"/>
        <v>-18.544603964199801</v>
      </c>
      <c r="Q225" s="54">
        <f t="shared" si="79"/>
        <v>3366.4781445028102</v>
      </c>
      <c r="R225" s="55">
        <f t="shared" si="78"/>
        <v>72.739640781602901</v>
      </c>
    </row>
    <row r="226" ht="12.800000000000001">
      <c r="A226" s="1">
        <v>222</v>
      </c>
      <c r="B226" s="44">
        <v>43767</v>
      </c>
      <c r="C226" s="45">
        <f t="shared" si="64"/>
        <v>26.3491962178582</v>
      </c>
      <c r="D226" s="3">
        <f t="shared" si="65"/>
        <v>9.0363329195339901</v>
      </c>
      <c r="E226" s="46">
        <f t="shared" si="66"/>
        <v>0</v>
      </c>
      <c r="F226" s="46">
        <f t="shared" si="67"/>
        <v>9.0363329195339901</v>
      </c>
      <c r="G226" s="46">
        <f t="shared" si="68"/>
        <v>100</v>
      </c>
      <c r="H226" s="46">
        <f t="shared" si="69"/>
        <v>100</v>
      </c>
      <c r="I226" s="47">
        <f t="shared" si="70"/>
        <v>0</v>
      </c>
      <c r="J226" s="47">
        <f t="shared" si="71"/>
        <v>9.9300361753120807</v>
      </c>
      <c r="K226" s="48">
        <f t="shared" si="72"/>
        <v>0</v>
      </c>
      <c r="L226" s="7">
        <f t="shared" si="73"/>
        <v>9.0363329195339901</v>
      </c>
      <c r="M226" s="7">
        <f t="shared" si="74"/>
        <v>17.312863298324199</v>
      </c>
      <c r="N226" s="7">
        <f t="shared" si="75"/>
        <v>19.025124503653</v>
      </c>
      <c r="O226" s="7">
        <f t="shared" si="76"/>
        <v>26.3491962178582</v>
      </c>
      <c r="P226" s="49">
        <f t="shared" si="77"/>
        <v>-19.025124503653</v>
      </c>
      <c r="Q226" s="54">
        <f t="shared" si="79"/>
        <v>3347.93354053861</v>
      </c>
      <c r="R226" s="55">
        <f t="shared" si="78"/>
        <v>72.559290977990997</v>
      </c>
    </row>
    <row r="227" ht="12.800000000000001">
      <c r="A227" s="1">
        <v>223</v>
      </c>
      <c r="B227" s="44">
        <v>43768</v>
      </c>
      <c r="C227" s="45">
        <f t="shared" si="64"/>
        <v>26.5642249760383</v>
      </c>
      <c r="D227" s="3">
        <f t="shared" si="65"/>
        <v>8.8201326361676493</v>
      </c>
      <c r="E227" s="46">
        <f t="shared" si="66"/>
        <v>0</v>
      </c>
      <c r="F227" s="46">
        <f t="shared" si="67"/>
        <v>8.8201326361676493</v>
      </c>
      <c r="G227" s="46">
        <f t="shared" si="68"/>
        <v>100</v>
      </c>
      <c r="H227" s="46">
        <f t="shared" si="69"/>
        <v>100</v>
      </c>
      <c r="I227" s="47">
        <f t="shared" si="70"/>
        <v>0</v>
      </c>
      <c r="J227" s="47">
        <f t="shared" si="71"/>
        <v>9.6924534463380798</v>
      </c>
      <c r="K227" s="48">
        <f t="shared" si="72"/>
        <v>0</v>
      </c>
      <c r="L227" s="7">
        <f t="shared" si="73"/>
        <v>8.8201326361676493</v>
      </c>
      <c r="M227" s="7">
        <f t="shared" si="74"/>
        <v>17.744092339870701</v>
      </c>
      <c r="N227" s="7">
        <f t="shared" si="75"/>
        <v>19.4990025712865</v>
      </c>
      <c r="O227" s="7">
        <f t="shared" si="76"/>
        <v>26.5642249760383</v>
      </c>
      <c r="P227" s="49">
        <f t="shared" si="77"/>
        <v>-19.4990025712865</v>
      </c>
      <c r="Q227" s="54">
        <f t="shared" si="79"/>
        <v>3328.9084160349598</v>
      </c>
      <c r="R227" s="55">
        <f t="shared" si="78"/>
        <v>72.374268020663294</v>
      </c>
    </row>
    <row r="228" ht="12.800000000000001">
      <c r="A228" s="1">
        <v>224</v>
      </c>
      <c r="B228" s="44">
        <v>43769</v>
      </c>
      <c r="C228" s="45">
        <f t="shared" ref="C228:C291" si="80">V$30-V$30*SIN(2*PI()/365*A228)</f>
        <v>26.7761759026649</v>
      </c>
      <c r="D228" s="3">
        <f t="shared" ref="D228:D291" si="81">IF((E228+F228)&gt;C228,C228,E228+F228)</f>
        <v>8.6070269530755006</v>
      </c>
      <c r="E228" s="46">
        <f t="shared" ref="E228:E291" si="82">(V$27+V$28*SIN(2*PI()/365*A228))*V$29/100*V$9*V$10/100</f>
        <v>0</v>
      </c>
      <c r="F228" s="46">
        <f t="shared" ref="F228:F291" si="83">(V$27+V$28*SIN(2*PI()/365*A228))*V$29/100*V$11*(1-V$18/100)*(1-V$20/100)</f>
        <v>8.6070269530755006</v>
      </c>
      <c r="G228" s="46">
        <f t="shared" ref="G228:G291" si="84">IF(C228&gt;E228,100,C228/E228*100)</f>
        <v>100</v>
      </c>
      <c r="H228" s="46">
        <f t="shared" ref="H228:H291" si="85">L228/F228*100</f>
        <v>100</v>
      </c>
      <c r="I228" s="47">
        <f t="shared" ref="I228:I291" si="86">(V$27+V$28*SIN(2*PI()/365*A228))*V$29/100*V$9*V$10/100*(1-V$19/100)</f>
        <v>0</v>
      </c>
      <c r="J228" s="47">
        <f t="shared" ref="J228:J291" si="87">(V$27+V$28*SIN(2*PI()/365*A228))*V$29/100*V$11*(1-V$18/100)</f>
        <v>9.4582713770060494</v>
      </c>
      <c r="K228" s="48">
        <f t="shared" ref="K228:K291" si="88">IF(E228/C228*100&lt;100,E228/C228*100,100)</f>
        <v>0</v>
      </c>
      <c r="L228" s="7">
        <f t="shared" ref="L228:L291" si="89">IF(((C228-E228)&gt;0)*AND(F228&gt;(C228-E228)),(C228-E228),IF(C228&lt;E228,0,F228))</f>
        <v>8.6070269530755006</v>
      </c>
      <c r="M228" s="7">
        <f t="shared" ref="M228:M291" si="90">IF(C228&lt;(E228+F228),0,C228-E228-F228)</f>
        <v>18.169148949589399</v>
      </c>
      <c r="N228" s="7">
        <f t="shared" ref="N228:N291" si="91">IF(C228&lt;(E228+F228),0,(C228-E228-F228)/(1-V$20/100))</f>
        <v>19.966097746801601</v>
      </c>
      <c r="O228" s="7">
        <f t="shared" ref="O228:O291" si="92">L228+M228</f>
        <v>26.7761759026649</v>
      </c>
      <c r="P228" s="49">
        <f t="shared" ref="P228:P291" si="93">IF(N228=0,I228*(1-G228/100)+J228*(1-H228/100),-N228)</f>
        <v>-19.966097746801601</v>
      </c>
      <c r="Q228" s="54">
        <f t="shared" si="79"/>
        <v>3309.4094134636698</v>
      </c>
      <c r="R228" s="55">
        <f t="shared" ref="R228:R291" si="94">R$4+Q228/V$32</f>
        <v>72.184636508922793</v>
      </c>
    </row>
    <row r="229" ht="12.800000000000001">
      <c r="A229" s="1">
        <v>225</v>
      </c>
      <c r="B229" s="44">
        <v>43770</v>
      </c>
      <c r="C229" s="45">
        <f t="shared" si="80"/>
        <v>26.984986192104099</v>
      </c>
      <c r="D229" s="3">
        <f t="shared" si="81"/>
        <v>8.3970790180706594</v>
      </c>
      <c r="E229" s="46">
        <f t="shared" si="82"/>
        <v>0</v>
      </c>
      <c r="F229" s="46">
        <f t="shared" si="83"/>
        <v>8.3970790180706594</v>
      </c>
      <c r="G229" s="46">
        <f t="shared" si="84"/>
        <v>100</v>
      </c>
      <c r="H229" s="46">
        <f t="shared" si="85"/>
        <v>100</v>
      </c>
      <c r="I229" s="47">
        <f t="shared" si="86"/>
        <v>0</v>
      </c>
      <c r="J229" s="47">
        <f t="shared" si="87"/>
        <v>9.2275593605172102</v>
      </c>
      <c r="K229" s="48">
        <f t="shared" si="88"/>
        <v>0</v>
      </c>
      <c r="L229" s="7">
        <f t="shared" si="89"/>
        <v>8.3970790180706594</v>
      </c>
      <c r="M229" s="7">
        <f t="shared" si="90"/>
        <v>18.5879071740335</v>
      </c>
      <c r="N229" s="7">
        <f t="shared" si="91"/>
        <v>20.426271619817001</v>
      </c>
      <c r="O229" s="7">
        <f t="shared" si="92"/>
        <v>26.984986192104099</v>
      </c>
      <c r="P229" s="49">
        <f t="shared" si="93"/>
        <v>-20.426271619817001</v>
      </c>
      <c r="Q229" s="54">
        <f t="shared" ref="Q229:Q292" si="95">IF(P228&gt;0,Q228+P228*(1-V$24/100),Q228+P228)</f>
        <v>3289.4433157168701</v>
      </c>
      <c r="R229" s="55">
        <f t="shared" si="94"/>
        <v>71.990462407686394</v>
      </c>
    </row>
    <row r="230" ht="12.800000000000001">
      <c r="A230" s="1">
        <v>226</v>
      </c>
      <c r="B230" s="44">
        <v>43771</v>
      </c>
      <c r="C230" s="45">
        <f t="shared" si="80"/>
        <v>27.190593969360702</v>
      </c>
      <c r="D230" s="3">
        <f t="shared" si="81"/>
        <v>8.1903510432572997</v>
      </c>
      <c r="E230" s="46">
        <f t="shared" si="82"/>
        <v>0</v>
      </c>
      <c r="F230" s="46">
        <f t="shared" si="83"/>
        <v>8.1903510432572997</v>
      </c>
      <c r="G230" s="46">
        <f t="shared" si="84"/>
        <v>100</v>
      </c>
      <c r="H230" s="46">
        <f t="shared" si="85"/>
        <v>100</v>
      </c>
      <c r="I230" s="47">
        <f t="shared" si="86"/>
        <v>0</v>
      </c>
      <c r="J230" s="47">
        <f t="shared" si="87"/>
        <v>9.0003857618212102</v>
      </c>
      <c r="K230" s="48">
        <f t="shared" si="88"/>
        <v>0</v>
      </c>
      <c r="L230" s="7">
        <f t="shared" si="89"/>
        <v>8.1903510432572997</v>
      </c>
      <c r="M230" s="7">
        <f t="shared" si="90"/>
        <v>19.0002429261034</v>
      </c>
      <c r="N230" s="7">
        <f t="shared" si="91"/>
        <v>20.879387830882902</v>
      </c>
      <c r="O230" s="7">
        <f t="shared" si="92"/>
        <v>27.190593969360702</v>
      </c>
      <c r="P230" s="49">
        <f t="shared" si="93"/>
        <v>-20.879387830882902</v>
      </c>
      <c r="Q230" s="54">
        <f t="shared" si="95"/>
        <v>3269.0170440970501</v>
      </c>
      <c r="R230" s="55">
        <f t="shared" si="94"/>
        <v>71.791813027938602</v>
      </c>
    </row>
    <row r="231" ht="12.800000000000001">
      <c r="A231" s="1">
        <v>227</v>
      </c>
      <c r="B231" s="44">
        <v>43772</v>
      </c>
      <c r="C231" s="45">
        <f t="shared" si="80"/>
        <v>27.392938308412901</v>
      </c>
      <c r="D231" s="3">
        <f t="shared" si="81"/>
        <v>7.9869042865959301</v>
      </c>
      <c r="E231" s="46">
        <f t="shared" si="82"/>
        <v>0</v>
      </c>
      <c r="F231" s="46">
        <f t="shared" si="83"/>
        <v>7.9869042865959301</v>
      </c>
      <c r="G231" s="46">
        <f t="shared" si="84"/>
        <v>100</v>
      </c>
      <c r="H231" s="46">
        <f t="shared" si="85"/>
        <v>100</v>
      </c>
      <c r="I231" s="47">
        <f t="shared" si="86"/>
        <v>0</v>
      </c>
      <c r="J231" s="47">
        <f t="shared" si="87"/>
        <v>8.7768178973581605</v>
      </c>
      <c r="K231" s="48">
        <f t="shared" si="88"/>
        <v>0</v>
      </c>
      <c r="L231" s="7">
        <f t="shared" si="89"/>
        <v>7.9869042865959301</v>
      </c>
      <c r="M231" s="7">
        <f t="shared" si="90"/>
        <v>19.406034021817</v>
      </c>
      <c r="N231" s="7">
        <f t="shared" si="91"/>
        <v>21.325312111886799</v>
      </c>
      <c r="O231" s="7">
        <f t="shared" si="92"/>
        <v>27.392938308412901</v>
      </c>
      <c r="P231" s="49">
        <f t="shared" si="93"/>
        <v>-21.325312111886799</v>
      </c>
      <c r="Q231" s="54">
        <f t="shared" si="95"/>
        <v>3248.1376562661699</v>
      </c>
      <c r="R231" s="55">
        <f t="shared" si="94"/>
        <v>71.588757006785102</v>
      </c>
    </row>
    <row r="232" ht="12.800000000000001">
      <c r="A232" s="1">
        <v>228</v>
      </c>
      <c r="B232" s="44">
        <v>43773</v>
      </c>
      <c r="C232" s="45">
        <f t="shared" si="80"/>
        <v>27.5919592502661</v>
      </c>
      <c r="D232" s="3">
        <f t="shared" si="81"/>
        <v>7.7867990337512696</v>
      </c>
      <c r="E232" s="46">
        <f t="shared" si="82"/>
        <v>0</v>
      </c>
      <c r="F232" s="46">
        <f t="shared" si="83"/>
        <v>7.7867990337512696</v>
      </c>
      <c r="G232" s="46">
        <f t="shared" si="84"/>
        <v>100</v>
      </c>
      <c r="H232" s="46">
        <f t="shared" si="85"/>
        <v>100</v>
      </c>
      <c r="I232" s="47">
        <f t="shared" si="86"/>
        <v>0</v>
      </c>
      <c r="J232" s="47">
        <f t="shared" si="87"/>
        <v>8.5569220151112795</v>
      </c>
      <c r="K232" s="48">
        <f t="shared" si="88"/>
        <v>0</v>
      </c>
      <c r="L232" s="7">
        <f t="shared" si="89"/>
        <v>7.7867990337512696</v>
      </c>
      <c r="M232" s="7">
        <f t="shared" si="90"/>
        <v>19.805160216514899</v>
      </c>
      <c r="N232" s="7">
        <f t="shared" si="91"/>
        <v>21.763912325840501</v>
      </c>
      <c r="O232" s="7">
        <f t="shared" si="92"/>
        <v>27.5919592502661</v>
      </c>
      <c r="P232" s="49">
        <f t="shared" si="93"/>
        <v>-21.763912325840501</v>
      </c>
      <c r="Q232" s="54">
        <f t="shared" si="95"/>
        <v>3226.8123441542798</v>
      </c>
      <c r="R232" s="55">
        <f t="shared" si="94"/>
        <v>71.381364287114906</v>
      </c>
    </row>
    <row r="233" ht="12.800000000000001">
      <c r="A233" s="1">
        <v>229</v>
      </c>
      <c r="B233" s="44">
        <v>43774</v>
      </c>
      <c r="C233" s="45">
        <f t="shared" si="80"/>
        <v>27.787597820720102</v>
      </c>
      <c r="D233" s="3">
        <f t="shared" si="81"/>
        <v>7.5900945802283699</v>
      </c>
      <c r="E233" s="46">
        <f t="shared" si="82"/>
        <v>0</v>
      </c>
      <c r="F233" s="46">
        <f t="shared" si="83"/>
        <v>7.5900945802283699</v>
      </c>
      <c r="G233" s="46">
        <f t="shared" si="84"/>
        <v>100</v>
      </c>
      <c r="H233" s="46">
        <f t="shared" si="85"/>
        <v>100</v>
      </c>
      <c r="I233" s="47">
        <f t="shared" si="86"/>
        <v>0</v>
      </c>
      <c r="J233" s="47">
        <f t="shared" si="87"/>
        <v>8.3407632749762293</v>
      </c>
      <c r="K233" s="48">
        <f t="shared" si="88"/>
        <v>0</v>
      </c>
      <c r="L233" s="7">
        <f t="shared" si="89"/>
        <v>7.5900945802283699</v>
      </c>
      <c r="M233" s="7">
        <f t="shared" si="90"/>
        <v>20.197503240491699</v>
      </c>
      <c r="N233" s="7">
        <f t="shared" si="91"/>
        <v>22.195058506034801</v>
      </c>
      <c r="O233" s="7">
        <f t="shared" si="92"/>
        <v>27.787597820720102</v>
      </c>
      <c r="P233" s="49">
        <f t="shared" si="93"/>
        <v>-22.195058506034801</v>
      </c>
      <c r="Q233" s="54">
        <f t="shared" si="95"/>
        <v>3205.0484318284398</v>
      </c>
      <c r="R233" s="55">
        <f t="shared" si="94"/>
        <v>71.169706096874194</v>
      </c>
    </row>
    <row r="234" ht="12.800000000000001">
      <c r="A234" s="1">
        <v>230</v>
      </c>
      <c r="B234" s="44">
        <v>43775</v>
      </c>
      <c r="C234" s="45">
        <f t="shared" si="80"/>
        <v>27.979796047844001</v>
      </c>
      <c r="D234" s="3">
        <f t="shared" si="81"/>
        <v>7.3968492138020396</v>
      </c>
      <c r="E234" s="46">
        <f t="shared" si="82"/>
        <v>0</v>
      </c>
      <c r="F234" s="46">
        <f t="shared" si="83"/>
        <v>7.3968492138020396</v>
      </c>
      <c r="G234" s="46">
        <f t="shared" si="84"/>
        <v>100</v>
      </c>
      <c r="H234" s="46">
        <f t="shared" si="85"/>
        <v>100</v>
      </c>
      <c r="I234" s="47">
        <f t="shared" si="86"/>
        <v>0</v>
      </c>
      <c r="J234" s="47">
        <f t="shared" si="87"/>
        <v>8.1284057294527905</v>
      </c>
      <c r="K234" s="48">
        <f t="shared" si="88"/>
        <v>0</v>
      </c>
      <c r="L234" s="7">
        <f t="shared" si="89"/>
        <v>7.3968492138020396</v>
      </c>
      <c r="M234" s="7">
        <f t="shared" si="90"/>
        <v>20.582946834042001</v>
      </c>
      <c r="N234" s="7">
        <f t="shared" si="91"/>
        <v>22.618622894551599</v>
      </c>
      <c r="O234" s="7">
        <f t="shared" si="92"/>
        <v>27.979796047844001</v>
      </c>
      <c r="P234" s="49">
        <f t="shared" si="93"/>
        <v>-22.618622894551599</v>
      </c>
      <c r="Q234" s="54">
        <f t="shared" si="95"/>
        <v>3182.8533733224099</v>
      </c>
      <c r="R234" s="55">
        <f t="shared" si="94"/>
        <v>70.953854927960194</v>
      </c>
    </row>
    <row r="235" ht="12.800000000000001">
      <c r="A235" s="1">
        <v>231</v>
      </c>
      <c r="B235" s="44">
        <v>43776</v>
      </c>
      <c r="C235" s="45">
        <f t="shared" si="80"/>
        <v>28.1684969791554</v>
      </c>
      <c r="D235" s="3">
        <f t="shared" si="81"/>
        <v>7.2071201972449401</v>
      </c>
      <c r="E235" s="46">
        <f t="shared" si="82"/>
        <v>0</v>
      </c>
      <c r="F235" s="46">
        <f t="shared" si="83"/>
        <v>7.2071201972449401</v>
      </c>
      <c r="G235" s="46">
        <f t="shared" si="84"/>
        <v>100</v>
      </c>
      <c r="H235" s="46">
        <f t="shared" si="85"/>
        <v>100</v>
      </c>
      <c r="I235" s="47">
        <f t="shared" si="86"/>
        <v>0</v>
      </c>
      <c r="J235" s="47">
        <f t="shared" si="87"/>
        <v>7.9199123046647699</v>
      </c>
      <c r="K235" s="48">
        <f t="shared" si="88"/>
        <v>0</v>
      </c>
      <c r="L235" s="7">
        <f t="shared" si="89"/>
        <v>7.2071201972449401</v>
      </c>
      <c r="M235" s="7">
        <f t="shared" si="90"/>
        <v>20.961376781910399</v>
      </c>
      <c r="N235" s="7">
        <f t="shared" si="91"/>
        <v>23.034479980121301</v>
      </c>
      <c r="O235" s="7">
        <f t="shared" si="92"/>
        <v>28.1684969791554</v>
      </c>
      <c r="P235" s="49">
        <f t="shared" si="93"/>
        <v>-23.034479980121301</v>
      </c>
      <c r="Q235" s="54">
        <f t="shared" si="95"/>
        <v>3160.23475042786</v>
      </c>
      <c r="R235" s="55">
        <f t="shared" si="94"/>
        <v>70.733884514740296</v>
      </c>
    </row>
    <row r="236" ht="12.800000000000001">
      <c r="A236" s="1">
        <v>232</v>
      </c>
      <c r="B236" s="44">
        <v>43777</v>
      </c>
      <c r="C236" s="45">
        <f t="shared" si="80"/>
        <v>28.3536446984956</v>
      </c>
      <c r="D236" s="3">
        <f t="shared" si="81"/>
        <v>7.0209637513593499</v>
      </c>
      <c r="E236" s="46">
        <f t="shared" si="82"/>
        <v>0</v>
      </c>
      <c r="F236" s="46">
        <f t="shared" si="83"/>
        <v>7.0209637513593499</v>
      </c>
      <c r="G236" s="46">
        <f t="shared" si="84"/>
        <v>100</v>
      </c>
      <c r="H236" s="46">
        <f t="shared" si="85"/>
        <v>100</v>
      </c>
      <c r="I236" s="47">
        <f t="shared" si="86"/>
        <v>0</v>
      </c>
      <c r="J236" s="47">
        <f t="shared" si="87"/>
        <v>7.7153447817135703</v>
      </c>
      <c r="K236" s="48">
        <f t="shared" si="88"/>
        <v>0</v>
      </c>
      <c r="L236" s="7">
        <f t="shared" si="89"/>
        <v>7.0209637513593499</v>
      </c>
      <c r="M236" s="7">
        <f t="shared" si="90"/>
        <v>21.3326809471363</v>
      </c>
      <c r="N236" s="7">
        <f t="shared" si="91"/>
        <v>23.4425065353146</v>
      </c>
      <c r="O236" s="7">
        <f t="shared" si="92"/>
        <v>28.3536446984956</v>
      </c>
      <c r="P236" s="49">
        <f t="shared" si="93"/>
        <v>-23.4425065353146</v>
      </c>
      <c r="Q236" s="54">
        <f t="shared" si="95"/>
        <v>3137.20027044774</v>
      </c>
      <c r="R236" s="55">
        <f t="shared" si="94"/>
        <v>70.509869812202695</v>
      </c>
    </row>
    <row r="237" ht="12.800000000000001">
      <c r="A237" s="1">
        <v>233</v>
      </c>
      <c r="B237" s="44">
        <v>43778</v>
      </c>
      <c r="C237" s="45">
        <f t="shared" si="80"/>
        <v>28.535184342599798</v>
      </c>
      <c r="D237" s="3">
        <f t="shared" si="81"/>
        <v>6.8384350383177699</v>
      </c>
      <c r="E237" s="46">
        <f t="shared" si="82"/>
        <v>0</v>
      </c>
      <c r="F237" s="46">
        <f t="shared" si="83"/>
        <v>6.8384350383177699</v>
      </c>
      <c r="G237" s="46">
        <f t="shared" si="84"/>
        <v>100</v>
      </c>
      <c r="H237" s="46">
        <f t="shared" si="85"/>
        <v>100</v>
      </c>
      <c r="I237" s="47">
        <f t="shared" si="86"/>
        <v>0</v>
      </c>
      <c r="J237" s="47">
        <f t="shared" si="87"/>
        <v>7.5147637783711803</v>
      </c>
      <c r="K237" s="48">
        <f t="shared" si="88"/>
        <v>0</v>
      </c>
      <c r="L237" s="7">
        <f t="shared" si="89"/>
        <v>6.8384350383177699</v>
      </c>
      <c r="M237" s="7">
        <f t="shared" si="90"/>
        <v>21.696749304282001</v>
      </c>
      <c r="N237" s="7">
        <f t="shared" si="91"/>
        <v>23.842581653057099</v>
      </c>
      <c r="O237" s="7">
        <f t="shared" si="92"/>
        <v>28.535184342599798</v>
      </c>
      <c r="P237" s="49">
        <f t="shared" si="93"/>
        <v>-23.842581653057099</v>
      </c>
      <c r="Q237" s="54">
        <f t="shared" si="95"/>
        <v>3113.7577639124202</v>
      </c>
      <c r="R237" s="55">
        <f t="shared" si="94"/>
        <v>70.281886973745898</v>
      </c>
    </row>
    <row r="238" ht="12.800000000000001">
      <c r="A238" s="1">
        <v>234</v>
      </c>
      <c r="B238" s="44">
        <v>43779</v>
      </c>
      <c r="C238" s="45">
        <f t="shared" si="80"/>
        <v>28.713062117353299</v>
      </c>
      <c r="D238" s="3">
        <f t="shared" si="81"/>
        <v>6.6595881453171701</v>
      </c>
      <c r="E238" s="46">
        <f t="shared" si="82"/>
        <v>0</v>
      </c>
      <c r="F238" s="46">
        <f t="shared" si="83"/>
        <v>6.6595881453171701</v>
      </c>
      <c r="G238" s="46">
        <f t="shared" si="84"/>
        <v>100</v>
      </c>
      <c r="H238" s="46">
        <f t="shared" si="85"/>
        <v>100</v>
      </c>
      <c r="I238" s="47">
        <f t="shared" si="86"/>
        <v>0</v>
      </c>
      <c r="J238" s="47">
        <f t="shared" si="87"/>
        <v>7.3182287311177703</v>
      </c>
      <c r="K238" s="48">
        <f t="shared" si="88"/>
        <v>0</v>
      </c>
      <c r="L238" s="7">
        <f t="shared" si="89"/>
        <v>6.6595881453171701</v>
      </c>
      <c r="M238" s="7">
        <f t="shared" si="90"/>
        <v>22.053473972036102</v>
      </c>
      <c r="N238" s="7">
        <f t="shared" si="91"/>
        <v>24.234586782457299</v>
      </c>
      <c r="O238" s="7">
        <f t="shared" si="92"/>
        <v>28.713062117353299</v>
      </c>
      <c r="P238" s="49">
        <f t="shared" si="93"/>
        <v>-24.234586782457299</v>
      </c>
      <c r="Q238" s="54">
        <f t="shared" si="95"/>
        <v>3089.9151822593599</v>
      </c>
      <c r="R238" s="55">
        <f t="shared" si="94"/>
        <v>70.050013328612707</v>
      </c>
    </row>
    <row r="239" ht="12.800000000000001">
      <c r="A239" s="1">
        <v>235</v>
      </c>
      <c r="B239" s="44">
        <v>43780</v>
      </c>
      <c r="C239" s="45">
        <f t="shared" si="80"/>
        <v>28.8872253137326</v>
      </c>
      <c r="D239" s="3">
        <f t="shared" si="81"/>
        <v>6.4844760685517899</v>
      </c>
      <c r="E239" s="46">
        <f t="shared" si="82"/>
        <v>0</v>
      </c>
      <c r="F239" s="46">
        <f t="shared" si="83"/>
        <v>6.4844760685517899</v>
      </c>
      <c r="G239" s="46">
        <f t="shared" si="84"/>
        <v>100</v>
      </c>
      <c r="H239" s="46">
        <f t="shared" si="85"/>
        <v>100</v>
      </c>
      <c r="I239" s="47">
        <f t="shared" si="86"/>
        <v>0</v>
      </c>
      <c r="J239" s="47">
        <f t="shared" si="87"/>
        <v>7.1257978775294397</v>
      </c>
      <c r="K239" s="48">
        <f t="shared" si="88"/>
        <v>0</v>
      </c>
      <c r="L239" s="7">
        <f t="shared" si="89"/>
        <v>6.4844760685517899</v>
      </c>
      <c r="M239" s="7">
        <f t="shared" si="90"/>
        <v>22.4027492451808</v>
      </c>
      <c r="N239" s="7">
        <f t="shared" si="91"/>
        <v>24.618405763935002</v>
      </c>
      <c r="O239" s="7">
        <f t="shared" si="92"/>
        <v>28.8872253137326</v>
      </c>
      <c r="P239" s="49">
        <f t="shared" si="93"/>
        <v>-24.618405763935002</v>
      </c>
      <c r="Q239" s="54">
        <f t="shared" si="95"/>
        <v>3065.6805954769102</v>
      </c>
      <c r="R239" s="55">
        <f t="shared" si="94"/>
        <v>69.814327358975902</v>
      </c>
    </row>
    <row r="240" ht="12.800000000000001">
      <c r="A240" s="1">
        <v>236</v>
      </c>
      <c r="B240" s="44">
        <v>43781</v>
      </c>
      <c r="C240" s="45">
        <f t="shared" si="80"/>
        <v>29.0576223234239</v>
      </c>
      <c r="D240" s="3">
        <f t="shared" si="81"/>
        <v>6.3131506975091796</v>
      </c>
      <c r="E240" s="46">
        <f t="shared" si="82"/>
        <v>0</v>
      </c>
      <c r="F240" s="46">
        <f t="shared" si="83"/>
        <v>6.3131506975091796</v>
      </c>
      <c r="G240" s="46">
        <f t="shared" si="84"/>
        <v>100</v>
      </c>
      <c r="H240" s="46">
        <f t="shared" si="85"/>
        <v>100</v>
      </c>
      <c r="I240" s="47">
        <f t="shared" si="86"/>
        <v>0</v>
      </c>
      <c r="J240" s="47">
        <f t="shared" si="87"/>
        <v>6.93752823902107</v>
      </c>
      <c r="K240" s="48">
        <f t="shared" si="88"/>
        <v>0</v>
      </c>
      <c r="L240" s="7">
        <f t="shared" si="89"/>
        <v>6.3131506975091796</v>
      </c>
      <c r="M240" s="7">
        <f t="shared" si="90"/>
        <v>22.744471625914699</v>
      </c>
      <c r="N240" s="7">
        <f t="shared" si="91"/>
        <v>24.993924863642601</v>
      </c>
      <c r="O240" s="7">
        <f t="shared" si="92"/>
        <v>29.0576223234239</v>
      </c>
      <c r="P240" s="49">
        <f t="shared" si="93"/>
        <v>-24.993924863642601</v>
      </c>
      <c r="Q240" s="54">
        <f t="shared" si="95"/>
        <v>3041.0621897129699</v>
      </c>
      <c r="R240" s="55">
        <f t="shared" si="94"/>
        <v>69.574908676682298</v>
      </c>
    </row>
    <row r="241" ht="12.800000000000001">
      <c r="A241" s="1">
        <v>237</v>
      </c>
      <c r="B241" s="44">
        <v>43782</v>
      </c>
      <c r="C241" s="45">
        <f t="shared" si="80"/>
        <v>29.2242026541157</v>
      </c>
      <c r="D241" s="3">
        <f t="shared" si="81"/>
        <v>6.1456627995942901</v>
      </c>
      <c r="E241" s="46">
        <f t="shared" si="82"/>
        <v>0</v>
      </c>
      <c r="F241" s="46">
        <f t="shared" si="83"/>
        <v>6.1456627995942901</v>
      </c>
      <c r="G241" s="46">
        <f t="shared" si="84"/>
        <v>100</v>
      </c>
      <c r="H241" s="46">
        <f t="shared" si="85"/>
        <v>100</v>
      </c>
      <c r="I241" s="47">
        <f t="shared" si="86"/>
        <v>0</v>
      </c>
      <c r="J241" s="47">
        <f t="shared" si="87"/>
        <v>6.7534756039497701</v>
      </c>
      <c r="K241" s="48">
        <f t="shared" si="88"/>
        <v>0</v>
      </c>
      <c r="L241" s="7">
        <f t="shared" si="89"/>
        <v>6.1456627995942901</v>
      </c>
      <c r="M241" s="7">
        <f t="shared" si="90"/>
        <v>23.078539854521399</v>
      </c>
      <c r="N241" s="7">
        <f t="shared" si="91"/>
        <v>25.361032807166399</v>
      </c>
      <c r="O241" s="7">
        <f t="shared" si="92"/>
        <v>29.2242026541157</v>
      </c>
      <c r="P241" s="49">
        <f t="shared" si="93"/>
        <v>-25.361032807166399</v>
      </c>
      <c r="Q241" s="54">
        <f t="shared" si="95"/>
        <v>3016.0682648493298</v>
      </c>
      <c r="R241" s="55">
        <f t="shared" si="94"/>
        <v>69.331837999662099</v>
      </c>
    </row>
    <row r="242" ht="12.800000000000001">
      <c r="A242" s="1">
        <v>238</v>
      </c>
      <c r="B242" s="44">
        <v>43783</v>
      </c>
      <c r="C242" s="45">
        <f t="shared" si="80"/>
        <v>29.386916944460999</v>
      </c>
      <c r="D242" s="3">
        <f t="shared" si="81"/>
        <v>5.9820620050859796</v>
      </c>
      <c r="E242" s="46">
        <f t="shared" si="82"/>
        <v>0</v>
      </c>
      <c r="F242" s="46">
        <f t="shared" si="83"/>
        <v>5.9820620050859796</v>
      </c>
      <c r="G242" s="46">
        <f t="shared" si="84"/>
        <v>100</v>
      </c>
      <c r="H242" s="46">
        <f t="shared" si="85"/>
        <v>100</v>
      </c>
      <c r="I242" s="47">
        <f t="shared" si="86"/>
        <v>0</v>
      </c>
      <c r="J242" s="47">
        <f t="shared" si="87"/>
        <v>6.5736945110834997</v>
      </c>
      <c r="K242" s="48">
        <f t="shared" si="88"/>
        <v>0</v>
      </c>
      <c r="L242" s="7">
        <f t="shared" si="89"/>
        <v>5.9820620050859796</v>
      </c>
      <c r="M242" s="7">
        <f t="shared" si="90"/>
        <v>23.404854939374999</v>
      </c>
      <c r="N242" s="7">
        <f t="shared" si="91"/>
        <v>25.719620812500001</v>
      </c>
      <c r="O242" s="7">
        <f t="shared" si="92"/>
        <v>29.386916944460999</v>
      </c>
      <c r="P242" s="49">
        <f t="shared" si="93"/>
        <v>-25.719620812500001</v>
      </c>
      <c r="Q242" s="54">
        <f t="shared" si="95"/>
        <v>2990.7072320421598</v>
      </c>
      <c r="R242" s="55">
        <f t="shared" si="94"/>
        <v>69.085197128010194</v>
      </c>
    </row>
    <row r="243" ht="12.800000000000001">
      <c r="A243" s="1">
        <v>239</v>
      </c>
      <c r="B243" s="44">
        <v>43784</v>
      </c>
      <c r="C243" s="45">
        <f t="shared" si="80"/>
        <v>29.545716978703801</v>
      </c>
      <c r="D243" s="3">
        <f t="shared" si="81"/>
        <v>5.8223967924304398</v>
      </c>
      <c r="E243" s="46">
        <f t="shared" si="82"/>
        <v>0</v>
      </c>
      <c r="F243" s="46">
        <f t="shared" si="83"/>
        <v>5.8223967924304398</v>
      </c>
      <c r="G243" s="46">
        <f t="shared" si="84"/>
        <v>100</v>
      </c>
      <c r="H243" s="46">
        <f t="shared" si="85"/>
        <v>100</v>
      </c>
      <c r="I243" s="47">
        <f t="shared" si="86"/>
        <v>0</v>
      </c>
      <c r="J243" s="47">
        <f t="shared" si="87"/>
        <v>6.3982382334400398</v>
      </c>
      <c r="K243" s="48">
        <f t="shared" si="88"/>
        <v>0</v>
      </c>
      <c r="L243" s="7">
        <f t="shared" si="89"/>
        <v>5.8223967924304398</v>
      </c>
      <c r="M243" s="7">
        <f t="shared" si="90"/>
        <v>23.723320186273401</v>
      </c>
      <c r="N243" s="7">
        <f t="shared" si="91"/>
        <v>26.0695826222784</v>
      </c>
      <c r="O243" s="7">
        <f t="shared" si="92"/>
        <v>29.545716978703801</v>
      </c>
      <c r="P243" s="49">
        <f t="shared" si="93"/>
        <v>-26.0695826222784</v>
      </c>
      <c r="Q243" s="54">
        <f t="shared" si="95"/>
        <v>2964.9876112296602</v>
      </c>
      <c r="R243" s="55">
        <f t="shared" si="94"/>
        <v>68.835068919747499</v>
      </c>
    </row>
    <row r="244" ht="12.800000000000001">
      <c r="A244" s="1">
        <v>240</v>
      </c>
      <c r="B244" s="44">
        <v>43785</v>
      </c>
      <c r="C244" s="45">
        <f t="shared" si="80"/>
        <v>29.700555700966898</v>
      </c>
      <c r="D244" s="3">
        <f t="shared" si="81"/>
        <v>5.6667144738760298</v>
      </c>
      <c r="E244" s="46">
        <f t="shared" si="82"/>
        <v>0</v>
      </c>
      <c r="F244" s="46">
        <f t="shared" si="83"/>
        <v>5.6667144738760298</v>
      </c>
      <c r="G244" s="46">
        <f t="shared" si="84"/>
        <v>100</v>
      </c>
      <c r="H244" s="46">
        <f t="shared" si="85"/>
        <v>100</v>
      </c>
      <c r="I244" s="47">
        <f t="shared" si="86"/>
        <v>0</v>
      </c>
      <c r="J244" s="47">
        <f t="shared" si="87"/>
        <v>6.22715876250113</v>
      </c>
      <c r="K244" s="48">
        <f t="shared" si="88"/>
        <v>0</v>
      </c>
      <c r="L244" s="7">
        <f t="shared" si="89"/>
        <v>5.6667144738760298</v>
      </c>
      <c r="M244" s="7">
        <f t="shared" si="90"/>
        <v>24.0338412270908</v>
      </c>
      <c r="N244" s="7">
        <f t="shared" si="91"/>
        <v>26.410814535264599</v>
      </c>
      <c r="O244" s="7">
        <f t="shared" si="92"/>
        <v>29.700555700966898</v>
      </c>
      <c r="P244" s="49">
        <f t="shared" si="93"/>
        <v>-26.410814535264599</v>
      </c>
      <c r="Q244" s="54">
        <f t="shared" si="95"/>
        <v>2938.9180286073802</v>
      </c>
      <c r="R244" s="55">
        <f t="shared" si="94"/>
        <v>68.581537266267603</v>
      </c>
    </row>
    <row r="245" ht="12.800000000000001">
      <c r="A245" s="1">
        <v>241</v>
      </c>
      <c r="B245" s="44">
        <v>43786</v>
      </c>
      <c r="C245" s="45">
        <f t="shared" si="80"/>
        <v>29.851387229195002</v>
      </c>
      <c r="D245" s="3">
        <f t="shared" si="81"/>
        <v>5.5150611814536497</v>
      </c>
      <c r="E245" s="46">
        <f t="shared" si="82"/>
        <v>0</v>
      </c>
      <c r="F245" s="46">
        <f t="shared" si="83"/>
        <v>5.5150611814536497</v>
      </c>
      <c r="G245" s="46">
        <f t="shared" si="84"/>
        <v>100</v>
      </c>
      <c r="H245" s="46">
        <f t="shared" si="85"/>
        <v>100</v>
      </c>
      <c r="I245" s="47">
        <f t="shared" si="86"/>
        <v>0</v>
      </c>
      <c r="J245" s="47">
        <f t="shared" si="87"/>
        <v>6.0605067928062102</v>
      </c>
      <c r="K245" s="48">
        <f t="shared" si="88"/>
        <v>0</v>
      </c>
      <c r="L245" s="7">
        <f t="shared" si="89"/>
        <v>5.5150611814536497</v>
      </c>
      <c r="M245" s="7">
        <f t="shared" si="90"/>
        <v>24.336326047741402</v>
      </c>
      <c r="N245" s="7">
        <f t="shared" si="91"/>
        <v>26.743215437078401</v>
      </c>
      <c r="O245" s="7">
        <f t="shared" si="92"/>
        <v>29.851387229195002</v>
      </c>
      <c r="P245" s="49">
        <f t="shared" si="93"/>
        <v>-26.743215437078401</v>
      </c>
      <c r="Q245" s="54">
        <f t="shared" si="95"/>
        <v>2912.50721407212</v>
      </c>
      <c r="R245" s="55">
        <f t="shared" si="94"/>
        <v>68.324687067478607</v>
      </c>
    </row>
    <row r="246" ht="12.800000000000001">
      <c r="A246" s="1">
        <v>242</v>
      </c>
      <c r="B246" s="44">
        <v>43787</v>
      </c>
      <c r="C246" s="45">
        <f t="shared" si="80"/>
        <v>29.998166868751301</v>
      </c>
      <c r="D246" s="3">
        <f t="shared" si="81"/>
        <v>5.3674818533067796</v>
      </c>
      <c r="E246" s="46">
        <f t="shared" si="82"/>
        <v>0</v>
      </c>
      <c r="F246" s="46">
        <f t="shared" si="83"/>
        <v>5.3674818533067796</v>
      </c>
      <c r="G246" s="46">
        <f t="shared" si="84"/>
        <v>100</v>
      </c>
      <c r="H246" s="46">
        <f t="shared" si="85"/>
        <v>100</v>
      </c>
      <c r="I246" s="47">
        <f t="shared" si="86"/>
        <v>0</v>
      </c>
      <c r="J246" s="47">
        <f t="shared" si="87"/>
        <v>5.8983317069305299</v>
      </c>
      <c r="K246" s="48">
        <f t="shared" si="88"/>
        <v>0</v>
      </c>
      <c r="L246" s="7">
        <f t="shared" si="89"/>
        <v>5.3674818533067796</v>
      </c>
      <c r="M246" s="7">
        <f t="shared" si="90"/>
        <v>24.630685015444499</v>
      </c>
      <c r="N246" s="7">
        <f t="shared" si="91"/>
        <v>27.066686830158801</v>
      </c>
      <c r="O246" s="7">
        <f t="shared" si="92"/>
        <v>29.998166868751301</v>
      </c>
      <c r="P246" s="49">
        <f t="shared" si="93"/>
        <v>-27.066686830158801</v>
      </c>
      <c r="Q246" s="54">
        <f t="shared" si="95"/>
        <v>2885.76399863504</v>
      </c>
      <c r="R246" s="55">
        <f t="shared" si="94"/>
        <v>68.064604206645399</v>
      </c>
    </row>
    <row r="247" ht="12.800000000000001">
      <c r="A247" s="1">
        <v>243</v>
      </c>
      <c r="B247" s="44">
        <v>43788</v>
      </c>
      <c r="C247" s="45">
        <f t="shared" si="80"/>
        <v>30.140851125660699</v>
      </c>
      <c r="D247" s="3">
        <f t="shared" si="81"/>
        <v>5.2240202203753903</v>
      </c>
      <c r="E247" s="46">
        <f t="shared" si="82"/>
        <v>0</v>
      </c>
      <c r="F247" s="46">
        <f t="shared" si="83"/>
        <v>5.2240202203753903</v>
      </c>
      <c r="G247" s="46">
        <f t="shared" si="84"/>
        <v>100</v>
      </c>
      <c r="H247" s="46">
        <f t="shared" si="85"/>
        <v>100</v>
      </c>
      <c r="I247" s="47">
        <f t="shared" si="86"/>
        <v>0</v>
      </c>
      <c r="J247" s="47">
        <f t="shared" si="87"/>
        <v>5.74068156085207</v>
      </c>
      <c r="K247" s="48">
        <f t="shared" si="88"/>
        <v>0</v>
      </c>
      <c r="L247" s="7">
        <f t="shared" si="89"/>
        <v>5.2240202203753903</v>
      </c>
      <c r="M247" s="7">
        <f t="shared" si="90"/>
        <v>24.916830905285298</v>
      </c>
      <c r="N247" s="7">
        <f t="shared" si="91"/>
        <v>27.381132862950899</v>
      </c>
      <c r="O247" s="7">
        <f t="shared" si="92"/>
        <v>30.140851125660699</v>
      </c>
      <c r="P247" s="49">
        <f t="shared" si="93"/>
        <v>-27.381132862950899</v>
      </c>
      <c r="Q247" s="54">
        <f t="shared" si="95"/>
        <v>2858.69731180488</v>
      </c>
      <c r="R247" s="55">
        <f t="shared" si="94"/>
        <v>67.801375524939999</v>
      </c>
    </row>
    <row r="248" ht="12.800000000000001">
      <c r="A248" s="1">
        <v>244</v>
      </c>
      <c r="B248" s="44">
        <v>43789</v>
      </c>
      <c r="C248" s="45">
        <f t="shared" si="80"/>
        <v>30.279397719498501</v>
      </c>
      <c r="D248" s="3">
        <f t="shared" si="81"/>
        <v>5.0847187934374496</v>
      </c>
      <c r="E248" s="46">
        <f t="shared" si="82"/>
        <v>0</v>
      </c>
      <c r="F248" s="46">
        <f t="shared" si="83"/>
        <v>5.0847187934374496</v>
      </c>
      <c r="G248" s="46">
        <f t="shared" si="84"/>
        <v>100</v>
      </c>
      <c r="H248" s="46">
        <f t="shared" si="85"/>
        <v>100</v>
      </c>
      <c r="I248" s="47">
        <f t="shared" si="86"/>
        <v>0</v>
      </c>
      <c r="J248" s="47">
        <f t="shared" si="87"/>
        <v>5.5876030697114896</v>
      </c>
      <c r="K248" s="48">
        <f t="shared" si="88"/>
        <v>0</v>
      </c>
      <c r="L248" s="7">
        <f t="shared" si="89"/>
        <v>5.0847187934374496</v>
      </c>
      <c r="M248" s="7">
        <f t="shared" si="90"/>
        <v>25.194678926060998</v>
      </c>
      <c r="N248" s="7">
        <f t="shared" si="91"/>
        <v>27.6864603583088</v>
      </c>
      <c r="O248" s="7">
        <f t="shared" si="92"/>
        <v>30.279397719498501</v>
      </c>
      <c r="P248" s="49">
        <f t="shared" si="93"/>
        <v>-27.6864603583088</v>
      </c>
      <c r="Q248" s="54">
        <f t="shared" si="95"/>
        <v>2831.31617894193</v>
      </c>
      <c r="R248" s="55">
        <f t="shared" si="94"/>
        <v>67.5350887957092</v>
      </c>
    </row>
    <row r="249" ht="12.800000000000001">
      <c r="A249" s="1">
        <v>245</v>
      </c>
      <c r="B249" s="44">
        <v>43790</v>
      </c>
      <c r="C249" s="45">
        <f t="shared" si="80"/>
        <v>30.4137655959189</v>
      </c>
      <c r="D249" s="3">
        <f t="shared" si="81"/>
        <v>4.9496188505121603</v>
      </c>
      <c r="E249" s="46">
        <f t="shared" si="82"/>
        <v>0</v>
      </c>
      <c r="F249" s="46">
        <f t="shared" si="83"/>
        <v>4.9496188505121603</v>
      </c>
      <c r="G249" s="46">
        <f t="shared" si="84"/>
        <v>100</v>
      </c>
      <c r="H249" s="46">
        <f t="shared" si="85"/>
        <v>100</v>
      </c>
      <c r="I249" s="47">
        <f t="shared" si="86"/>
        <v>0</v>
      </c>
      <c r="J249" s="47">
        <f t="shared" si="87"/>
        <v>5.4391415939694099</v>
      </c>
      <c r="K249" s="48">
        <f t="shared" si="88"/>
        <v>0</v>
      </c>
      <c r="L249" s="7">
        <f t="shared" si="89"/>
        <v>4.9496188505121603</v>
      </c>
      <c r="M249" s="7">
        <f t="shared" si="90"/>
        <v>25.464146745406701</v>
      </c>
      <c r="N249" s="7">
        <f t="shared" si="91"/>
        <v>27.982578841106299</v>
      </c>
      <c r="O249" s="7">
        <f t="shared" si="92"/>
        <v>30.4137655959189</v>
      </c>
      <c r="P249" s="49">
        <f t="shared" si="93"/>
        <v>-27.982578841106299</v>
      </c>
      <c r="Q249" s="54">
        <f t="shared" si="95"/>
        <v>2803.6297185836202</v>
      </c>
      <c r="R249" s="55">
        <f t="shared" si="94"/>
        <v>67.265832698465502</v>
      </c>
    </row>
    <row r="250" ht="12.800000000000001">
      <c r="A250" s="1">
        <v>246</v>
      </c>
      <c r="B250" s="44">
        <v>43791</v>
      </c>
      <c r="C250" s="45">
        <f t="shared" si="80"/>
        <v>30.543914938820201</v>
      </c>
      <c r="D250" s="3">
        <f t="shared" si="81"/>
        <v>4.8187604246282802</v>
      </c>
      <c r="E250" s="46">
        <f t="shared" si="82"/>
        <v>0</v>
      </c>
      <c r="F250" s="46">
        <f t="shared" si="83"/>
        <v>4.8187604246282802</v>
      </c>
      <c r="G250" s="46">
        <f t="shared" si="84"/>
        <v>100</v>
      </c>
      <c r="H250" s="46">
        <f t="shared" si="85"/>
        <v>100</v>
      </c>
      <c r="I250" s="47">
        <f t="shared" si="86"/>
        <v>0</v>
      </c>
      <c r="J250" s="47">
        <f t="shared" si="87"/>
        <v>5.2953411259651402</v>
      </c>
      <c r="K250" s="48">
        <f t="shared" si="88"/>
        <v>0</v>
      </c>
      <c r="L250" s="7">
        <f t="shared" si="89"/>
        <v>4.8187604246282802</v>
      </c>
      <c r="M250" s="7">
        <f t="shared" si="90"/>
        <v>25.725154514191999</v>
      </c>
      <c r="N250" s="7">
        <f t="shared" si="91"/>
        <v>28.269400565046102</v>
      </c>
      <c r="O250" s="7">
        <f t="shared" si="92"/>
        <v>30.543914938820201</v>
      </c>
      <c r="P250" s="49">
        <f t="shared" si="93"/>
        <v>-28.269400565046102</v>
      </c>
      <c r="Q250" s="54">
        <f t="shared" si="95"/>
        <v>2775.6471397425198</v>
      </c>
      <c r="R250" s="55">
        <f t="shared" si="94"/>
        <v>66.993696792608901</v>
      </c>
    </row>
    <row r="251" ht="12.800000000000001">
      <c r="A251" s="1">
        <v>247</v>
      </c>
      <c r="B251" s="44">
        <v>43792</v>
      </c>
      <c r="C251" s="45">
        <f t="shared" si="80"/>
        <v>30.669807182143298</v>
      </c>
      <c r="D251" s="3">
        <f t="shared" si="81"/>
        <v>4.6921822919615597</v>
      </c>
      <c r="E251" s="46">
        <f t="shared" si="82"/>
        <v>0</v>
      </c>
      <c r="F251" s="46">
        <f t="shared" si="83"/>
        <v>4.6921822919615597</v>
      </c>
      <c r="G251" s="46">
        <f t="shared" si="84"/>
        <v>100</v>
      </c>
      <c r="H251" s="46">
        <f t="shared" si="85"/>
        <v>100</v>
      </c>
      <c r="I251" s="47">
        <f t="shared" si="86"/>
        <v>0</v>
      </c>
      <c r="J251" s="47">
        <f t="shared" si="87"/>
        <v>5.1562442768808303</v>
      </c>
      <c r="K251" s="48">
        <f t="shared" si="88"/>
        <v>0</v>
      </c>
      <c r="L251" s="7">
        <f t="shared" si="89"/>
        <v>4.6921822919615597</v>
      </c>
      <c r="M251" s="7">
        <f t="shared" si="90"/>
        <v>25.977624890181801</v>
      </c>
      <c r="N251" s="7">
        <f t="shared" si="91"/>
        <v>28.5468405386613</v>
      </c>
      <c r="O251" s="7">
        <f t="shared" si="92"/>
        <v>30.669807182143298</v>
      </c>
      <c r="P251" s="49">
        <f t="shared" si="93"/>
        <v>-28.5468405386613</v>
      </c>
      <c r="Q251" s="54">
        <f t="shared" si="95"/>
        <v>2747.3777391774702</v>
      </c>
      <c r="R251" s="55">
        <f t="shared" si="94"/>
        <v>66.718771490888997</v>
      </c>
    </row>
    <row r="252" ht="12.800000000000001">
      <c r="A252" s="1">
        <v>248</v>
      </c>
      <c r="B252" s="44">
        <v>43793</v>
      </c>
      <c r="C252" s="45">
        <f t="shared" si="80"/>
        <v>30.7914050212995</v>
      </c>
      <c r="D252" s="3">
        <f t="shared" si="81"/>
        <v>4.5699219603444998</v>
      </c>
      <c r="E252" s="46">
        <f t="shared" si="82"/>
        <v>0</v>
      </c>
      <c r="F252" s="46">
        <f t="shared" si="83"/>
        <v>4.5699219603444998</v>
      </c>
      <c r="G252" s="46">
        <f t="shared" si="84"/>
        <v>100</v>
      </c>
      <c r="H252" s="46">
        <f t="shared" si="85"/>
        <v>100</v>
      </c>
      <c r="I252" s="47">
        <f t="shared" si="86"/>
        <v>0</v>
      </c>
      <c r="J252" s="47">
        <f t="shared" si="87"/>
        <v>5.0218922641148396</v>
      </c>
      <c r="K252" s="48">
        <f t="shared" si="88"/>
        <v>0</v>
      </c>
      <c r="L252" s="7">
        <f t="shared" si="89"/>
        <v>4.5699219603444998</v>
      </c>
      <c r="M252" s="7">
        <f t="shared" si="90"/>
        <v>26.221483060954998</v>
      </c>
      <c r="N252" s="7">
        <f t="shared" si="91"/>
        <v>28.814816550500002</v>
      </c>
      <c r="O252" s="7">
        <f t="shared" si="92"/>
        <v>30.7914050212995</v>
      </c>
      <c r="P252" s="49">
        <f t="shared" si="93"/>
        <v>-28.814816550500002</v>
      </c>
      <c r="Q252" s="54">
        <f t="shared" si="95"/>
        <v>2718.8308986388101</v>
      </c>
      <c r="R252" s="55">
        <f t="shared" si="94"/>
        <v>66.441148032613597</v>
      </c>
    </row>
    <row r="253" ht="12.800000000000001">
      <c r="A253" s="1">
        <v>249</v>
      </c>
      <c r="B253" s="44">
        <v>43794</v>
      </c>
      <c r="C253" s="45">
        <f t="shared" si="80"/>
        <v>30.9086724242248</v>
      </c>
      <c r="D253" s="3">
        <f t="shared" si="81"/>
        <v>4.4520156581519501</v>
      </c>
      <c r="E253" s="46">
        <f t="shared" si="82"/>
        <v>0</v>
      </c>
      <c r="F253" s="46">
        <f t="shared" si="83"/>
        <v>4.4520156581519501</v>
      </c>
      <c r="G253" s="46">
        <f t="shared" si="84"/>
        <v>100</v>
      </c>
      <c r="H253" s="46">
        <f t="shared" si="85"/>
        <v>100</v>
      </c>
      <c r="I253" s="47">
        <f t="shared" si="86"/>
        <v>0</v>
      </c>
      <c r="J253" s="47">
        <f t="shared" si="87"/>
        <v>4.8923248990680701</v>
      </c>
      <c r="K253" s="48">
        <f t="shared" si="88"/>
        <v>0</v>
      </c>
      <c r="L253" s="7">
        <f t="shared" si="89"/>
        <v>4.4520156581519501</v>
      </c>
      <c r="M253" s="7">
        <f t="shared" si="90"/>
        <v>26.4566567660728</v>
      </c>
      <c r="N253" s="7">
        <f t="shared" si="91"/>
        <v>29.0732491934866</v>
      </c>
      <c r="O253" s="7">
        <f t="shared" si="92"/>
        <v>30.9086724242248</v>
      </c>
      <c r="P253" s="49">
        <f t="shared" si="93"/>
        <v>-29.0732491934866</v>
      </c>
      <c r="Q253" s="54">
        <f t="shared" si="95"/>
        <v>2690.0160820883102</v>
      </c>
      <c r="R253" s="55">
        <f t="shared" si="94"/>
        <v>66.160918456612507</v>
      </c>
    </row>
    <row r="254" ht="12.800000000000001">
      <c r="A254" s="1">
        <v>250</v>
      </c>
      <c r="B254" s="44">
        <v>43795</v>
      </c>
      <c r="C254" s="45">
        <f t="shared" si="80"/>
        <v>31.021574642056699</v>
      </c>
      <c r="D254" s="3">
        <f t="shared" si="81"/>
        <v>4.3384983235658696</v>
      </c>
      <c r="E254" s="46">
        <f t="shared" si="82"/>
        <v>0</v>
      </c>
      <c r="F254" s="46">
        <f t="shared" si="83"/>
        <v>4.3384983235658696</v>
      </c>
      <c r="G254" s="46">
        <f t="shared" si="84"/>
        <v>100</v>
      </c>
      <c r="H254" s="46">
        <f t="shared" si="85"/>
        <v>100</v>
      </c>
      <c r="I254" s="47">
        <f t="shared" si="86"/>
        <v>0</v>
      </c>
      <c r="J254" s="47">
        <f t="shared" si="87"/>
        <v>4.7675805753471101</v>
      </c>
      <c r="K254" s="48">
        <f t="shared" si="88"/>
        <v>0</v>
      </c>
      <c r="L254" s="7">
        <f t="shared" si="89"/>
        <v>4.3384983235658696</v>
      </c>
      <c r="M254" s="7">
        <f t="shared" si="90"/>
        <v>26.683076318490901</v>
      </c>
      <c r="N254" s="7">
        <f t="shared" si="91"/>
        <v>29.322061888451501</v>
      </c>
      <c r="O254" s="7">
        <f t="shared" si="92"/>
        <v>31.021574642056699</v>
      </c>
      <c r="P254" s="49">
        <f t="shared" si="93"/>
        <v>-29.322061888451501</v>
      </c>
      <c r="Q254" s="54">
        <f t="shared" si="95"/>
        <v>2660.9428328948202</v>
      </c>
      <c r="R254" s="55">
        <f t="shared" si="94"/>
        <v>65.878175573964299</v>
      </c>
    </row>
    <row r="255" ht="12.800000000000001">
      <c r="A255" s="1">
        <v>251</v>
      </c>
      <c r="B255" s="44">
        <v>43796</v>
      </c>
      <c r="C255" s="45">
        <f t="shared" si="80"/>
        <v>31.130078219431599</v>
      </c>
      <c r="D255" s="3">
        <f t="shared" si="81"/>
        <v>4.2294035942223998</v>
      </c>
      <c r="E255" s="46">
        <f t="shared" si="82"/>
        <v>0</v>
      </c>
      <c r="F255" s="46">
        <f t="shared" si="83"/>
        <v>4.2294035942223998</v>
      </c>
      <c r="G255" s="46">
        <f t="shared" si="84"/>
        <v>100</v>
      </c>
      <c r="H255" s="46">
        <f t="shared" si="85"/>
        <v>100</v>
      </c>
      <c r="I255" s="47">
        <f t="shared" si="86"/>
        <v>0</v>
      </c>
      <c r="J255" s="47">
        <f t="shared" si="87"/>
        <v>4.64769625738725</v>
      </c>
      <c r="K255" s="48">
        <f t="shared" si="88"/>
        <v>0</v>
      </c>
      <c r="L255" s="7">
        <f t="shared" si="89"/>
        <v>4.2294035942223998</v>
      </c>
      <c r="M255" s="7">
        <f t="shared" si="90"/>
        <v>26.900674625209199</v>
      </c>
      <c r="N255" s="7">
        <f t="shared" si="91"/>
        <v>29.561180906823299</v>
      </c>
      <c r="O255" s="7">
        <f t="shared" si="92"/>
        <v>31.130078219431599</v>
      </c>
      <c r="P255" s="49">
        <f t="shared" si="93"/>
        <v>-29.561180906823299</v>
      </c>
      <c r="Q255" s="54">
        <f t="shared" si="95"/>
        <v>2631.62077100637</v>
      </c>
      <c r="R255" s="55">
        <f t="shared" si="94"/>
        <v>65.593012940494901</v>
      </c>
    </row>
    <row r="256" ht="12.800000000000001">
      <c r="A256" s="1">
        <v>252</v>
      </c>
      <c r="B256" s="44">
        <v>43797</v>
      </c>
      <c r="C256" s="45">
        <f t="shared" si="80"/>
        <v>31.234151004397798</v>
      </c>
      <c r="D256" s="3">
        <f t="shared" si="81"/>
        <v>4.1247637972443103</v>
      </c>
      <c r="E256" s="46">
        <f t="shared" si="82"/>
        <v>0</v>
      </c>
      <c r="F256" s="46">
        <f t="shared" si="83"/>
        <v>4.1247637972443103</v>
      </c>
      <c r="G256" s="46">
        <f t="shared" si="84"/>
        <v>100</v>
      </c>
      <c r="H256" s="46">
        <f t="shared" si="85"/>
        <v>100</v>
      </c>
      <c r="I256" s="47">
        <f t="shared" si="86"/>
        <v>0</v>
      </c>
      <c r="J256" s="47">
        <f t="shared" si="87"/>
        <v>4.5327074694992397</v>
      </c>
      <c r="K256" s="48">
        <f t="shared" si="88"/>
        <v>0</v>
      </c>
      <c r="L256" s="7">
        <f t="shared" si="89"/>
        <v>4.1247637972443103</v>
      </c>
      <c r="M256" s="7">
        <f t="shared" si="90"/>
        <v>27.1093872071535</v>
      </c>
      <c r="N256" s="7">
        <f t="shared" si="91"/>
        <v>29.7905353924764</v>
      </c>
      <c r="O256" s="7">
        <f t="shared" si="92"/>
        <v>31.234151004397798</v>
      </c>
      <c r="P256" s="49">
        <f t="shared" si="93"/>
        <v>-29.7905353924764</v>
      </c>
      <c r="Q256" s="54">
        <f t="shared" si="95"/>
        <v>2602.05959009955</v>
      </c>
      <c r="R256" s="55">
        <f t="shared" si="94"/>
        <v>65.305524829054207</v>
      </c>
    </row>
    <row r="257" ht="12.800000000000001">
      <c r="A257" s="1">
        <v>253</v>
      </c>
      <c r="B257" s="44">
        <v>43798</v>
      </c>
      <c r="C257" s="45">
        <f t="shared" si="80"/>
        <v>31.333762157943099</v>
      </c>
      <c r="D257" s="3">
        <f t="shared" si="81"/>
        <v>4.0246099396617501</v>
      </c>
      <c r="E257" s="46">
        <f t="shared" si="82"/>
        <v>0</v>
      </c>
      <c r="F257" s="46">
        <f t="shared" si="83"/>
        <v>4.0246099396617501</v>
      </c>
      <c r="G257" s="46">
        <f t="shared" si="84"/>
        <v>100</v>
      </c>
      <c r="H257" s="46">
        <f t="shared" si="85"/>
        <v>100</v>
      </c>
      <c r="I257" s="47">
        <f t="shared" si="86"/>
        <v>0</v>
      </c>
      <c r="J257" s="47">
        <f t="shared" si="87"/>
        <v>4.4226482853425804</v>
      </c>
      <c r="K257" s="48">
        <f t="shared" si="88"/>
        <v>0</v>
      </c>
      <c r="L257" s="7">
        <f t="shared" si="89"/>
        <v>4.0246099396617501</v>
      </c>
      <c r="M257" s="7">
        <f t="shared" si="90"/>
        <v>27.309152218281302</v>
      </c>
      <c r="N257" s="7">
        <f t="shared" si="91"/>
        <v>30.0100573827267</v>
      </c>
      <c r="O257" s="7">
        <f t="shared" si="92"/>
        <v>31.333762157943099</v>
      </c>
      <c r="P257" s="49">
        <f t="shared" si="93"/>
        <v>-30.0100573827267</v>
      </c>
      <c r="Q257" s="54">
        <f t="shared" si="95"/>
        <v>2572.2690547070702</v>
      </c>
      <c r="R257" s="55">
        <f t="shared" si="94"/>
        <v>65.015806201581697</v>
      </c>
    </row>
    <row r="258" ht="12.800000000000001">
      <c r="A258" s="1">
        <v>254</v>
      </c>
      <c r="B258" s="44">
        <v>43799</v>
      </c>
      <c r="C258" s="45">
        <f t="shared" si="80"/>
        <v>31.428882163132698</v>
      </c>
      <c r="D258" s="3">
        <f t="shared" si="81"/>
        <v>3.9289716992242201</v>
      </c>
      <c r="E258" s="46">
        <f t="shared" si="82"/>
        <v>0</v>
      </c>
      <c r="F258" s="46">
        <f t="shared" si="83"/>
        <v>3.9289716992242201</v>
      </c>
      <c r="G258" s="46">
        <f t="shared" si="84"/>
        <v>100</v>
      </c>
      <c r="H258" s="46">
        <f t="shared" si="85"/>
        <v>100</v>
      </c>
      <c r="I258" s="47">
        <f t="shared" si="86"/>
        <v>0</v>
      </c>
      <c r="J258" s="47">
        <f t="shared" si="87"/>
        <v>4.3175513178288103</v>
      </c>
      <c r="K258" s="48">
        <f t="shared" si="88"/>
        <v>0</v>
      </c>
      <c r="L258" s="7">
        <f t="shared" si="89"/>
        <v>3.9289716992242201</v>
      </c>
      <c r="M258" s="7">
        <f t="shared" si="90"/>
        <v>27.499910463908499</v>
      </c>
      <c r="N258" s="7">
        <f t="shared" si="91"/>
        <v>30.2196818284709</v>
      </c>
      <c r="O258" s="7">
        <f t="shared" si="92"/>
        <v>31.428882163132698</v>
      </c>
      <c r="P258" s="49">
        <f t="shared" si="93"/>
        <v>-30.2196818284709</v>
      </c>
      <c r="Q258" s="54">
        <f t="shared" si="95"/>
        <v>2542.2589973243398</v>
      </c>
      <c r="R258" s="55">
        <f t="shared" si="94"/>
        <v>64.723952680967002</v>
      </c>
    </row>
    <row r="259" ht="12.800000000000001">
      <c r="A259" s="1">
        <v>255</v>
      </c>
      <c r="B259" s="44">
        <v>43800</v>
      </c>
      <c r="C259" s="45">
        <f t="shared" si="80"/>
        <v>31.519482833856401</v>
      </c>
      <c r="D259" s="3">
        <f t="shared" si="81"/>
        <v>3.8378774156064099</v>
      </c>
      <c r="E259" s="46">
        <f t="shared" si="82"/>
        <v>0</v>
      </c>
      <c r="F259" s="46">
        <f t="shared" si="83"/>
        <v>3.8378774156064099</v>
      </c>
      <c r="G259" s="46">
        <f t="shared" si="84"/>
        <v>100</v>
      </c>
      <c r="H259" s="46">
        <f t="shared" si="85"/>
        <v>100</v>
      </c>
      <c r="I259" s="47">
        <f t="shared" si="86"/>
        <v>0</v>
      </c>
      <c r="J259" s="47">
        <f t="shared" si="87"/>
        <v>4.2174477094576002</v>
      </c>
      <c r="K259" s="48">
        <f t="shared" si="88"/>
        <v>0</v>
      </c>
      <c r="L259" s="7">
        <f t="shared" si="89"/>
        <v>3.8378774156064099</v>
      </c>
      <c r="M259" s="7">
        <f t="shared" si="90"/>
        <v>27.681605418250001</v>
      </c>
      <c r="N259" s="7">
        <f t="shared" si="91"/>
        <v>30.419346613461499</v>
      </c>
      <c r="O259" s="7">
        <f t="shared" si="92"/>
        <v>31.519482833856401</v>
      </c>
      <c r="P259" s="49">
        <f t="shared" si="93"/>
        <v>-30.419346613461499</v>
      </c>
      <c r="Q259" s="54">
        <f t="shared" si="95"/>
        <v>2512.0393154958701</v>
      </c>
      <c r="R259" s="55">
        <f t="shared" si="94"/>
        <v>64.4300605227143</v>
      </c>
    </row>
    <row r="260" ht="12.800000000000001">
      <c r="A260" s="1">
        <v>256</v>
      </c>
      <c r="B260" s="44">
        <v>43801</v>
      </c>
      <c r="C260" s="45">
        <f t="shared" si="80"/>
        <v>31.605537323180101</v>
      </c>
      <c r="D260" s="3">
        <f t="shared" si="81"/>
        <v>3.75135408201053</v>
      </c>
      <c r="E260" s="46">
        <f t="shared" si="82"/>
        <v>0</v>
      </c>
      <c r="F260" s="46">
        <f t="shared" si="83"/>
        <v>3.75135408201053</v>
      </c>
      <c r="G260" s="46">
        <f t="shared" si="84"/>
        <v>100</v>
      </c>
      <c r="H260" s="46">
        <f t="shared" si="85"/>
        <v>100</v>
      </c>
      <c r="I260" s="47">
        <f t="shared" si="86"/>
        <v>0</v>
      </c>
      <c r="J260" s="47">
        <f t="shared" si="87"/>
        <v>4.1223671230884902</v>
      </c>
      <c r="K260" s="48">
        <f t="shared" si="88"/>
        <v>0</v>
      </c>
      <c r="L260" s="7">
        <f t="shared" si="89"/>
        <v>3.75135408201053</v>
      </c>
      <c r="M260" s="7">
        <f t="shared" si="90"/>
        <v>27.854183241169501</v>
      </c>
      <c r="N260" s="7">
        <f t="shared" si="91"/>
        <v>30.608992572713799</v>
      </c>
      <c r="O260" s="7">
        <f t="shared" si="92"/>
        <v>31.605537323180101</v>
      </c>
      <c r="P260" s="49">
        <f t="shared" si="93"/>
        <v>-30.608992572713799</v>
      </c>
      <c r="Q260" s="54">
        <f t="shared" si="95"/>
        <v>2481.6199688824099</v>
      </c>
      <c r="R260" s="55">
        <f t="shared" si="94"/>
        <v>64.134226586420297</v>
      </c>
    </row>
    <row r="261" ht="12.800000000000001">
      <c r="A261" s="1">
        <v>257</v>
      </c>
      <c r="B261" s="44">
        <v>43802</v>
      </c>
      <c r="C261" s="45">
        <f t="shared" si="80"/>
        <v>31.687020131301299</v>
      </c>
      <c r="D261" s="3">
        <f t="shared" si="81"/>
        <v>3.6694273371676398</v>
      </c>
      <c r="E261" s="46">
        <f t="shared" si="82"/>
        <v>0</v>
      </c>
      <c r="F261" s="46">
        <f t="shared" si="83"/>
        <v>3.6694273371676398</v>
      </c>
      <c r="G261" s="46">
        <f t="shared" si="84"/>
        <v>100</v>
      </c>
      <c r="H261" s="46">
        <f t="shared" si="85"/>
        <v>100</v>
      </c>
      <c r="I261" s="47">
        <f t="shared" si="86"/>
        <v>0</v>
      </c>
      <c r="J261" s="47">
        <f t="shared" si="87"/>
        <v>4.03233773315125</v>
      </c>
      <c r="K261" s="48">
        <f t="shared" si="88"/>
        <v>0</v>
      </c>
      <c r="L261" s="7">
        <f t="shared" si="89"/>
        <v>3.6694273371676398</v>
      </c>
      <c r="M261" s="7">
        <f t="shared" si="90"/>
        <v>28.017592794133702</v>
      </c>
      <c r="N261" s="7">
        <f t="shared" si="91"/>
        <v>30.788563510037001</v>
      </c>
      <c r="O261" s="7">
        <f t="shared" si="92"/>
        <v>31.687020131301299</v>
      </c>
      <c r="P261" s="49">
        <f t="shared" si="93"/>
        <v>-30.788563510037001</v>
      </c>
      <c r="Q261" s="54">
        <f t="shared" si="95"/>
        <v>2451.0109763096998</v>
      </c>
      <c r="R261" s="55">
        <f t="shared" si="94"/>
        <v>63.836548307072597</v>
      </c>
    </row>
    <row r="262" ht="12.800000000000001">
      <c r="A262" s="1">
        <v>258</v>
      </c>
      <c r="B262" s="44">
        <v>43803</v>
      </c>
      <c r="C262" s="45">
        <f t="shared" si="80"/>
        <v>31.763907113105599</v>
      </c>
      <c r="D262" s="3">
        <f t="shared" si="81"/>
        <v>3.5921214577403799</v>
      </c>
      <c r="E262" s="46">
        <f t="shared" si="82"/>
        <v>0</v>
      </c>
      <c r="F262" s="46">
        <f t="shared" si="83"/>
        <v>3.5921214577403799</v>
      </c>
      <c r="G262" s="46">
        <f t="shared" si="84"/>
        <v>100</v>
      </c>
      <c r="H262" s="46">
        <f t="shared" si="85"/>
        <v>100</v>
      </c>
      <c r="I262" s="47">
        <f t="shared" si="86"/>
        <v>0</v>
      </c>
      <c r="J262" s="47">
        <f t="shared" si="87"/>
        <v>3.9473862172971201</v>
      </c>
      <c r="K262" s="48">
        <f t="shared" si="88"/>
        <v>0</v>
      </c>
      <c r="L262" s="7">
        <f t="shared" si="89"/>
        <v>3.5921214577403799</v>
      </c>
      <c r="M262" s="7">
        <f t="shared" si="90"/>
        <v>28.171785655365198</v>
      </c>
      <c r="N262" s="7">
        <f t="shared" si="91"/>
        <v>30.958006214687099</v>
      </c>
      <c r="O262" s="7">
        <f t="shared" si="92"/>
        <v>31.763907113105599</v>
      </c>
      <c r="P262" s="49">
        <f t="shared" si="93"/>
        <v>-30.958006214687099</v>
      </c>
      <c r="Q262" s="54">
        <f t="shared" si="95"/>
        <v>2420.2224127996601</v>
      </c>
      <c r="R262" s="55">
        <f t="shared" si="94"/>
        <v>63.537123666177102</v>
      </c>
    </row>
    <row r="263" ht="12.800000000000001">
      <c r="A263" s="1">
        <v>259</v>
      </c>
      <c r="B263" s="44">
        <v>43804</v>
      </c>
      <c r="C263" s="45">
        <f t="shared" si="80"/>
        <v>31.836175485320801</v>
      </c>
      <c r="D263" s="3">
        <f t="shared" si="81"/>
        <v>3.5194593511291998</v>
      </c>
      <c r="E263" s="46">
        <f t="shared" si="82"/>
        <v>0</v>
      </c>
      <c r="F263" s="46">
        <f t="shared" si="83"/>
        <v>3.5194593511291998</v>
      </c>
      <c r="G263" s="46">
        <f t="shared" si="84"/>
        <v>100</v>
      </c>
      <c r="H263" s="46">
        <f t="shared" si="85"/>
        <v>100</v>
      </c>
      <c r="I263" s="47">
        <f t="shared" si="86"/>
        <v>0</v>
      </c>
      <c r="J263" s="47">
        <f t="shared" si="87"/>
        <v>3.86753774849362</v>
      </c>
      <c r="K263" s="48">
        <f t="shared" si="88"/>
        <v>0</v>
      </c>
      <c r="L263" s="7">
        <f t="shared" si="89"/>
        <v>3.5194593511291998</v>
      </c>
      <c r="M263" s="7">
        <f t="shared" si="90"/>
        <v>28.316716134191601</v>
      </c>
      <c r="N263" s="7">
        <f t="shared" si="91"/>
        <v>31.117270477133602</v>
      </c>
      <c r="O263" s="7">
        <f t="shared" si="92"/>
        <v>31.836175485320801</v>
      </c>
      <c r="P263" s="49">
        <f t="shared" si="93"/>
        <v>-31.117270477133602</v>
      </c>
      <c r="Q263" s="54">
        <f t="shared" si="95"/>
        <v>2389.2644065849699</v>
      </c>
      <c r="R263" s="55">
        <f t="shared" si="94"/>
        <v>63.236051162724699</v>
      </c>
    </row>
    <row r="264" ht="12.800000000000001">
      <c r="A264" s="1">
        <v>260</v>
      </c>
      <c r="B264" s="44">
        <v>43805</v>
      </c>
      <c r="C264" s="45">
        <f t="shared" si="80"/>
        <v>31.903803833268601</v>
      </c>
      <c r="D264" s="3">
        <f t="shared" si="81"/>
        <v>3.4514625486844799</v>
      </c>
      <c r="E264" s="46">
        <f t="shared" si="82"/>
        <v>0</v>
      </c>
      <c r="F264" s="46">
        <f t="shared" si="83"/>
        <v>3.4514625486844799</v>
      </c>
      <c r="G264" s="46">
        <f t="shared" si="84"/>
        <v>100</v>
      </c>
      <c r="H264" s="46">
        <f t="shared" si="85"/>
        <v>100</v>
      </c>
      <c r="I264" s="47">
        <f t="shared" si="86"/>
        <v>0</v>
      </c>
      <c r="J264" s="47">
        <f t="shared" si="87"/>
        <v>3.7928159875653602</v>
      </c>
      <c r="K264" s="48">
        <f t="shared" si="88"/>
        <v>0</v>
      </c>
      <c r="L264" s="7">
        <f t="shared" si="89"/>
        <v>3.4514625486844799</v>
      </c>
      <c r="M264" s="7">
        <f t="shared" si="90"/>
        <v>28.452341284584101</v>
      </c>
      <c r="N264" s="7">
        <f t="shared" si="91"/>
        <v>31.2663091039386</v>
      </c>
      <c r="O264" s="7">
        <f t="shared" si="92"/>
        <v>31.903803833268601</v>
      </c>
      <c r="P264" s="49">
        <f t="shared" si="93"/>
        <v>-31.2663091039386</v>
      </c>
      <c r="Q264" s="54">
        <f t="shared" si="95"/>
        <v>2358.1471361078402</v>
      </c>
      <c r="R264" s="55">
        <f t="shared" si="94"/>
        <v>62.933429784003103</v>
      </c>
    </row>
    <row r="265" ht="12.800000000000001">
      <c r="A265" s="1">
        <v>261</v>
      </c>
      <c r="B265" s="44">
        <v>43806</v>
      </c>
      <c r="C265" s="45">
        <f t="shared" si="80"/>
        <v>31.966772117209899</v>
      </c>
      <c r="D265" s="3">
        <f t="shared" si="81"/>
        <v>3.3881511993262698</v>
      </c>
      <c r="E265" s="46">
        <f t="shared" si="82"/>
        <v>0</v>
      </c>
      <c r="F265" s="46">
        <f t="shared" si="83"/>
        <v>3.3881511993262698</v>
      </c>
      <c r="G265" s="46">
        <f t="shared" si="84"/>
        <v>100</v>
      </c>
      <c r="H265" s="46">
        <f t="shared" si="85"/>
        <v>100</v>
      </c>
      <c r="I265" s="47">
        <f t="shared" si="86"/>
        <v>0</v>
      </c>
      <c r="J265" s="47">
        <f t="shared" si="87"/>
        <v>3.72324307618271</v>
      </c>
      <c r="K265" s="48">
        <f t="shared" si="88"/>
        <v>0</v>
      </c>
      <c r="L265" s="7">
        <f t="shared" si="89"/>
        <v>3.3881511993262698</v>
      </c>
      <c r="M265" s="7">
        <f t="shared" si="90"/>
        <v>28.578620917883601</v>
      </c>
      <c r="N265" s="7">
        <f t="shared" si="91"/>
        <v>31.405077931740198</v>
      </c>
      <c r="O265" s="7">
        <f t="shared" si="92"/>
        <v>31.966772117209899</v>
      </c>
      <c r="P265" s="49">
        <f t="shared" si="93"/>
        <v>-31.405077931740198</v>
      </c>
      <c r="Q265" s="54">
        <f t="shared" si="95"/>
        <v>2326.8808270038999</v>
      </c>
      <c r="R265" s="55">
        <f t="shared" si="94"/>
        <v>62.629358976265699</v>
      </c>
    </row>
    <row r="266" ht="12.800000000000001">
      <c r="A266" s="1">
        <v>262</v>
      </c>
      <c r="B266" s="44">
        <v>43807</v>
      </c>
      <c r="C266" s="45">
        <f t="shared" si="80"/>
        <v>32.025061678283201</v>
      </c>
      <c r="D266" s="3">
        <f t="shared" si="81"/>
        <v>3.3295440635737599</v>
      </c>
      <c r="E266" s="46">
        <f t="shared" si="82"/>
        <v>0</v>
      </c>
      <c r="F266" s="46">
        <f t="shared" si="83"/>
        <v>3.3295440635737599</v>
      </c>
      <c r="G266" s="46">
        <f t="shared" si="84"/>
        <v>100</v>
      </c>
      <c r="H266" s="46">
        <f t="shared" si="85"/>
        <v>100</v>
      </c>
      <c r="I266" s="47">
        <f t="shared" si="86"/>
        <v>0</v>
      </c>
      <c r="J266" s="47">
        <f t="shared" si="87"/>
        <v>3.6588396303008301</v>
      </c>
      <c r="K266" s="48">
        <f t="shared" si="88"/>
        <v>0</v>
      </c>
      <c r="L266" s="7">
        <f t="shared" si="89"/>
        <v>3.3295440635737599</v>
      </c>
      <c r="M266" s="7">
        <f t="shared" si="90"/>
        <v>28.695517614709502</v>
      </c>
      <c r="N266" s="7">
        <f t="shared" si="91"/>
        <v>31.5335358403401</v>
      </c>
      <c r="O266" s="7">
        <f t="shared" si="92"/>
        <v>32.025061678283201</v>
      </c>
      <c r="P266" s="49">
        <f t="shared" si="93"/>
        <v>-31.5335358403401</v>
      </c>
      <c r="Q266" s="54">
        <f t="shared" si="95"/>
        <v>2295.4757490721599</v>
      </c>
      <c r="R266" s="55">
        <f t="shared" si="94"/>
        <v>62.323938615262499</v>
      </c>
    </row>
    <row r="267" ht="12.800000000000001">
      <c r="A267" s="1">
        <v>263</v>
      </c>
      <c r="B267" s="44">
        <v>43808</v>
      </c>
      <c r="C267" s="45">
        <f t="shared" si="80"/>
        <v>32.078655244033598</v>
      </c>
      <c r="D267" s="3">
        <f t="shared" si="81"/>
        <v>3.2756585079861198</v>
      </c>
      <c r="E267" s="46">
        <f t="shared" si="82"/>
        <v>0</v>
      </c>
      <c r="F267" s="46">
        <f t="shared" si="83"/>
        <v>3.2756585079861198</v>
      </c>
      <c r="G267" s="46">
        <f t="shared" si="84"/>
        <v>100</v>
      </c>
      <c r="H267" s="46">
        <f t="shared" si="85"/>
        <v>100</v>
      </c>
      <c r="I267" s="47">
        <f t="shared" si="86"/>
        <v>0</v>
      </c>
      <c r="J267" s="47">
        <f t="shared" si="87"/>
        <v>3.5996247340506802</v>
      </c>
      <c r="K267" s="48">
        <f t="shared" si="88"/>
        <v>0</v>
      </c>
      <c r="L267" s="7">
        <f t="shared" si="89"/>
        <v>3.2756585079861198</v>
      </c>
      <c r="M267" s="7">
        <f t="shared" si="90"/>
        <v>28.802996736047501</v>
      </c>
      <c r="N267" s="7">
        <f t="shared" si="91"/>
        <v>31.651644764887401</v>
      </c>
      <c r="O267" s="7">
        <f t="shared" si="92"/>
        <v>32.078655244033598</v>
      </c>
      <c r="P267" s="49">
        <f t="shared" si="93"/>
        <v>-31.651644764887401</v>
      </c>
      <c r="Q267" s="54">
        <f t="shared" si="95"/>
        <v>2263.94221323182</v>
      </c>
      <c r="R267" s="55">
        <f t="shared" si="94"/>
        <v>62.017268976645497</v>
      </c>
    </row>
    <row r="268" ht="12.800000000000001">
      <c r="A268" s="1">
        <v>264</v>
      </c>
      <c r="B268" s="44">
        <v>43809</v>
      </c>
      <c r="C268" s="45">
        <f t="shared" si="80"/>
        <v>32.127536933530997</v>
      </c>
      <c r="D268" s="3">
        <f t="shared" si="81"/>
        <v>3.2265105000164001</v>
      </c>
      <c r="E268" s="46">
        <f t="shared" si="82"/>
        <v>0</v>
      </c>
      <c r="F268" s="46">
        <f t="shared" si="83"/>
        <v>3.2265105000164001</v>
      </c>
      <c r="G268" s="46">
        <f t="shared" si="84"/>
        <v>100</v>
      </c>
      <c r="H268" s="46">
        <f t="shared" si="85"/>
        <v>100</v>
      </c>
      <c r="I268" s="47">
        <f t="shared" si="86"/>
        <v>0</v>
      </c>
      <c r="J268" s="47">
        <f t="shared" si="87"/>
        <v>3.5456159340839601</v>
      </c>
      <c r="K268" s="48">
        <f t="shared" si="88"/>
        <v>0</v>
      </c>
      <c r="L268" s="7">
        <f t="shared" si="89"/>
        <v>3.2265105000164001</v>
      </c>
      <c r="M268" s="7">
        <f t="shared" si="90"/>
        <v>28.901026433514598</v>
      </c>
      <c r="N268" s="7">
        <f t="shared" si="91"/>
        <v>31.7593697071589</v>
      </c>
      <c r="O268" s="7">
        <f t="shared" si="92"/>
        <v>32.127536933530997</v>
      </c>
      <c r="P268" s="49">
        <f t="shared" si="93"/>
        <v>-31.7593697071589</v>
      </c>
      <c r="Q268" s="54">
        <f t="shared" si="95"/>
        <v>2232.2905684669299</v>
      </c>
      <c r="R268" s="55">
        <f t="shared" si="94"/>
        <v>61.7094507062547</v>
      </c>
    </row>
    <row r="269" ht="12.800000000000001">
      <c r="A269" s="1">
        <v>265</v>
      </c>
      <c r="B269" s="44">
        <v>43810</v>
      </c>
      <c r="C269" s="45">
        <f t="shared" si="80"/>
        <v>32.171692262075702</v>
      </c>
      <c r="D269" s="3">
        <f t="shared" si="81"/>
        <v>3.1821146032800902</v>
      </c>
      <c r="E269" s="46">
        <f t="shared" si="82"/>
        <v>0</v>
      </c>
      <c r="F269" s="46">
        <f t="shared" si="83"/>
        <v>3.1821146032800902</v>
      </c>
      <c r="G269" s="46">
        <f t="shared" si="84"/>
        <v>100</v>
      </c>
      <c r="H269" s="46">
        <f t="shared" si="85"/>
        <v>100</v>
      </c>
      <c r="I269" s="47">
        <f t="shared" si="86"/>
        <v>0</v>
      </c>
      <c r="J269" s="47">
        <f t="shared" si="87"/>
        <v>3.49682923437372</v>
      </c>
      <c r="K269" s="48">
        <f t="shared" si="88"/>
        <v>0</v>
      </c>
      <c r="L269" s="7">
        <f t="shared" si="89"/>
        <v>3.1821146032800902</v>
      </c>
      <c r="M269" s="7">
        <f t="shared" si="90"/>
        <v>28.9895776587956</v>
      </c>
      <c r="N269" s="7">
        <f t="shared" si="91"/>
        <v>31.856678745929202</v>
      </c>
      <c r="O269" s="7">
        <f t="shared" si="92"/>
        <v>32.171692262075702</v>
      </c>
      <c r="P269" s="49">
        <f t="shared" si="93"/>
        <v>-31.856678745929202</v>
      </c>
      <c r="Q269" s="54">
        <f t="shared" si="95"/>
        <v>2200.5311987597802</v>
      </c>
      <c r="R269" s="55">
        <f t="shared" si="94"/>
        <v>61.400584790294303</v>
      </c>
    </row>
    <row r="270" ht="12.800000000000001">
      <c r="A270" s="1">
        <v>266</v>
      </c>
      <c r="B270" s="44">
        <v>43811</v>
      </c>
      <c r="C270" s="45">
        <f t="shared" si="80"/>
        <v>32.211108145491004</v>
      </c>
      <c r="D270" s="3">
        <f t="shared" si="81"/>
        <v>3.1424839732395098</v>
      </c>
      <c r="E270" s="46">
        <f t="shared" si="82"/>
        <v>0</v>
      </c>
      <c r="F270" s="46">
        <f t="shared" si="83"/>
        <v>3.1424839732395098</v>
      </c>
      <c r="G270" s="46">
        <f t="shared" si="84"/>
        <v>100</v>
      </c>
      <c r="H270" s="46">
        <f t="shared" si="85"/>
        <v>100</v>
      </c>
      <c r="I270" s="47">
        <f t="shared" si="86"/>
        <v>0</v>
      </c>
      <c r="J270" s="47">
        <f t="shared" si="87"/>
        <v>3.4532790914719902</v>
      </c>
      <c r="K270" s="48">
        <f t="shared" si="88"/>
        <v>0</v>
      </c>
      <c r="L270" s="7">
        <f t="shared" si="89"/>
        <v>3.1424839732395098</v>
      </c>
      <c r="M270" s="7">
        <f t="shared" si="90"/>
        <v>29.0686241722515</v>
      </c>
      <c r="N270" s="7">
        <f t="shared" si="91"/>
        <v>31.9435430464302</v>
      </c>
      <c r="O270" s="7">
        <f t="shared" si="92"/>
        <v>32.211108145491004</v>
      </c>
      <c r="P270" s="49">
        <f t="shared" si="93"/>
        <v>-31.9435430464302</v>
      </c>
      <c r="Q270" s="54">
        <f t="shared" si="95"/>
        <v>2168.6745200138498</v>
      </c>
      <c r="R270" s="55">
        <f t="shared" si="94"/>
        <v>61.090772525408603</v>
      </c>
    </row>
    <row r="271" ht="12.800000000000001">
      <c r="A271" s="1">
        <v>267</v>
      </c>
      <c r="B271" s="44">
        <v>43812</v>
      </c>
      <c r="C271" s="45">
        <f t="shared" si="80"/>
        <v>32.245772903999899</v>
      </c>
      <c r="D271" s="3">
        <f t="shared" si="81"/>
        <v>3.1076303533056602</v>
      </c>
      <c r="E271" s="46">
        <f t="shared" si="82"/>
        <v>0</v>
      </c>
      <c r="F271" s="46">
        <f t="shared" si="83"/>
        <v>3.1076303533056602</v>
      </c>
      <c r="G271" s="46">
        <f t="shared" si="84"/>
        <v>100</v>
      </c>
      <c r="H271" s="46">
        <f t="shared" si="85"/>
        <v>100</v>
      </c>
      <c r="I271" s="47">
        <f t="shared" si="86"/>
        <v>0</v>
      </c>
      <c r="J271" s="47">
        <f t="shared" si="87"/>
        <v>3.4149784102259901</v>
      </c>
      <c r="K271" s="48">
        <f t="shared" si="88"/>
        <v>0</v>
      </c>
      <c r="L271" s="7">
        <f t="shared" si="89"/>
        <v>3.1076303533056602</v>
      </c>
      <c r="M271" s="7">
        <f t="shared" si="90"/>
        <v>29.138142550694301</v>
      </c>
      <c r="N271" s="7">
        <f t="shared" si="91"/>
        <v>32.019936868894803</v>
      </c>
      <c r="O271" s="7">
        <f t="shared" si="92"/>
        <v>32.245772903999899</v>
      </c>
      <c r="P271" s="49">
        <f t="shared" si="93"/>
        <v>-32.019936868894803</v>
      </c>
      <c r="Q271" s="54">
        <f t="shared" si="95"/>
        <v>2136.7309769674198</v>
      </c>
      <c r="R271" s="55">
        <f t="shared" si="94"/>
        <v>60.780115488665501</v>
      </c>
    </row>
    <row r="272" ht="12.800000000000001">
      <c r="A272" s="1">
        <v>268</v>
      </c>
      <c r="B272" s="44">
        <v>43813</v>
      </c>
      <c r="C272" s="45">
        <f t="shared" si="80"/>
        <v>32.2756762656864</v>
      </c>
      <c r="D272" s="3">
        <f t="shared" si="81"/>
        <v>3.0775640713583101</v>
      </c>
      <c r="E272" s="46">
        <f t="shared" si="82"/>
        <v>0</v>
      </c>
      <c r="F272" s="46">
        <f t="shared" si="83"/>
        <v>3.0775640713583101</v>
      </c>
      <c r="G272" s="46">
        <f t="shared" si="84"/>
        <v>100</v>
      </c>
      <c r="H272" s="46">
        <f t="shared" si="85"/>
        <v>100</v>
      </c>
      <c r="I272" s="47">
        <f t="shared" si="86"/>
        <v>0</v>
      </c>
      <c r="J272" s="47">
        <f t="shared" si="87"/>
        <v>3.3819385399541901</v>
      </c>
      <c r="K272" s="48">
        <f t="shared" si="88"/>
        <v>0</v>
      </c>
      <c r="L272" s="7">
        <f t="shared" si="89"/>
        <v>3.0775640713583101</v>
      </c>
      <c r="M272" s="7">
        <f t="shared" si="90"/>
        <v>29.1981121943281</v>
      </c>
      <c r="N272" s="7">
        <f t="shared" si="91"/>
        <v>32.085837576184701</v>
      </c>
      <c r="O272" s="7">
        <f t="shared" si="92"/>
        <v>32.2756762656864</v>
      </c>
      <c r="P272" s="49">
        <f t="shared" si="93"/>
        <v>-32.085837576184701</v>
      </c>
      <c r="Q272" s="54">
        <f t="shared" si="95"/>
        <v>2104.7110400985198</v>
      </c>
      <c r="R272" s="55">
        <f t="shared" si="94"/>
        <v>60.468715507456899</v>
      </c>
    </row>
    <row r="273" ht="12.800000000000001">
      <c r="A273" s="1">
        <v>269</v>
      </c>
      <c r="B273" s="44">
        <v>43814</v>
      </c>
      <c r="C273" s="45">
        <f t="shared" si="80"/>
        <v>32.300809369539103</v>
      </c>
      <c r="D273" s="3">
        <f t="shared" si="81"/>
        <v>3.0522940366857001</v>
      </c>
      <c r="E273" s="46">
        <f t="shared" si="82"/>
        <v>0</v>
      </c>
      <c r="F273" s="46">
        <f t="shared" si="83"/>
        <v>3.0522940366857001</v>
      </c>
      <c r="G273" s="46">
        <f t="shared" si="84"/>
        <v>100</v>
      </c>
      <c r="H273" s="46">
        <f t="shared" si="85"/>
        <v>100</v>
      </c>
      <c r="I273" s="47">
        <f t="shared" si="86"/>
        <v>0</v>
      </c>
      <c r="J273" s="47">
        <f t="shared" si="87"/>
        <v>3.3541692710831801</v>
      </c>
      <c r="K273" s="48">
        <f t="shared" si="88"/>
        <v>0</v>
      </c>
      <c r="L273" s="7">
        <f t="shared" si="89"/>
        <v>3.0522940366857001</v>
      </c>
      <c r="M273" s="7">
        <f t="shared" si="90"/>
        <v>29.248515332853401</v>
      </c>
      <c r="N273" s="7">
        <f t="shared" si="91"/>
        <v>32.141225640498199</v>
      </c>
      <c r="O273" s="7">
        <f t="shared" si="92"/>
        <v>32.300809369539103</v>
      </c>
      <c r="P273" s="49">
        <f t="shared" si="93"/>
        <v>-32.141225640498199</v>
      </c>
      <c r="Q273" s="54">
        <f t="shared" si="95"/>
        <v>2072.6252025223398</v>
      </c>
      <c r="R273" s="55">
        <f t="shared" si="94"/>
        <v>60.156674629325401</v>
      </c>
    </row>
    <row r="274" ht="12.800000000000001">
      <c r="A274" s="1">
        <v>270</v>
      </c>
      <c r="B274" s="44">
        <v>43815</v>
      </c>
      <c r="C274" s="45">
        <f t="shared" si="80"/>
        <v>32.321164768076798</v>
      </c>
      <c r="D274" s="3">
        <f t="shared" si="81"/>
        <v>3.03182773734446</v>
      </c>
      <c r="E274" s="46">
        <f t="shared" si="82"/>
        <v>0</v>
      </c>
      <c r="F274" s="46">
        <f t="shared" si="83"/>
        <v>3.03182773734446</v>
      </c>
      <c r="G274" s="46">
        <f t="shared" si="84"/>
        <v>100</v>
      </c>
      <c r="H274" s="46">
        <f t="shared" si="85"/>
        <v>100</v>
      </c>
      <c r="I274" s="47">
        <f t="shared" si="86"/>
        <v>0</v>
      </c>
      <c r="J274" s="47">
        <f t="shared" si="87"/>
        <v>3.3316788322466602</v>
      </c>
      <c r="K274" s="48">
        <f t="shared" si="88"/>
        <v>0</v>
      </c>
      <c r="L274" s="7">
        <f t="shared" si="89"/>
        <v>3.03182773734446</v>
      </c>
      <c r="M274" s="7">
        <f t="shared" si="90"/>
        <v>29.289337030732302</v>
      </c>
      <c r="N274" s="7">
        <f t="shared" si="91"/>
        <v>32.186084649156399</v>
      </c>
      <c r="O274" s="7">
        <f t="shared" si="92"/>
        <v>32.321164768076798</v>
      </c>
      <c r="P274" s="49">
        <f t="shared" si="93"/>
        <v>-32.186084649156399</v>
      </c>
      <c r="Q274" s="54">
        <f t="shared" si="95"/>
        <v>2040.4839768818399</v>
      </c>
      <c r="R274" s="55">
        <f t="shared" si="94"/>
        <v>59.844095091725102</v>
      </c>
    </row>
    <row r="275" ht="12.800000000000001">
      <c r="A275" s="1">
        <v>271</v>
      </c>
      <c r="B275" s="44">
        <v>43816</v>
      </c>
      <c r="C275" s="45">
        <f t="shared" si="80"/>
        <v>32.3367364295557</v>
      </c>
      <c r="D275" s="3">
        <f t="shared" si="81"/>
        <v>3.0161712379407999</v>
      </c>
      <c r="E275" s="46">
        <f t="shared" si="82"/>
        <v>0</v>
      </c>
      <c r="F275" s="46">
        <f t="shared" si="83"/>
        <v>3.0161712379407999</v>
      </c>
      <c r="G275" s="46">
        <f t="shared" si="84"/>
        <v>100</v>
      </c>
      <c r="H275" s="46">
        <f t="shared" si="85"/>
        <v>100</v>
      </c>
      <c r="I275" s="47">
        <f t="shared" si="86"/>
        <v>0</v>
      </c>
      <c r="J275" s="47">
        <f t="shared" si="87"/>
        <v>3.3144738878470399</v>
      </c>
      <c r="K275" s="48">
        <f t="shared" si="88"/>
        <v>0</v>
      </c>
      <c r="L275" s="7">
        <f t="shared" si="89"/>
        <v>3.0161712379407999</v>
      </c>
      <c r="M275" s="7">
        <f t="shared" si="90"/>
        <v>29.3205651916149</v>
      </c>
      <c r="N275" s="7">
        <f t="shared" si="91"/>
        <v>32.220401309466901</v>
      </c>
      <c r="O275" s="7">
        <f t="shared" si="92"/>
        <v>32.3367364295557</v>
      </c>
      <c r="P275" s="49">
        <f t="shared" si="93"/>
        <v>-32.220401309466901</v>
      </c>
      <c r="Q275" s="54">
        <f t="shared" si="95"/>
        <v>2008.2978922326799</v>
      </c>
      <c r="R275" s="55">
        <f t="shared" si="94"/>
        <v>59.5310792917264</v>
      </c>
    </row>
    <row r="276" ht="12.800000000000001">
      <c r="A276" s="1">
        <v>272</v>
      </c>
      <c r="B276" s="44">
        <v>43817</v>
      </c>
      <c r="C276" s="45">
        <f t="shared" si="80"/>
        <v>32.347519739756301</v>
      </c>
      <c r="D276" s="3">
        <f t="shared" si="81"/>
        <v>3.0053291778333802</v>
      </c>
      <c r="E276" s="46">
        <f t="shared" si="82"/>
        <v>0</v>
      </c>
      <c r="F276" s="46">
        <f t="shared" si="83"/>
        <v>3.0053291778333802</v>
      </c>
      <c r="G276" s="46">
        <f t="shared" si="84"/>
        <v>100</v>
      </c>
      <c r="H276" s="46">
        <f t="shared" si="85"/>
        <v>100</v>
      </c>
      <c r="I276" s="47">
        <f t="shared" si="86"/>
        <v>0</v>
      </c>
      <c r="J276" s="47">
        <f t="shared" si="87"/>
        <v>3.3025595360806399</v>
      </c>
      <c r="K276" s="48">
        <f t="shared" si="88"/>
        <v>0</v>
      </c>
      <c r="L276" s="7">
        <f t="shared" si="89"/>
        <v>3.0053291778333802</v>
      </c>
      <c r="M276" s="7">
        <f t="shared" si="90"/>
        <v>29.342190561922902</v>
      </c>
      <c r="N276" s="7">
        <f t="shared" si="91"/>
        <v>32.2441654526626</v>
      </c>
      <c r="O276" s="7">
        <f t="shared" si="92"/>
        <v>32.347519739756301</v>
      </c>
      <c r="P276" s="49">
        <f t="shared" si="93"/>
        <v>-32.2441654526626</v>
      </c>
      <c r="Q276" s="54">
        <f t="shared" si="95"/>
        <v>1976.07749092322</v>
      </c>
      <c r="R276" s="55">
        <f t="shared" si="94"/>
        <v>59.217729755673801</v>
      </c>
    </row>
    <row r="277" ht="12.800000000000001">
      <c r="A277" s="1">
        <v>273</v>
      </c>
      <c r="B277" s="44">
        <v>43818</v>
      </c>
      <c r="C277" s="45">
        <f t="shared" si="80"/>
        <v>32.353511503351299</v>
      </c>
      <c r="D277" s="3">
        <f t="shared" si="81"/>
        <v>2.9993047697586102</v>
      </c>
      <c r="E277" s="46">
        <f t="shared" si="82"/>
        <v>0</v>
      </c>
      <c r="F277" s="46">
        <f t="shared" si="83"/>
        <v>2.9993047697586102</v>
      </c>
      <c r="G277" s="46">
        <f t="shared" si="84"/>
        <v>100</v>
      </c>
      <c r="H277" s="46">
        <f t="shared" si="85"/>
        <v>100</v>
      </c>
      <c r="I277" s="47">
        <f t="shared" si="86"/>
        <v>0</v>
      </c>
      <c r="J277" s="47">
        <f t="shared" si="87"/>
        <v>3.29593930742704</v>
      </c>
      <c r="K277" s="48">
        <f t="shared" si="88"/>
        <v>0</v>
      </c>
      <c r="L277" s="7">
        <f t="shared" si="89"/>
        <v>2.9993047697586102</v>
      </c>
      <c r="M277" s="7">
        <f t="shared" si="90"/>
        <v>29.354206733592701</v>
      </c>
      <c r="N277" s="7">
        <f t="shared" si="91"/>
        <v>32.257370036914999</v>
      </c>
      <c r="O277" s="7">
        <f t="shared" si="92"/>
        <v>32.353511503351299</v>
      </c>
      <c r="P277" s="49">
        <f t="shared" si="93"/>
        <v>-32.257370036914999</v>
      </c>
      <c r="Q277" s="54">
        <f t="shared" si="95"/>
        <v>1943.8333254705501</v>
      </c>
      <c r="R277" s="55">
        <f t="shared" si="94"/>
        <v>58.9041491088051</v>
      </c>
    </row>
    <row r="278" ht="12.800000000000001">
      <c r="A278" s="1">
        <v>274</v>
      </c>
      <c r="B278" s="44">
        <v>43819</v>
      </c>
      <c r="C278" s="45">
        <f t="shared" si="80"/>
        <v>32.354709944851599</v>
      </c>
      <c r="D278" s="3">
        <f t="shared" si="81"/>
        <v>2.9980997988786</v>
      </c>
      <c r="E278" s="46">
        <f t="shared" si="82"/>
        <v>0</v>
      </c>
      <c r="F278" s="46">
        <f t="shared" si="83"/>
        <v>2.9980997988786</v>
      </c>
      <c r="G278" s="46">
        <f t="shared" si="84"/>
        <v>100</v>
      </c>
      <c r="H278" s="46">
        <f t="shared" si="85"/>
        <v>100</v>
      </c>
      <c r="I278" s="47">
        <f t="shared" si="86"/>
        <v>0</v>
      </c>
      <c r="J278" s="47">
        <f t="shared" si="87"/>
        <v>3.29461516360286</v>
      </c>
      <c r="K278" s="48">
        <f t="shared" si="88"/>
        <v>0</v>
      </c>
      <c r="L278" s="7">
        <f t="shared" si="89"/>
        <v>2.9980997988786</v>
      </c>
      <c r="M278" s="7">
        <f t="shared" si="90"/>
        <v>29.356610145973001</v>
      </c>
      <c r="N278" s="7">
        <f t="shared" si="91"/>
        <v>32.260011149420897</v>
      </c>
      <c r="O278" s="7">
        <f t="shared" si="92"/>
        <v>32.354709944851599</v>
      </c>
      <c r="P278" s="49">
        <f t="shared" si="93"/>
        <v>-32.260011149420897</v>
      </c>
      <c r="Q278" s="54">
        <f t="shared" si="95"/>
        <v>1911.57595543364</v>
      </c>
      <c r="R278" s="55">
        <f t="shared" si="94"/>
        <v>58.590440044840904</v>
      </c>
    </row>
    <row r="279" ht="12.800000000000001">
      <c r="A279" s="1">
        <v>275</v>
      </c>
      <c r="B279" s="44">
        <v>43820</v>
      </c>
      <c r="C279" s="45">
        <f t="shared" si="80"/>
        <v>32.351114709133299</v>
      </c>
      <c r="D279" s="3">
        <f t="shared" si="81"/>
        <v>3.0017146222522499</v>
      </c>
      <c r="E279" s="46">
        <f t="shared" si="82"/>
        <v>0</v>
      </c>
      <c r="F279" s="46">
        <f t="shared" si="83"/>
        <v>3.0017146222522499</v>
      </c>
      <c r="G279" s="46">
        <f t="shared" si="84"/>
        <v>100</v>
      </c>
      <c r="H279" s="46">
        <f t="shared" si="85"/>
        <v>100</v>
      </c>
      <c r="I279" s="47">
        <f t="shared" si="86"/>
        <v>0</v>
      </c>
      <c r="J279" s="47">
        <f t="shared" si="87"/>
        <v>3.29858749698049</v>
      </c>
      <c r="K279" s="48">
        <f t="shared" si="88"/>
        <v>0</v>
      </c>
      <c r="L279" s="7">
        <f t="shared" si="89"/>
        <v>3.0017146222522499</v>
      </c>
      <c r="M279" s="7">
        <f t="shared" si="90"/>
        <v>29.349400086881001</v>
      </c>
      <c r="N279" s="7">
        <f t="shared" si="91"/>
        <v>32.252088007561603</v>
      </c>
      <c r="O279" s="7">
        <f t="shared" si="92"/>
        <v>32.351114709133299</v>
      </c>
      <c r="P279" s="49">
        <f t="shared" si="93"/>
        <v>-32.252088007561603</v>
      </c>
      <c r="Q279" s="54">
        <f t="shared" si="95"/>
        <v>1879.31594428422</v>
      </c>
      <c r="R279" s="55">
        <f t="shared" si="94"/>
        <v>58.276705295554798</v>
      </c>
    </row>
    <row r="280" ht="12.800000000000001">
      <c r="A280" s="1">
        <v>276</v>
      </c>
      <c r="B280" s="44">
        <v>43821</v>
      </c>
      <c r="C280" s="45">
        <f t="shared" si="80"/>
        <v>32.342726861542197</v>
      </c>
      <c r="D280" s="3">
        <f t="shared" si="81"/>
        <v>3.0101481687293599</v>
      </c>
      <c r="E280" s="46">
        <f t="shared" si="82"/>
        <v>0</v>
      </c>
      <c r="F280" s="46">
        <f t="shared" si="83"/>
        <v>3.0101481687293599</v>
      </c>
      <c r="G280" s="46">
        <f t="shared" si="84"/>
        <v>100</v>
      </c>
      <c r="H280" s="46">
        <f t="shared" si="85"/>
        <v>100</v>
      </c>
      <c r="I280" s="47">
        <f t="shared" si="86"/>
        <v>0</v>
      </c>
      <c r="J280" s="47">
        <f t="shared" si="87"/>
        <v>3.30785513047182</v>
      </c>
      <c r="K280" s="48">
        <f t="shared" si="88"/>
        <v>0</v>
      </c>
      <c r="L280" s="7">
        <f t="shared" si="89"/>
        <v>3.0101481687293599</v>
      </c>
      <c r="M280" s="7">
        <f t="shared" si="90"/>
        <v>29.332578692812799</v>
      </c>
      <c r="N280" s="7">
        <f t="shared" si="91"/>
        <v>32.233602959134998</v>
      </c>
      <c r="O280" s="7">
        <f t="shared" si="92"/>
        <v>32.342726861542197</v>
      </c>
      <c r="P280" s="49">
        <f t="shared" si="93"/>
        <v>-32.233602959134998</v>
      </c>
      <c r="Q280" s="54">
        <f t="shared" si="95"/>
        <v>1847.0638562766501</v>
      </c>
      <c r="R280" s="55">
        <f t="shared" si="94"/>
        <v>57.963047600331599</v>
      </c>
    </row>
    <row r="281" ht="12.800000000000001">
      <c r="A281" s="1">
        <v>277</v>
      </c>
      <c r="B281" s="44">
        <v>43822</v>
      </c>
      <c r="C281" s="45">
        <f t="shared" si="80"/>
        <v>32.329548887578603</v>
      </c>
      <c r="D281" s="3">
        <f t="shared" si="81"/>
        <v>3.0233979392681101</v>
      </c>
      <c r="E281" s="46">
        <f t="shared" si="82"/>
        <v>0</v>
      </c>
      <c r="F281" s="46">
        <f t="shared" si="83"/>
        <v>3.0233979392681101</v>
      </c>
      <c r="G281" s="46">
        <f t="shared" si="84"/>
        <v>100</v>
      </c>
      <c r="H281" s="46">
        <f t="shared" si="85"/>
        <v>100</v>
      </c>
      <c r="I281" s="47">
        <f t="shared" si="86"/>
        <v>0</v>
      </c>
      <c r="J281" s="47">
        <f t="shared" si="87"/>
        <v>3.3224153178770401</v>
      </c>
      <c r="K281" s="48">
        <f t="shared" si="88"/>
        <v>0</v>
      </c>
      <c r="L281" s="7">
        <f t="shared" si="89"/>
        <v>3.0233979392681101</v>
      </c>
      <c r="M281" s="7">
        <f t="shared" si="90"/>
        <v>29.306150948310499</v>
      </c>
      <c r="N281" s="7">
        <f t="shared" si="91"/>
        <v>32.204561481659901</v>
      </c>
      <c r="O281" s="7">
        <f t="shared" si="92"/>
        <v>32.329548887578603</v>
      </c>
      <c r="P281" s="49">
        <f t="shared" si="93"/>
        <v>-32.204561481659901</v>
      </c>
      <c r="Q281" s="54">
        <f t="shared" si="95"/>
        <v>1814.8302533175199</v>
      </c>
      <c r="R281" s="55">
        <f t="shared" si="94"/>
        <v>57.649569675723001</v>
      </c>
    </row>
    <row r="282" ht="12.800000000000001">
      <c r="A282" s="1">
        <v>278</v>
      </c>
      <c r="B282" s="44">
        <v>43823</v>
      </c>
      <c r="C282" s="45">
        <f t="shared" si="80"/>
        <v>32.311584692160601</v>
      </c>
      <c r="D282" s="3">
        <f t="shared" si="81"/>
        <v>3.0414600076755298</v>
      </c>
      <c r="E282" s="46">
        <f t="shared" si="82"/>
        <v>0</v>
      </c>
      <c r="F282" s="46">
        <f t="shared" si="83"/>
        <v>3.0414600076755298</v>
      </c>
      <c r="G282" s="46">
        <f t="shared" si="84"/>
        <v>100</v>
      </c>
      <c r="H282" s="46">
        <f t="shared" si="85"/>
        <v>100</v>
      </c>
      <c r="I282" s="47">
        <f t="shared" si="86"/>
        <v>0</v>
      </c>
      <c r="J282" s="47">
        <f t="shared" si="87"/>
        <v>3.34226374469839</v>
      </c>
      <c r="K282" s="48">
        <f t="shared" si="88"/>
        <v>0</v>
      </c>
      <c r="L282" s="7">
        <f t="shared" si="89"/>
        <v>3.0414600076755298</v>
      </c>
      <c r="M282" s="7">
        <f t="shared" si="90"/>
        <v>29.270124684485101</v>
      </c>
      <c r="N282" s="7">
        <f t="shared" si="91"/>
        <v>32.164972180752898</v>
      </c>
      <c r="O282" s="7">
        <f t="shared" si="92"/>
        <v>32.311584692160601</v>
      </c>
      <c r="P282" s="49">
        <f t="shared" si="93"/>
        <v>-32.164972180752898</v>
      </c>
      <c r="Q282" s="54">
        <f t="shared" si="95"/>
        <v>1782.6256918358599</v>
      </c>
      <c r="R282" s="55">
        <f t="shared" si="94"/>
        <v>57.336374185011103</v>
      </c>
    </row>
    <row r="283" ht="12.800000000000001">
      <c r="A283" s="1">
        <v>279</v>
      </c>
      <c r="B283" s="44">
        <v>43824</v>
      </c>
      <c r="C283" s="45">
        <f t="shared" si="80"/>
        <v>32.288839598467099</v>
      </c>
      <c r="D283" s="3">
        <f t="shared" si="81"/>
        <v>3.06432902177094</v>
      </c>
      <c r="E283" s="46">
        <f t="shared" si="82"/>
        <v>0</v>
      </c>
      <c r="F283" s="46">
        <f t="shared" si="83"/>
        <v>3.06432902177094</v>
      </c>
      <c r="G283" s="46">
        <f t="shared" si="84"/>
        <v>100</v>
      </c>
      <c r="H283" s="46">
        <f t="shared" si="85"/>
        <v>100</v>
      </c>
      <c r="I283" s="47">
        <f t="shared" si="86"/>
        <v>0</v>
      </c>
      <c r="J283" s="47">
        <f t="shared" si="87"/>
        <v>3.3673945294186201</v>
      </c>
      <c r="K283" s="48">
        <f t="shared" si="88"/>
        <v>0</v>
      </c>
      <c r="L283" s="7">
        <f t="shared" si="89"/>
        <v>3.06432902177094</v>
      </c>
      <c r="M283" s="7">
        <f t="shared" si="90"/>
        <v>29.224510576696101</v>
      </c>
      <c r="N283" s="7">
        <f t="shared" si="91"/>
        <v>32.114846787578202</v>
      </c>
      <c r="O283" s="7">
        <f t="shared" si="92"/>
        <v>32.288839598467099</v>
      </c>
      <c r="P283" s="49">
        <f t="shared" si="93"/>
        <v>-32.114846787578202</v>
      </c>
      <c r="Q283" s="54">
        <f t="shared" si="95"/>
        <v>1750.4607196551101</v>
      </c>
      <c r="R283" s="55">
        <f t="shared" si="94"/>
        <v>57.023563707786501</v>
      </c>
    </row>
    <row r="284" ht="12.800000000000001">
      <c r="A284" s="1">
        <v>280</v>
      </c>
      <c r="B284" s="44">
        <v>43825</v>
      </c>
      <c r="C284" s="45">
        <f t="shared" si="80"/>
        <v>32.261320346360101</v>
      </c>
      <c r="D284" s="3">
        <f t="shared" si="81"/>
        <v>3.0919982049719201</v>
      </c>
      <c r="E284" s="46">
        <f t="shared" si="82"/>
        <v>0</v>
      </c>
      <c r="F284" s="46">
        <f t="shared" si="83"/>
        <v>3.0919982049719201</v>
      </c>
      <c r="G284" s="46">
        <f t="shared" si="84"/>
        <v>100</v>
      </c>
      <c r="H284" s="46">
        <f t="shared" si="85"/>
        <v>100</v>
      </c>
      <c r="I284" s="47">
        <f t="shared" si="86"/>
        <v>0</v>
      </c>
      <c r="J284" s="47">
        <f t="shared" si="87"/>
        <v>3.3978002252438699</v>
      </c>
      <c r="K284" s="48">
        <f t="shared" si="88"/>
        <v>0</v>
      </c>
      <c r="L284" s="7">
        <f t="shared" si="89"/>
        <v>3.0919982049719201</v>
      </c>
      <c r="M284" s="7">
        <f t="shared" si="90"/>
        <v>29.1693221413882</v>
      </c>
      <c r="N284" s="7">
        <f t="shared" si="91"/>
        <v>32.054200155371603</v>
      </c>
      <c r="O284" s="7">
        <f t="shared" si="92"/>
        <v>32.261320346360101</v>
      </c>
      <c r="P284" s="49">
        <f t="shared" si="93"/>
        <v>-32.054200155371603</v>
      </c>
      <c r="Q284" s="54">
        <f t="shared" si="95"/>
        <v>1718.34587286753</v>
      </c>
      <c r="R284" s="55">
        <f t="shared" si="94"/>
        <v>56.711240709552101</v>
      </c>
    </row>
    <row r="285" ht="12.800000000000001">
      <c r="A285" s="1">
        <v>281</v>
      </c>
      <c r="B285" s="44">
        <v>43826</v>
      </c>
      <c r="C285" s="45">
        <f t="shared" si="80"/>
        <v>32.229035090388003</v>
      </c>
      <c r="D285" s="3">
        <f t="shared" si="81"/>
        <v>3.1244593583023299</v>
      </c>
      <c r="E285" s="46">
        <f t="shared" si="82"/>
        <v>0</v>
      </c>
      <c r="F285" s="46">
        <f t="shared" si="83"/>
        <v>3.1244593583023299</v>
      </c>
      <c r="G285" s="46">
        <f t="shared" si="84"/>
        <v>100</v>
      </c>
      <c r="H285" s="46">
        <f t="shared" si="85"/>
        <v>100</v>
      </c>
      <c r="I285" s="47">
        <f t="shared" si="86"/>
        <v>0</v>
      </c>
      <c r="J285" s="47">
        <f t="shared" si="87"/>
        <v>3.4334718223102501</v>
      </c>
      <c r="K285" s="48">
        <f t="shared" si="88"/>
        <v>0</v>
      </c>
      <c r="L285" s="7">
        <f t="shared" si="89"/>
        <v>3.1244593583023299</v>
      </c>
      <c r="M285" s="7">
        <f t="shared" si="90"/>
        <v>29.1045757320856</v>
      </c>
      <c r="N285" s="7">
        <f t="shared" si="91"/>
        <v>31.9830502550391</v>
      </c>
      <c r="O285" s="7">
        <f t="shared" si="92"/>
        <v>32.229035090388003</v>
      </c>
      <c r="P285" s="49">
        <f t="shared" si="93"/>
        <v>-31.9830502550391</v>
      </c>
      <c r="Q285" s="54">
        <f t="shared" si="95"/>
        <v>1686.2916727121601</v>
      </c>
      <c r="R285" s="55">
        <f t="shared" si="94"/>
        <v>56.399507511360397</v>
      </c>
    </row>
    <row r="286" ht="12.800000000000001">
      <c r="A286" s="1">
        <v>282</v>
      </c>
      <c r="B286" s="44">
        <v>43827</v>
      </c>
      <c r="C286" s="45">
        <f t="shared" si="80"/>
        <v>32.191993397368798</v>
      </c>
      <c r="D286" s="3">
        <f t="shared" si="81"/>
        <v>3.16170286282187</v>
      </c>
      <c r="E286" s="46">
        <f t="shared" si="82"/>
        <v>0</v>
      </c>
      <c r="F286" s="46">
        <f t="shared" si="83"/>
        <v>3.16170286282187</v>
      </c>
      <c r="G286" s="46">
        <f t="shared" si="84"/>
        <v>100</v>
      </c>
      <c r="H286" s="46">
        <f t="shared" si="85"/>
        <v>100</v>
      </c>
      <c r="I286" s="47">
        <f t="shared" si="86"/>
        <v>0</v>
      </c>
      <c r="J286" s="47">
        <f t="shared" si="87"/>
        <v>3.4743987503536999</v>
      </c>
      <c r="K286" s="48">
        <f t="shared" si="88"/>
        <v>0</v>
      </c>
      <c r="L286" s="7">
        <f t="shared" si="89"/>
        <v>3.16170286282187</v>
      </c>
      <c r="M286" s="7">
        <f t="shared" si="90"/>
        <v>29.0302905345469</v>
      </c>
      <c r="N286" s="7">
        <f t="shared" si="91"/>
        <v>31.9014181698318</v>
      </c>
      <c r="O286" s="7">
        <f t="shared" si="92"/>
        <v>32.191993397368798</v>
      </c>
      <c r="P286" s="49">
        <f t="shared" si="93"/>
        <v>-31.9014181698318</v>
      </c>
      <c r="Q286" s="54">
        <f t="shared" si="95"/>
        <v>1654.30862245712</v>
      </c>
      <c r="R286" s="55">
        <f t="shared" si="94"/>
        <v>56.088466259493103</v>
      </c>
    </row>
    <row r="287" ht="12.800000000000001">
      <c r="A287" s="1">
        <v>283</v>
      </c>
      <c r="B287" s="44">
        <v>43828</v>
      </c>
      <c r="C287" s="45">
        <f t="shared" si="80"/>
        <v>32.150206243555701</v>
      </c>
      <c r="D287" s="3">
        <f t="shared" si="81"/>
        <v>3.20371768247636</v>
      </c>
      <c r="E287" s="46">
        <f t="shared" si="82"/>
        <v>0</v>
      </c>
      <c r="F287" s="46">
        <f t="shared" si="83"/>
        <v>3.20371768247636</v>
      </c>
      <c r="G287" s="46">
        <f t="shared" si="84"/>
        <v>100</v>
      </c>
      <c r="H287" s="46">
        <f t="shared" si="85"/>
        <v>100</v>
      </c>
      <c r="I287" s="47">
        <f t="shared" si="86"/>
        <v>0</v>
      </c>
      <c r="J287" s="47">
        <f t="shared" si="87"/>
        <v>3.5205688818421499</v>
      </c>
      <c r="K287" s="48">
        <f t="shared" si="88"/>
        <v>0</v>
      </c>
      <c r="L287" s="7">
        <f t="shared" si="89"/>
        <v>3.20371768247636</v>
      </c>
      <c r="M287" s="7">
        <f t="shared" si="90"/>
        <v>28.946488561079299</v>
      </c>
      <c r="N287" s="7">
        <f t="shared" si="91"/>
        <v>31.809328089098202</v>
      </c>
      <c r="O287" s="7">
        <f t="shared" si="92"/>
        <v>32.150206243555701</v>
      </c>
      <c r="P287" s="49">
        <f t="shared" si="93"/>
        <v>-31.809328089098202</v>
      </c>
      <c r="Q287" s="54">
        <f t="shared" si="95"/>
        <v>1622.4072042872899</v>
      </c>
      <c r="R287" s="55">
        <f t="shared" si="94"/>
        <v>55.778218895193604</v>
      </c>
    </row>
    <row r="288" ht="12.800000000000001">
      <c r="A288" s="1">
        <v>284</v>
      </c>
      <c r="B288" s="44">
        <v>43829</v>
      </c>
      <c r="C288" s="45">
        <f t="shared" si="80"/>
        <v>32.103686011384099</v>
      </c>
      <c r="D288" s="3">
        <f t="shared" si="81"/>
        <v>3.2504913673679998</v>
      </c>
      <c r="E288" s="46">
        <f t="shared" si="82"/>
        <v>0</v>
      </c>
      <c r="F288" s="46">
        <f t="shared" si="83"/>
        <v>3.2504913673679998</v>
      </c>
      <c r="G288" s="46">
        <f t="shared" si="84"/>
        <v>100</v>
      </c>
      <c r="H288" s="46">
        <f t="shared" si="85"/>
        <v>100</v>
      </c>
      <c r="I288" s="47">
        <f t="shared" si="86"/>
        <v>0</v>
      </c>
      <c r="J288" s="47">
        <f t="shared" si="87"/>
        <v>3.5719685355692299</v>
      </c>
      <c r="K288" s="48">
        <f t="shared" si="88"/>
        <v>0</v>
      </c>
      <c r="L288" s="7">
        <f t="shared" si="89"/>
        <v>3.2504913673679998</v>
      </c>
      <c r="M288" s="7">
        <f t="shared" si="90"/>
        <v>28.853194644016099</v>
      </c>
      <c r="N288" s="7">
        <f t="shared" si="91"/>
        <v>31.706807301116601</v>
      </c>
      <c r="O288" s="7">
        <f t="shared" si="92"/>
        <v>32.103686011384099</v>
      </c>
      <c r="P288" s="49">
        <f t="shared" si="93"/>
        <v>-31.706807301116601</v>
      </c>
      <c r="Q288" s="54">
        <f t="shared" si="95"/>
        <v>1590.5978761981901</v>
      </c>
      <c r="R288" s="55">
        <f t="shared" si="94"/>
        <v>55.468867124459003</v>
      </c>
    </row>
    <row r="289" ht="12.800000000000001">
      <c r="A289" s="1">
        <v>285</v>
      </c>
      <c r="B289" s="44">
        <v>43830</v>
      </c>
      <c r="C289" s="45">
        <f t="shared" si="80"/>
        <v>32.052446485802903</v>
      </c>
      <c r="D289" s="3">
        <f t="shared" si="81"/>
        <v>3.30201005744448</v>
      </c>
      <c r="E289" s="46">
        <f t="shared" si="82"/>
        <v>0</v>
      </c>
      <c r="F289" s="46">
        <f t="shared" si="83"/>
        <v>3.30201005744448</v>
      </c>
      <c r="G289" s="46">
        <f t="shared" si="84"/>
        <v>100</v>
      </c>
      <c r="H289" s="46">
        <f t="shared" si="85"/>
        <v>100</v>
      </c>
      <c r="I289" s="47">
        <f t="shared" si="86"/>
        <v>0</v>
      </c>
      <c r="J289" s="47">
        <f t="shared" si="87"/>
        <v>3.6285824807082201</v>
      </c>
      <c r="K289" s="48">
        <f t="shared" si="88"/>
        <v>0</v>
      </c>
      <c r="L289" s="7">
        <f t="shared" si="89"/>
        <v>3.30201005744448</v>
      </c>
      <c r="M289" s="7">
        <f t="shared" si="90"/>
        <v>28.750436428358501</v>
      </c>
      <c r="N289" s="7">
        <f t="shared" si="91"/>
        <v>31.5938861850093</v>
      </c>
      <c r="O289" s="7">
        <f t="shared" si="92"/>
        <v>32.052446485802903</v>
      </c>
      <c r="P289" s="49">
        <f t="shared" si="93"/>
        <v>-31.5938861850093</v>
      </c>
      <c r="Q289" s="54">
        <f t="shared" si="95"/>
        <v>1558.89106889707</v>
      </c>
      <c r="R289" s="55">
        <f t="shared" si="94"/>
        <v>55.160512387902898</v>
      </c>
    </row>
    <row r="290" ht="12.800000000000001">
      <c r="A290" s="1">
        <v>286</v>
      </c>
      <c r="B290" s="44">
        <v>43831</v>
      </c>
      <c r="C290" s="45">
        <f t="shared" si="80"/>
        <v>31.996502850189401</v>
      </c>
      <c r="D290" s="3">
        <f t="shared" si="81"/>
        <v>3.3582584866060898</v>
      </c>
      <c r="E290" s="46">
        <f t="shared" si="82"/>
        <v>0</v>
      </c>
      <c r="F290" s="46">
        <f t="shared" si="83"/>
        <v>3.3582584866060898</v>
      </c>
      <c r="G290" s="46">
        <f t="shared" si="84"/>
        <v>100</v>
      </c>
      <c r="H290" s="46">
        <f t="shared" si="85"/>
        <v>100</v>
      </c>
      <c r="I290" s="47">
        <f t="shared" si="86"/>
        <v>0</v>
      </c>
      <c r="J290" s="47">
        <f t="shared" si="87"/>
        <v>3.6903939413253699</v>
      </c>
      <c r="K290" s="48">
        <f t="shared" si="88"/>
        <v>0</v>
      </c>
      <c r="L290" s="7">
        <f t="shared" si="89"/>
        <v>3.3582584866060898</v>
      </c>
      <c r="M290" s="7">
        <f t="shared" si="90"/>
        <v>28.638244363583301</v>
      </c>
      <c r="N290" s="7">
        <f t="shared" si="91"/>
        <v>31.4705982017399</v>
      </c>
      <c r="O290" s="7">
        <f t="shared" si="92"/>
        <v>31.996502850189401</v>
      </c>
      <c r="P290" s="49">
        <f t="shared" si="93"/>
        <v>-31.4705982017399</v>
      </c>
      <c r="Q290" s="54">
        <f t="shared" si="95"/>
        <v>1527.29718271206</v>
      </c>
      <c r="R290" s="55">
        <f t="shared" si="94"/>
        <v>54.853255830696</v>
      </c>
    </row>
    <row r="291" ht="12.800000000000001">
      <c r="A291" s="1">
        <v>287</v>
      </c>
      <c r="B291" s="44">
        <v>43832</v>
      </c>
      <c r="C291" s="45">
        <f t="shared" si="80"/>
        <v>31.935871681849999</v>
      </c>
      <c r="D291" s="3">
        <f t="shared" si="81"/>
        <v>3.4192199872293001</v>
      </c>
      <c r="E291" s="46">
        <f t="shared" si="82"/>
        <v>0</v>
      </c>
      <c r="F291" s="46">
        <f t="shared" si="83"/>
        <v>3.4192199872293001</v>
      </c>
      <c r="G291" s="46">
        <f t="shared" si="84"/>
        <v>100</v>
      </c>
      <c r="H291" s="46">
        <f t="shared" si="85"/>
        <v>100</v>
      </c>
      <c r="I291" s="47">
        <f t="shared" si="86"/>
        <v>0</v>
      </c>
      <c r="J291" s="47">
        <f t="shared" si="87"/>
        <v>3.7573846013508798</v>
      </c>
      <c r="K291" s="48">
        <f t="shared" si="88"/>
        <v>0</v>
      </c>
      <c r="L291" s="7">
        <f t="shared" si="89"/>
        <v>3.4192199872293001</v>
      </c>
      <c r="M291" s="7">
        <f t="shared" si="90"/>
        <v>28.516651694620698</v>
      </c>
      <c r="N291" s="7">
        <f t="shared" si="91"/>
        <v>31.336979884198598</v>
      </c>
      <c r="O291" s="7">
        <f t="shared" si="92"/>
        <v>31.935871681849999</v>
      </c>
      <c r="P291" s="49">
        <f t="shared" si="93"/>
        <v>-31.336979884198598</v>
      </c>
      <c r="Q291" s="54">
        <f t="shared" si="95"/>
        <v>1495.8265845103199</v>
      </c>
      <c r="R291" s="55">
        <f t="shared" si="94"/>
        <v>54.547198272594898</v>
      </c>
    </row>
    <row r="292" ht="12.800000000000001">
      <c r="A292" s="1">
        <v>288</v>
      </c>
      <c r="B292" s="44">
        <v>43833</v>
      </c>
      <c r="C292" s="45">
        <f t="shared" ref="C292:C355" si="96">V$30-V$30*SIN(2*PI()/365*A292)</f>
        <v>31.870570947108501</v>
      </c>
      <c r="D292" s="3">
        <f t="shared" ref="D292:D355" si="97">IF((E292+F292)&gt;C292,C292,E292+F292)</f>
        <v>3.4848764951058402</v>
      </c>
      <c r="E292" s="46">
        <f t="shared" ref="E292:E355" si="98">(V$27+V$28*SIN(2*PI()/365*A292))*V$29/100*V$9*V$10/100</f>
        <v>0</v>
      </c>
      <c r="F292" s="46">
        <f t="shared" ref="F292:F355" si="99">(V$27+V$28*SIN(2*PI()/365*A292))*V$29/100*V$11*(1-V$18/100)*(1-V$20/100)</f>
        <v>3.4848764951058402</v>
      </c>
      <c r="G292" s="46">
        <f t="shared" ref="G292:G355" si="100">IF(C292&gt;E292,100,C292/E292*100)</f>
        <v>100</v>
      </c>
      <c r="H292" s="46">
        <f t="shared" ref="H292:H355" si="101">L292/F292*100</f>
        <v>100</v>
      </c>
      <c r="I292" s="47">
        <f t="shared" ref="I292:I355" si="102">(V$27+V$28*SIN(2*PI()/365*A292))*V$29/100*V$9*V$10/100*(1-V$19/100)</f>
        <v>0</v>
      </c>
      <c r="J292" s="47">
        <f t="shared" ref="J292:J355" si="103">(V$27+V$28*SIN(2*PI()/365*A292))*V$29/100*V$11*(1-V$18/100)</f>
        <v>3.82953461000641</v>
      </c>
      <c r="K292" s="48">
        <f t="shared" ref="K292:K355" si="104">IF(E292/C292*100&lt;100,E292/C292*100,100)</f>
        <v>0</v>
      </c>
      <c r="L292" s="7">
        <f t="shared" ref="L292:L355" si="105">IF(((C292-E292)&gt;0)*AND(F292&gt;(C292-E292)),(C292-E292),IF(C292&lt;E292,0,F292))</f>
        <v>3.4848764951058402</v>
      </c>
      <c r="M292" s="7">
        <f t="shared" ref="M292:M355" si="106">IF(C292&lt;(E292+F292),0,C292-E292-F292)</f>
        <v>28.385694452002699</v>
      </c>
      <c r="N292" s="7">
        <f t="shared" ref="N292:N355" si="107">IF(C292&lt;(E292+F292),0,(C292-E292-F292)/(1-V$20/100))</f>
        <v>31.193070826376601</v>
      </c>
      <c r="O292" s="7">
        <f t="shared" ref="O292:O355" si="108">L292+M292</f>
        <v>31.870570947108501</v>
      </c>
      <c r="P292" s="49">
        <f t="shared" ref="P292:P355" si="109">IF(N292=0,I292*(1-G292/100)+J292*(1-H292/100),-N292)</f>
        <v>-31.193070826376601</v>
      </c>
      <c r="Q292" s="54">
        <f t="shared" si="95"/>
        <v>1464.4896046261199</v>
      </c>
      <c r="R292" s="55">
        <f t="shared" ref="R292:R355" si="110">R$4+Q292/V$32</f>
        <v>54.2424401780669</v>
      </c>
    </row>
    <row r="293" ht="12.800000000000001">
      <c r="A293" s="1">
        <v>289</v>
      </c>
      <c r="B293" s="44">
        <v>43834</v>
      </c>
      <c r="C293" s="45">
        <f t="shared" si="96"/>
        <v>31.800619995982</v>
      </c>
      <c r="D293" s="3">
        <f t="shared" si="97"/>
        <v>3.5552085547954402</v>
      </c>
      <c r="E293" s="46">
        <f t="shared" si="98"/>
        <v>0</v>
      </c>
      <c r="F293" s="46">
        <f t="shared" si="99"/>
        <v>3.5552085547954402</v>
      </c>
      <c r="G293" s="46">
        <f t="shared" si="100"/>
        <v>100</v>
      </c>
      <c r="H293" s="46">
        <f t="shared" si="101"/>
        <v>100</v>
      </c>
      <c r="I293" s="47">
        <f t="shared" si="102"/>
        <v>0</v>
      </c>
      <c r="J293" s="47">
        <f t="shared" si="103"/>
        <v>3.90682258768729</v>
      </c>
      <c r="K293" s="48">
        <f t="shared" si="104"/>
        <v>0</v>
      </c>
      <c r="L293" s="7">
        <f t="shared" si="105"/>
        <v>3.5552085547954402</v>
      </c>
      <c r="M293" s="7">
        <f t="shared" si="106"/>
        <v>28.245411441186601</v>
      </c>
      <c r="N293" s="7">
        <f t="shared" si="107"/>
        <v>31.038913671633601</v>
      </c>
      <c r="O293" s="7">
        <f t="shared" si="108"/>
        <v>31.800619995982</v>
      </c>
      <c r="P293" s="49">
        <f t="shared" si="109"/>
        <v>-31.038913671633601</v>
      </c>
      <c r="Q293" s="54">
        <f t="shared" ref="Q293:Q356" si="111">IF(P292&gt;0,Q292+P292*(1-V$24/100),Q292+P292)</f>
        <v>1433.29653379975</v>
      </c>
      <c r="R293" s="55">
        <f t="shared" si="110"/>
        <v>53.93908162652</v>
      </c>
    </row>
    <row r="294" ht="12.800000000000001">
      <c r="A294" s="1">
        <v>290</v>
      </c>
      <c r="B294" s="44">
        <v>43835</v>
      </c>
      <c r="C294" s="45">
        <f t="shared" si="96"/>
        <v>31.726039556446899</v>
      </c>
      <c r="D294" s="3">
        <f t="shared" si="97"/>
        <v>3.6301953253909001</v>
      </c>
      <c r="E294" s="46">
        <f t="shared" si="98"/>
        <v>0</v>
      </c>
      <c r="F294" s="46">
        <f t="shared" si="99"/>
        <v>3.6301953253909001</v>
      </c>
      <c r="G294" s="46">
        <f t="shared" si="100"/>
        <v>100</v>
      </c>
      <c r="H294" s="46">
        <f t="shared" si="101"/>
        <v>100</v>
      </c>
      <c r="I294" s="47">
        <f t="shared" si="102"/>
        <v>0</v>
      </c>
      <c r="J294" s="47">
        <f t="shared" si="103"/>
        <v>3.9892256322977002</v>
      </c>
      <c r="K294" s="48">
        <f t="shared" si="104"/>
        <v>0</v>
      </c>
      <c r="L294" s="7">
        <f t="shared" si="105"/>
        <v>3.6301953253909001</v>
      </c>
      <c r="M294" s="7">
        <f t="shared" si="106"/>
        <v>28.095844231055999</v>
      </c>
      <c r="N294" s="7">
        <f t="shared" si="107"/>
        <v>30.874554100061498</v>
      </c>
      <c r="O294" s="7">
        <f t="shared" si="108"/>
        <v>31.726039556446899</v>
      </c>
      <c r="P294" s="49">
        <f t="shared" si="109"/>
        <v>-30.874554100061498</v>
      </c>
      <c r="Q294" s="54">
        <f t="shared" si="111"/>
        <v>1402.2576201281099</v>
      </c>
      <c r="R294" s="55">
        <f t="shared" si="110"/>
        <v>53.637222282647599</v>
      </c>
    </row>
    <row r="295" ht="12.800000000000001">
      <c r="A295" s="1">
        <v>291</v>
      </c>
      <c r="B295" s="44">
        <v>43836</v>
      </c>
      <c r="C295" s="45">
        <f t="shared" si="96"/>
        <v>31.646851728297001</v>
      </c>
      <c r="D295" s="3">
        <f t="shared" si="97"/>
        <v>3.7098145866937799</v>
      </c>
      <c r="E295" s="46">
        <f t="shared" si="98"/>
        <v>0</v>
      </c>
      <c r="F295" s="46">
        <f t="shared" si="99"/>
        <v>3.7098145866937799</v>
      </c>
      <c r="G295" s="46">
        <f t="shared" si="100"/>
        <v>100</v>
      </c>
      <c r="H295" s="46">
        <f t="shared" si="101"/>
        <v>100</v>
      </c>
      <c r="I295" s="47">
        <f t="shared" si="102"/>
        <v>0</v>
      </c>
      <c r="J295" s="47">
        <f t="shared" si="103"/>
        <v>4.0767193260371197</v>
      </c>
      <c r="K295" s="48">
        <f t="shared" si="104"/>
        <v>0</v>
      </c>
      <c r="L295" s="7">
        <f t="shared" si="105"/>
        <v>3.7098145866937799</v>
      </c>
      <c r="M295" s="7">
        <f t="shared" si="106"/>
        <v>27.937037141603199</v>
      </c>
      <c r="N295" s="7">
        <f t="shared" si="107"/>
        <v>30.700040814948601</v>
      </c>
      <c r="O295" s="7">
        <f t="shared" si="108"/>
        <v>31.646851728297001</v>
      </c>
      <c r="P295" s="49">
        <f t="shared" si="109"/>
        <v>-30.700040814948601</v>
      </c>
      <c r="Q295" s="54">
        <f t="shared" si="111"/>
        <v>1371.3830660280501</v>
      </c>
      <c r="R295" s="55">
        <f t="shared" si="110"/>
        <v>53.336961366895402</v>
      </c>
    </row>
    <row r="296" ht="12.800000000000001">
      <c r="A296" s="1">
        <v>292</v>
      </c>
      <c r="B296" s="44">
        <v>43837</v>
      </c>
      <c r="C296" s="45">
        <f t="shared" si="96"/>
        <v>31.5630799765948</v>
      </c>
      <c r="D296" s="3">
        <f t="shared" si="97"/>
        <v>3.7940427457986199</v>
      </c>
      <c r="E296" s="46">
        <f t="shared" si="98"/>
        <v>0</v>
      </c>
      <c r="F296" s="46">
        <f t="shared" si="99"/>
        <v>3.7940427457986199</v>
      </c>
      <c r="G296" s="46">
        <f t="shared" si="100"/>
        <v>100</v>
      </c>
      <c r="H296" s="46">
        <f t="shared" si="101"/>
        <v>100</v>
      </c>
      <c r="I296" s="47">
        <f t="shared" si="102"/>
        <v>0</v>
      </c>
      <c r="J296" s="47">
        <f t="shared" si="103"/>
        <v>4.1692777426358498</v>
      </c>
      <c r="K296" s="48">
        <f t="shared" si="104"/>
        <v>0</v>
      </c>
      <c r="L296" s="7">
        <f t="shared" si="105"/>
        <v>3.7940427457986199</v>
      </c>
      <c r="M296" s="7">
        <f t="shared" si="106"/>
        <v>27.769037230796201</v>
      </c>
      <c r="N296" s="7">
        <f t="shared" si="107"/>
        <v>30.5154255283474</v>
      </c>
      <c r="O296" s="7">
        <f t="shared" si="108"/>
        <v>31.5630799765948</v>
      </c>
      <c r="P296" s="49">
        <f t="shared" si="109"/>
        <v>-30.5154255283474</v>
      </c>
      <c r="Q296" s="54">
        <f t="shared" si="111"/>
        <v>1340.6830252131001</v>
      </c>
      <c r="R296" s="55">
        <f t="shared" si="110"/>
        <v>53.038397626060402</v>
      </c>
    </row>
    <row r="297" ht="12.800000000000001">
      <c r="A297" s="1">
        <v>293</v>
      </c>
      <c r="B297" s="44">
        <v>43838</v>
      </c>
      <c r="C297" s="45">
        <f t="shared" si="96"/>
        <v>31.474749124718301</v>
      </c>
      <c r="D297" s="3">
        <f t="shared" si="97"/>
        <v>3.8828548440840698</v>
      </c>
      <c r="E297" s="46">
        <f t="shared" si="98"/>
        <v>0</v>
      </c>
      <c r="F297" s="46">
        <f t="shared" si="99"/>
        <v>3.8828548440840698</v>
      </c>
      <c r="G297" s="46">
        <f t="shared" si="100"/>
        <v>100</v>
      </c>
      <c r="H297" s="46">
        <f t="shared" si="101"/>
        <v>100</v>
      </c>
      <c r="I297" s="47">
        <f t="shared" si="102"/>
        <v>0</v>
      </c>
      <c r="J297" s="47">
        <f t="shared" si="103"/>
        <v>4.2668734550374401</v>
      </c>
      <c r="K297" s="48">
        <f t="shared" si="104"/>
        <v>0</v>
      </c>
      <c r="L297" s="7">
        <f t="shared" si="105"/>
        <v>3.8828548440840698</v>
      </c>
      <c r="M297" s="7">
        <f t="shared" si="106"/>
        <v>27.5918942806342</v>
      </c>
      <c r="N297" s="7">
        <f t="shared" si="107"/>
        <v>30.320762945751898</v>
      </c>
      <c r="O297" s="7">
        <f t="shared" si="108"/>
        <v>31.474749124718301</v>
      </c>
      <c r="P297" s="49">
        <f t="shared" si="109"/>
        <v>-30.320762945751898</v>
      </c>
      <c r="Q297" s="54">
        <f t="shared" si="111"/>
        <v>1310.16759968476</v>
      </c>
      <c r="R297" s="55">
        <f t="shared" si="110"/>
        <v>52.741629304030099</v>
      </c>
    </row>
    <row r="298" ht="12.800000000000001">
      <c r="A298" s="1">
        <v>294</v>
      </c>
      <c r="B298" s="44">
        <v>43839</v>
      </c>
      <c r="C298" s="45">
        <f t="shared" si="96"/>
        <v>31.381885347005198</v>
      </c>
      <c r="D298" s="3">
        <f t="shared" si="97"/>
        <v>3.9762245646087</v>
      </c>
      <c r="E298" s="46">
        <f t="shared" si="98"/>
        <v>0</v>
      </c>
      <c r="F298" s="46">
        <f t="shared" si="99"/>
        <v>3.9762245646087</v>
      </c>
      <c r="G298" s="46">
        <f t="shared" si="100"/>
        <v>100</v>
      </c>
      <c r="H298" s="46">
        <f t="shared" si="101"/>
        <v>100</v>
      </c>
      <c r="I298" s="47">
        <f t="shared" si="102"/>
        <v>0</v>
      </c>
      <c r="J298" s="47">
        <f t="shared" si="103"/>
        <v>4.3694775435260498</v>
      </c>
      <c r="K298" s="48">
        <f t="shared" si="104"/>
        <v>0</v>
      </c>
      <c r="L298" s="7">
        <f t="shared" si="105"/>
        <v>3.9762245646087</v>
      </c>
      <c r="M298" s="7">
        <f t="shared" si="106"/>
        <v>27.405660782396499</v>
      </c>
      <c r="N298" s="7">
        <f t="shared" si="107"/>
        <v>30.1161107498863</v>
      </c>
      <c r="O298" s="7">
        <f t="shared" si="108"/>
        <v>31.381885347005198</v>
      </c>
      <c r="P298" s="49">
        <f t="shared" si="109"/>
        <v>-30.1161107498863</v>
      </c>
      <c r="Q298" s="54">
        <f t="shared" si="111"/>
        <v>1279.8468367390001</v>
      </c>
      <c r="R298" s="55">
        <f t="shared" si="110"/>
        <v>52.446754112670497</v>
      </c>
    </row>
    <row r="299" ht="12.800000000000001">
      <c r="A299" s="1">
        <v>295</v>
      </c>
      <c r="B299" s="44">
        <v>43840</v>
      </c>
      <c r="C299" s="45">
        <f t="shared" si="96"/>
        <v>31.2845161609971</v>
      </c>
      <c r="D299" s="3">
        <f t="shared" si="97"/>
        <v>4.0741242399092297</v>
      </c>
      <c r="E299" s="46">
        <f t="shared" si="98"/>
        <v>0</v>
      </c>
      <c r="F299" s="46">
        <f t="shared" si="99"/>
        <v>4.0741242399092297</v>
      </c>
      <c r="G299" s="46">
        <f t="shared" si="100"/>
        <v>100</v>
      </c>
      <c r="H299" s="46">
        <f t="shared" si="101"/>
        <v>100</v>
      </c>
      <c r="I299" s="47">
        <f t="shared" si="102"/>
        <v>0</v>
      </c>
      <c r="J299" s="47">
        <f t="shared" si="103"/>
        <v>4.4770596042958601</v>
      </c>
      <c r="K299" s="48">
        <f t="shared" si="104"/>
        <v>0</v>
      </c>
      <c r="L299" s="7">
        <f t="shared" si="105"/>
        <v>4.0741242399092297</v>
      </c>
      <c r="M299" s="7">
        <f t="shared" si="106"/>
        <v>27.210391921087901</v>
      </c>
      <c r="N299" s="7">
        <f t="shared" si="107"/>
        <v>29.901529583613002</v>
      </c>
      <c r="O299" s="7">
        <f t="shared" si="108"/>
        <v>31.2845161609971</v>
      </c>
      <c r="P299" s="49">
        <f t="shared" si="109"/>
        <v>-29.901529583613002</v>
      </c>
      <c r="Q299" s="54">
        <f t="shared" si="111"/>
        <v>1249.7307259891199</v>
      </c>
      <c r="R299" s="55">
        <f t="shared" si="110"/>
        <v>52.153869202872301</v>
      </c>
    </row>
    <row r="300" ht="12.800000000000001">
      <c r="A300" s="1">
        <v>296</v>
      </c>
      <c r="B300" s="44">
        <v>43841</v>
      </c>
      <c r="C300" s="45">
        <f t="shared" si="96"/>
        <v>31.182670419285099</v>
      </c>
      <c r="D300" s="3">
        <f t="shared" si="97"/>
        <v>4.1765248601990299</v>
      </c>
      <c r="E300" s="46">
        <f t="shared" si="98"/>
        <v>0</v>
      </c>
      <c r="F300" s="46">
        <f t="shared" si="99"/>
        <v>4.1765248601990299</v>
      </c>
      <c r="G300" s="46">
        <f t="shared" si="100"/>
        <v>100</v>
      </c>
      <c r="H300" s="46">
        <f t="shared" si="101"/>
        <v>100</v>
      </c>
      <c r="I300" s="47">
        <f t="shared" si="102"/>
        <v>0</v>
      </c>
      <c r="J300" s="47">
        <f t="shared" si="103"/>
        <v>4.5895877584604703</v>
      </c>
      <c r="K300" s="48">
        <f t="shared" si="104"/>
        <v>0</v>
      </c>
      <c r="L300" s="7">
        <f t="shared" si="105"/>
        <v>4.1765248601990299</v>
      </c>
      <c r="M300" s="7">
        <f t="shared" si="106"/>
        <v>27.0061455590861</v>
      </c>
      <c r="N300" s="7">
        <f t="shared" si="107"/>
        <v>29.677083031962699</v>
      </c>
      <c r="O300" s="7">
        <f t="shared" si="108"/>
        <v>31.182670419285099</v>
      </c>
      <c r="P300" s="49">
        <f t="shared" si="109"/>
        <v>-29.677083031962699</v>
      </c>
      <c r="Q300" s="54">
        <f t="shared" si="111"/>
        <v>1219.8291964055099</v>
      </c>
      <c r="R300" s="55">
        <f t="shared" si="110"/>
        <v>51.863071135762802</v>
      </c>
    </row>
    <row r="301" ht="12.800000000000001">
      <c r="A301" s="1">
        <v>297</v>
      </c>
      <c r="B301" s="44">
        <v>43842</v>
      </c>
      <c r="C301" s="45">
        <f t="shared" si="96"/>
        <v>31.076378300960599</v>
      </c>
      <c r="D301" s="3">
        <f t="shared" si="97"/>
        <v>4.2833960819643098</v>
      </c>
      <c r="E301" s="46">
        <f t="shared" si="98"/>
        <v>0</v>
      </c>
      <c r="F301" s="46">
        <f t="shared" si="99"/>
        <v>4.2833960819643098</v>
      </c>
      <c r="G301" s="46">
        <f t="shared" si="100"/>
        <v>100</v>
      </c>
      <c r="H301" s="46">
        <f t="shared" si="101"/>
        <v>100</v>
      </c>
      <c r="I301" s="47">
        <f t="shared" si="102"/>
        <v>0</v>
      </c>
      <c r="J301" s="47">
        <f t="shared" si="103"/>
        <v>4.7070286614992396</v>
      </c>
      <c r="K301" s="48">
        <f t="shared" si="104"/>
        <v>0</v>
      </c>
      <c r="L301" s="7">
        <f t="shared" si="105"/>
        <v>4.2833960819643098</v>
      </c>
      <c r="M301" s="7">
        <f t="shared" si="106"/>
        <v>26.792982218996201</v>
      </c>
      <c r="N301" s="7">
        <f t="shared" si="107"/>
        <v>29.442837603292599</v>
      </c>
      <c r="O301" s="7">
        <f t="shared" si="108"/>
        <v>31.076378300960599</v>
      </c>
      <c r="P301" s="49">
        <f t="shared" si="109"/>
        <v>-29.442837603292599</v>
      </c>
      <c r="Q301" s="54">
        <f t="shared" si="111"/>
        <v>1190.15211337354</v>
      </c>
      <c r="R301" s="55">
        <f t="shared" si="110"/>
        <v>51.574455854092598</v>
      </c>
    </row>
    <row r="302" ht="12.800000000000001">
      <c r="A302" s="1">
        <v>298</v>
      </c>
      <c r="B302" s="44">
        <v>43843</v>
      </c>
      <c r="C302" s="45">
        <f t="shared" si="96"/>
        <v>30.965671302672099</v>
      </c>
      <c r="D302" s="3">
        <f t="shared" si="97"/>
        <v>4.3947062369555896</v>
      </c>
      <c r="E302" s="46">
        <f t="shared" si="98"/>
        <v>0</v>
      </c>
      <c r="F302" s="46">
        <f t="shared" si="99"/>
        <v>4.3947062369555896</v>
      </c>
      <c r="G302" s="46">
        <f t="shared" si="100"/>
        <v>100</v>
      </c>
      <c r="H302" s="46">
        <f t="shared" si="101"/>
        <v>100</v>
      </c>
      <c r="I302" s="47">
        <f t="shared" si="102"/>
        <v>0</v>
      </c>
      <c r="J302" s="47">
        <f t="shared" si="103"/>
        <v>4.8293475131380204</v>
      </c>
      <c r="K302" s="48">
        <f t="shared" si="104"/>
        <v>0</v>
      </c>
      <c r="L302" s="7">
        <f t="shared" si="105"/>
        <v>4.3947062369555896</v>
      </c>
      <c r="M302" s="7">
        <f t="shared" si="106"/>
        <v>26.5709650657165</v>
      </c>
      <c r="N302" s="7">
        <f t="shared" si="107"/>
        <v>29.198862709578499</v>
      </c>
      <c r="O302" s="7">
        <f t="shared" si="108"/>
        <v>30.965671302672099</v>
      </c>
      <c r="P302" s="49">
        <f t="shared" si="109"/>
        <v>-29.198862709578499</v>
      </c>
      <c r="Q302" s="54">
        <f t="shared" si="111"/>
        <v>1160.7092757702501</v>
      </c>
      <c r="R302" s="55">
        <f t="shared" si="110"/>
        <v>51.288118653806002</v>
      </c>
    </row>
    <row r="303" ht="12.800000000000001">
      <c r="A303" s="1">
        <v>299</v>
      </c>
      <c r="B303" s="44">
        <v>43844</v>
      </c>
      <c r="C303" s="45">
        <f t="shared" si="96"/>
        <v>30.850582229292499</v>
      </c>
      <c r="D303" s="3">
        <f t="shared" si="97"/>
        <v>4.5104223415716902</v>
      </c>
      <c r="E303" s="46">
        <f t="shared" si="98"/>
        <v>0</v>
      </c>
      <c r="F303" s="46">
        <f t="shared" si="99"/>
        <v>4.5104223415716902</v>
      </c>
      <c r="G303" s="46">
        <f t="shared" si="100"/>
        <v>100</v>
      </c>
      <c r="H303" s="46">
        <f t="shared" si="101"/>
        <v>100</v>
      </c>
      <c r="I303" s="47">
        <f t="shared" si="102"/>
        <v>0</v>
      </c>
      <c r="J303" s="47">
        <f t="shared" si="103"/>
        <v>4.9565080676611997</v>
      </c>
      <c r="K303" s="48">
        <f t="shared" si="104"/>
        <v>0</v>
      </c>
      <c r="L303" s="7">
        <f t="shared" si="105"/>
        <v>4.5104223415716902</v>
      </c>
      <c r="M303" s="7">
        <f t="shared" si="106"/>
        <v>26.340159887720802</v>
      </c>
      <c r="N303" s="7">
        <f t="shared" si="107"/>
        <v>28.945230645847001</v>
      </c>
      <c r="O303" s="7">
        <f t="shared" si="108"/>
        <v>30.850582229292499</v>
      </c>
      <c r="P303" s="49">
        <f t="shared" si="109"/>
        <v>-28.945230645847001</v>
      </c>
      <c r="Q303" s="54">
        <f t="shared" si="111"/>
        <v>1131.5104130606701</v>
      </c>
      <c r="R303" s="55">
        <f t="shared" si="110"/>
        <v>51.004154155802702</v>
      </c>
    </row>
    <row r="304" ht="12.800000000000001">
      <c r="A304" s="1">
        <v>300</v>
      </c>
      <c r="B304" s="44">
        <v>43845</v>
      </c>
      <c r="C304" s="45">
        <f t="shared" si="96"/>
        <v>30.731145184198098</v>
      </c>
      <c r="D304" s="3">
        <f t="shared" si="97"/>
        <v>4.63051010663344</v>
      </c>
      <c r="E304" s="46">
        <f t="shared" si="98"/>
        <v>0</v>
      </c>
      <c r="F304" s="46">
        <f t="shared" si="99"/>
        <v>4.63051010663344</v>
      </c>
      <c r="G304" s="46">
        <f t="shared" si="100"/>
        <v>100</v>
      </c>
      <c r="H304" s="46">
        <f t="shared" si="101"/>
        <v>100</v>
      </c>
      <c r="I304" s="47">
        <f t="shared" si="102"/>
        <v>0</v>
      </c>
      <c r="J304" s="47">
        <f t="shared" si="103"/>
        <v>5.0884726446521302</v>
      </c>
      <c r="K304" s="48">
        <f t="shared" si="104"/>
        <v>0</v>
      </c>
      <c r="L304" s="7">
        <f t="shared" si="105"/>
        <v>4.63051010663344</v>
      </c>
      <c r="M304" s="7">
        <f t="shared" si="106"/>
        <v>26.100635077564601</v>
      </c>
      <c r="N304" s="7">
        <f t="shared" si="107"/>
        <v>28.682016568752299</v>
      </c>
      <c r="O304" s="7">
        <f t="shared" si="108"/>
        <v>30.731145184198098</v>
      </c>
      <c r="P304" s="49">
        <f t="shared" si="109"/>
        <v>-28.682016568752299</v>
      </c>
      <c r="Q304" s="54">
        <f t="shared" si="111"/>
        <v>1102.5651824148199</v>
      </c>
      <c r="R304" s="55">
        <f t="shared" si="110"/>
        <v>50.722656277899297</v>
      </c>
    </row>
    <row r="305" ht="12.800000000000001">
      <c r="A305" s="1">
        <v>301</v>
      </c>
      <c r="B305" s="44">
        <v>43846</v>
      </c>
      <c r="C305" s="45">
        <f t="shared" si="96"/>
        <v>30.607395559162999</v>
      </c>
      <c r="D305" s="3">
        <f t="shared" si="97"/>
        <v>4.7549339475443499</v>
      </c>
      <c r="E305" s="46">
        <f t="shared" si="98"/>
        <v>0</v>
      </c>
      <c r="F305" s="46">
        <f t="shared" si="99"/>
        <v>4.7549339475443499</v>
      </c>
      <c r="G305" s="46">
        <f t="shared" si="100"/>
        <v>100</v>
      </c>
      <c r="H305" s="46">
        <f t="shared" si="101"/>
        <v>100</v>
      </c>
      <c r="I305" s="47">
        <f t="shared" si="102"/>
        <v>0</v>
      </c>
      <c r="J305" s="47">
        <f t="shared" si="103"/>
        <v>5.2252021401586299</v>
      </c>
      <c r="K305" s="48">
        <f t="shared" si="104"/>
        <v>0</v>
      </c>
      <c r="L305" s="7">
        <f t="shared" si="105"/>
        <v>4.7549339475443499</v>
      </c>
      <c r="M305" s="7">
        <f t="shared" si="106"/>
        <v>25.852461611618601</v>
      </c>
      <c r="N305" s="7">
        <f t="shared" si="107"/>
        <v>28.409298474306201</v>
      </c>
      <c r="O305" s="7">
        <f t="shared" si="108"/>
        <v>30.607395559162999</v>
      </c>
      <c r="P305" s="49">
        <f t="shared" si="109"/>
        <v>-28.409298474306201</v>
      </c>
      <c r="Q305" s="54">
        <f t="shared" si="111"/>
        <v>1073.8831658460699</v>
      </c>
      <c r="R305" s="55">
        <f t="shared" si="110"/>
        <v>50.443718206999797</v>
      </c>
    </row>
    <row r="306" ht="12.800000000000001">
      <c r="A306" s="1">
        <v>302</v>
      </c>
      <c r="B306" s="44">
        <v>43847</v>
      </c>
      <c r="C306" s="45">
        <f t="shared" si="96"/>
        <v>30.479370023871802</v>
      </c>
      <c r="D306" s="3">
        <f t="shared" si="97"/>
        <v>4.8836569948350803</v>
      </c>
      <c r="E306" s="46">
        <f t="shared" si="98"/>
        <v>0</v>
      </c>
      <c r="F306" s="46">
        <f t="shared" si="99"/>
        <v>4.8836569948350803</v>
      </c>
      <c r="G306" s="46">
        <f t="shared" si="100"/>
        <v>100</v>
      </c>
      <c r="H306" s="46">
        <f t="shared" si="101"/>
        <v>100</v>
      </c>
      <c r="I306" s="47">
        <f t="shared" si="102"/>
        <v>0</v>
      </c>
      <c r="J306" s="47">
        <f t="shared" si="103"/>
        <v>5.3666560382803103</v>
      </c>
      <c r="K306" s="48">
        <f t="shared" si="104"/>
        <v>0</v>
      </c>
      <c r="L306" s="7">
        <f t="shared" si="105"/>
        <v>4.8836569948350803</v>
      </c>
      <c r="M306" s="7">
        <f t="shared" si="106"/>
        <v>25.595713029036698</v>
      </c>
      <c r="N306" s="7">
        <f t="shared" si="107"/>
        <v>28.1271571747656</v>
      </c>
      <c r="O306" s="7">
        <f t="shared" si="108"/>
        <v>30.479370023871802</v>
      </c>
      <c r="P306" s="49">
        <f t="shared" si="109"/>
        <v>-28.1271571747656</v>
      </c>
      <c r="Q306" s="54">
        <f t="shared" si="111"/>
        <v>1045.47386737177</v>
      </c>
      <c r="R306" s="55">
        <f t="shared" si="110"/>
        <v>50.1674323714821</v>
      </c>
    </row>
    <row r="307" ht="12.800000000000001">
      <c r="A307" s="1">
        <v>303</v>
      </c>
      <c r="B307" s="44">
        <v>43848</v>
      </c>
      <c r="C307" s="45">
        <f t="shared" si="96"/>
        <v>30.3471065150536</v>
      </c>
      <c r="D307" s="3">
        <f t="shared" si="97"/>
        <v>5.0166411050886301</v>
      </c>
      <c r="E307" s="46">
        <f t="shared" si="98"/>
        <v>0</v>
      </c>
      <c r="F307" s="46">
        <f t="shared" si="99"/>
        <v>5.0166411050886301</v>
      </c>
      <c r="G307" s="46">
        <f t="shared" si="100"/>
        <v>100</v>
      </c>
      <c r="H307" s="46">
        <f t="shared" si="101"/>
        <v>100</v>
      </c>
      <c r="I307" s="47">
        <f t="shared" si="102"/>
        <v>0</v>
      </c>
      <c r="J307" s="47">
        <f t="shared" si="103"/>
        <v>5.5127924231743197</v>
      </c>
      <c r="K307" s="48">
        <f t="shared" si="104"/>
        <v>0</v>
      </c>
      <c r="L307" s="7">
        <f t="shared" si="105"/>
        <v>5.0166411050886301</v>
      </c>
      <c r="M307" s="7">
        <f t="shared" si="106"/>
        <v>25.330465409965001</v>
      </c>
      <c r="N307" s="7">
        <f t="shared" si="107"/>
        <v>27.835676274686801</v>
      </c>
      <c r="O307" s="7">
        <f t="shared" si="108"/>
        <v>30.3471065150536</v>
      </c>
      <c r="P307" s="49">
        <f t="shared" si="109"/>
        <v>-27.835676274686801</v>
      </c>
      <c r="Q307" s="54">
        <f t="shared" si="111"/>
        <v>1017.346710197</v>
      </c>
      <c r="R307" s="55">
        <f t="shared" si="110"/>
        <v>49.893890413809402</v>
      </c>
    </row>
    <row r="308" ht="12.800000000000001">
      <c r="A308" s="1">
        <v>304</v>
      </c>
      <c r="B308" s="44">
        <v>43849</v>
      </c>
      <c r="C308" s="45">
        <f t="shared" si="96"/>
        <v>30.210644225240699</v>
      </c>
      <c r="D308" s="3">
        <f t="shared" si="97"/>
        <v>5.1538468722431201</v>
      </c>
      <c r="E308" s="46">
        <f t="shared" si="98"/>
        <v>0</v>
      </c>
      <c r="F308" s="46">
        <f t="shared" si="99"/>
        <v>5.1538468722431201</v>
      </c>
      <c r="G308" s="46">
        <f t="shared" si="100"/>
        <v>100</v>
      </c>
      <c r="H308" s="46">
        <f t="shared" si="101"/>
        <v>100</v>
      </c>
      <c r="I308" s="47">
        <f t="shared" si="102"/>
        <v>0</v>
      </c>
      <c r="J308" s="47">
        <f t="shared" si="103"/>
        <v>5.6635679914759498</v>
      </c>
      <c r="K308" s="48">
        <f t="shared" si="104"/>
        <v>0</v>
      </c>
      <c r="L308" s="7">
        <f t="shared" si="105"/>
        <v>5.1538468722431201</v>
      </c>
      <c r="M308" s="7">
        <f t="shared" si="106"/>
        <v>25.056797352997599</v>
      </c>
      <c r="N308" s="7">
        <f t="shared" si="107"/>
        <v>27.534942146151199</v>
      </c>
      <c r="O308" s="7">
        <f t="shared" si="108"/>
        <v>30.210644225240699</v>
      </c>
      <c r="P308" s="49">
        <f t="shared" si="109"/>
        <v>-27.534942146151199</v>
      </c>
      <c r="Q308" s="54">
        <f t="shared" si="111"/>
        <v>989.511033922313</v>
      </c>
      <c r="R308" s="55">
        <f t="shared" si="110"/>
        <v>49.623183163374897</v>
      </c>
    </row>
    <row r="309" ht="12.800000000000001">
      <c r="A309" s="1">
        <v>305</v>
      </c>
      <c r="B309" s="44">
        <v>43850</v>
      </c>
      <c r="C309" s="45">
        <f t="shared" si="96"/>
        <v>30.070023591154499</v>
      </c>
      <c r="D309" s="3">
        <f t="shared" si="97"/>
        <v>5.2952336392685702</v>
      </c>
      <c r="E309" s="46">
        <f t="shared" si="98"/>
        <v>0</v>
      </c>
      <c r="F309" s="46">
        <f t="shared" si="99"/>
        <v>5.2952336392685702</v>
      </c>
      <c r="G309" s="46">
        <f t="shared" si="100"/>
        <v>100</v>
      </c>
      <c r="H309" s="46">
        <f t="shared" si="101"/>
        <v>100</v>
      </c>
      <c r="I309" s="47">
        <f t="shared" si="102"/>
        <v>0</v>
      </c>
      <c r="J309" s="47">
        <f t="shared" si="103"/>
        <v>5.8189380651303004</v>
      </c>
      <c r="K309" s="48">
        <f t="shared" si="104"/>
        <v>0</v>
      </c>
      <c r="L309" s="7">
        <f t="shared" si="105"/>
        <v>5.2952336392685702</v>
      </c>
      <c r="M309" s="7">
        <f t="shared" si="106"/>
        <v>24.774789951886</v>
      </c>
      <c r="N309" s="7">
        <f t="shared" si="107"/>
        <v>27.2250439031714</v>
      </c>
      <c r="O309" s="7">
        <f t="shared" si="108"/>
        <v>30.070023591154499</v>
      </c>
      <c r="P309" s="49">
        <f t="shared" si="109"/>
        <v>-27.2250439031714</v>
      </c>
      <c r="Q309" s="54">
        <f t="shared" si="111"/>
        <v>961.97609177616198</v>
      </c>
      <c r="R309" s="55">
        <f t="shared" si="110"/>
        <v>49.355400609586702</v>
      </c>
    </row>
    <row r="310" ht="12.800000000000001">
      <c r="A310" s="1">
        <v>306</v>
      </c>
      <c r="B310" s="44">
        <v>43851</v>
      </c>
      <c r="C310" s="45">
        <f t="shared" si="96"/>
        <v>29.925286281723899</v>
      </c>
      <c r="D310" s="3">
        <f t="shared" si="97"/>
        <v>5.44075951021457</v>
      </c>
      <c r="E310" s="46">
        <f t="shared" si="98"/>
        <v>0</v>
      </c>
      <c r="F310" s="46">
        <f t="shared" si="99"/>
        <v>5.44075951021457</v>
      </c>
      <c r="G310" s="46">
        <f t="shared" si="100"/>
        <v>100</v>
      </c>
      <c r="H310" s="46">
        <f t="shared" si="101"/>
        <v>100</v>
      </c>
      <c r="I310" s="47">
        <f t="shared" si="102"/>
        <v>0</v>
      </c>
      <c r="J310" s="47">
        <f t="shared" si="103"/>
        <v>5.9788566046313996</v>
      </c>
      <c r="K310" s="48">
        <f t="shared" si="104"/>
        <v>0</v>
      </c>
      <c r="L310" s="7">
        <f t="shared" si="105"/>
        <v>5.44075951021457</v>
      </c>
      <c r="M310" s="7">
        <f t="shared" si="106"/>
        <v>24.484526771509302</v>
      </c>
      <c r="N310" s="7">
        <f t="shared" si="107"/>
        <v>26.906073375284901</v>
      </c>
      <c r="O310" s="7">
        <f t="shared" si="108"/>
        <v>29.925286281723899</v>
      </c>
      <c r="P310" s="49">
        <f t="shared" si="109"/>
        <v>-26.906073375284901</v>
      </c>
      <c r="Q310" s="54">
        <f t="shared" si="111"/>
        <v>934.75104787299097</v>
      </c>
      <c r="R310" s="55">
        <f t="shared" si="110"/>
        <v>49.090631875202099</v>
      </c>
    </row>
    <row r="311" ht="12.800000000000001">
      <c r="A311" s="1">
        <v>307</v>
      </c>
      <c r="B311" s="44">
        <v>43852</v>
      </c>
      <c r="C311" s="45">
        <f t="shared" si="96"/>
        <v>29.776475185737201</v>
      </c>
      <c r="D311" s="3">
        <f t="shared" si="97"/>
        <v>5.5903813626248402</v>
      </c>
      <c r="E311" s="46">
        <f t="shared" si="98"/>
        <v>0</v>
      </c>
      <c r="F311" s="46">
        <f t="shared" si="99"/>
        <v>5.5903813626248402</v>
      </c>
      <c r="G311" s="46">
        <f t="shared" si="100"/>
        <v>100</v>
      </c>
      <c r="H311" s="46">
        <f t="shared" si="101"/>
        <v>100</v>
      </c>
      <c r="I311" s="47">
        <f t="shared" si="102"/>
        <v>0</v>
      </c>
      <c r="J311" s="47">
        <f t="shared" si="103"/>
        <v>6.1432762226646602</v>
      </c>
      <c r="K311" s="48">
        <f t="shared" si="104"/>
        <v>0</v>
      </c>
      <c r="L311" s="7">
        <f t="shared" si="105"/>
        <v>5.5903813626248402</v>
      </c>
      <c r="M311" s="7">
        <f t="shared" si="106"/>
        <v>24.186093823112301</v>
      </c>
      <c r="N311" s="7">
        <f t="shared" si="107"/>
        <v>26.578125080343199</v>
      </c>
      <c r="O311" s="7">
        <f t="shared" si="108"/>
        <v>29.776475185737201</v>
      </c>
      <c r="P311" s="49">
        <f t="shared" si="109"/>
        <v>-26.578125080343199</v>
      </c>
      <c r="Q311" s="54">
        <f t="shared" si="111"/>
        <v>907.84497449770595</v>
      </c>
      <c r="R311" s="55">
        <f t="shared" si="110"/>
        <v>48.828965189919003</v>
      </c>
    </row>
    <row r="312" ht="12.800000000000001">
      <c r="A312" s="1">
        <v>308</v>
      </c>
      <c r="B312" s="44">
        <v>43853</v>
      </c>
      <c r="C312" s="45">
        <f t="shared" si="96"/>
        <v>29.623634399133799</v>
      </c>
      <c r="D312" s="3">
        <f t="shared" si="97"/>
        <v>5.7440548603153898</v>
      </c>
      <c r="E312" s="46">
        <f t="shared" si="98"/>
        <v>0</v>
      </c>
      <c r="F312" s="46">
        <f t="shared" si="99"/>
        <v>5.7440548603153898</v>
      </c>
      <c r="G312" s="46">
        <f t="shared" si="100"/>
        <v>100</v>
      </c>
      <c r="H312" s="46">
        <f t="shared" si="101"/>
        <v>100</v>
      </c>
      <c r="I312" s="47">
        <f t="shared" si="102"/>
        <v>0</v>
      </c>
      <c r="J312" s="47">
        <f t="shared" si="103"/>
        <v>6.3121481981487797</v>
      </c>
      <c r="K312" s="48">
        <f t="shared" si="104"/>
        <v>0</v>
      </c>
      <c r="L312" s="7">
        <f t="shared" si="105"/>
        <v>5.7440548603153898</v>
      </c>
      <c r="M312" s="7">
        <f t="shared" si="106"/>
        <v>23.879579538818401</v>
      </c>
      <c r="N312" s="7">
        <f t="shared" si="107"/>
        <v>26.241296196503701</v>
      </c>
      <c r="O312" s="7">
        <f t="shared" si="108"/>
        <v>29.623634399133799</v>
      </c>
      <c r="P312" s="49">
        <f t="shared" si="109"/>
        <v>-26.241296196503701</v>
      </c>
      <c r="Q312" s="54">
        <f t="shared" si="111"/>
        <v>881.26684941736301</v>
      </c>
      <c r="R312" s="55">
        <f t="shared" si="110"/>
        <v>48.570487864230799</v>
      </c>
    </row>
    <row r="313" ht="12.800000000000001">
      <c r="A313" s="1">
        <v>309</v>
      </c>
      <c r="B313" s="44">
        <v>43854</v>
      </c>
      <c r="C313" s="45">
        <f t="shared" si="96"/>
        <v>29.466809211937299</v>
      </c>
      <c r="D313" s="3">
        <f t="shared" si="97"/>
        <v>5.9017344665123304</v>
      </c>
      <c r="E313" s="46">
        <f t="shared" si="98"/>
        <v>0</v>
      </c>
      <c r="F313" s="46">
        <f t="shared" si="99"/>
        <v>5.9017344665123304</v>
      </c>
      <c r="G313" s="46">
        <f t="shared" si="100"/>
        <v>100</v>
      </c>
      <c r="H313" s="46">
        <f t="shared" si="101"/>
        <v>100</v>
      </c>
      <c r="I313" s="47">
        <f t="shared" si="102"/>
        <v>0</v>
      </c>
      <c r="J313" s="47">
        <f t="shared" si="103"/>
        <v>6.4854224906728897</v>
      </c>
      <c r="K313" s="48">
        <f t="shared" si="104"/>
        <v>0</v>
      </c>
      <c r="L313" s="7">
        <f t="shared" si="105"/>
        <v>5.9017344665123304</v>
      </c>
      <c r="M313" s="7">
        <f t="shared" si="106"/>
        <v>23.565074745425001</v>
      </c>
      <c r="N313" s="7">
        <f t="shared" si="107"/>
        <v>25.895686533433999</v>
      </c>
      <c r="O313" s="7">
        <f t="shared" si="108"/>
        <v>29.466809211937299</v>
      </c>
      <c r="P313" s="49">
        <f t="shared" si="109"/>
        <v>-25.895686533433999</v>
      </c>
      <c r="Q313" s="54">
        <f t="shared" si="111"/>
        <v>855.02555322085902</v>
      </c>
      <c r="R313" s="55">
        <f t="shared" si="110"/>
        <v>48.315286263555002</v>
      </c>
    </row>
    <row r="314" ht="12.800000000000001">
      <c r="A314" s="1">
        <v>310</v>
      </c>
      <c r="B314" s="44">
        <v>43855</v>
      </c>
      <c r="C314" s="45">
        <f t="shared" si="96"/>
        <v>29.306046094835299</v>
      </c>
      <c r="D314" s="3">
        <f t="shared" si="97"/>
        <v>6.0633734573453202</v>
      </c>
      <c r="E314" s="46">
        <f t="shared" si="98"/>
        <v>0</v>
      </c>
      <c r="F314" s="46">
        <f t="shared" si="99"/>
        <v>6.0633734573453202</v>
      </c>
      <c r="G314" s="46">
        <f t="shared" si="100"/>
        <v>100</v>
      </c>
      <c r="H314" s="46">
        <f t="shared" si="101"/>
        <v>100</v>
      </c>
      <c r="I314" s="47">
        <f t="shared" si="102"/>
        <v>0</v>
      </c>
      <c r="J314" s="47">
        <f t="shared" si="103"/>
        <v>6.6630477553245298</v>
      </c>
      <c r="K314" s="48">
        <f t="shared" si="104"/>
        <v>0</v>
      </c>
      <c r="L314" s="7">
        <f t="shared" si="105"/>
        <v>6.0633734573453202</v>
      </c>
      <c r="M314" s="7">
        <f t="shared" si="106"/>
        <v>23.242672637489999</v>
      </c>
      <c r="N314" s="7">
        <f t="shared" si="107"/>
        <v>25.5413985027363</v>
      </c>
      <c r="O314" s="7">
        <f t="shared" si="108"/>
        <v>29.306046094835299</v>
      </c>
      <c r="P314" s="49">
        <f t="shared" si="109"/>
        <v>-25.5413985027363</v>
      </c>
      <c r="Q314" s="54">
        <f t="shared" si="111"/>
        <v>829.12986668742496</v>
      </c>
      <c r="R314" s="55">
        <f t="shared" si="110"/>
        <v>48.063445782641097</v>
      </c>
    </row>
    <row r="315" ht="12.800000000000001">
      <c r="A315" s="1">
        <v>311</v>
      </c>
      <c r="B315" s="44">
        <v>43856</v>
      </c>
      <c r="C315" s="45">
        <f t="shared" si="96"/>
        <v>29.141392685408999</v>
      </c>
      <c r="D315" s="3">
        <f t="shared" si="97"/>
        <v>6.22892393569294</v>
      </c>
      <c r="E315" s="46">
        <f t="shared" si="98"/>
        <v>0</v>
      </c>
      <c r="F315" s="46">
        <f t="shared" si="99"/>
        <v>6.22892393569294</v>
      </c>
      <c r="G315" s="46">
        <f t="shared" si="100"/>
        <v>100</v>
      </c>
      <c r="H315" s="46">
        <f t="shared" si="101"/>
        <v>100</v>
      </c>
      <c r="I315" s="47">
        <f t="shared" si="102"/>
        <v>0</v>
      </c>
      <c r="J315" s="47">
        <f t="shared" si="103"/>
        <v>6.8449713579043303</v>
      </c>
      <c r="K315" s="48">
        <f t="shared" si="104"/>
        <v>0</v>
      </c>
      <c r="L315" s="7">
        <f t="shared" si="105"/>
        <v>6.22892393569294</v>
      </c>
      <c r="M315" s="7">
        <f t="shared" si="106"/>
        <v>22.912468749716101</v>
      </c>
      <c r="N315" s="7">
        <f t="shared" si="107"/>
        <v>25.178537087600098</v>
      </c>
      <c r="O315" s="7">
        <f t="shared" si="108"/>
        <v>29.141392685408999</v>
      </c>
      <c r="P315" s="49">
        <f t="shared" si="109"/>
        <v>-25.178537087600098</v>
      </c>
      <c r="Q315" s="54">
        <f t="shared" si="111"/>
        <v>803.58846818468896</v>
      </c>
      <c r="R315" s="55">
        <f t="shared" si="110"/>
        <v>47.8150508202663</v>
      </c>
    </row>
    <row r="316" ht="12.800000000000001">
      <c r="A316" s="1">
        <v>312</v>
      </c>
      <c r="B316" s="44">
        <v>43857</v>
      </c>
      <c r="C316" s="45">
        <f t="shared" si="96"/>
        <v>28.972897774017</v>
      </c>
      <c r="D316" s="3">
        <f t="shared" si="97"/>
        <v>6.3983368453755798</v>
      </c>
      <c r="E316" s="46">
        <f t="shared" si="98"/>
        <v>0</v>
      </c>
      <c r="F316" s="46">
        <f t="shared" si="99"/>
        <v>6.3983368453755798</v>
      </c>
      <c r="G316" s="46">
        <f t="shared" si="100"/>
        <v>100</v>
      </c>
      <c r="H316" s="46">
        <f t="shared" si="101"/>
        <v>100</v>
      </c>
      <c r="I316" s="47">
        <f t="shared" si="102"/>
        <v>0</v>
      </c>
      <c r="J316" s="47">
        <f t="shared" si="103"/>
        <v>7.0311393905226103</v>
      </c>
      <c r="K316" s="48">
        <f t="shared" si="104"/>
        <v>0</v>
      </c>
      <c r="L316" s="7">
        <f t="shared" si="105"/>
        <v>6.3983368453755798</v>
      </c>
      <c r="M316" s="7">
        <f t="shared" si="106"/>
        <v>22.5745609286414</v>
      </c>
      <c r="N316" s="7">
        <f t="shared" si="107"/>
        <v>24.807209811693902</v>
      </c>
      <c r="O316" s="7">
        <f t="shared" si="108"/>
        <v>28.972897774017</v>
      </c>
      <c r="P316" s="49">
        <f t="shared" si="109"/>
        <v>-24.807209811693902</v>
      </c>
      <c r="Q316" s="54">
        <f t="shared" si="111"/>
        <v>778.40993109708904</v>
      </c>
      <c r="R316" s="55">
        <f t="shared" si="110"/>
        <v>47.570184754226197</v>
      </c>
    </row>
    <row r="317" ht="12.800000000000001">
      <c r="A317" s="1">
        <v>313</v>
      </c>
      <c r="B317" s="44">
        <v>43858</v>
      </c>
      <c r="C317" s="45">
        <f t="shared" si="96"/>
        <v>28.8006112893381</v>
      </c>
      <c r="D317" s="3">
        <f t="shared" si="97"/>
        <v>6.5715619856918499</v>
      </c>
      <c r="E317" s="46">
        <f t="shared" si="98"/>
        <v>0</v>
      </c>
      <c r="F317" s="46">
        <f t="shared" si="99"/>
        <v>6.5715619856918499</v>
      </c>
      <c r="G317" s="46">
        <f t="shared" si="100"/>
        <v>100</v>
      </c>
      <c r="H317" s="46">
        <f t="shared" si="101"/>
        <v>100</v>
      </c>
      <c r="I317" s="47">
        <f t="shared" si="102"/>
        <v>0</v>
      </c>
      <c r="J317" s="47">
        <f t="shared" si="103"/>
        <v>7.2214966875734596</v>
      </c>
      <c r="K317" s="48">
        <f t="shared" si="104"/>
        <v>0</v>
      </c>
      <c r="L317" s="7">
        <f t="shared" si="105"/>
        <v>6.5715619856918499</v>
      </c>
      <c r="M317" s="7">
        <f t="shared" si="106"/>
        <v>22.2290493036462</v>
      </c>
      <c r="N317" s="7">
        <f t="shared" si="107"/>
        <v>24.4275267073035</v>
      </c>
      <c r="O317" s="7">
        <f t="shared" si="108"/>
        <v>28.8006112893381</v>
      </c>
      <c r="P317" s="49">
        <f t="shared" si="109"/>
        <v>-24.4275267073035</v>
      </c>
      <c r="Q317" s="54">
        <f t="shared" si="111"/>
        <v>753.60272128539498</v>
      </c>
      <c r="R317" s="55">
        <f t="shared" si="110"/>
        <v>47.328929916628397</v>
      </c>
    </row>
    <row r="318" ht="12.800000000000001">
      <c r="A318" s="1">
        <v>314</v>
      </c>
      <c r="B318" s="44">
        <v>43859</v>
      </c>
      <c r="C318" s="45">
        <f t="shared" si="96"/>
        <v>28.6245842835758</v>
      </c>
      <c r="D318" s="3">
        <f t="shared" si="97"/>
        <v>6.7485480262942001</v>
      </c>
      <c r="E318" s="46">
        <f t="shared" si="98"/>
        <v>0</v>
      </c>
      <c r="F318" s="46">
        <f t="shared" si="99"/>
        <v>6.7485480262942001</v>
      </c>
      <c r="G318" s="46">
        <f t="shared" si="100"/>
        <v>100</v>
      </c>
      <c r="H318" s="46">
        <f t="shared" si="101"/>
        <v>100</v>
      </c>
      <c r="I318" s="47">
        <f t="shared" si="102"/>
        <v>0</v>
      </c>
      <c r="J318" s="47">
        <f t="shared" si="103"/>
        <v>7.4159868420815398</v>
      </c>
      <c r="K318" s="48">
        <f t="shared" si="104"/>
        <v>0</v>
      </c>
      <c r="L318" s="7">
        <f t="shared" si="105"/>
        <v>6.7485480262942001</v>
      </c>
      <c r="M318" s="7">
        <f t="shared" si="106"/>
        <v>21.876036257281601</v>
      </c>
      <c r="N318" s="7">
        <f t="shared" si="107"/>
        <v>24.039600282727001</v>
      </c>
      <c r="O318" s="7">
        <f t="shared" si="108"/>
        <v>28.6245842835758</v>
      </c>
      <c r="P318" s="49">
        <f t="shared" si="109"/>
        <v>-24.039600282727001</v>
      </c>
      <c r="Q318" s="54">
        <f t="shared" si="111"/>
        <v>729.17519457809101</v>
      </c>
      <c r="R318" s="55">
        <f t="shared" si="110"/>
        <v>47.091367569495397</v>
      </c>
    </row>
    <row r="319" ht="12.800000000000001">
      <c r="A319" s="1">
        <v>315</v>
      </c>
      <c r="B319" s="44">
        <v>43860</v>
      </c>
      <c r="C319" s="45">
        <f t="shared" si="96"/>
        <v>28.444868917331</v>
      </c>
      <c r="D319" s="3">
        <f t="shared" si="97"/>
        <v>6.9292425223991101</v>
      </c>
      <c r="E319" s="46">
        <f t="shared" si="98"/>
        <v>0</v>
      </c>
      <c r="F319" s="46">
        <f t="shared" si="99"/>
        <v>6.9292425223991101</v>
      </c>
      <c r="G319" s="46">
        <f t="shared" si="100"/>
        <v>100</v>
      </c>
      <c r="H319" s="46">
        <f t="shared" si="101"/>
        <v>100</v>
      </c>
      <c r="I319" s="47">
        <f t="shared" si="102"/>
        <v>0</v>
      </c>
      <c r="J319" s="47">
        <f t="shared" si="103"/>
        <v>7.6145522224165996</v>
      </c>
      <c r="K319" s="48">
        <f t="shared" si="104"/>
        <v>0</v>
      </c>
      <c r="L319" s="7">
        <f t="shared" si="105"/>
        <v>6.9292425223991101</v>
      </c>
      <c r="M319" s="7">
        <f t="shared" si="106"/>
        <v>21.5156263949319</v>
      </c>
      <c r="N319" s="7">
        <f t="shared" si="107"/>
        <v>23.643545488936098</v>
      </c>
      <c r="O319" s="7">
        <f t="shared" si="108"/>
        <v>28.444868917331</v>
      </c>
      <c r="P319" s="49">
        <f t="shared" si="109"/>
        <v>-23.643545488936098</v>
      </c>
      <c r="Q319" s="54">
        <f t="shared" si="111"/>
        <v>705.13559429536394</v>
      </c>
      <c r="R319" s="55">
        <f t="shared" si="110"/>
        <v>46.857577880685099</v>
      </c>
    </row>
    <row r="320" ht="12.800000000000001">
      <c r="A320" s="1">
        <v>316</v>
      </c>
      <c r="B320" s="44">
        <v>43861</v>
      </c>
      <c r="C320" s="45">
        <f t="shared" si="96"/>
        <v>28.261518444145199</v>
      </c>
      <c r="D320" s="3">
        <f t="shared" si="97"/>
        <v>7.1135919303276802</v>
      </c>
      <c r="E320" s="46">
        <f t="shared" si="98"/>
        <v>0</v>
      </c>
      <c r="F320" s="46">
        <f t="shared" si="99"/>
        <v>7.1135919303276802</v>
      </c>
      <c r="G320" s="46">
        <f t="shared" si="100"/>
        <v>100</v>
      </c>
      <c r="H320" s="46">
        <f t="shared" si="101"/>
        <v>100</v>
      </c>
      <c r="I320" s="47">
        <f t="shared" si="102"/>
        <v>0</v>
      </c>
      <c r="J320" s="47">
        <f t="shared" si="103"/>
        <v>7.8171339893710803</v>
      </c>
      <c r="K320" s="48">
        <f t="shared" si="104"/>
        <v>0</v>
      </c>
      <c r="L320" s="7">
        <f t="shared" si="105"/>
        <v>7.1135919303276802</v>
      </c>
      <c r="M320" s="7">
        <f t="shared" si="106"/>
        <v>21.147926513817499</v>
      </c>
      <c r="N320" s="7">
        <f t="shared" si="107"/>
        <v>23.2394796855137</v>
      </c>
      <c r="O320" s="7">
        <f t="shared" si="108"/>
        <v>28.261518444145199</v>
      </c>
      <c r="P320" s="49">
        <f t="shared" si="109"/>
        <v>-23.2394796855137</v>
      </c>
      <c r="Q320" s="54">
        <f t="shared" si="111"/>
        <v>681.49204880642799</v>
      </c>
      <c r="R320" s="55">
        <f t="shared" si="110"/>
        <v>46.627639900135499</v>
      </c>
    </row>
    <row r="321" ht="12.800000000000001">
      <c r="A321" s="1">
        <v>317</v>
      </c>
      <c r="B321" s="44">
        <v>43862</v>
      </c>
      <c r="C321" s="45">
        <f t="shared" si="96"/>
        <v>28.074587194720699</v>
      </c>
      <c r="D321" s="3">
        <f t="shared" si="97"/>
        <v>7.3015416233717598</v>
      </c>
      <c r="E321" s="46">
        <f t="shared" si="98"/>
        <v>0</v>
      </c>
      <c r="F321" s="46">
        <f t="shared" si="99"/>
        <v>7.3015416233717598</v>
      </c>
      <c r="G321" s="46">
        <f t="shared" si="100"/>
        <v>100</v>
      </c>
      <c r="H321" s="46">
        <f t="shared" si="101"/>
        <v>100</v>
      </c>
      <c r="I321" s="47">
        <f t="shared" si="102"/>
        <v>0</v>
      </c>
      <c r="J321" s="47">
        <f t="shared" si="103"/>
        <v>8.0236721135953406</v>
      </c>
      <c r="K321" s="48">
        <f t="shared" si="104"/>
        <v>0</v>
      </c>
      <c r="L321" s="7">
        <f t="shared" si="105"/>
        <v>7.3015416233717598</v>
      </c>
      <c r="M321" s="7">
        <f t="shared" si="106"/>
        <v>20.773045571349002</v>
      </c>
      <c r="N321" s="7">
        <f t="shared" si="107"/>
        <v>22.827522605877999</v>
      </c>
      <c r="O321" s="7">
        <f t="shared" si="108"/>
        <v>28.074587194720699</v>
      </c>
      <c r="P321" s="49">
        <f t="shared" si="109"/>
        <v>-22.827522605877999</v>
      </c>
      <c r="Q321" s="54">
        <f t="shared" si="111"/>
        <v>658.25256912091402</v>
      </c>
      <c r="R321" s="55">
        <f t="shared" si="110"/>
        <v>46.401631536440199</v>
      </c>
    </row>
    <row r="322" ht="12.800000000000001">
      <c r="A322" s="1">
        <v>318</v>
      </c>
      <c r="B322" s="44">
        <v>43863</v>
      </c>
      <c r="C322" s="45">
        <f t="shared" si="96"/>
        <v>27.884130560820999</v>
      </c>
      <c r="D322" s="3">
        <f t="shared" si="97"/>
        <v>7.4930359079809996</v>
      </c>
      <c r="E322" s="46">
        <f t="shared" si="98"/>
        <v>0</v>
      </c>
      <c r="F322" s="46">
        <f t="shared" si="99"/>
        <v>7.4930359079809996</v>
      </c>
      <c r="G322" s="46">
        <f t="shared" si="100"/>
        <v>100</v>
      </c>
      <c r="H322" s="46">
        <f t="shared" si="101"/>
        <v>100</v>
      </c>
      <c r="I322" s="47">
        <f t="shared" si="102"/>
        <v>0</v>
      </c>
      <c r="J322" s="47">
        <f t="shared" si="103"/>
        <v>8.23410539338572</v>
      </c>
      <c r="K322" s="48">
        <f t="shared" si="104"/>
        <v>0</v>
      </c>
      <c r="L322" s="7">
        <f t="shared" si="105"/>
        <v>7.4930359079809996</v>
      </c>
      <c r="M322" s="7">
        <f t="shared" si="106"/>
        <v>20.39109465284</v>
      </c>
      <c r="N322" s="7">
        <f t="shared" si="107"/>
        <v>22.407796321802198</v>
      </c>
      <c r="O322" s="7">
        <f t="shared" si="108"/>
        <v>27.884130560820999</v>
      </c>
      <c r="P322" s="49">
        <f t="shared" si="109"/>
        <v>-22.407796321802198</v>
      </c>
      <c r="Q322" s="54">
        <f t="shared" si="111"/>
        <v>635.425046515036</v>
      </c>
      <c r="R322" s="55">
        <f t="shared" si="110"/>
        <v>46.179629533762501</v>
      </c>
    </row>
    <row r="323" ht="12.800000000000001">
      <c r="A323" s="1">
        <v>319</v>
      </c>
      <c r="B323" s="44">
        <v>43864</v>
      </c>
      <c r="C323" s="45">
        <f t="shared" si="96"/>
        <v>27.690204978857199</v>
      </c>
      <c r="D323" s="3">
        <f t="shared" si="97"/>
        <v>7.68801804026611</v>
      </c>
      <c r="E323" s="46">
        <f t="shared" si="98"/>
        <v>0</v>
      </c>
      <c r="F323" s="46">
        <f t="shared" si="99"/>
        <v>7.68801804026611</v>
      </c>
      <c r="G323" s="46">
        <f t="shared" si="100"/>
        <v>100</v>
      </c>
      <c r="H323" s="46">
        <f t="shared" si="101"/>
        <v>100</v>
      </c>
      <c r="I323" s="47">
        <f t="shared" si="102"/>
        <v>0</v>
      </c>
      <c r="J323" s="47">
        <f t="shared" si="103"/>
        <v>8.4483714728199004</v>
      </c>
      <c r="K323" s="48">
        <f t="shared" si="104"/>
        <v>0</v>
      </c>
      <c r="L323" s="7">
        <f t="shared" si="105"/>
        <v>7.68801804026611</v>
      </c>
      <c r="M323" s="7">
        <f t="shared" si="106"/>
        <v>20.002186938590999</v>
      </c>
      <c r="N323" s="7">
        <f t="shared" si="107"/>
        <v>21.980425207242899</v>
      </c>
      <c r="O323" s="7">
        <f t="shared" si="108"/>
        <v>27.690204978857199</v>
      </c>
      <c r="P323" s="49">
        <f t="shared" si="109"/>
        <v>-21.980425207242899</v>
      </c>
      <c r="Q323" s="54">
        <f t="shared" si="111"/>
        <v>613.01725019323396</v>
      </c>
      <c r="R323" s="55">
        <f t="shared" si="110"/>
        <v>45.961709449094499</v>
      </c>
    </row>
    <row r="324" ht="12.800000000000001">
      <c r="A324" s="1">
        <v>320</v>
      </c>
      <c r="B324" s="44">
        <v>43865</v>
      </c>
      <c r="C324" s="45">
        <f t="shared" si="96"/>
        <v>27.4928679131643</v>
      </c>
      <c r="D324" s="3">
        <f t="shared" si="97"/>
        <v>7.8864302428132103</v>
      </c>
      <c r="E324" s="46">
        <f t="shared" si="98"/>
        <v>0</v>
      </c>
      <c r="F324" s="46">
        <f t="shared" si="99"/>
        <v>7.8864302428132103</v>
      </c>
      <c r="G324" s="46">
        <f t="shared" si="100"/>
        <v>100</v>
      </c>
      <c r="H324" s="46">
        <f t="shared" si="101"/>
        <v>100</v>
      </c>
      <c r="I324" s="47">
        <f t="shared" si="102"/>
        <v>0</v>
      </c>
      <c r="J324" s="47">
        <f t="shared" si="103"/>
        <v>8.6664068602342894</v>
      </c>
      <c r="K324" s="48">
        <f t="shared" si="104"/>
        <v>0</v>
      </c>
      <c r="L324" s="7">
        <f t="shared" si="105"/>
        <v>7.8864302428132103</v>
      </c>
      <c r="M324" s="7">
        <f t="shared" si="106"/>
        <v>19.606437670351099</v>
      </c>
      <c r="N324" s="7">
        <f t="shared" si="107"/>
        <v>21.545535901484701</v>
      </c>
      <c r="O324" s="7">
        <f t="shared" si="108"/>
        <v>27.4928679131643</v>
      </c>
      <c r="P324" s="49">
        <f t="shared" si="109"/>
        <v>-21.545535901484701</v>
      </c>
      <c r="Q324" s="54">
        <f t="shared" si="111"/>
        <v>591.03682498599096</v>
      </c>
      <c r="R324" s="55">
        <f t="shared" si="110"/>
        <v>45.7479456298678</v>
      </c>
    </row>
    <row r="325" ht="12.800000000000001">
      <c r="A325" s="1">
        <v>321</v>
      </c>
      <c r="B325" s="44">
        <v>43866</v>
      </c>
      <c r="C325" s="45">
        <f t="shared" si="96"/>
        <v>27.292177838973899</v>
      </c>
      <c r="D325" s="3">
        <f t="shared" si="97"/>
        <v>8.0882137218046104</v>
      </c>
      <c r="E325" s="46">
        <f t="shared" si="98"/>
        <v>0</v>
      </c>
      <c r="F325" s="46">
        <f t="shared" si="99"/>
        <v>8.0882137218046104</v>
      </c>
      <c r="G325" s="46">
        <f t="shared" si="100"/>
        <v>100</v>
      </c>
      <c r="H325" s="46">
        <f t="shared" si="101"/>
        <v>100</v>
      </c>
      <c r="I325" s="47">
        <f t="shared" si="102"/>
        <v>0</v>
      </c>
      <c r="J325" s="47">
        <f t="shared" si="103"/>
        <v>8.8881469470380292</v>
      </c>
      <c r="K325" s="48">
        <f t="shared" si="104"/>
        <v>0</v>
      </c>
      <c r="L325" s="7">
        <f t="shared" si="105"/>
        <v>8.0882137218046104</v>
      </c>
      <c r="M325" s="7">
        <f t="shared" si="106"/>
        <v>19.203964117169299</v>
      </c>
      <c r="N325" s="7">
        <f t="shared" si="107"/>
        <v>21.103257271614599</v>
      </c>
      <c r="O325" s="7">
        <f t="shared" si="108"/>
        <v>27.292177838973899</v>
      </c>
      <c r="P325" s="49">
        <f t="shared" si="109"/>
        <v>-21.103257271614599</v>
      </c>
      <c r="Q325" s="54">
        <f t="shared" si="111"/>
        <v>569.49128908450598</v>
      </c>
      <c r="R325" s="55">
        <f t="shared" si="110"/>
        <v>45.538411191923103</v>
      </c>
    </row>
    <row r="326" ht="12.800000000000001">
      <c r="A326" s="1">
        <v>322</v>
      </c>
      <c r="B326" s="44">
        <v>43867</v>
      </c>
      <c r="C326" s="45">
        <f t="shared" si="96"/>
        <v>27.088194225086099</v>
      </c>
      <c r="D326" s="3">
        <f t="shared" si="97"/>
        <v>8.2933086844406496</v>
      </c>
      <c r="E326" s="46">
        <f t="shared" si="98"/>
        <v>0</v>
      </c>
      <c r="F326" s="46">
        <f t="shared" si="99"/>
        <v>8.2933086844406496</v>
      </c>
      <c r="G326" s="46">
        <f t="shared" si="100"/>
        <v>100</v>
      </c>
      <c r="H326" s="46">
        <f t="shared" si="101"/>
        <v>100</v>
      </c>
      <c r="I326" s="47">
        <f t="shared" si="102"/>
        <v>0</v>
      </c>
      <c r="J326" s="47">
        <f t="shared" si="103"/>
        <v>9.1135260268578602</v>
      </c>
      <c r="K326" s="48">
        <f t="shared" si="104"/>
        <v>0</v>
      </c>
      <c r="L326" s="7">
        <f t="shared" si="105"/>
        <v>8.2933086844406496</v>
      </c>
      <c r="M326" s="7">
        <f t="shared" si="106"/>
        <v>18.794885540645499</v>
      </c>
      <c r="N326" s="7">
        <f t="shared" si="107"/>
        <v>20.653720374335698</v>
      </c>
      <c r="O326" s="7">
        <f t="shared" si="108"/>
        <v>27.088194225086099</v>
      </c>
      <c r="P326" s="49">
        <f t="shared" si="109"/>
        <v>-20.653720374335698</v>
      </c>
      <c r="Q326" s="54">
        <f t="shared" si="111"/>
        <v>548.388031812892</v>
      </c>
      <c r="R326" s="55">
        <f t="shared" si="110"/>
        <v>45.333177997843798</v>
      </c>
    </row>
    <row r="327" ht="12.800000000000001">
      <c r="A327" s="1">
        <v>323</v>
      </c>
      <c r="B327" s="44">
        <v>43868</v>
      </c>
      <c r="C327" s="45">
        <f t="shared" si="96"/>
        <v>26.880977516248201</v>
      </c>
      <c r="D327" s="3">
        <f t="shared" si="97"/>
        <v>8.5016543566575695</v>
      </c>
      <c r="E327" s="46">
        <f t="shared" si="98"/>
        <v>0</v>
      </c>
      <c r="F327" s="46">
        <f t="shared" si="99"/>
        <v>8.5016543566575695</v>
      </c>
      <c r="G327" s="46">
        <f t="shared" si="100"/>
        <v>100</v>
      </c>
      <c r="H327" s="46">
        <f t="shared" si="101"/>
        <v>100</v>
      </c>
      <c r="I327" s="47">
        <f t="shared" si="102"/>
        <v>0</v>
      </c>
      <c r="J327" s="47">
        <f t="shared" si="103"/>
        <v>9.3424773150083098</v>
      </c>
      <c r="K327" s="48">
        <f t="shared" si="104"/>
        <v>0</v>
      </c>
      <c r="L327" s="7">
        <f t="shared" si="105"/>
        <v>8.5016543566575695</v>
      </c>
      <c r="M327" s="7">
        <f t="shared" si="106"/>
        <v>18.379323159590701</v>
      </c>
      <c r="N327" s="7">
        <f t="shared" si="107"/>
        <v>20.197058417132599</v>
      </c>
      <c r="O327" s="7">
        <f t="shared" si="108"/>
        <v>26.880977516248201</v>
      </c>
      <c r="P327" s="49">
        <f t="shared" si="109"/>
        <v>-20.197058417132599</v>
      </c>
      <c r="Q327" s="54">
        <f t="shared" si="111"/>
        <v>527.73431143855601</v>
      </c>
      <c r="R327" s="55">
        <f t="shared" si="110"/>
        <v>45.1323166356622</v>
      </c>
    </row>
    <row r="328" ht="12.800000000000001">
      <c r="A328" s="1">
        <v>324</v>
      </c>
      <c r="B328" s="44">
        <v>43869</v>
      </c>
      <c r="C328" s="45">
        <f t="shared" si="96"/>
        <v>26.670589115243001</v>
      </c>
      <c r="D328" s="3">
        <f t="shared" si="97"/>
        <v>8.7131890011362305</v>
      </c>
      <c r="E328" s="46">
        <f t="shared" si="98"/>
        <v>0</v>
      </c>
      <c r="F328" s="46">
        <f t="shared" si="99"/>
        <v>8.7131890011362305</v>
      </c>
      <c r="G328" s="46">
        <f t="shared" si="100"/>
        <v>100</v>
      </c>
      <c r="H328" s="46">
        <f t="shared" si="101"/>
        <v>100</v>
      </c>
      <c r="I328" s="47">
        <f t="shared" si="102"/>
        <v>0</v>
      </c>
      <c r="J328" s="47">
        <f t="shared" si="103"/>
        <v>9.5749329682815798</v>
      </c>
      <c r="K328" s="48">
        <f t="shared" si="104"/>
        <v>0</v>
      </c>
      <c r="L328" s="7">
        <f t="shared" si="105"/>
        <v>8.7131890011362305</v>
      </c>
      <c r="M328" s="7">
        <f t="shared" si="106"/>
        <v>17.9574001141068</v>
      </c>
      <c r="N328" s="7">
        <f t="shared" si="107"/>
        <v>19.733406718798701</v>
      </c>
      <c r="O328" s="7">
        <f t="shared" si="108"/>
        <v>26.670589115243001</v>
      </c>
      <c r="P328" s="49">
        <f t="shared" si="109"/>
        <v>-19.733406718798701</v>
      </c>
      <c r="Q328" s="54">
        <f t="shared" si="111"/>
        <v>507.53725302142402</v>
      </c>
      <c r="R328" s="55">
        <f t="shared" si="110"/>
        <v>44.935896397942301</v>
      </c>
    </row>
    <row r="329" ht="12.800000000000001">
      <c r="A329" s="1">
        <v>325</v>
      </c>
      <c r="B329" s="44">
        <v>43870</v>
      </c>
      <c r="C329" s="45">
        <f t="shared" si="96"/>
        <v>26.4570913646943</v>
      </c>
      <c r="D329" s="3">
        <f t="shared" si="97"/>
        <v>8.9278499355961998</v>
      </c>
      <c r="E329" s="46">
        <f t="shared" si="98"/>
        <v>0</v>
      </c>
      <c r="F329" s="46">
        <f t="shared" si="99"/>
        <v>8.9278499355961998</v>
      </c>
      <c r="G329" s="46">
        <f t="shared" si="100"/>
        <v>100</v>
      </c>
      <c r="H329" s="46">
        <f t="shared" si="101"/>
        <v>100</v>
      </c>
      <c r="I329" s="47">
        <f t="shared" si="102"/>
        <v>0</v>
      </c>
      <c r="J329" s="47">
        <f t="shared" si="103"/>
        <v>9.8108241050507701</v>
      </c>
      <c r="K329" s="48">
        <f t="shared" si="104"/>
        <v>0</v>
      </c>
      <c r="L329" s="7">
        <f t="shared" si="105"/>
        <v>8.9278499355961998</v>
      </c>
      <c r="M329" s="7">
        <f t="shared" si="106"/>
        <v>17.5292414290981</v>
      </c>
      <c r="N329" s="7">
        <f t="shared" si="107"/>
        <v>19.262902669338601</v>
      </c>
      <c r="O329" s="7">
        <f t="shared" si="108"/>
        <v>26.4570913646943</v>
      </c>
      <c r="P329" s="49">
        <f t="shared" si="109"/>
        <v>-19.262902669338601</v>
      </c>
      <c r="Q329" s="54">
        <f t="shared" si="111"/>
        <v>487.803846302625</v>
      </c>
      <c r="R329" s="55">
        <f t="shared" si="110"/>
        <v>44.743985261247197</v>
      </c>
    </row>
    <row r="330" ht="12.800000000000001">
      <c r="A330" s="1">
        <v>326</v>
      </c>
      <c r="B330" s="44">
        <v>43871</v>
      </c>
      <c r="C330" s="45">
        <f t="shared" si="96"/>
        <v>26.2405475285933</v>
      </c>
      <c r="D330" s="3">
        <f t="shared" si="97"/>
        <v>9.1455735513698002</v>
      </c>
      <c r="E330" s="46">
        <f t="shared" si="98"/>
        <v>0</v>
      </c>
      <c r="F330" s="46">
        <f t="shared" si="99"/>
        <v>9.1455735513698002</v>
      </c>
      <c r="G330" s="46">
        <f t="shared" si="100"/>
        <v>100</v>
      </c>
      <c r="H330" s="46">
        <f t="shared" si="101"/>
        <v>100</v>
      </c>
      <c r="I330" s="47">
        <f t="shared" si="102"/>
        <v>0</v>
      </c>
      <c r="J330" s="47">
        <f t="shared" si="103"/>
        <v>10.0500808256811</v>
      </c>
      <c r="K330" s="48">
        <f t="shared" si="104"/>
        <v>0</v>
      </c>
      <c r="L330" s="7">
        <f t="shared" si="105"/>
        <v>9.1455735513698002</v>
      </c>
      <c r="M330" s="7">
        <f t="shared" si="106"/>
        <v>17.0949739772235</v>
      </c>
      <c r="N330" s="7">
        <f t="shared" si="107"/>
        <v>18.785685689256599</v>
      </c>
      <c r="O330" s="7">
        <f t="shared" si="108"/>
        <v>26.2405475285933</v>
      </c>
      <c r="P330" s="49">
        <f t="shared" si="109"/>
        <v>-18.785685689256599</v>
      </c>
      <c r="Q330" s="54">
        <f t="shared" si="111"/>
        <v>468.54094363328602</v>
      </c>
      <c r="R330" s="55">
        <f t="shared" si="110"/>
        <v>44.556649865996</v>
      </c>
    </row>
    <row r="331" ht="12.800000000000001">
      <c r="A331" s="1">
        <v>327</v>
      </c>
      <c r="B331" s="44">
        <v>43872</v>
      </c>
      <c r="C331" s="45">
        <f t="shared" si="96"/>
        <v>26.021021773551901</v>
      </c>
      <c r="D331" s="3">
        <f t="shared" si="97"/>
        <v>9.3662953322508606</v>
      </c>
      <c r="E331" s="46">
        <f t="shared" si="98"/>
        <v>0</v>
      </c>
      <c r="F331" s="46">
        <f t="shared" si="99"/>
        <v>9.3662953322508606</v>
      </c>
      <c r="G331" s="46">
        <f t="shared" si="100"/>
        <v>100</v>
      </c>
      <c r="H331" s="46">
        <f t="shared" si="101"/>
        <v>100</v>
      </c>
      <c r="I331" s="47">
        <f t="shared" si="102"/>
        <v>0</v>
      </c>
      <c r="J331" s="47">
        <f t="shared" si="103"/>
        <v>10.292632233242699</v>
      </c>
      <c r="K331" s="48">
        <f t="shared" si="104"/>
        <v>0</v>
      </c>
      <c r="L331" s="7">
        <f t="shared" si="105"/>
        <v>9.3662953322508606</v>
      </c>
      <c r="M331" s="7">
        <f t="shared" si="106"/>
        <v>16.654726441301101</v>
      </c>
      <c r="N331" s="7">
        <f t="shared" si="107"/>
        <v>18.301897188243</v>
      </c>
      <c r="O331" s="7">
        <f t="shared" si="108"/>
        <v>26.021021773551901</v>
      </c>
      <c r="P331" s="49">
        <f t="shared" si="109"/>
        <v>-18.301897188243</v>
      </c>
      <c r="Q331" s="54">
        <f t="shared" si="111"/>
        <v>449.75525794403001</v>
      </c>
      <c r="R331" s="55">
        <f t="shared" si="110"/>
        <v>44.373955496716697</v>
      </c>
    </row>
    <row r="332" ht="12.800000000000001">
      <c r="A332" s="1">
        <v>328</v>
      </c>
      <c r="B332" s="44">
        <v>43873</v>
      </c>
      <c r="C332" s="45">
        <f t="shared" si="96"/>
        <v>25.798579149789301</v>
      </c>
      <c r="D332" s="3">
        <f t="shared" si="97"/>
        <v>9.5899498736120901</v>
      </c>
      <c r="E332" s="46">
        <f t="shared" si="98"/>
        <v>0</v>
      </c>
      <c r="F332" s="46">
        <f t="shared" si="99"/>
        <v>9.5899498736120901</v>
      </c>
      <c r="G332" s="46">
        <f t="shared" si="100"/>
        <v>100</v>
      </c>
      <c r="H332" s="46">
        <f t="shared" si="101"/>
        <v>100</v>
      </c>
      <c r="I332" s="47">
        <f t="shared" si="102"/>
        <v>0</v>
      </c>
      <c r="J332" s="47">
        <f t="shared" si="103"/>
        <v>10.5384064545188</v>
      </c>
      <c r="K332" s="48">
        <f t="shared" si="104"/>
        <v>0</v>
      </c>
      <c r="L332" s="7">
        <f t="shared" si="105"/>
        <v>9.5899498736120901</v>
      </c>
      <c r="M332" s="7">
        <f t="shared" si="106"/>
        <v>16.208629276177199</v>
      </c>
      <c r="N332" s="7">
        <f t="shared" si="107"/>
        <v>17.811680523271601</v>
      </c>
      <c r="O332" s="7">
        <f t="shared" si="108"/>
        <v>25.798579149789301</v>
      </c>
      <c r="P332" s="49">
        <f t="shared" si="109"/>
        <v>-17.811680523271601</v>
      </c>
      <c r="Q332" s="54">
        <f t="shared" si="111"/>
        <v>431.453360755787</v>
      </c>
      <c r="R332" s="55">
        <f t="shared" si="110"/>
        <v>44.195966062701402</v>
      </c>
    </row>
    <row r="333" ht="12.800000000000001">
      <c r="A333" s="1">
        <v>329</v>
      </c>
      <c r="B333" s="44">
        <v>43874</v>
      </c>
      <c r="C333" s="45">
        <f t="shared" si="96"/>
        <v>25.573285571855401</v>
      </c>
      <c r="D333" s="3">
        <f t="shared" si="97"/>
        <v>9.8164709017860599</v>
      </c>
      <c r="E333" s="46">
        <f t="shared" si="98"/>
        <v>0</v>
      </c>
      <c r="F333" s="46">
        <f t="shared" si="99"/>
        <v>9.8164709017860599</v>
      </c>
      <c r="G333" s="46">
        <f t="shared" si="100"/>
        <v>100</v>
      </c>
      <c r="H333" s="46">
        <f t="shared" si="101"/>
        <v>100</v>
      </c>
      <c r="I333" s="47">
        <f t="shared" si="102"/>
        <v>0</v>
      </c>
      <c r="J333" s="47">
        <f t="shared" si="103"/>
        <v>10.7873306613034</v>
      </c>
      <c r="K333" s="48">
        <f t="shared" si="104"/>
        <v>0</v>
      </c>
      <c r="L333" s="7">
        <f t="shared" si="105"/>
        <v>9.8164709017860599</v>
      </c>
      <c r="M333" s="7">
        <f t="shared" si="106"/>
        <v>15.7568146700693</v>
      </c>
      <c r="N333" s="7">
        <f t="shared" si="107"/>
        <v>17.315180956120098</v>
      </c>
      <c r="O333" s="7">
        <f t="shared" si="108"/>
        <v>25.573285571855401</v>
      </c>
      <c r="P333" s="49">
        <f t="shared" si="109"/>
        <v>-17.315180956120098</v>
      </c>
      <c r="Q333" s="54">
        <f t="shared" si="111"/>
        <v>413.641680232515</v>
      </c>
      <c r="R333" s="55">
        <f t="shared" si="110"/>
        <v>44.022744079068197</v>
      </c>
    </row>
    <row r="334" ht="12.800000000000001">
      <c r="A334" s="1">
        <v>330</v>
      </c>
      <c r="B334" s="44">
        <v>43875</v>
      </c>
      <c r="C334" s="45">
        <f t="shared" si="96"/>
        <v>25.345207799099601</v>
      </c>
      <c r="D334" s="3">
        <f t="shared" si="97"/>
        <v>10.045791293703401</v>
      </c>
      <c r="E334" s="46">
        <f t="shared" si="98"/>
        <v>0</v>
      </c>
      <c r="F334" s="46">
        <f t="shared" si="99"/>
        <v>10.045791293703401</v>
      </c>
      <c r="G334" s="46">
        <f t="shared" si="100"/>
        <v>100</v>
      </c>
      <c r="H334" s="46">
        <f t="shared" si="101"/>
        <v>100</v>
      </c>
      <c r="I334" s="47">
        <f t="shared" si="102"/>
        <v>0</v>
      </c>
      <c r="J334" s="47">
        <f t="shared" si="103"/>
        <v>11.039331091981801</v>
      </c>
      <c r="K334" s="48">
        <f t="shared" si="104"/>
        <v>0</v>
      </c>
      <c r="L334" s="7">
        <f t="shared" si="105"/>
        <v>10.045791293703401</v>
      </c>
      <c r="M334" s="7">
        <f t="shared" si="106"/>
        <v>15.2994165053962</v>
      </c>
      <c r="N334" s="7">
        <f t="shared" si="107"/>
        <v>16.8125456103255</v>
      </c>
      <c r="O334" s="7">
        <f t="shared" si="108"/>
        <v>25.345207799099601</v>
      </c>
      <c r="P334" s="49">
        <f t="shared" si="109"/>
        <v>-16.8125456103255</v>
      </c>
      <c r="Q334" s="54">
        <f t="shared" si="111"/>
        <v>396.326499276395</v>
      </c>
      <c r="R334" s="55">
        <f t="shared" si="110"/>
        <v>43.854350648236803</v>
      </c>
    </row>
    <row r="335" ht="12.800000000000001">
      <c r="A335" s="1">
        <v>331</v>
      </c>
      <c r="B335" s="44">
        <v>43876</v>
      </c>
      <c r="C335" s="45">
        <f t="shared" si="96"/>
        <v>25.1144134158884</v>
      </c>
      <c r="D335" s="3">
        <f t="shared" si="97"/>
        <v>10.277843096782799</v>
      </c>
      <c r="E335" s="46">
        <f t="shared" si="98"/>
        <v>0</v>
      </c>
      <c r="F335" s="46">
        <f t="shared" si="99"/>
        <v>10.277843096782799</v>
      </c>
      <c r="G335" s="46">
        <f t="shared" si="100"/>
        <v>100</v>
      </c>
      <c r="H335" s="46">
        <f t="shared" si="101"/>
        <v>100</v>
      </c>
      <c r="I335" s="47">
        <f t="shared" si="102"/>
        <v>0</v>
      </c>
      <c r="J335" s="47">
        <f t="shared" si="103"/>
        <v>11.294333073387699</v>
      </c>
      <c r="K335" s="48">
        <f t="shared" si="104"/>
        <v>0</v>
      </c>
      <c r="L335" s="7">
        <f t="shared" si="105"/>
        <v>10.277843096782799</v>
      </c>
      <c r="M335" s="7">
        <f t="shared" si="106"/>
        <v>14.836570319105601</v>
      </c>
      <c r="N335" s="7">
        <f t="shared" si="107"/>
        <v>16.3039234275886</v>
      </c>
      <c r="O335" s="7">
        <f t="shared" si="108"/>
        <v>25.1144134158884</v>
      </c>
      <c r="P335" s="49">
        <f t="shared" si="109"/>
        <v>-16.3039234275886</v>
      </c>
      <c r="Q335" s="54">
        <f t="shared" si="111"/>
        <v>379.51395366606999</v>
      </c>
      <c r="R335" s="55">
        <f t="shared" si="110"/>
        <v>43.690845441822397</v>
      </c>
    </row>
    <row r="336" ht="12.800000000000001">
      <c r="A336" s="1">
        <v>332</v>
      </c>
      <c r="B336" s="44">
        <v>43877</v>
      </c>
      <c r="C336" s="45">
        <f t="shared" si="96"/>
        <v>24.8809708115785</v>
      </c>
      <c r="D336" s="3">
        <f t="shared" si="97"/>
        <v>10.512557549066999</v>
      </c>
      <c r="E336" s="46">
        <f t="shared" si="98"/>
        <v>0</v>
      </c>
      <c r="F336" s="46">
        <f t="shared" si="99"/>
        <v>10.512557549066999</v>
      </c>
      <c r="G336" s="46">
        <f t="shared" si="100"/>
        <v>100</v>
      </c>
      <c r="H336" s="46">
        <f t="shared" si="101"/>
        <v>100</v>
      </c>
      <c r="I336" s="47">
        <f t="shared" si="102"/>
        <v>0</v>
      </c>
      <c r="J336" s="47">
        <f t="shared" si="103"/>
        <v>11.5522610429308</v>
      </c>
      <c r="K336" s="48">
        <f t="shared" si="104"/>
        <v>0</v>
      </c>
      <c r="L336" s="7">
        <f t="shared" si="105"/>
        <v>10.512557549066999</v>
      </c>
      <c r="M336" s="7">
        <f t="shared" si="106"/>
        <v>14.368413262511501</v>
      </c>
      <c r="N336" s="7">
        <f t="shared" si="107"/>
        <v>15.789465123638999</v>
      </c>
      <c r="O336" s="7">
        <f t="shared" si="108"/>
        <v>24.8809708115785</v>
      </c>
      <c r="P336" s="49">
        <f t="shared" si="109"/>
        <v>-15.789465123638999</v>
      </c>
      <c r="Q336" s="54">
        <f t="shared" si="111"/>
        <v>363.21003023848101</v>
      </c>
      <c r="R336" s="55">
        <f t="shared" si="110"/>
        <v>43.532286682954002</v>
      </c>
    </row>
    <row r="337" ht="12.800000000000001">
      <c r="A337" s="1">
        <v>333</v>
      </c>
      <c r="B337" s="44">
        <v>43878</v>
      </c>
      <c r="C337" s="45">
        <f t="shared" si="96"/>
        <v>24.644949160251599</v>
      </c>
      <c r="D337" s="3">
        <f t="shared" si="97"/>
        <v>10.7498650995981</v>
      </c>
      <c r="E337" s="46">
        <f t="shared" si="98"/>
        <v>0</v>
      </c>
      <c r="F337" s="46">
        <f t="shared" si="99"/>
        <v>10.7498650995981</v>
      </c>
      <c r="G337" s="46">
        <f t="shared" si="100"/>
        <v>100</v>
      </c>
      <c r="H337" s="46">
        <f t="shared" si="101"/>
        <v>100</v>
      </c>
      <c r="I337" s="47">
        <f t="shared" si="102"/>
        <v>0</v>
      </c>
      <c r="J337" s="47">
        <f t="shared" si="103"/>
        <v>11.813038570987</v>
      </c>
      <c r="K337" s="48">
        <f t="shared" si="104"/>
        <v>0</v>
      </c>
      <c r="L337" s="7">
        <f t="shared" si="105"/>
        <v>10.7498650995981</v>
      </c>
      <c r="M337" s="7">
        <f t="shared" si="106"/>
        <v>13.895084060653399</v>
      </c>
      <c r="N337" s="7">
        <f t="shared" si="107"/>
        <v>15.2693231435752</v>
      </c>
      <c r="O337" s="7">
        <f t="shared" si="108"/>
        <v>24.644949160251599</v>
      </c>
      <c r="P337" s="49">
        <f t="shared" si="109"/>
        <v>-15.2693231435752</v>
      </c>
      <c r="Q337" s="54">
        <f t="shared" si="111"/>
        <v>347.42056511484202</v>
      </c>
      <c r="R337" s="55">
        <f t="shared" si="110"/>
        <v>43.378731129021297</v>
      </c>
    </row>
    <row r="338" ht="12.800000000000001">
      <c r="A338" s="1">
        <v>334</v>
      </c>
      <c r="B338" s="44">
        <v>43879</v>
      </c>
      <c r="C338" s="45">
        <f t="shared" si="96"/>
        <v>24.406418400216701</v>
      </c>
      <c r="D338" s="3">
        <f t="shared" si="97"/>
        <v>10.989695429027501</v>
      </c>
      <c r="E338" s="46">
        <f t="shared" si="98"/>
        <v>0</v>
      </c>
      <c r="F338" s="46">
        <f t="shared" si="99"/>
        <v>10.989695429027501</v>
      </c>
      <c r="G338" s="46">
        <f t="shared" si="100"/>
        <v>100</v>
      </c>
      <c r="H338" s="46">
        <f t="shared" si="101"/>
        <v>100</v>
      </c>
      <c r="I338" s="47">
        <f t="shared" si="102"/>
        <v>0</v>
      </c>
      <c r="J338" s="47">
        <f t="shared" si="103"/>
        <v>12.076588383546801</v>
      </c>
      <c r="K338" s="48">
        <f t="shared" si="104"/>
        <v>0</v>
      </c>
      <c r="L338" s="7">
        <f t="shared" si="105"/>
        <v>10.989695429027501</v>
      </c>
      <c r="M338" s="7">
        <f t="shared" si="106"/>
        <v>13.4167229711892</v>
      </c>
      <c r="N338" s="7">
        <f t="shared" si="107"/>
        <v>14.7436516166914</v>
      </c>
      <c r="O338" s="7">
        <f t="shared" si="108"/>
        <v>24.406418400216701</v>
      </c>
      <c r="P338" s="49">
        <f t="shared" si="109"/>
        <v>-14.7436516166914</v>
      </c>
      <c r="Q338" s="54">
        <f t="shared" si="111"/>
        <v>332.15124197126698</v>
      </c>
      <c r="R338" s="55">
        <f t="shared" si="110"/>
        <v>43.230234054856297</v>
      </c>
    </row>
    <row r="339" ht="12.800000000000001">
      <c r="A339" s="1">
        <v>335</v>
      </c>
      <c r="B339" s="44">
        <v>43880</v>
      </c>
      <c r="C339" s="45">
        <f t="shared" si="96"/>
        <v>24.165449213285999</v>
      </c>
      <c r="D339" s="3">
        <f t="shared" si="97"/>
        <v>11.2319774704526</v>
      </c>
      <c r="E339" s="46">
        <f t="shared" si="98"/>
        <v>0</v>
      </c>
      <c r="F339" s="46">
        <f t="shared" si="99"/>
        <v>11.2319774704526</v>
      </c>
      <c r="G339" s="46">
        <f t="shared" si="100"/>
        <v>100</v>
      </c>
      <c r="H339" s="46">
        <f t="shared" si="101"/>
        <v>100</v>
      </c>
      <c r="I339" s="47">
        <f t="shared" si="102"/>
        <v>0</v>
      </c>
      <c r="J339" s="47">
        <f t="shared" si="103"/>
        <v>12.3428323851128</v>
      </c>
      <c r="K339" s="48">
        <f t="shared" si="104"/>
        <v>0</v>
      </c>
      <c r="L339" s="7">
        <f t="shared" si="105"/>
        <v>11.2319774704526</v>
      </c>
      <c r="M339" s="7">
        <f t="shared" si="106"/>
        <v>12.933471742833399</v>
      </c>
      <c r="N339" s="7">
        <f t="shared" si="107"/>
        <v>14.212606310805899</v>
      </c>
      <c r="O339" s="7">
        <f t="shared" si="108"/>
        <v>24.165449213285999</v>
      </c>
      <c r="P339" s="49">
        <f t="shared" si="109"/>
        <v>-14.212606310805899</v>
      </c>
      <c r="Q339" s="54">
        <f t="shared" si="111"/>
        <v>317.40759035457501</v>
      </c>
      <c r="R339" s="55">
        <f t="shared" si="110"/>
        <v>43.086849236354603</v>
      </c>
    </row>
    <row r="340" ht="12.800000000000001">
      <c r="A340" s="1">
        <v>336</v>
      </c>
      <c r="B340" s="44">
        <v>43881</v>
      </c>
      <c r="C340" s="45">
        <f t="shared" si="96"/>
        <v>23.922113003830098</v>
      </c>
      <c r="D340" s="3">
        <f t="shared" si="97"/>
        <v>11.476639430475601</v>
      </c>
      <c r="E340" s="46">
        <f t="shared" si="98"/>
        <v>0</v>
      </c>
      <c r="F340" s="46">
        <f t="shared" si="99"/>
        <v>11.476639430475601</v>
      </c>
      <c r="G340" s="46">
        <f t="shared" si="100"/>
        <v>100</v>
      </c>
      <c r="H340" s="46">
        <f t="shared" si="101"/>
        <v>100</v>
      </c>
      <c r="I340" s="47">
        <f t="shared" si="102"/>
        <v>0</v>
      </c>
      <c r="J340" s="47">
        <f t="shared" si="103"/>
        <v>12.6116916818414</v>
      </c>
      <c r="K340" s="48">
        <f t="shared" si="104"/>
        <v>0</v>
      </c>
      <c r="L340" s="7">
        <f t="shared" si="105"/>
        <v>11.476639430475601</v>
      </c>
      <c r="M340" s="7">
        <f t="shared" si="106"/>
        <v>12.4454735733545</v>
      </c>
      <c r="N340" s="7">
        <f t="shared" si="107"/>
        <v>13.6763445861038</v>
      </c>
      <c r="O340" s="7">
        <f t="shared" si="108"/>
        <v>23.922113003830098</v>
      </c>
      <c r="P340" s="49">
        <f t="shared" si="109"/>
        <v>-13.6763445861038</v>
      </c>
      <c r="Q340" s="54">
        <f t="shared" si="111"/>
        <v>303.19498404376998</v>
      </c>
      <c r="R340" s="55">
        <f t="shared" si="110"/>
        <v>42.948628934539798</v>
      </c>
    </row>
    <row r="341" ht="12.800000000000001">
      <c r="A341" s="1">
        <v>337</v>
      </c>
      <c r="B341" s="44">
        <v>43882</v>
      </c>
      <c r="C341" s="45">
        <f t="shared" si="96"/>
        <v>23.676481877619501</v>
      </c>
      <c r="D341" s="3">
        <f t="shared" si="97"/>
        <v>11.7236088104776</v>
      </c>
      <c r="E341" s="46">
        <f t="shared" si="98"/>
        <v>0</v>
      </c>
      <c r="F341" s="46">
        <f t="shared" si="99"/>
        <v>11.7236088104776</v>
      </c>
      <c r="G341" s="46">
        <f t="shared" si="100"/>
        <v>100</v>
      </c>
      <c r="H341" s="46">
        <f t="shared" si="101"/>
        <v>100</v>
      </c>
      <c r="I341" s="47">
        <f t="shared" si="102"/>
        <v>0</v>
      </c>
      <c r="J341" s="47">
        <f t="shared" si="103"/>
        <v>12.8830866049204</v>
      </c>
      <c r="K341" s="48">
        <f t="shared" si="104"/>
        <v>0</v>
      </c>
      <c r="L341" s="7">
        <f t="shared" si="105"/>
        <v>11.7236088104776</v>
      </c>
      <c r="M341" s="7">
        <f t="shared" si="106"/>
        <v>11.952873067141899</v>
      </c>
      <c r="N341" s="7">
        <f t="shared" si="107"/>
        <v>13.1350253485076</v>
      </c>
      <c r="O341" s="7">
        <f t="shared" si="108"/>
        <v>23.676481877619501</v>
      </c>
      <c r="P341" s="49">
        <f t="shared" si="109"/>
        <v>-13.1350253485076</v>
      </c>
      <c r="Q341" s="54">
        <f t="shared" si="111"/>
        <v>289.51863945766598</v>
      </c>
      <c r="R341" s="55">
        <f t="shared" si="110"/>
        <v>42.815623880077901</v>
      </c>
    </row>
    <row r="342" ht="12.800000000000001">
      <c r="A342" s="1">
        <v>338</v>
      </c>
      <c r="B342" s="44">
        <v>43883</v>
      </c>
      <c r="C342" s="45">
        <f t="shared" si="96"/>
        <v>23.428628620458099</v>
      </c>
      <c r="D342" s="3">
        <f t="shared" si="97"/>
        <v>11.972812428101101</v>
      </c>
      <c r="E342" s="46">
        <f t="shared" si="98"/>
        <v>0</v>
      </c>
      <c r="F342" s="46">
        <f t="shared" si="99"/>
        <v>11.972812428101101</v>
      </c>
      <c r="G342" s="46">
        <f t="shared" si="100"/>
        <v>100</v>
      </c>
      <c r="H342" s="46">
        <f t="shared" si="101"/>
        <v>100</v>
      </c>
      <c r="I342" s="47">
        <f t="shared" si="102"/>
        <v>0</v>
      </c>
      <c r="J342" s="47">
        <f t="shared" si="103"/>
        <v>13.1569367341771</v>
      </c>
      <c r="K342" s="48">
        <f t="shared" si="104"/>
        <v>0</v>
      </c>
      <c r="L342" s="7">
        <f t="shared" si="105"/>
        <v>11.972812428101101</v>
      </c>
      <c r="M342" s="7">
        <f t="shared" si="106"/>
        <v>11.455816192356901</v>
      </c>
      <c r="N342" s="7">
        <f t="shared" si="107"/>
        <v>12.588809002590001</v>
      </c>
      <c r="O342" s="7">
        <f t="shared" si="108"/>
        <v>23.428628620458099</v>
      </c>
      <c r="P342" s="49">
        <f t="shared" si="109"/>
        <v>-12.588809002590001</v>
      </c>
      <c r="Q342" s="54">
        <f t="shared" si="111"/>
        <v>276.38361410915797</v>
      </c>
      <c r="R342" s="55">
        <f t="shared" si="110"/>
        <v>42.687883258244497</v>
      </c>
    </row>
    <row r="343" ht="12.800000000000001">
      <c r="A343" s="1">
        <v>339</v>
      </c>
      <c r="B343" s="44">
        <v>43884</v>
      </c>
      <c r="C343" s="45">
        <f t="shared" si="96"/>
        <v>23.178626676614901</v>
      </c>
      <c r="D343" s="3">
        <f t="shared" si="97"/>
        <v>12.2241764389361</v>
      </c>
      <c r="E343" s="46">
        <f t="shared" si="98"/>
        <v>0</v>
      </c>
      <c r="F343" s="46">
        <f t="shared" si="99"/>
        <v>12.2241764389361</v>
      </c>
      <c r="G343" s="46">
        <f t="shared" si="100"/>
        <v>100</v>
      </c>
      <c r="H343" s="46">
        <f t="shared" si="101"/>
        <v>100</v>
      </c>
      <c r="I343" s="47">
        <f t="shared" si="102"/>
        <v>0</v>
      </c>
      <c r="J343" s="47">
        <f t="shared" si="103"/>
        <v>13.4331609219079</v>
      </c>
      <c r="K343" s="48">
        <f t="shared" si="104"/>
        <v>0</v>
      </c>
      <c r="L343" s="7">
        <f t="shared" si="105"/>
        <v>12.2241764389361</v>
      </c>
      <c r="M343" s="7">
        <f t="shared" si="106"/>
        <v>10.954450237678801</v>
      </c>
      <c r="N343" s="7">
        <f t="shared" si="107"/>
        <v>12.037857404042599</v>
      </c>
      <c r="O343" s="7">
        <f t="shared" si="108"/>
        <v>23.178626676614901</v>
      </c>
      <c r="P343" s="49">
        <f t="shared" si="109"/>
        <v>-12.037857404042599</v>
      </c>
      <c r="Q343" s="54">
        <f t="shared" si="111"/>
        <v>263.79480510656799</v>
      </c>
      <c r="R343" s="55">
        <f t="shared" si="110"/>
        <v>42.565454694350201</v>
      </c>
    </row>
    <row r="344" ht="12.800000000000001">
      <c r="A344" s="1">
        <v>340</v>
      </c>
      <c r="B344" s="44">
        <v>43885</v>
      </c>
      <c r="C344" s="45">
        <f t="shared" si="96"/>
        <v>22.926550127061599</v>
      </c>
      <c r="D344" s="3">
        <f t="shared" si="97"/>
        <v>12.477626358401301</v>
      </c>
      <c r="E344" s="46">
        <f t="shared" si="98"/>
        <v>0</v>
      </c>
      <c r="F344" s="46">
        <f t="shared" si="99"/>
        <v>12.477626358401301</v>
      </c>
      <c r="G344" s="46">
        <f t="shared" si="100"/>
        <v>100</v>
      </c>
      <c r="H344" s="46">
        <f t="shared" si="101"/>
        <v>100</v>
      </c>
      <c r="I344" s="47">
        <f t="shared" si="102"/>
        <v>0</v>
      </c>
      <c r="J344" s="47">
        <f t="shared" si="103"/>
        <v>13.711677316924501</v>
      </c>
      <c r="K344" s="48">
        <f t="shared" si="104"/>
        <v>0</v>
      </c>
      <c r="L344" s="7">
        <f t="shared" si="105"/>
        <v>12.477626358401301</v>
      </c>
      <c r="M344" s="7">
        <f t="shared" si="106"/>
        <v>10.4489237686603</v>
      </c>
      <c r="N344" s="7">
        <f t="shared" si="107"/>
        <v>11.4823338117146</v>
      </c>
      <c r="O344" s="7">
        <f t="shared" si="108"/>
        <v>22.926550127061599</v>
      </c>
      <c r="P344" s="49">
        <f t="shared" si="109"/>
        <v>-11.4823338117146</v>
      </c>
      <c r="Q344" s="54">
        <f t="shared" si="111"/>
        <v>251.756947702525</v>
      </c>
      <c r="R344" s="55">
        <f t="shared" si="110"/>
        <v>42.448384239628197</v>
      </c>
    </row>
    <row r="345" ht="12.800000000000001">
      <c r="A345" s="1">
        <v>341</v>
      </c>
      <c r="B345" s="44">
        <v>43886</v>
      </c>
      <c r="C345" s="45">
        <f t="shared" si="96"/>
        <v>22.672473667519998</v>
      </c>
      <c r="D345" s="3">
        <f t="shared" si="97"/>
        <v>12.733087083815599</v>
      </c>
      <c r="E345" s="46">
        <f t="shared" si="98"/>
        <v>0</v>
      </c>
      <c r="F345" s="46">
        <f t="shared" si="99"/>
        <v>12.733087083815599</v>
      </c>
      <c r="G345" s="46">
        <f t="shared" si="100"/>
        <v>100</v>
      </c>
      <c r="H345" s="46">
        <f t="shared" si="101"/>
        <v>100</v>
      </c>
      <c r="I345" s="47">
        <f t="shared" si="102"/>
        <v>0</v>
      </c>
      <c r="J345" s="47">
        <f t="shared" si="103"/>
        <v>13.992403388808301</v>
      </c>
      <c r="K345" s="48">
        <f t="shared" si="104"/>
        <v>0</v>
      </c>
      <c r="L345" s="7">
        <f t="shared" si="105"/>
        <v>12.733087083815599</v>
      </c>
      <c r="M345" s="7">
        <f t="shared" si="106"/>
        <v>9.93938658370441</v>
      </c>
      <c r="N345" s="7">
        <f t="shared" si="107"/>
        <v>10.9224028392356</v>
      </c>
      <c r="O345" s="7">
        <f t="shared" si="108"/>
        <v>22.672473667519998</v>
      </c>
      <c r="P345" s="49">
        <f t="shared" si="109"/>
        <v>-10.9224028392356</v>
      </c>
      <c r="Q345" s="54">
        <f t="shared" si="111"/>
        <v>240.274613890811</v>
      </c>
      <c r="R345" s="55">
        <f t="shared" si="110"/>
        <v>42.336716357588401</v>
      </c>
    </row>
    <row r="346" ht="12.800000000000001">
      <c r="A346" s="1">
        <v>342</v>
      </c>
      <c r="B346" s="44">
        <v>43887</v>
      </c>
      <c r="C346" s="45">
        <f t="shared" si="96"/>
        <v>22.4164725863284</v>
      </c>
      <c r="D346" s="3">
        <f t="shared" si="97"/>
        <v>12.9904829166528</v>
      </c>
      <c r="E346" s="46">
        <f t="shared" si="98"/>
        <v>0</v>
      </c>
      <c r="F346" s="46">
        <f t="shared" si="99"/>
        <v>12.9904829166528</v>
      </c>
      <c r="G346" s="46">
        <f t="shared" si="100"/>
        <v>100</v>
      </c>
      <c r="H346" s="46">
        <f t="shared" si="101"/>
        <v>100</v>
      </c>
      <c r="I346" s="47">
        <f t="shared" si="102"/>
        <v>0</v>
      </c>
      <c r="J346" s="47">
        <f t="shared" si="103"/>
        <v>14.275255952365701</v>
      </c>
      <c r="K346" s="48">
        <f t="shared" si="104"/>
        <v>0</v>
      </c>
      <c r="L346" s="7">
        <f t="shared" si="105"/>
        <v>12.9904829166528</v>
      </c>
      <c r="M346" s="7">
        <f t="shared" si="106"/>
        <v>9.4259896696756496</v>
      </c>
      <c r="N346" s="7">
        <f t="shared" si="107"/>
        <v>10.358230406237</v>
      </c>
      <c r="O346" s="7">
        <f t="shared" si="108"/>
        <v>22.4164725863284</v>
      </c>
      <c r="P346" s="49">
        <f t="shared" si="109"/>
        <v>-10.358230406237</v>
      </c>
      <c r="Q346" s="54">
        <f t="shared" si="111"/>
        <v>229.35221105157501</v>
      </c>
      <c r="R346" s="55">
        <f t="shared" si="110"/>
        <v>42.230493910841602</v>
      </c>
    </row>
    <row r="347" ht="12.800000000000001">
      <c r="A347" s="1">
        <v>343</v>
      </c>
      <c r="B347" s="44">
        <v>43888</v>
      </c>
      <c r="C347" s="45">
        <f t="shared" si="96"/>
        <v>22.158622742132199</v>
      </c>
      <c r="D347" s="3">
        <f t="shared" si="97"/>
        <v>13.2497375849725</v>
      </c>
      <c r="E347" s="46">
        <f t="shared" si="98"/>
        <v>0</v>
      </c>
      <c r="F347" s="46">
        <f t="shared" si="99"/>
        <v>13.2497375849725</v>
      </c>
      <c r="G347" s="46">
        <f t="shared" si="100"/>
        <v>100</v>
      </c>
      <c r="H347" s="46">
        <f t="shared" si="101"/>
        <v>100</v>
      </c>
      <c r="I347" s="47">
        <f t="shared" si="102"/>
        <v>0</v>
      </c>
      <c r="J347" s="47">
        <f t="shared" si="103"/>
        <v>14.5601511922775</v>
      </c>
      <c r="K347" s="48">
        <f t="shared" si="104"/>
        <v>0</v>
      </c>
      <c r="L347" s="7">
        <f t="shared" si="105"/>
        <v>13.2497375849725</v>
      </c>
      <c r="M347" s="7">
        <f t="shared" si="106"/>
        <v>8.9088851571597498</v>
      </c>
      <c r="N347" s="7">
        <f t="shared" si="107"/>
        <v>9.7899836891865402</v>
      </c>
      <c r="O347" s="7">
        <f t="shared" si="108"/>
        <v>22.158622742132199</v>
      </c>
      <c r="P347" s="49">
        <f t="shared" si="109"/>
        <v>-9.7899836891865402</v>
      </c>
      <c r="Q347" s="54">
        <f t="shared" si="111"/>
        <v>218.99398064533801</v>
      </c>
      <c r="R347" s="55">
        <f t="shared" si="110"/>
        <v>42.129758148398899</v>
      </c>
    </row>
    <row r="348" ht="12.800000000000001">
      <c r="A348" s="1">
        <v>344</v>
      </c>
      <c r="B348" s="44">
        <v>43889</v>
      </c>
      <c r="C348" s="45">
        <f t="shared" si="96"/>
        <v>21.899000541405101</v>
      </c>
      <c r="D348" s="3">
        <f t="shared" si="97"/>
        <v>13.5107742660214</v>
      </c>
      <c r="E348" s="46">
        <f t="shared" si="98"/>
        <v>0</v>
      </c>
      <c r="F348" s="46">
        <f t="shared" si="99"/>
        <v>13.5107742660214</v>
      </c>
      <c r="G348" s="46">
        <f t="shared" si="100"/>
        <v>100</v>
      </c>
      <c r="H348" s="46">
        <f t="shared" si="101"/>
        <v>100</v>
      </c>
      <c r="I348" s="47">
        <f t="shared" si="102"/>
        <v>0</v>
      </c>
      <c r="J348" s="47">
        <f t="shared" si="103"/>
        <v>14.8470046879356</v>
      </c>
      <c r="K348" s="48">
        <f t="shared" si="104"/>
        <v>0</v>
      </c>
      <c r="L348" s="7">
        <f t="shared" si="105"/>
        <v>13.5107742660214</v>
      </c>
      <c r="M348" s="7">
        <f t="shared" si="106"/>
        <v>8.3882262753837207</v>
      </c>
      <c r="N348" s="7">
        <f t="shared" si="107"/>
        <v>9.2178310718502399</v>
      </c>
      <c r="O348" s="7">
        <f t="shared" si="108"/>
        <v>21.899000541405101</v>
      </c>
      <c r="P348" s="49">
        <f t="shared" si="109"/>
        <v>-9.2178310718502399</v>
      </c>
      <c r="Q348" s="54">
        <f t="shared" si="111"/>
        <v>209.203996956152</v>
      </c>
      <c r="R348" s="55">
        <f t="shared" si="110"/>
        <v>42.034548693448201</v>
      </c>
    </row>
    <row r="349" ht="12.800000000000001">
      <c r="A349" s="1">
        <v>345</v>
      </c>
      <c r="B349" s="44">
        <v>43890</v>
      </c>
      <c r="C349" s="45">
        <f t="shared" si="96"/>
        <v>21.637682915808199</v>
      </c>
      <c r="D349" s="3">
        <f t="shared" si="97"/>
        <v>13.773515608997201</v>
      </c>
      <c r="E349" s="46">
        <f t="shared" si="98"/>
        <v>0</v>
      </c>
      <c r="F349" s="46">
        <f t="shared" si="99"/>
        <v>13.773515608997201</v>
      </c>
      <c r="G349" s="46">
        <f t="shared" si="100"/>
        <v>100</v>
      </c>
      <c r="H349" s="46">
        <f t="shared" si="101"/>
        <v>100</v>
      </c>
      <c r="I349" s="47">
        <f t="shared" si="102"/>
        <v>0</v>
      </c>
      <c r="J349" s="47">
        <f t="shared" si="103"/>
        <v>15.1357314384585</v>
      </c>
      <c r="K349" s="48">
        <f t="shared" si="104"/>
        <v>0</v>
      </c>
      <c r="L349" s="7">
        <f t="shared" si="105"/>
        <v>13.773515608997201</v>
      </c>
      <c r="M349" s="7">
        <f t="shared" si="106"/>
        <v>7.8641673068109901</v>
      </c>
      <c r="N349" s="7">
        <f t="shared" si="107"/>
        <v>8.6419420953967006</v>
      </c>
      <c r="O349" s="7">
        <f t="shared" si="108"/>
        <v>21.637682915808199</v>
      </c>
      <c r="P349" s="49">
        <f t="shared" si="109"/>
        <v>-8.6419420953967006</v>
      </c>
      <c r="Q349" s="54">
        <f t="shared" si="111"/>
        <v>199.98616588430099</v>
      </c>
      <c r="R349" s="55">
        <f t="shared" si="110"/>
        <v>41.9449035316132</v>
      </c>
    </row>
    <row r="350" ht="12.800000000000001">
      <c r="A350" s="1">
        <v>346</v>
      </c>
      <c r="B350" s="44">
        <v>43891</v>
      </c>
      <c r="C350" s="45">
        <f t="shared" si="96"/>
        <v>21.3747472993938</v>
      </c>
      <c r="D350" s="3">
        <f t="shared" si="97"/>
        <v>14.0378837579697</v>
      </c>
      <c r="E350" s="46">
        <f t="shared" si="98"/>
        <v>0</v>
      </c>
      <c r="F350" s="46">
        <f t="shared" si="99"/>
        <v>14.0378837579697</v>
      </c>
      <c r="G350" s="46">
        <f t="shared" si="100"/>
        <v>100</v>
      </c>
      <c r="H350" s="46">
        <f t="shared" si="101"/>
        <v>100</v>
      </c>
      <c r="I350" s="47">
        <f t="shared" si="102"/>
        <v>0</v>
      </c>
      <c r="J350" s="47">
        <f t="shared" si="103"/>
        <v>15.4262458878787</v>
      </c>
      <c r="K350" s="48">
        <f t="shared" si="104"/>
        <v>0</v>
      </c>
      <c r="L350" s="7">
        <f t="shared" si="105"/>
        <v>14.0378837579697</v>
      </c>
      <c r="M350" s="7">
        <f t="shared" si="106"/>
        <v>7.3368635414241199</v>
      </c>
      <c r="N350" s="7">
        <f t="shared" si="107"/>
        <v>8.0624874081583702</v>
      </c>
      <c r="O350" s="7">
        <f t="shared" si="108"/>
        <v>21.3747472993938</v>
      </c>
      <c r="P350" s="49">
        <f t="shared" si="109"/>
        <v>-8.0624874081583702</v>
      </c>
      <c r="Q350" s="54">
        <f t="shared" si="111"/>
        <v>191.344223788905</v>
      </c>
      <c r="R350" s="55">
        <f t="shared" si="110"/>
        <v>41.860858999697598</v>
      </c>
    </row>
    <row r="351" ht="12.800000000000001">
      <c r="A351" s="1">
        <v>347</v>
      </c>
      <c r="B351" s="44">
        <v>43892</v>
      </c>
      <c r="C351" s="45">
        <f t="shared" si="96"/>
        <v>21.110271605659499</v>
      </c>
      <c r="D351" s="3">
        <f t="shared" si="97"/>
        <v>14.303800374950599</v>
      </c>
      <c r="E351" s="46">
        <f t="shared" si="98"/>
        <v>0</v>
      </c>
      <c r="F351" s="46">
        <f t="shared" si="99"/>
        <v>14.303800374950599</v>
      </c>
      <c r="G351" s="46">
        <f t="shared" si="100"/>
        <v>100</v>
      </c>
      <c r="H351" s="46">
        <f t="shared" si="101"/>
        <v>100</v>
      </c>
      <c r="I351" s="47">
        <f t="shared" si="102"/>
        <v>0</v>
      </c>
      <c r="J351" s="47">
        <f t="shared" si="103"/>
        <v>15.7184619504952</v>
      </c>
      <c r="K351" s="48">
        <f t="shared" si="104"/>
        <v>0</v>
      </c>
      <c r="L351" s="7">
        <f t="shared" si="105"/>
        <v>14.303800374950599</v>
      </c>
      <c r="M351" s="7">
        <f t="shared" si="106"/>
        <v>6.8064712307088699</v>
      </c>
      <c r="N351" s="7">
        <f t="shared" si="107"/>
        <v>7.4796387150646897</v>
      </c>
      <c r="O351" s="7">
        <f t="shared" si="108"/>
        <v>21.110271605659499</v>
      </c>
      <c r="P351" s="49">
        <f t="shared" si="109"/>
        <v>-7.4796387150646897</v>
      </c>
      <c r="Q351" s="54">
        <f t="shared" si="111"/>
        <v>183.281736380746</v>
      </c>
      <c r="R351" s="55">
        <f t="shared" si="110"/>
        <v>41.782449774917602</v>
      </c>
    </row>
    <row r="352" ht="12.800000000000001">
      <c r="A352" s="1">
        <v>348</v>
      </c>
      <c r="B352" s="44">
        <v>43893</v>
      </c>
      <c r="C352" s="45">
        <f t="shared" si="96"/>
        <v>20.844334204461301</v>
      </c>
      <c r="D352" s="3">
        <f t="shared" si="97"/>
        <v>14.5711866631075</v>
      </c>
      <c r="E352" s="46">
        <f t="shared" si="98"/>
        <v>0</v>
      </c>
      <c r="F352" s="46">
        <f t="shared" si="99"/>
        <v>14.5711866631075</v>
      </c>
      <c r="G352" s="46">
        <f t="shared" si="100"/>
        <v>100</v>
      </c>
      <c r="H352" s="46">
        <f t="shared" si="101"/>
        <v>100</v>
      </c>
      <c r="I352" s="47">
        <f t="shared" si="102"/>
        <v>0</v>
      </c>
      <c r="J352" s="47">
        <f t="shared" si="103"/>
        <v>16.012293036381902</v>
      </c>
      <c r="K352" s="48">
        <f t="shared" si="104"/>
        <v>0</v>
      </c>
      <c r="L352" s="7">
        <f t="shared" si="105"/>
        <v>14.5711866631075</v>
      </c>
      <c r="M352" s="7">
        <f t="shared" si="106"/>
        <v>6.2731475413537598</v>
      </c>
      <c r="N352" s="7">
        <f t="shared" si="107"/>
        <v>6.8935687267623802</v>
      </c>
      <c r="O352" s="7">
        <f t="shared" si="108"/>
        <v>20.844334204461301</v>
      </c>
      <c r="P352" s="49">
        <f t="shared" si="109"/>
        <v>-6.8935687267623802</v>
      </c>
      <c r="Q352" s="54">
        <f t="shared" si="111"/>
        <v>175.802097665682</v>
      </c>
      <c r="R352" s="55">
        <f t="shared" si="110"/>
        <v>41.709708864626201</v>
      </c>
    </row>
    <row r="353" ht="12.800000000000001">
      <c r="A353" s="1">
        <v>349</v>
      </c>
      <c r="B353" s="44">
        <v>43894</v>
      </c>
      <c r="C353" s="45">
        <f t="shared" si="96"/>
        <v>20.577013898790501</v>
      </c>
      <c r="D353" s="3">
        <f t="shared" si="97"/>
        <v>14.8399633901125</v>
      </c>
      <c r="E353" s="46">
        <f t="shared" si="98"/>
        <v>0</v>
      </c>
      <c r="F353" s="46">
        <f t="shared" si="99"/>
        <v>14.8399633901125</v>
      </c>
      <c r="G353" s="46">
        <f t="shared" si="100"/>
        <v>100</v>
      </c>
      <c r="H353" s="46">
        <f t="shared" si="101"/>
        <v>100</v>
      </c>
      <c r="I353" s="47">
        <f t="shared" si="102"/>
        <v>0</v>
      </c>
      <c r="J353" s="47">
        <f t="shared" si="103"/>
        <v>16.307652077046701</v>
      </c>
      <c r="K353" s="48">
        <f t="shared" si="104"/>
        <v>0</v>
      </c>
      <c r="L353" s="7">
        <f t="shared" si="105"/>
        <v>14.8399633901125</v>
      </c>
      <c r="M353" s="7">
        <f t="shared" si="106"/>
        <v>5.73705050867797</v>
      </c>
      <c r="N353" s="7">
        <f t="shared" si="107"/>
        <v>6.3044511084373296</v>
      </c>
      <c r="O353" s="7">
        <f t="shared" si="108"/>
        <v>20.577013898790501</v>
      </c>
      <c r="P353" s="49">
        <f t="shared" si="109"/>
        <v>-6.3044511084373296</v>
      </c>
      <c r="Q353" s="54">
        <f t="shared" si="111"/>
        <v>168.90852893891901</v>
      </c>
      <c r="R353" s="55">
        <f t="shared" si="110"/>
        <v>41.642667596532398</v>
      </c>
    </row>
    <row r="354" ht="12.800000000000001">
      <c r="A354" s="1">
        <v>350</v>
      </c>
      <c r="B354" s="44">
        <v>43895</v>
      </c>
      <c r="C354" s="45">
        <f t="shared" si="96"/>
        <v>20.308389901422998</v>
      </c>
      <c r="D354" s="3">
        <f t="shared" si="97"/>
        <v>15.110050911620799</v>
      </c>
      <c r="E354" s="46">
        <f t="shared" si="98"/>
        <v>0</v>
      </c>
      <c r="F354" s="46">
        <f t="shared" si="99"/>
        <v>15.110050911620799</v>
      </c>
      <c r="G354" s="46">
        <f t="shared" si="100"/>
        <v>100</v>
      </c>
      <c r="H354" s="46">
        <f t="shared" si="101"/>
        <v>100</v>
      </c>
      <c r="I354" s="47">
        <f t="shared" si="102"/>
        <v>0</v>
      </c>
      <c r="J354" s="47">
        <f t="shared" si="103"/>
        <v>16.604451551231602</v>
      </c>
      <c r="K354" s="48">
        <f t="shared" si="104"/>
        <v>0</v>
      </c>
      <c r="L354" s="7">
        <f t="shared" si="105"/>
        <v>15.110050911620799</v>
      </c>
      <c r="M354" s="7">
        <f t="shared" si="106"/>
        <v>5.1983389898022301</v>
      </c>
      <c r="N354" s="7">
        <f t="shared" si="107"/>
        <v>5.7124604283540998</v>
      </c>
      <c r="O354" s="7">
        <f t="shared" si="108"/>
        <v>20.308389901422998</v>
      </c>
      <c r="P354" s="49">
        <f t="shared" si="109"/>
        <v>-5.7124604283540998</v>
      </c>
      <c r="Q354" s="54">
        <f t="shared" si="111"/>
        <v>162.604077830482</v>
      </c>
      <c r="R354" s="55">
        <f t="shared" si="110"/>
        <v>41.581355609418402</v>
      </c>
    </row>
    <row r="355" ht="12.800000000000001">
      <c r="A355" s="1">
        <v>351</v>
      </c>
      <c r="B355" s="44">
        <v>43896</v>
      </c>
      <c r="C355" s="45">
        <f t="shared" si="96"/>
        <v>20.038541811446599</v>
      </c>
      <c r="D355" s="3">
        <f t="shared" si="97"/>
        <v>15.381369194870601</v>
      </c>
      <c r="E355" s="46">
        <f t="shared" si="98"/>
        <v>0</v>
      </c>
      <c r="F355" s="46">
        <f t="shared" si="99"/>
        <v>15.381369194870601</v>
      </c>
      <c r="G355" s="46">
        <f t="shared" si="100"/>
        <v>100</v>
      </c>
      <c r="H355" s="46">
        <f t="shared" si="101"/>
        <v>100</v>
      </c>
      <c r="I355" s="47">
        <f t="shared" si="102"/>
        <v>0</v>
      </c>
      <c r="J355" s="47">
        <f t="shared" si="103"/>
        <v>16.902603510846799</v>
      </c>
      <c r="K355" s="48">
        <f t="shared" si="104"/>
        <v>0</v>
      </c>
      <c r="L355" s="7">
        <f t="shared" si="105"/>
        <v>15.381369194870601</v>
      </c>
      <c r="M355" s="7">
        <f t="shared" si="106"/>
        <v>4.6571726165759504</v>
      </c>
      <c r="N355" s="7">
        <f t="shared" si="107"/>
        <v>5.1177721061274202</v>
      </c>
      <c r="O355" s="7">
        <f t="shared" si="108"/>
        <v>20.038541811446599</v>
      </c>
      <c r="P355" s="49">
        <f t="shared" si="109"/>
        <v>-5.1177721061274202</v>
      </c>
      <c r="Q355" s="54">
        <f t="shared" si="111"/>
        <v>156.89161740212799</v>
      </c>
      <c r="R355" s="55">
        <f t="shared" si="110"/>
        <v>41.525800844356603</v>
      </c>
    </row>
    <row r="356" ht="12.800000000000001">
      <c r="A356" s="1">
        <v>352</v>
      </c>
      <c r="B356" s="44">
        <v>43897</v>
      </c>
      <c r="C356" s="45">
        <f t="shared" ref="C356:C419" si="112">V$30-V$30*SIN(2*PI()/365*A356)</f>
        <v>19.767549590674001</v>
      </c>
      <c r="D356" s="3">
        <f t="shared" ref="D356:D419" si="113">IF((E356+F356)&gt;C356,C356,E356+F356)</f>
        <v>15.6538378423992</v>
      </c>
      <c r="E356" s="46">
        <f t="shared" ref="E356:E419" si="114">(V$27+V$28*SIN(2*PI()/365*A356))*V$29/100*V$9*V$10/100</f>
        <v>0</v>
      </c>
      <c r="F356" s="46">
        <f t="shared" ref="F356:F419" si="115">(V$27+V$28*SIN(2*PI()/365*A356))*V$29/100*V$11*(1-V$18/100)*(1-V$20/100)</f>
        <v>15.6538378423992</v>
      </c>
      <c r="G356" s="46">
        <f t="shared" ref="G356:G419" si="116">IF(C356&gt;E356,100,C356/E356*100)</f>
        <v>100</v>
      </c>
      <c r="H356" s="46">
        <f t="shared" ref="H356:H419" si="117">L356/F356*100</f>
        <v>100</v>
      </c>
      <c r="I356" s="47">
        <f t="shared" ref="I356:I419" si="118">(V$27+V$28*SIN(2*PI()/365*A356))*V$29/100*V$9*V$10/100*(1-V$19/100)</f>
        <v>0</v>
      </c>
      <c r="J356" s="47">
        <f t="shared" ref="J356:J419" si="119">(V$27+V$28*SIN(2*PI()/365*A356))*V$29/100*V$11*(1-V$18/100)</f>
        <v>17.202019607032099</v>
      </c>
      <c r="K356" s="48">
        <f t="shared" ref="K356:K419" si="120">IF(E356/C356*100&lt;100,E356/C356*100,100)</f>
        <v>0</v>
      </c>
      <c r="L356" s="7">
        <f t="shared" ref="L356:L419" si="121">IF(((C356-E356)&gt;0)*AND(F356&gt;(C356-E356)),(C356-E356),IF(C356&lt;E356,0,F356))</f>
        <v>15.6538378423992</v>
      </c>
      <c r="M356" s="7">
        <f t="shared" ref="M356:M419" si="122">IF(C356&lt;(E356+F356),0,C356-E356-F356)</f>
        <v>4.1137117482747998</v>
      </c>
      <c r="N356" s="7">
        <f t="shared" ref="N356:N419" si="123">IF(C356&lt;(E356+F356),0,(C356-E356-F356)/(1-V$20/100))</f>
        <v>4.5205623607415397</v>
      </c>
      <c r="O356" s="7">
        <f t="shared" ref="O356:O419" si="124">L356+M356</f>
        <v>19.767549590674001</v>
      </c>
      <c r="P356" s="49">
        <f t="shared" ref="P356:P419" si="125">IF(N356=0,I356*(1-G356/100)+J356*(1-H356/100),-N356)</f>
        <v>-4.5205623607415397</v>
      </c>
      <c r="Q356" s="54">
        <f t="shared" si="111"/>
        <v>151.77384529600101</v>
      </c>
      <c r="R356" s="55">
        <f t="shared" ref="R356:R419" si="126">R$4+Q356/V$32</f>
        <v>41.476029536430403</v>
      </c>
    </row>
    <row r="357" ht="12.800000000000001">
      <c r="A357" s="1">
        <v>353</v>
      </c>
      <c r="B357" s="44">
        <v>43898</v>
      </c>
      <c r="C357" s="45">
        <f t="shared" si="112"/>
        <v>19.495493539948999</v>
      </c>
      <c r="D357" s="3">
        <f t="shared" si="113"/>
        <v>15.927376115866</v>
      </c>
      <c r="E357" s="46">
        <f t="shared" si="114"/>
        <v>0</v>
      </c>
      <c r="F357" s="46">
        <f t="shared" si="115"/>
        <v>15.927376115866</v>
      </c>
      <c r="G357" s="46">
        <f t="shared" si="116"/>
        <v>100</v>
      </c>
      <c r="H357" s="46">
        <f t="shared" si="117"/>
        <v>100</v>
      </c>
      <c r="I357" s="47">
        <f t="shared" si="118"/>
        <v>0</v>
      </c>
      <c r="J357" s="47">
        <f t="shared" si="119"/>
        <v>17.502611116336301</v>
      </c>
      <c r="K357" s="48">
        <f t="shared" si="120"/>
        <v>0</v>
      </c>
      <c r="L357" s="7">
        <f t="shared" si="121"/>
        <v>15.927376115866</v>
      </c>
      <c r="M357" s="7">
        <f t="shared" si="122"/>
        <v>3.5681174240829501</v>
      </c>
      <c r="N357" s="7">
        <f t="shared" si="123"/>
        <v>3.9210081583329099</v>
      </c>
      <c r="O357" s="7">
        <f t="shared" si="124"/>
        <v>19.495493539948999</v>
      </c>
      <c r="P357" s="49">
        <f t="shared" si="125"/>
        <v>-3.9210081583329099</v>
      </c>
      <c r="Q357" s="54">
        <f t="shared" ref="Q357:Q420" si="127">IF(P356&gt;0,Q356+P356*(1-V$24/100),Q356+P356)</f>
        <v>147.25328293525899</v>
      </c>
      <c r="R357" s="55">
        <f t="shared" si="126"/>
        <v>41.432066206960101</v>
      </c>
    </row>
    <row r="358" ht="12.800000000000001">
      <c r="A358" s="1">
        <v>354</v>
      </c>
      <c r="B358" s="44">
        <v>43899</v>
      </c>
      <c r="C358" s="45">
        <f t="shared" si="112"/>
        <v>19.2224542753506</v>
      </c>
      <c r="D358" s="3">
        <f t="shared" si="113"/>
        <v>16.201902959977101</v>
      </c>
      <c r="E358" s="46">
        <f t="shared" si="114"/>
        <v>0</v>
      </c>
      <c r="F358" s="46">
        <f t="shared" si="115"/>
        <v>16.201902959977101</v>
      </c>
      <c r="G358" s="46">
        <f t="shared" si="116"/>
        <v>100</v>
      </c>
      <c r="H358" s="46">
        <f t="shared" si="117"/>
        <v>100</v>
      </c>
      <c r="I358" s="47">
        <f t="shared" si="118"/>
        <v>0</v>
      </c>
      <c r="J358" s="47">
        <f t="shared" si="119"/>
        <v>17.8042889670078</v>
      </c>
      <c r="K358" s="48">
        <f t="shared" si="120"/>
        <v>0</v>
      </c>
      <c r="L358" s="7">
        <f t="shared" si="121"/>
        <v>16.201902959977101</v>
      </c>
      <c r="M358" s="7">
        <f t="shared" si="122"/>
        <v>3.02055131537348</v>
      </c>
      <c r="N358" s="7">
        <f t="shared" si="123"/>
        <v>3.31928715975108</v>
      </c>
      <c r="O358" s="7">
        <f t="shared" si="124"/>
        <v>19.2224542753506</v>
      </c>
      <c r="P358" s="49">
        <f t="shared" si="125"/>
        <v>-3.31928715975108</v>
      </c>
      <c r="Q358" s="54">
        <f t="shared" si="127"/>
        <v>143.332274776926</v>
      </c>
      <c r="R358" s="55">
        <f t="shared" si="126"/>
        <v>41.3939336562363</v>
      </c>
    </row>
    <row r="359" ht="12.800000000000001">
      <c r="A359" s="1">
        <v>355</v>
      </c>
      <c r="B359" s="44">
        <v>43900</v>
      </c>
      <c r="C359" s="45">
        <f t="shared" si="112"/>
        <v>18.948512704305699</v>
      </c>
      <c r="D359" s="3">
        <f t="shared" si="113"/>
        <v>16.4773370265038</v>
      </c>
      <c r="E359" s="46">
        <f t="shared" si="114"/>
        <v>0</v>
      </c>
      <c r="F359" s="46">
        <f t="shared" si="115"/>
        <v>16.4773370265038</v>
      </c>
      <c r="G359" s="46">
        <f t="shared" si="116"/>
        <v>100</v>
      </c>
      <c r="H359" s="46">
        <f t="shared" si="117"/>
        <v>100</v>
      </c>
      <c r="I359" s="47">
        <f t="shared" si="118"/>
        <v>0</v>
      </c>
      <c r="J359" s="47">
        <f t="shared" si="119"/>
        <v>18.106963765388802</v>
      </c>
      <c r="K359" s="48">
        <f t="shared" si="120"/>
        <v>0</v>
      </c>
      <c r="L359" s="7">
        <f t="shared" si="121"/>
        <v>16.4773370265038</v>
      </c>
      <c r="M359" s="7">
        <f t="shared" si="122"/>
        <v>2.4711756778019001</v>
      </c>
      <c r="N359" s="7">
        <f t="shared" si="123"/>
        <v>2.7155776679141699</v>
      </c>
      <c r="O359" s="7">
        <f t="shared" si="124"/>
        <v>18.948512704305699</v>
      </c>
      <c r="P359" s="49">
        <f t="shared" si="125"/>
        <v>-2.7155776679141699</v>
      </c>
      <c r="Q359" s="54">
        <f t="shared" si="127"/>
        <v>140.01298761717501</v>
      </c>
      <c r="R359" s="55">
        <f t="shared" si="126"/>
        <v>41.361652956764502</v>
      </c>
    </row>
    <row r="360" ht="12.800000000000001">
      <c r="A360" s="1">
        <v>356</v>
      </c>
      <c r="B360" s="44">
        <v>43901</v>
      </c>
      <c r="C360" s="45">
        <f t="shared" si="112"/>
        <v>18.673750001614</v>
      </c>
      <c r="D360" s="3">
        <f t="shared" si="113"/>
        <v>16.753596698387799</v>
      </c>
      <c r="E360" s="46">
        <f t="shared" si="114"/>
        <v>0</v>
      </c>
      <c r="F360" s="46">
        <f t="shared" si="115"/>
        <v>16.753596698387799</v>
      </c>
      <c r="G360" s="46">
        <f t="shared" si="116"/>
        <v>100</v>
      </c>
      <c r="H360" s="46">
        <f t="shared" si="117"/>
        <v>100</v>
      </c>
      <c r="I360" s="47">
        <f t="shared" si="118"/>
        <v>0</v>
      </c>
      <c r="J360" s="47">
        <f t="shared" si="119"/>
        <v>18.410545822404199</v>
      </c>
      <c r="K360" s="48">
        <f t="shared" si="120"/>
        <v>0</v>
      </c>
      <c r="L360" s="7">
        <f t="shared" si="121"/>
        <v>16.753596698387799</v>
      </c>
      <c r="M360" s="7">
        <f t="shared" si="122"/>
        <v>1.92015330322613</v>
      </c>
      <c r="N360" s="7">
        <f t="shared" si="123"/>
        <v>2.1100585749737601</v>
      </c>
      <c r="O360" s="7">
        <f t="shared" si="124"/>
        <v>18.673750001614</v>
      </c>
      <c r="P360" s="49">
        <f t="shared" si="125"/>
        <v>-2.1100585749737601</v>
      </c>
      <c r="Q360" s="54">
        <f t="shared" si="127"/>
        <v>137.29740994926101</v>
      </c>
      <c r="R360" s="55">
        <f t="shared" si="126"/>
        <v>41.335243447019998</v>
      </c>
    </row>
    <row r="361" ht="12.800000000000001">
      <c r="A361" s="1">
        <v>357</v>
      </c>
      <c r="B361" s="44">
        <v>43902</v>
      </c>
      <c r="C361" s="45">
        <f t="shared" si="112"/>
        <v>18.398247585394</v>
      </c>
      <c r="D361" s="3">
        <f t="shared" si="113"/>
        <v>17.030600113926202</v>
      </c>
      <c r="E361" s="46">
        <f t="shared" si="114"/>
        <v>0</v>
      </c>
      <c r="F361" s="46">
        <f t="shared" si="115"/>
        <v>17.030600113926202</v>
      </c>
      <c r="G361" s="46">
        <f t="shared" si="116"/>
        <v>100</v>
      </c>
      <c r="H361" s="46">
        <f t="shared" si="117"/>
        <v>100</v>
      </c>
      <c r="I361" s="47">
        <f t="shared" si="118"/>
        <v>0</v>
      </c>
      <c r="J361" s="47">
        <f t="shared" si="119"/>
        <v>18.714945180138699</v>
      </c>
      <c r="K361" s="48">
        <f t="shared" si="120"/>
        <v>0</v>
      </c>
      <c r="L361" s="7">
        <f t="shared" si="121"/>
        <v>17.030600113926202</v>
      </c>
      <c r="M361" s="7">
        <f t="shared" si="122"/>
        <v>1.36764747146774</v>
      </c>
      <c r="N361" s="7">
        <f t="shared" si="123"/>
        <v>1.5029093093052099</v>
      </c>
      <c r="O361" s="7">
        <f t="shared" si="124"/>
        <v>18.398247585394</v>
      </c>
      <c r="P361" s="49">
        <f t="shared" si="125"/>
        <v>-1.5029093093052099</v>
      </c>
      <c r="Q361" s="54">
        <f t="shared" si="127"/>
        <v>135.187351374287</v>
      </c>
      <c r="R361" s="55">
        <f t="shared" si="126"/>
        <v>41.3147227257179</v>
      </c>
    </row>
    <row r="362" ht="12.800000000000001">
      <c r="A362" s="1">
        <v>358</v>
      </c>
      <c r="B362" s="44">
        <v>43903</v>
      </c>
      <c r="C362" s="45">
        <f t="shared" si="112"/>
        <v>18.122087092957599</v>
      </c>
      <c r="D362" s="3">
        <f t="shared" si="113"/>
        <v>17.308265191028799</v>
      </c>
      <c r="E362" s="46">
        <f t="shared" si="114"/>
        <v>0</v>
      </c>
      <c r="F362" s="46">
        <f t="shared" si="115"/>
        <v>17.308265191028799</v>
      </c>
      <c r="G362" s="46">
        <f t="shared" si="116"/>
        <v>100</v>
      </c>
      <c r="H362" s="46">
        <f t="shared" si="117"/>
        <v>100</v>
      </c>
      <c r="I362" s="47">
        <f t="shared" si="118"/>
        <v>0</v>
      </c>
      <c r="J362" s="47">
        <f t="shared" si="119"/>
        <v>19.020071638493199</v>
      </c>
      <c r="K362" s="48">
        <f t="shared" si="120"/>
        <v>0</v>
      </c>
      <c r="L362" s="7">
        <f t="shared" si="121"/>
        <v>17.308265191028799</v>
      </c>
      <c r="M362" s="7">
        <f t="shared" si="122"/>
        <v>0.813821901928794</v>
      </c>
      <c r="N362" s="7">
        <f t="shared" si="123"/>
        <v>0.894309782339334</v>
      </c>
      <c r="O362" s="7">
        <f t="shared" si="124"/>
        <v>18.122087092957599</v>
      </c>
      <c r="P362" s="49">
        <f t="shared" si="125"/>
        <v>-0.894309782339334</v>
      </c>
      <c r="Q362" s="54">
        <f t="shared" si="127"/>
        <v>133.68444206498199</v>
      </c>
      <c r="R362" s="55">
        <f t="shared" si="126"/>
        <v>41.300106646598401</v>
      </c>
    </row>
    <row r="363" ht="12.800000000000001">
      <c r="A363" s="1">
        <v>359</v>
      </c>
      <c r="B363" s="44">
        <v>43904</v>
      </c>
      <c r="C363" s="45">
        <f t="shared" si="112"/>
        <v>17.845350356618699</v>
      </c>
      <c r="D363" s="3">
        <f t="shared" si="113"/>
        <v>17.586509651540599</v>
      </c>
      <c r="E363" s="46">
        <f t="shared" si="114"/>
        <v>0</v>
      </c>
      <c r="F363" s="46">
        <f t="shared" si="115"/>
        <v>17.586509651540599</v>
      </c>
      <c r="G363" s="46">
        <f t="shared" si="116"/>
        <v>100</v>
      </c>
      <c r="H363" s="46">
        <f t="shared" si="117"/>
        <v>100</v>
      </c>
      <c r="I363" s="47">
        <f t="shared" si="118"/>
        <v>0</v>
      </c>
      <c r="J363" s="47">
        <f t="shared" si="119"/>
        <v>19.3258347819128</v>
      </c>
      <c r="K363" s="48">
        <f t="shared" si="120"/>
        <v>0</v>
      </c>
      <c r="L363" s="7">
        <f t="shared" si="121"/>
        <v>17.586509651540599</v>
      </c>
      <c r="M363" s="7">
        <f t="shared" si="122"/>
        <v>0.25884070507801799</v>
      </c>
      <c r="N363" s="7">
        <f t="shared" si="123"/>
        <v>0.28444033525057</v>
      </c>
      <c r="O363" s="7">
        <f t="shared" si="124"/>
        <v>17.845350356618699</v>
      </c>
      <c r="P363" s="49">
        <f t="shared" si="125"/>
        <v>-0.28444033525057</v>
      </c>
      <c r="Q363" s="54">
        <f t="shared" si="127"/>
        <v>132.79013228264299</v>
      </c>
      <c r="R363" s="55">
        <f t="shared" si="126"/>
        <v>41.291409313728799</v>
      </c>
    </row>
    <row r="364" ht="12.800000000000001">
      <c r="A364" s="1">
        <v>360</v>
      </c>
      <c r="B364" s="44">
        <v>43905</v>
      </c>
      <c r="C364" s="45">
        <f t="shared" si="112"/>
        <v>17.568119379444699</v>
      </c>
      <c r="D364" s="3">
        <f t="shared" si="113"/>
        <v>17.568119379444699</v>
      </c>
      <c r="E364" s="46">
        <f t="shared" si="114"/>
        <v>0</v>
      </c>
      <c r="F364" s="46">
        <f t="shared" si="115"/>
        <v>17.865251045623101</v>
      </c>
      <c r="G364" s="46">
        <f t="shared" si="116"/>
        <v>100</v>
      </c>
      <c r="H364" s="46">
        <f t="shared" si="117"/>
        <v>98.336817851483602</v>
      </c>
      <c r="I364" s="47">
        <f t="shared" si="118"/>
        <v>0</v>
      </c>
      <c r="J364" s="47">
        <f t="shared" si="119"/>
        <v>19.6321440061792</v>
      </c>
      <c r="K364" s="48">
        <f t="shared" si="120"/>
        <v>0</v>
      </c>
      <c r="L364" s="7">
        <f t="shared" si="121"/>
        <v>17.568119379444699</v>
      </c>
      <c r="M364" s="7">
        <f t="shared" si="122"/>
        <v>0</v>
      </c>
      <c r="N364" s="7">
        <f t="shared" si="123"/>
        <v>0</v>
      </c>
      <c r="O364" s="7">
        <f t="shared" si="124"/>
        <v>17.568119379444699</v>
      </c>
      <c r="P364" s="49">
        <f t="shared" si="125"/>
        <v>0.32651831448181101</v>
      </c>
      <c r="Q364" s="54">
        <f t="shared" si="127"/>
        <v>132.50569194739199</v>
      </c>
      <c r="R364" s="55">
        <f t="shared" si="126"/>
        <v>41.288643077323798</v>
      </c>
    </row>
    <row r="365" ht="12.800000000000001">
      <c r="A365" s="1">
        <v>361</v>
      </c>
      <c r="B365" s="44">
        <v>43906</v>
      </c>
      <c r="C365" s="45">
        <f t="shared" si="112"/>
        <v>17.290476310957299</v>
      </c>
      <c r="D365" s="3">
        <f t="shared" si="113"/>
        <v>17.290476310957299</v>
      </c>
      <c r="E365" s="46">
        <f t="shared" si="114"/>
        <v>0</v>
      </c>
      <c r="F365" s="46">
        <f t="shared" si="115"/>
        <v>18.144406776185399</v>
      </c>
      <c r="G365" s="46">
        <f t="shared" si="116"/>
        <v>100</v>
      </c>
      <c r="H365" s="46">
        <f t="shared" si="117"/>
        <v>95.293698627012105</v>
      </c>
      <c r="I365" s="47">
        <f t="shared" si="118"/>
        <v>0</v>
      </c>
      <c r="J365" s="47">
        <f t="shared" si="119"/>
        <v>19.938908545258698</v>
      </c>
      <c r="K365" s="48">
        <f t="shared" si="120"/>
        <v>0</v>
      </c>
      <c r="L365" s="7">
        <f t="shared" si="121"/>
        <v>17.290476310957299</v>
      </c>
      <c r="M365" s="7">
        <f t="shared" si="122"/>
        <v>0</v>
      </c>
      <c r="N365" s="7">
        <f t="shared" si="123"/>
        <v>0</v>
      </c>
      <c r="O365" s="7">
        <f t="shared" si="124"/>
        <v>17.290476310957299</v>
      </c>
      <c r="P365" s="49">
        <f t="shared" si="125"/>
        <v>0.93838512662430495</v>
      </c>
      <c r="Q365" s="54">
        <f t="shared" si="127"/>
        <v>132.757111049543</v>
      </c>
      <c r="R365" s="55">
        <f t="shared" si="126"/>
        <v>41.291088175951103</v>
      </c>
    </row>
    <row r="366" ht="12.800000000000001">
      <c r="A366" s="1">
        <v>362</v>
      </c>
      <c r="B366" s="44">
        <v>43907</v>
      </c>
      <c r="C366" s="45">
        <f t="shared" si="112"/>
        <v>17.012503422789798</v>
      </c>
      <c r="D366" s="3">
        <f t="shared" si="113"/>
        <v>17.012503422789798</v>
      </c>
      <c r="E366" s="46">
        <f t="shared" si="114"/>
        <v>0</v>
      </c>
      <c r="F366" s="46">
        <f t="shared" si="115"/>
        <v>18.423894123359901</v>
      </c>
      <c r="G366" s="46">
        <f t="shared" si="116"/>
        <v>100</v>
      </c>
      <c r="H366" s="46">
        <f t="shared" si="117"/>
        <v>92.3393464426142</v>
      </c>
      <c r="I366" s="47">
        <f t="shared" si="118"/>
        <v>0</v>
      </c>
      <c r="J366" s="47">
        <f t="shared" si="119"/>
        <v>20.246037498197701</v>
      </c>
      <c r="K366" s="48">
        <f t="shared" si="120"/>
        <v>0</v>
      </c>
      <c r="L366" s="7">
        <f t="shared" si="121"/>
        <v>17.012503422789798</v>
      </c>
      <c r="M366" s="7">
        <f t="shared" si="122"/>
        <v>0</v>
      </c>
      <c r="N366" s="7">
        <f t="shared" si="123"/>
        <v>0</v>
      </c>
      <c r="O366" s="7">
        <f t="shared" si="124"/>
        <v>17.012503422789798</v>
      </c>
      <c r="P366" s="49">
        <f t="shared" si="125"/>
        <v>1.5509787918353599</v>
      </c>
      <c r="Q366" s="54">
        <f t="shared" si="127"/>
        <v>133.479667597044</v>
      </c>
      <c r="R366" s="55">
        <f t="shared" si="126"/>
        <v>41.2981151759179</v>
      </c>
    </row>
    <row r="367" ht="12.800000000000001">
      <c r="A367" s="1">
        <v>363</v>
      </c>
      <c r="B367" s="44">
        <v>43908</v>
      </c>
      <c r="C367" s="45">
        <f t="shared" si="112"/>
        <v>16.734283084308</v>
      </c>
      <c r="D367" s="3">
        <f t="shared" si="113"/>
        <v>16.734283084308</v>
      </c>
      <c r="E367" s="46">
        <f t="shared" si="114"/>
        <v>0</v>
      </c>
      <c r="F367" s="46">
        <f t="shared" si="115"/>
        <v>18.7036302690138</v>
      </c>
      <c r="G367" s="46">
        <f t="shared" si="116"/>
        <v>100</v>
      </c>
      <c r="H367" s="46">
        <f t="shared" si="117"/>
        <v>89.470775692307896</v>
      </c>
      <c r="I367" s="47">
        <f t="shared" si="118"/>
        <v>0</v>
      </c>
      <c r="J367" s="47">
        <f t="shared" si="119"/>
        <v>20.5534398560592</v>
      </c>
      <c r="K367" s="48">
        <f t="shared" si="120"/>
        <v>0</v>
      </c>
      <c r="L367" s="7">
        <f t="shared" si="121"/>
        <v>16.734283084308</v>
      </c>
      <c r="M367" s="7">
        <f t="shared" si="122"/>
        <v>0</v>
      </c>
      <c r="N367" s="7">
        <f t="shared" si="123"/>
        <v>0</v>
      </c>
      <c r="O367" s="7">
        <f t="shared" si="124"/>
        <v>16.734283084308</v>
      </c>
      <c r="P367" s="49">
        <f t="shared" si="125"/>
        <v>2.1641177853910598</v>
      </c>
      <c r="Q367" s="54">
        <f t="shared" si="127"/>
        <v>134.67392126675699</v>
      </c>
      <c r="R367" s="55">
        <f t="shared" si="126"/>
        <v>41.3097295201881</v>
      </c>
    </row>
    <row r="368" ht="12.800000000000001">
      <c r="A368" s="1">
        <v>364</v>
      </c>
      <c r="B368" s="44">
        <v>43909</v>
      </c>
      <c r="C368" s="45">
        <f t="shared" si="112"/>
        <v>16.455897738202701</v>
      </c>
      <c r="D368" s="3">
        <f t="shared" si="113"/>
        <v>16.455897738202701</v>
      </c>
      <c r="E368" s="46">
        <f t="shared" si="114"/>
        <v>0</v>
      </c>
      <c r="F368" s="46">
        <f t="shared" si="115"/>
        <v>18.983532321289999</v>
      </c>
      <c r="G368" s="46">
        <f t="shared" si="116"/>
        <v>100</v>
      </c>
      <c r="H368" s="46">
        <f t="shared" si="117"/>
        <v>86.685119816965994</v>
      </c>
      <c r="I368" s="47">
        <f t="shared" si="118"/>
        <v>0</v>
      </c>
      <c r="J368" s="47">
        <f t="shared" si="119"/>
        <v>20.861024528890098</v>
      </c>
      <c r="K368" s="48">
        <f t="shared" si="120"/>
        <v>0</v>
      </c>
      <c r="L368" s="7">
        <f t="shared" si="121"/>
        <v>16.455897738202701</v>
      </c>
      <c r="M368" s="7">
        <f t="shared" si="122"/>
        <v>0</v>
      </c>
      <c r="N368" s="7">
        <f t="shared" si="123"/>
        <v>0</v>
      </c>
      <c r="O368" s="7">
        <f t="shared" si="124"/>
        <v>16.455897738202701</v>
      </c>
      <c r="P368" s="49">
        <f t="shared" si="125"/>
        <v>2.7776204209750599</v>
      </c>
      <c r="Q368" s="54">
        <f t="shared" si="127"/>
        <v>136.340291961508</v>
      </c>
      <c r="R368" s="55">
        <f t="shared" si="126"/>
        <v>41.3259352923968</v>
      </c>
    </row>
    <row r="369" ht="12.800000000000001">
      <c r="A369" s="1">
        <v>365</v>
      </c>
      <c r="B369" s="44">
        <v>43910</v>
      </c>
      <c r="C369" s="45">
        <f t="shared" si="112"/>
        <v>16.17742987606</v>
      </c>
      <c r="D369" s="3">
        <f t="shared" si="113"/>
        <v>16.17742987606</v>
      </c>
      <c r="E369" s="46">
        <f t="shared" si="114"/>
        <v>0</v>
      </c>
      <c r="F369" s="46">
        <f t="shared" si="115"/>
        <v>19.2635173391695</v>
      </c>
      <c r="G369" s="46">
        <f t="shared" si="116"/>
        <v>100</v>
      </c>
      <c r="H369" s="46">
        <f t="shared" si="117"/>
        <v>83.9796263124056</v>
      </c>
      <c r="I369" s="47">
        <f t="shared" si="118"/>
        <v>0</v>
      </c>
      <c r="J369" s="47">
        <f t="shared" si="119"/>
        <v>21.168700372713801</v>
      </c>
      <c r="K369" s="48">
        <f t="shared" si="120"/>
        <v>0</v>
      </c>
      <c r="L369" s="7">
        <f t="shared" si="121"/>
        <v>16.17742987606</v>
      </c>
      <c r="M369" s="7">
        <f t="shared" si="122"/>
        <v>0</v>
      </c>
      <c r="N369" s="7">
        <f t="shared" si="123"/>
        <v>0</v>
      </c>
      <c r="O369" s="7">
        <f t="shared" si="124"/>
        <v>16.17742987606</v>
      </c>
      <c r="P369" s="49">
        <f t="shared" si="125"/>
        <v>3.39130490451593</v>
      </c>
      <c r="Q369" s="54">
        <f t="shared" si="127"/>
        <v>138.479059685659</v>
      </c>
      <c r="R369" s="55">
        <f t="shared" si="126"/>
        <v>41.346735215639498</v>
      </c>
    </row>
    <row r="370" ht="12.800000000000001">
      <c r="A370" s="1">
        <v>366</v>
      </c>
      <c r="B370" s="44">
        <v>43911</v>
      </c>
      <c r="C370" s="45">
        <f t="shared" si="112"/>
        <v>15.8989620139174</v>
      </c>
      <c r="D370" s="3">
        <f t="shared" si="113"/>
        <v>15.8989620139174</v>
      </c>
      <c r="E370" s="46">
        <f t="shared" si="114"/>
        <v>0</v>
      </c>
      <c r="F370" s="46">
        <f t="shared" si="115"/>
        <v>19.543502357049</v>
      </c>
      <c r="G370" s="46">
        <f t="shared" si="116"/>
        <v>100</v>
      </c>
      <c r="H370" s="46">
        <f t="shared" si="117"/>
        <v>81.351651937570296</v>
      </c>
      <c r="I370" s="47">
        <f t="shared" si="118"/>
        <v>0</v>
      </c>
      <c r="J370" s="47">
        <f t="shared" si="119"/>
        <v>21.4763762165374</v>
      </c>
      <c r="K370" s="48">
        <f t="shared" si="120"/>
        <v>0</v>
      </c>
      <c r="L370" s="7">
        <f t="shared" si="121"/>
        <v>15.8989620139174</v>
      </c>
      <c r="M370" s="7">
        <f t="shared" si="122"/>
        <v>0</v>
      </c>
      <c r="N370" s="7">
        <f t="shared" si="123"/>
        <v>0</v>
      </c>
      <c r="O370" s="7">
        <f t="shared" si="124"/>
        <v>15.8989620139174</v>
      </c>
      <c r="P370" s="49">
        <f t="shared" si="125"/>
        <v>4.00498938805677</v>
      </c>
      <c r="Q370" s="54">
        <f t="shared" si="127"/>
        <v>141.09036446213599</v>
      </c>
      <c r="R370" s="55">
        <f t="shared" si="126"/>
        <v>41.372130651665898</v>
      </c>
    </row>
    <row r="371" ht="12.800000000000001">
      <c r="A371" s="1">
        <v>367</v>
      </c>
      <c r="B371" s="44">
        <v>43912</v>
      </c>
      <c r="C371" s="45">
        <f t="shared" si="112"/>
        <v>15.620576667812101</v>
      </c>
      <c r="D371" s="3">
        <f t="shared" si="113"/>
        <v>15.620576667812101</v>
      </c>
      <c r="E371" s="46">
        <f t="shared" si="114"/>
        <v>0</v>
      </c>
      <c r="F371" s="46">
        <f t="shared" si="115"/>
        <v>19.8234044093252</v>
      </c>
      <c r="G371" s="46">
        <f t="shared" si="116"/>
        <v>100</v>
      </c>
      <c r="H371" s="46">
        <f t="shared" si="117"/>
        <v>78.798658117795199</v>
      </c>
      <c r="I371" s="47">
        <f t="shared" si="118"/>
        <v>0</v>
      </c>
      <c r="J371" s="47">
        <f t="shared" si="119"/>
        <v>21.783960889368299</v>
      </c>
      <c r="K371" s="48">
        <f t="shared" si="120"/>
        <v>0</v>
      </c>
      <c r="L371" s="7">
        <f t="shared" si="121"/>
        <v>15.620576667812101</v>
      </c>
      <c r="M371" s="7">
        <f t="shared" si="122"/>
        <v>0</v>
      </c>
      <c r="N371" s="7">
        <f t="shared" si="123"/>
        <v>0</v>
      </c>
      <c r="O371" s="7">
        <f t="shared" si="124"/>
        <v>15.620576667812101</v>
      </c>
      <c r="P371" s="49">
        <f t="shared" si="125"/>
        <v>4.6184920236407603</v>
      </c>
      <c r="Q371" s="54">
        <f t="shared" si="127"/>
        <v>144.17420629093999</v>
      </c>
      <c r="R371" s="55">
        <f t="shared" si="126"/>
        <v>41.4021216004761</v>
      </c>
    </row>
    <row r="372" ht="12.800000000000001">
      <c r="A372" s="1">
        <v>368</v>
      </c>
      <c r="B372" s="44">
        <v>43913</v>
      </c>
      <c r="C372" s="45">
        <f t="shared" si="112"/>
        <v>15.3423563293303</v>
      </c>
      <c r="D372" s="3">
        <f t="shared" si="113"/>
        <v>15.3423563293303</v>
      </c>
      <c r="E372" s="46">
        <f t="shared" si="114"/>
        <v>0</v>
      </c>
      <c r="F372" s="46">
        <f t="shared" si="115"/>
        <v>20.103140554979099</v>
      </c>
      <c r="G372" s="46">
        <f t="shared" si="116"/>
        <v>100</v>
      </c>
      <c r="H372" s="46">
        <f t="shared" si="117"/>
        <v>76.318206537785699</v>
      </c>
      <c r="I372" s="47">
        <f t="shared" si="118"/>
        <v>0</v>
      </c>
      <c r="J372" s="47">
        <f t="shared" si="119"/>
        <v>22.0913632472298</v>
      </c>
      <c r="K372" s="48">
        <f t="shared" si="120"/>
        <v>0</v>
      </c>
      <c r="L372" s="7">
        <f t="shared" si="121"/>
        <v>15.3423563293303</v>
      </c>
      <c r="M372" s="7">
        <f t="shared" si="122"/>
        <v>0</v>
      </c>
      <c r="N372" s="7">
        <f t="shared" si="123"/>
        <v>0</v>
      </c>
      <c r="O372" s="7">
        <f t="shared" si="124"/>
        <v>15.3423563293303</v>
      </c>
      <c r="P372" s="49">
        <f t="shared" si="125"/>
        <v>5.2316310171964702</v>
      </c>
      <c r="Q372" s="54">
        <f t="shared" si="127"/>
        <v>147.73044514914301</v>
      </c>
      <c r="R372" s="55">
        <f t="shared" si="126"/>
        <v>41.4367067003204</v>
      </c>
    </row>
    <row r="373" ht="12.800000000000001">
      <c r="A373" s="1">
        <v>369</v>
      </c>
      <c r="B373" s="44">
        <v>43914</v>
      </c>
      <c r="C373" s="45">
        <f t="shared" si="112"/>
        <v>15.0643834411627</v>
      </c>
      <c r="D373" s="3">
        <f t="shared" si="113"/>
        <v>15.0643834411627</v>
      </c>
      <c r="E373" s="46">
        <f t="shared" si="114"/>
        <v>0</v>
      </c>
      <c r="F373" s="46">
        <f t="shared" si="115"/>
        <v>20.382627902153601</v>
      </c>
      <c r="G373" s="46">
        <f t="shared" si="116"/>
        <v>100</v>
      </c>
      <c r="H373" s="46">
        <f t="shared" si="117"/>
        <v>73.907954918664203</v>
      </c>
      <c r="I373" s="47">
        <f t="shared" si="118"/>
        <v>0</v>
      </c>
      <c r="J373" s="47">
        <f t="shared" si="119"/>
        <v>22.3984922001688</v>
      </c>
      <c r="K373" s="48">
        <f t="shared" si="120"/>
        <v>0</v>
      </c>
      <c r="L373" s="7">
        <f t="shared" si="121"/>
        <v>15.0643834411627</v>
      </c>
      <c r="M373" s="7">
        <f t="shared" si="122"/>
        <v>0</v>
      </c>
      <c r="N373" s="7">
        <f t="shared" si="123"/>
        <v>0</v>
      </c>
      <c r="O373" s="7">
        <f t="shared" si="124"/>
        <v>15.0643834411627</v>
      </c>
      <c r="P373" s="49">
        <f t="shared" si="125"/>
        <v>5.8442246824075301</v>
      </c>
      <c r="Q373" s="54">
        <f t="shared" si="127"/>
        <v>151.75880103238401</v>
      </c>
      <c r="R373" s="55">
        <f t="shared" si="126"/>
        <v>41.475883228103001</v>
      </c>
    </row>
    <row r="374" ht="12.800000000000001">
      <c r="A374" s="1">
        <v>370</v>
      </c>
      <c r="B374" s="44">
        <v>43915</v>
      </c>
      <c r="C374" s="45">
        <f t="shared" si="112"/>
        <v>14.7867403726754</v>
      </c>
      <c r="D374" s="3">
        <f t="shared" si="113"/>
        <v>14.7867403726754</v>
      </c>
      <c r="E374" s="46">
        <f t="shared" si="114"/>
        <v>0</v>
      </c>
      <c r="F374" s="46">
        <f t="shared" si="115"/>
        <v>20.661783632715899</v>
      </c>
      <c r="G374" s="46">
        <f t="shared" si="116"/>
        <v>100</v>
      </c>
      <c r="H374" s="46">
        <f t="shared" si="117"/>
        <v>71.565652973260299</v>
      </c>
      <c r="I374" s="47">
        <f t="shared" si="118"/>
        <v>0</v>
      </c>
      <c r="J374" s="47">
        <f t="shared" si="119"/>
        <v>22.705256739248199</v>
      </c>
      <c r="K374" s="48">
        <f t="shared" si="120"/>
        <v>0</v>
      </c>
      <c r="L374" s="7">
        <f t="shared" si="121"/>
        <v>14.7867403726754</v>
      </c>
      <c r="M374" s="7">
        <f t="shared" si="122"/>
        <v>0</v>
      </c>
      <c r="N374" s="7">
        <f t="shared" si="123"/>
        <v>0</v>
      </c>
      <c r="O374" s="7">
        <f t="shared" si="124"/>
        <v>14.7867403726754</v>
      </c>
      <c r="P374" s="49">
        <f t="shared" si="125"/>
        <v>6.4560914945500398</v>
      </c>
      <c r="Q374" s="54">
        <f t="shared" si="127"/>
        <v>156.25885403783801</v>
      </c>
      <c r="R374" s="55">
        <f t="shared" si="126"/>
        <v>41.519647100189097</v>
      </c>
    </row>
    <row r="375" ht="12.800000000000001">
      <c r="A375" s="1">
        <v>371</v>
      </c>
      <c r="B375" s="44">
        <v>43916</v>
      </c>
      <c r="C375" s="45">
        <f t="shared" si="112"/>
        <v>14.5095093955014</v>
      </c>
      <c r="D375" s="3">
        <f t="shared" si="113"/>
        <v>14.5095093955014</v>
      </c>
      <c r="E375" s="46">
        <f t="shared" si="114"/>
        <v>0</v>
      </c>
      <c r="F375" s="46">
        <f t="shared" si="115"/>
        <v>20.940525026798401</v>
      </c>
      <c r="G375" s="46">
        <f t="shared" si="116"/>
        <v>100</v>
      </c>
      <c r="H375" s="46">
        <f t="shared" si="117"/>
        <v>69.289138533694995</v>
      </c>
      <c r="I375" s="47">
        <f t="shared" si="118"/>
        <v>0</v>
      </c>
      <c r="J375" s="47">
        <f t="shared" si="119"/>
        <v>23.011565963514698</v>
      </c>
      <c r="K375" s="48">
        <f t="shared" si="120"/>
        <v>0</v>
      </c>
      <c r="L375" s="7">
        <f t="shared" si="121"/>
        <v>14.5095093955014</v>
      </c>
      <c r="M375" s="7">
        <f t="shared" si="122"/>
        <v>0</v>
      </c>
      <c r="N375" s="7">
        <f t="shared" si="123"/>
        <v>0</v>
      </c>
      <c r="O375" s="7">
        <f t="shared" si="124"/>
        <v>14.5095093955014</v>
      </c>
      <c r="P375" s="49">
        <f t="shared" si="125"/>
        <v>7.0670501442824003</v>
      </c>
      <c r="Q375" s="54">
        <f t="shared" si="127"/>
        <v>161.23004448864199</v>
      </c>
      <c r="R375" s="55">
        <f t="shared" si="126"/>
        <v>41.567992873614699</v>
      </c>
    </row>
    <row r="376" ht="12.800000000000001">
      <c r="A376" s="1">
        <v>372</v>
      </c>
      <c r="B376" s="44">
        <v>43917</v>
      </c>
      <c r="C376" s="45">
        <f t="shared" si="112"/>
        <v>14.232772659162499</v>
      </c>
      <c r="D376" s="3">
        <f t="shared" si="113"/>
        <v>14.232772659162499</v>
      </c>
      <c r="E376" s="46">
        <f t="shared" si="114"/>
        <v>0</v>
      </c>
      <c r="F376" s="46">
        <f t="shared" si="115"/>
        <v>21.218769487310201</v>
      </c>
      <c r="G376" s="46">
        <f t="shared" si="116"/>
        <v>100</v>
      </c>
      <c r="H376" s="46">
        <f t="shared" si="117"/>
        <v>67.076333845251</v>
      </c>
      <c r="I376" s="47">
        <f t="shared" si="118"/>
        <v>0</v>
      </c>
      <c r="J376" s="47">
        <f t="shared" si="119"/>
        <v>23.317329106934299</v>
      </c>
      <c r="K376" s="48">
        <f t="shared" si="120"/>
        <v>0</v>
      </c>
      <c r="L376" s="7">
        <f t="shared" si="121"/>
        <v>14.232772659162499</v>
      </c>
      <c r="M376" s="7">
        <f t="shared" si="122"/>
        <v>0</v>
      </c>
      <c r="N376" s="7">
        <f t="shared" si="123"/>
        <v>0</v>
      </c>
      <c r="O376" s="7">
        <f t="shared" si="124"/>
        <v>14.232772659162499</v>
      </c>
      <c r="P376" s="49">
        <f t="shared" si="125"/>
        <v>7.6769195913711599</v>
      </c>
      <c r="Q376" s="54">
        <f t="shared" si="127"/>
        <v>166.671673099739</v>
      </c>
      <c r="R376" s="55">
        <f t="shared" si="126"/>
        <v>41.620913747699397</v>
      </c>
    </row>
    <row r="377" ht="12.800000000000001">
      <c r="A377" s="1">
        <v>373</v>
      </c>
      <c r="B377" s="44">
        <v>43918</v>
      </c>
      <c r="C377" s="45">
        <f t="shared" si="112"/>
        <v>13.956612166726099</v>
      </c>
      <c r="D377" s="3">
        <f t="shared" si="113"/>
        <v>13.956612166726099</v>
      </c>
      <c r="E377" s="46">
        <f t="shared" si="114"/>
        <v>0</v>
      </c>
      <c r="F377" s="46">
        <f t="shared" si="115"/>
        <v>21.496434564412802</v>
      </c>
      <c r="G377" s="46">
        <f t="shared" si="116"/>
        <v>100</v>
      </c>
      <c r="H377" s="46">
        <f t="shared" si="117"/>
        <v>64.9252420205124</v>
      </c>
      <c r="I377" s="47">
        <f t="shared" si="118"/>
        <v>0</v>
      </c>
      <c r="J377" s="47">
        <f t="shared" si="119"/>
        <v>23.622455565288799</v>
      </c>
      <c r="K377" s="48">
        <f t="shared" si="120"/>
        <v>0</v>
      </c>
      <c r="L377" s="7">
        <f t="shared" si="121"/>
        <v>13.956612166726099</v>
      </c>
      <c r="M377" s="7">
        <f t="shared" si="122"/>
        <v>0</v>
      </c>
      <c r="N377" s="7">
        <f t="shared" si="123"/>
        <v>0</v>
      </c>
      <c r="O377" s="7">
        <f t="shared" si="124"/>
        <v>13.956612166726099</v>
      </c>
      <c r="P377" s="49">
        <f t="shared" si="125"/>
        <v>8.2855191183370298</v>
      </c>
      <c r="Q377" s="54">
        <f t="shared" si="127"/>
        <v>172.58290118509501</v>
      </c>
      <c r="R377" s="55">
        <f t="shared" si="126"/>
        <v>41.678401566062</v>
      </c>
    </row>
    <row r="378" ht="12.800000000000001">
      <c r="A378" s="1">
        <v>374</v>
      </c>
      <c r="B378" s="44">
        <v>43919</v>
      </c>
      <c r="C378" s="45">
        <f t="shared" si="112"/>
        <v>13.681109750506099</v>
      </c>
      <c r="D378" s="3">
        <f t="shared" si="113"/>
        <v>13.681109750506099</v>
      </c>
      <c r="E378" s="46">
        <f t="shared" si="114"/>
        <v>0</v>
      </c>
      <c r="F378" s="46">
        <f t="shared" si="115"/>
        <v>21.773437979951201</v>
      </c>
      <c r="G378" s="46">
        <f t="shared" si="116"/>
        <v>100</v>
      </c>
      <c r="H378" s="46">
        <f t="shared" si="117"/>
        <v>62.833943647776501</v>
      </c>
      <c r="I378" s="47">
        <f t="shared" si="118"/>
        <v>0</v>
      </c>
      <c r="J378" s="47">
        <f t="shared" si="119"/>
        <v>23.926854923023299</v>
      </c>
      <c r="K378" s="48">
        <f t="shared" si="120"/>
        <v>0</v>
      </c>
      <c r="L378" s="7">
        <f t="shared" si="121"/>
        <v>13.681109750506099</v>
      </c>
      <c r="M378" s="7">
        <f t="shared" si="122"/>
        <v>0</v>
      </c>
      <c r="N378" s="7">
        <f t="shared" si="123"/>
        <v>0</v>
      </c>
      <c r="O378" s="7">
        <f t="shared" si="124"/>
        <v>13.681109750506099</v>
      </c>
      <c r="P378" s="49">
        <f t="shared" si="125"/>
        <v>8.8926683840055993</v>
      </c>
      <c r="Q378" s="54">
        <f t="shared" si="127"/>
        <v>178.96275090621501</v>
      </c>
      <c r="R378" s="55">
        <f t="shared" si="126"/>
        <v>41.740446819036798</v>
      </c>
    </row>
    <row r="379" ht="12.800000000000001">
      <c r="A379" s="1">
        <v>375</v>
      </c>
      <c r="B379" s="44">
        <v>43920</v>
      </c>
      <c r="C379" s="45">
        <f t="shared" si="112"/>
        <v>13.4063470478143</v>
      </c>
      <c r="D379" s="3">
        <f t="shared" si="113"/>
        <v>13.4063470478143</v>
      </c>
      <c r="E379" s="46">
        <f t="shared" si="114"/>
        <v>0</v>
      </c>
      <c r="F379" s="46">
        <f t="shared" si="115"/>
        <v>22.049697651835199</v>
      </c>
      <c r="G379" s="46">
        <f t="shared" si="116"/>
        <v>100</v>
      </c>
      <c r="H379" s="46">
        <f t="shared" si="117"/>
        <v>60.800593547814501</v>
      </c>
      <c r="I379" s="47">
        <f t="shared" si="118"/>
        <v>0</v>
      </c>
      <c r="J379" s="47">
        <f t="shared" si="119"/>
        <v>24.2304369800387</v>
      </c>
      <c r="K379" s="48">
        <f t="shared" si="120"/>
        <v>0</v>
      </c>
      <c r="L379" s="7">
        <f t="shared" si="121"/>
        <v>13.4063470478143</v>
      </c>
      <c r="M379" s="7">
        <f t="shared" si="122"/>
        <v>0</v>
      </c>
      <c r="N379" s="7">
        <f t="shared" si="123"/>
        <v>0</v>
      </c>
      <c r="O379" s="7">
        <f t="shared" si="124"/>
        <v>13.4063470478143</v>
      </c>
      <c r="P379" s="49">
        <f t="shared" si="125"/>
        <v>9.4981874769460308</v>
      </c>
      <c r="Q379" s="54">
        <f t="shared" si="127"/>
        <v>185.81010556189901</v>
      </c>
      <c r="R379" s="55">
        <f t="shared" si="126"/>
        <v>41.807038646492302</v>
      </c>
    </row>
    <row r="380" ht="12.800000000000001">
      <c r="A380" s="1">
        <v>376</v>
      </c>
      <c r="B380" s="44">
        <v>43921</v>
      </c>
      <c r="C380" s="45">
        <f t="shared" si="112"/>
        <v>13.132405476769399</v>
      </c>
      <c r="D380" s="3">
        <f t="shared" si="113"/>
        <v>13.132405476769399</v>
      </c>
      <c r="E380" s="46">
        <f t="shared" si="114"/>
        <v>0</v>
      </c>
      <c r="F380" s="46">
        <f t="shared" si="115"/>
        <v>22.325131718361899</v>
      </c>
      <c r="G380" s="46">
        <f t="shared" si="116"/>
        <v>100</v>
      </c>
      <c r="H380" s="46">
        <f t="shared" si="117"/>
        <v>58.8234176731345</v>
      </c>
      <c r="I380" s="47">
        <f t="shared" si="118"/>
        <v>0</v>
      </c>
      <c r="J380" s="47">
        <f t="shared" si="119"/>
        <v>24.533111778419698</v>
      </c>
      <c r="K380" s="48">
        <f t="shared" si="120"/>
        <v>0</v>
      </c>
      <c r="L380" s="7">
        <f t="shared" si="121"/>
        <v>13.132405476769399</v>
      </c>
      <c r="M380" s="7">
        <f t="shared" si="122"/>
        <v>0</v>
      </c>
      <c r="N380" s="7">
        <f t="shared" si="123"/>
        <v>0</v>
      </c>
      <c r="O380" s="7">
        <f t="shared" si="124"/>
        <v>13.132405476769399</v>
      </c>
      <c r="P380" s="49">
        <f t="shared" si="125"/>
        <v>10.101896968782899</v>
      </c>
      <c r="Q380" s="54">
        <f t="shared" si="127"/>
        <v>193.12370991914699</v>
      </c>
      <c r="R380" s="55">
        <f t="shared" si="126"/>
        <v>41.878164841048502</v>
      </c>
    </row>
    <row r="381" ht="12.800000000000001">
      <c r="A381" s="1">
        <v>377</v>
      </c>
      <c r="B381" s="44">
        <v>43922</v>
      </c>
      <c r="C381" s="45">
        <f t="shared" si="112"/>
        <v>12.8593662121711</v>
      </c>
      <c r="D381" s="3">
        <f t="shared" si="113"/>
        <v>12.8593662121711</v>
      </c>
      <c r="E381" s="46">
        <f t="shared" si="114"/>
        <v>0</v>
      </c>
      <c r="F381" s="46">
        <f t="shared" si="115"/>
        <v>22.599658562473</v>
      </c>
      <c r="G381" s="46">
        <f t="shared" si="116"/>
        <v>100</v>
      </c>
      <c r="H381" s="46">
        <f t="shared" si="117"/>
        <v>56.9007101440206</v>
      </c>
      <c r="I381" s="47">
        <f t="shared" si="118"/>
        <v>0</v>
      </c>
      <c r="J381" s="47">
        <f t="shared" si="119"/>
        <v>24.834789629091201</v>
      </c>
      <c r="K381" s="48">
        <f t="shared" si="120"/>
        <v>0</v>
      </c>
      <c r="L381" s="7">
        <f t="shared" si="121"/>
        <v>12.8593662121711</v>
      </c>
      <c r="M381" s="7">
        <f t="shared" si="122"/>
        <v>0</v>
      </c>
      <c r="N381" s="7">
        <f t="shared" si="123"/>
        <v>0</v>
      </c>
      <c r="O381" s="7">
        <f t="shared" si="124"/>
        <v>12.8593662121711</v>
      </c>
      <c r="P381" s="49">
        <f t="shared" si="125"/>
        <v>10.7036179673647</v>
      </c>
      <c r="Q381" s="54">
        <f t="shared" si="127"/>
        <v>200.90217058511001</v>
      </c>
      <c r="R381" s="55">
        <f t="shared" si="126"/>
        <v>41.953811851694702</v>
      </c>
    </row>
    <row r="382" ht="12.800000000000001">
      <c r="A382" s="1">
        <v>378</v>
      </c>
      <c r="B382" s="44">
        <v>43923</v>
      </c>
      <c r="C382" s="45">
        <f t="shared" si="112"/>
        <v>12.587310161446</v>
      </c>
      <c r="D382" s="3">
        <f t="shared" si="113"/>
        <v>12.587310161446</v>
      </c>
      <c r="E382" s="46">
        <f t="shared" si="114"/>
        <v>0</v>
      </c>
      <c r="F382" s="46">
        <f t="shared" si="115"/>
        <v>22.873196835939801</v>
      </c>
      <c r="G382" s="46">
        <f t="shared" si="116"/>
        <v>100</v>
      </c>
      <c r="H382" s="46">
        <f t="shared" si="117"/>
        <v>55.030830415746898</v>
      </c>
      <c r="I382" s="47">
        <f t="shared" si="118"/>
        <v>0</v>
      </c>
      <c r="J382" s="47">
        <f t="shared" si="119"/>
        <v>25.135381138395299</v>
      </c>
      <c r="K382" s="48">
        <f t="shared" si="120"/>
        <v>0</v>
      </c>
      <c r="L382" s="7">
        <f t="shared" si="121"/>
        <v>12.587310161446</v>
      </c>
      <c r="M382" s="7">
        <f t="shared" si="122"/>
        <v>0</v>
      </c>
      <c r="N382" s="7">
        <f t="shared" si="123"/>
        <v>0</v>
      </c>
      <c r="O382" s="7">
        <f t="shared" si="124"/>
        <v>12.587310161446</v>
      </c>
      <c r="P382" s="49">
        <f t="shared" si="125"/>
        <v>11.303172169773401</v>
      </c>
      <c r="Q382" s="54">
        <f t="shared" si="127"/>
        <v>209.14395641998101</v>
      </c>
      <c r="R382" s="55">
        <f t="shared" si="126"/>
        <v>42.033964787804898</v>
      </c>
    </row>
    <row r="383" ht="12.800000000000001">
      <c r="A383" s="1">
        <v>379</v>
      </c>
      <c r="B383" s="44">
        <v>43924</v>
      </c>
      <c r="C383" s="45">
        <f t="shared" si="112"/>
        <v>12.3163179406735</v>
      </c>
      <c r="D383" s="3">
        <f t="shared" si="113"/>
        <v>12.3163179406735</v>
      </c>
      <c r="E383" s="46">
        <f t="shared" si="114"/>
        <v>0</v>
      </c>
      <c r="F383" s="46">
        <f t="shared" si="115"/>
        <v>23.145665483468399</v>
      </c>
      <c r="G383" s="46">
        <f t="shared" si="116"/>
        <v>100</v>
      </c>
      <c r="H383" s="46">
        <f t="shared" si="117"/>
        <v>53.2122005715079</v>
      </c>
      <c r="I383" s="47">
        <f t="shared" si="118"/>
        <v>0</v>
      </c>
      <c r="J383" s="47">
        <f t="shared" si="119"/>
        <v>25.434797234580699</v>
      </c>
      <c r="K383" s="48">
        <f t="shared" si="120"/>
        <v>0</v>
      </c>
      <c r="L383" s="7">
        <f t="shared" si="121"/>
        <v>12.3163179406735</v>
      </c>
      <c r="M383" s="7">
        <f t="shared" si="122"/>
        <v>0</v>
      </c>
      <c r="N383" s="7">
        <f t="shared" si="123"/>
        <v>0</v>
      </c>
      <c r="O383" s="7">
        <f t="shared" si="124"/>
        <v>12.3163179406735</v>
      </c>
      <c r="P383" s="49">
        <f t="shared" si="125"/>
        <v>11.900381915159199</v>
      </c>
      <c r="Q383" s="54">
        <f t="shared" si="127"/>
        <v>217.84739899070601</v>
      </c>
      <c r="R383" s="55">
        <f t="shared" si="126"/>
        <v>42.118607423549904</v>
      </c>
    </row>
    <row r="384" ht="12.800000000000001">
      <c r="A384" s="1">
        <v>380</v>
      </c>
      <c r="B384" s="44">
        <v>43925</v>
      </c>
      <c r="C384" s="45">
        <f t="shared" si="112"/>
        <v>12.046469850696999</v>
      </c>
      <c r="D384" s="3">
        <f t="shared" si="113"/>
        <v>12.046469850696999</v>
      </c>
      <c r="E384" s="46">
        <f t="shared" si="114"/>
        <v>0</v>
      </c>
      <c r="F384" s="46">
        <f t="shared" si="115"/>
        <v>23.4169837667183</v>
      </c>
      <c r="G384" s="46">
        <f t="shared" si="116"/>
        <v>100</v>
      </c>
      <c r="H384" s="46">
        <f t="shared" si="117"/>
        <v>51.443302735761698</v>
      </c>
      <c r="I384" s="47">
        <f t="shared" si="118"/>
        <v>0</v>
      </c>
      <c r="J384" s="47">
        <f t="shared" si="119"/>
        <v>25.7329491941959</v>
      </c>
      <c r="K384" s="48">
        <f t="shared" si="120"/>
        <v>0</v>
      </c>
      <c r="L384" s="7">
        <f t="shared" si="121"/>
        <v>12.046469850696999</v>
      </c>
      <c r="M384" s="7">
        <f t="shared" si="122"/>
        <v>0</v>
      </c>
      <c r="N384" s="7">
        <f t="shared" si="123"/>
        <v>0</v>
      </c>
      <c r="O384" s="7">
        <f t="shared" si="124"/>
        <v>12.046469850696999</v>
      </c>
      <c r="P384" s="49">
        <f t="shared" si="125"/>
        <v>12.495070237386001</v>
      </c>
      <c r="Q384" s="54">
        <f t="shared" si="127"/>
        <v>227.010693065379</v>
      </c>
      <c r="R384" s="55">
        <f t="shared" si="126"/>
        <v>42.207722202706002</v>
      </c>
    </row>
    <row r="385" ht="12.800000000000001">
      <c r="A385" s="1">
        <v>381</v>
      </c>
      <c r="B385" s="44">
        <v>43926</v>
      </c>
      <c r="C385" s="45">
        <f t="shared" si="112"/>
        <v>11.7778458533296</v>
      </c>
      <c r="D385" s="3">
        <f t="shared" si="113"/>
        <v>11.7778458533296</v>
      </c>
      <c r="E385" s="46">
        <f t="shared" si="114"/>
        <v>0</v>
      </c>
      <c r="F385" s="46">
        <f t="shared" si="115"/>
        <v>23.687071288226502</v>
      </c>
      <c r="G385" s="46">
        <f t="shared" si="116"/>
        <v>100</v>
      </c>
      <c r="H385" s="46">
        <f t="shared" si="117"/>
        <v>49.722676602842199</v>
      </c>
      <c r="I385" s="47">
        <f t="shared" si="118"/>
        <v>0</v>
      </c>
      <c r="J385" s="47">
        <f t="shared" si="119"/>
        <v>26.029748668380801</v>
      </c>
      <c r="K385" s="48">
        <f t="shared" si="120"/>
        <v>0</v>
      </c>
      <c r="L385" s="7">
        <f t="shared" si="121"/>
        <v>11.7778458533296</v>
      </c>
      <c r="M385" s="7">
        <f t="shared" si="122"/>
        <v>0</v>
      </c>
      <c r="N385" s="7">
        <f t="shared" si="123"/>
        <v>0</v>
      </c>
      <c r="O385" s="7">
        <f t="shared" si="124"/>
        <v>11.7778458533296</v>
      </c>
      <c r="P385" s="49">
        <f t="shared" si="125"/>
        <v>13.0870609174692</v>
      </c>
      <c r="Q385" s="54">
        <f t="shared" si="127"/>
        <v>236.63189714816599</v>
      </c>
      <c r="R385" s="55">
        <f t="shared" si="126"/>
        <v>42.3012902438564</v>
      </c>
    </row>
    <row r="386" ht="12.800000000000001">
      <c r="A386" s="1">
        <v>382</v>
      </c>
      <c r="B386" s="44">
        <v>43927</v>
      </c>
      <c r="C386" s="45">
        <f t="shared" si="112"/>
        <v>11.5105255476588</v>
      </c>
      <c r="D386" s="3">
        <f t="shared" si="113"/>
        <v>11.5105255476588</v>
      </c>
      <c r="E386" s="46">
        <f t="shared" si="114"/>
        <v>0</v>
      </c>
      <c r="F386" s="46">
        <f t="shared" si="115"/>
        <v>23.955848015231499</v>
      </c>
      <c r="G386" s="46">
        <f t="shared" si="116"/>
        <v>100</v>
      </c>
      <c r="H386" s="46">
        <f t="shared" si="117"/>
        <v>48.0489170758648</v>
      </c>
      <c r="I386" s="47">
        <f t="shared" si="118"/>
        <v>0</v>
      </c>
      <c r="J386" s="47">
        <f t="shared" si="119"/>
        <v>26.3251077090456</v>
      </c>
      <c r="K386" s="48">
        <f t="shared" si="120"/>
        <v>0</v>
      </c>
      <c r="L386" s="7">
        <f t="shared" si="121"/>
        <v>11.5105255476588</v>
      </c>
      <c r="M386" s="7">
        <f t="shared" si="122"/>
        <v>0</v>
      </c>
      <c r="N386" s="7">
        <f t="shared" si="123"/>
        <v>0</v>
      </c>
      <c r="O386" s="7">
        <f t="shared" si="124"/>
        <v>11.5105255476588</v>
      </c>
      <c r="P386" s="49">
        <f t="shared" si="125"/>
        <v>13.6761785357942</v>
      </c>
      <c r="Q386" s="54">
        <f t="shared" si="127"/>
        <v>246.708934054618</v>
      </c>
      <c r="R386" s="55">
        <f t="shared" si="126"/>
        <v>42.399291345987102</v>
      </c>
    </row>
    <row r="387" ht="12.800000000000001">
      <c r="A387" s="1">
        <v>383</v>
      </c>
      <c r="B387" s="44">
        <v>43928</v>
      </c>
      <c r="C387" s="45">
        <f t="shared" si="112"/>
        <v>11.2445881464606</v>
      </c>
      <c r="D387" s="3">
        <f t="shared" si="113"/>
        <v>11.2445881464606</v>
      </c>
      <c r="E387" s="46">
        <f t="shared" si="114"/>
        <v>0</v>
      </c>
      <c r="F387" s="46">
        <f t="shared" si="115"/>
        <v>24.223234303388399</v>
      </c>
      <c r="G387" s="46">
        <f t="shared" si="116"/>
        <v>100</v>
      </c>
      <c r="H387" s="46">
        <f t="shared" si="117"/>
        <v>46.4206720111181</v>
      </c>
      <c r="I387" s="47">
        <f t="shared" si="118"/>
        <v>0</v>
      </c>
      <c r="J387" s="47">
        <f t="shared" si="119"/>
        <v>26.618938794932301</v>
      </c>
      <c r="K387" s="48">
        <f t="shared" si="120"/>
        <v>0</v>
      </c>
      <c r="L387" s="7">
        <f t="shared" si="121"/>
        <v>11.2445881464606</v>
      </c>
      <c r="M387" s="7">
        <f t="shared" si="122"/>
        <v>0</v>
      </c>
      <c r="N387" s="7">
        <f t="shared" si="123"/>
        <v>0</v>
      </c>
      <c r="O387" s="7">
        <f t="shared" si="124"/>
        <v>11.2445881464606</v>
      </c>
      <c r="P387" s="49">
        <f t="shared" si="125"/>
        <v>14.262248524096499</v>
      </c>
      <c r="Q387" s="54">
        <f t="shared" si="127"/>
        <v>257.23959152717902</v>
      </c>
      <c r="R387" s="55">
        <f t="shared" si="126"/>
        <v>42.501703994472201</v>
      </c>
    </row>
    <row r="388" ht="12.800000000000001">
      <c r="A388" s="1">
        <v>384</v>
      </c>
      <c r="B388" s="44">
        <v>43929</v>
      </c>
      <c r="C388" s="45">
        <f t="shared" si="112"/>
        <v>10.980112452726299</v>
      </c>
      <c r="D388" s="3">
        <f t="shared" si="113"/>
        <v>10.980112452726299</v>
      </c>
      <c r="E388" s="46">
        <f t="shared" si="114"/>
        <v>0</v>
      </c>
      <c r="F388" s="46">
        <f t="shared" si="115"/>
        <v>24.489150920369401</v>
      </c>
      <c r="G388" s="46">
        <f t="shared" si="116"/>
        <v>100</v>
      </c>
      <c r="H388" s="46">
        <f t="shared" si="117"/>
        <v>44.836640063307897</v>
      </c>
      <c r="I388" s="47">
        <f t="shared" si="118"/>
        <v>0</v>
      </c>
      <c r="J388" s="47">
        <f t="shared" si="119"/>
        <v>26.911154857548699</v>
      </c>
      <c r="K388" s="48">
        <f t="shared" si="120"/>
        <v>0</v>
      </c>
      <c r="L388" s="7">
        <f t="shared" si="121"/>
        <v>10.980112452726299</v>
      </c>
      <c r="M388" s="7">
        <f t="shared" si="122"/>
        <v>0</v>
      </c>
      <c r="N388" s="7">
        <f t="shared" si="123"/>
        <v>0</v>
      </c>
      <c r="O388" s="7">
        <f t="shared" si="124"/>
        <v>10.980112452726299</v>
      </c>
      <c r="P388" s="49">
        <f t="shared" si="125"/>
        <v>14.845097217190199</v>
      </c>
      <c r="Q388" s="54">
        <f t="shared" si="127"/>
        <v>268.22152289073301</v>
      </c>
      <c r="R388" s="55">
        <f t="shared" si="126"/>
        <v>42.608505367449503</v>
      </c>
    </row>
    <row r="389" ht="12.800000000000001">
      <c r="A389" s="1">
        <v>385</v>
      </c>
      <c r="B389" s="44">
        <v>43930</v>
      </c>
      <c r="C389" s="45">
        <f t="shared" si="112"/>
        <v>10.717176836311801</v>
      </c>
      <c r="D389" s="3">
        <f t="shared" si="113"/>
        <v>10.717176836311801</v>
      </c>
      <c r="E389" s="46">
        <f t="shared" si="114"/>
        <v>0</v>
      </c>
      <c r="F389" s="46">
        <f t="shared" si="115"/>
        <v>24.753519069341799</v>
      </c>
      <c r="G389" s="46">
        <f t="shared" si="116"/>
        <v>100</v>
      </c>
      <c r="H389" s="46">
        <f t="shared" si="117"/>
        <v>43.2955686271915</v>
      </c>
      <c r="I389" s="47">
        <f t="shared" si="118"/>
        <v>0</v>
      </c>
      <c r="J389" s="47">
        <f t="shared" si="119"/>
        <v>27.201669306968999</v>
      </c>
      <c r="K389" s="48">
        <f t="shared" si="120"/>
        <v>0</v>
      </c>
      <c r="L389" s="7">
        <f t="shared" si="121"/>
        <v>10.717176836311801</v>
      </c>
      <c r="M389" s="7">
        <f t="shared" si="122"/>
        <v>0</v>
      </c>
      <c r="N389" s="7">
        <f t="shared" si="123"/>
        <v>0</v>
      </c>
      <c r="O389" s="7">
        <f t="shared" si="124"/>
        <v>10.717176836311801</v>
      </c>
      <c r="P389" s="49">
        <f t="shared" si="125"/>
        <v>15.424551904428601</v>
      </c>
      <c r="Q389" s="54">
        <f t="shared" si="127"/>
        <v>279.65224774797002</v>
      </c>
      <c r="R389" s="55">
        <f t="shared" si="126"/>
        <v>42.719671342582998</v>
      </c>
    </row>
    <row r="390" ht="12.800000000000001">
      <c r="A390" s="1">
        <v>386</v>
      </c>
      <c r="B390" s="44">
        <v>43931</v>
      </c>
      <c r="C390" s="45">
        <f t="shared" si="112"/>
        <v>10.4558592107149</v>
      </c>
      <c r="D390" s="3">
        <f t="shared" si="113"/>
        <v>10.4558592107149</v>
      </c>
      <c r="E390" s="46">
        <f t="shared" si="114"/>
        <v>0</v>
      </c>
      <c r="F390" s="46">
        <f t="shared" si="115"/>
        <v>25.0162604123176</v>
      </c>
      <c r="G390" s="46">
        <f t="shared" si="116"/>
        <v>100</v>
      </c>
      <c r="H390" s="46">
        <f t="shared" si="117"/>
        <v>41.796251871309401</v>
      </c>
      <c r="I390" s="47">
        <f t="shared" si="118"/>
        <v>0</v>
      </c>
      <c r="J390" s="47">
        <f t="shared" si="119"/>
        <v>27.4903960574919</v>
      </c>
      <c r="K390" s="48">
        <f t="shared" si="120"/>
        <v>0</v>
      </c>
      <c r="L390" s="7">
        <f t="shared" si="121"/>
        <v>10.4558592107149</v>
      </c>
      <c r="M390" s="7">
        <f t="shared" si="122"/>
        <v>0</v>
      </c>
      <c r="N390" s="7">
        <f t="shared" si="123"/>
        <v>0</v>
      </c>
      <c r="O390" s="7">
        <f t="shared" si="124"/>
        <v>10.4558592107149</v>
      </c>
      <c r="P390" s="49">
        <f t="shared" si="125"/>
        <v>16.000440880882099</v>
      </c>
      <c r="Q390" s="54">
        <f t="shared" si="127"/>
        <v>291.52915271438002</v>
      </c>
      <c r="R390" s="55">
        <f t="shared" si="126"/>
        <v>42.835176504210899</v>
      </c>
    </row>
    <row r="391" ht="12.800000000000001">
      <c r="A391" s="1">
        <v>387</v>
      </c>
      <c r="B391" s="44">
        <v>43932</v>
      </c>
      <c r="C391" s="45">
        <f t="shared" si="112"/>
        <v>10.196237009987801</v>
      </c>
      <c r="D391" s="3">
        <f t="shared" si="113"/>
        <v>10.196237009987801</v>
      </c>
      <c r="E391" s="46">
        <f t="shared" si="114"/>
        <v>0</v>
      </c>
      <c r="F391" s="46">
        <f t="shared" si="115"/>
        <v>25.277297093366499</v>
      </c>
      <c r="G391" s="46">
        <f t="shared" si="116"/>
        <v>100</v>
      </c>
      <c r="H391" s="46">
        <f t="shared" si="117"/>
        <v>40.337528859696</v>
      </c>
      <c r="I391" s="47">
        <f t="shared" si="118"/>
        <v>0</v>
      </c>
      <c r="J391" s="47">
        <f t="shared" si="119"/>
        <v>27.77724955315</v>
      </c>
      <c r="K391" s="48">
        <f t="shared" si="120"/>
        <v>0</v>
      </c>
      <c r="L391" s="7">
        <f t="shared" si="121"/>
        <v>10.196237009987801</v>
      </c>
      <c r="M391" s="7">
        <f t="shared" si="122"/>
        <v>0</v>
      </c>
      <c r="N391" s="7">
        <f t="shared" si="123"/>
        <v>0</v>
      </c>
      <c r="O391" s="7">
        <f t="shared" si="124"/>
        <v>10.196237009987801</v>
      </c>
      <c r="P391" s="49">
        <f t="shared" si="125"/>
        <v>16.572593498218399</v>
      </c>
      <c r="Q391" s="54">
        <f t="shared" si="127"/>
        <v>303.849492192659</v>
      </c>
      <c r="R391" s="55">
        <f t="shared" si="126"/>
        <v>42.954994150876701</v>
      </c>
    </row>
    <row r="392" ht="12.800000000000001">
      <c r="A392" s="1">
        <v>388</v>
      </c>
      <c r="B392" s="44">
        <v>43933</v>
      </c>
      <c r="C392" s="45">
        <f t="shared" si="112"/>
        <v>9.9383871657916298</v>
      </c>
      <c r="D392" s="3">
        <f t="shared" si="113"/>
        <v>9.9383871657916298</v>
      </c>
      <c r="E392" s="46">
        <f t="shared" si="114"/>
        <v>0</v>
      </c>
      <c r="F392" s="46">
        <f t="shared" si="115"/>
        <v>25.536551761686201</v>
      </c>
      <c r="G392" s="46">
        <f t="shared" si="116"/>
        <v>100</v>
      </c>
      <c r="H392" s="46">
        <f t="shared" si="117"/>
        <v>38.918281757612597</v>
      </c>
      <c r="I392" s="47">
        <f t="shared" si="118"/>
        <v>0</v>
      </c>
      <c r="J392" s="47">
        <f t="shared" si="119"/>
        <v>28.062144793061801</v>
      </c>
      <c r="K392" s="48">
        <f t="shared" si="120"/>
        <v>0</v>
      </c>
      <c r="L392" s="7">
        <f t="shared" si="121"/>
        <v>9.9383871657916298</v>
      </c>
      <c r="M392" s="7">
        <f t="shared" si="122"/>
        <v>0</v>
      </c>
      <c r="N392" s="7">
        <f t="shared" si="123"/>
        <v>0</v>
      </c>
      <c r="O392" s="7">
        <f t="shared" si="124"/>
        <v>9.9383871657916298</v>
      </c>
      <c r="P392" s="49">
        <f t="shared" si="125"/>
        <v>17.140840215268799</v>
      </c>
      <c r="Q392" s="54">
        <f t="shared" si="127"/>
        <v>316.61038918628702</v>
      </c>
      <c r="R392" s="55">
        <f t="shared" si="126"/>
        <v>43.079096303241698</v>
      </c>
    </row>
    <row r="393" ht="12.800000000000001">
      <c r="A393" s="1">
        <v>389</v>
      </c>
      <c r="B393" s="44">
        <v>43934</v>
      </c>
      <c r="C393" s="45">
        <f t="shared" si="112"/>
        <v>9.6823860846000507</v>
      </c>
      <c r="D393" s="3">
        <f t="shared" si="113"/>
        <v>9.6823860846000507</v>
      </c>
      <c r="E393" s="46">
        <f t="shared" si="114"/>
        <v>0</v>
      </c>
      <c r="F393" s="46">
        <f t="shared" si="115"/>
        <v>25.793947594523399</v>
      </c>
      <c r="G393" s="46">
        <f t="shared" si="116"/>
        <v>100</v>
      </c>
      <c r="H393" s="46">
        <f t="shared" si="117"/>
        <v>37.537434117513001</v>
      </c>
      <c r="I393" s="47">
        <f t="shared" si="118"/>
        <v>0</v>
      </c>
      <c r="J393" s="47">
        <f t="shared" si="119"/>
        <v>28.3449973566191</v>
      </c>
      <c r="K393" s="48">
        <f t="shared" si="120"/>
        <v>0</v>
      </c>
      <c r="L393" s="7">
        <f t="shared" si="121"/>
        <v>9.6823860846000507</v>
      </c>
      <c r="M393" s="7">
        <f t="shared" si="122"/>
        <v>0</v>
      </c>
      <c r="N393" s="7">
        <f t="shared" si="123"/>
        <v>0</v>
      </c>
      <c r="O393" s="7">
        <f t="shared" si="124"/>
        <v>9.6823860846000507</v>
      </c>
      <c r="P393" s="49">
        <f t="shared" si="125"/>
        <v>17.705012648267399</v>
      </c>
      <c r="Q393" s="54">
        <f t="shared" si="127"/>
        <v>329.80883615204402</v>
      </c>
      <c r="R393" s="55">
        <f t="shared" si="126"/>
        <v>43.207453712375496</v>
      </c>
    </row>
    <row r="394" ht="12.800000000000001">
      <c r="A394" s="1">
        <v>390</v>
      </c>
      <c r="B394" s="44">
        <v>43935</v>
      </c>
      <c r="C394" s="45">
        <f t="shared" si="112"/>
        <v>9.4283096250584109</v>
      </c>
      <c r="D394" s="3">
        <f t="shared" si="113"/>
        <v>9.4283096250584109</v>
      </c>
      <c r="E394" s="46">
        <f t="shared" si="114"/>
        <v>0</v>
      </c>
      <c r="F394" s="46">
        <f t="shared" si="115"/>
        <v>26.049408319937701</v>
      </c>
      <c r="G394" s="46">
        <f t="shared" si="116"/>
        <v>100</v>
      </c>
      <c r="H394" s="46">
        <f t="shared" si="117"/>
        <v>36.193949241611598</v>
      </c>
      <c r="I394" s="47">
        <f t="shared" si="118"/>
        <v>0</v>
      </c>
      <c r="J394" s="47">
        <f t="shared" si="119"/>
        <v>28.625723428503001</v>
      </c>
      <c r="K394" s="48">
        <f t="shared" si="120"/>
        <v>0</v>
      </c>
      <c r="L394" s="7">
        <f t="shared" si="121"/>
        <v>9.4283096250584109</v>
      </c>
      <c r="M394" s="7">
        <f t="shared" si="122"/>
        <v>0</v>
      </c>
      <c r="N394" s="7">
        <f t="shared" si="123"/>
        <v>0</v>
      </c>
      <c r="O394" s="7">
        <f t="shared" si="124"/>
        <v>9.4283096250584109</v>
      </c>
      <c r="P394" s="49">
        <f t="shared" si="125"/>
        <v>18.2649436207465</v>
      </c>
      <c r="Q394" s="54">
        <f t="shared" si="127"/>
        <v>343.44169589120997</v>
      </c>
      <c r="R394" s="55">
        <f t="shared" si="126"/>
        <v>43.340035868423399</v>
      </c>
    </row>
    <row r="395" ht="12.800000000000001">
      <c r="A395" s="1">
        <v>391</v>
      </c>
      <c r="B395" s="44">
        <v>43936</v>
      </c>
      <c r="C395" s="45">
        <f t="shared" si="112"/>
        <v>9.1762330755051096</v>
      </c>
      <c r="D395" s="3">
        <f t="shared" si="113"/>
        <v>9.1762330755051096</v>
      </c>
      <c r="E395" s="46">
        <f t="shared" si="114"/>
        <v>0</v>
      </c>
      <c r="F395" s="46">
        <f t="shared" si="115"/>
        <v>26.302858239402902</v>
      </c>
      <c r="G395" s="46">
        <f t="shared" si="116"/>
        <v>100</v>
      </c>
      <c r="H395" s="46">
        <f t="shared" si="117"/>
        <v>34.886828617578502</v>
      </c>
      <c r="I395" s="47">
        <f t="shared" si="118"/>
        <v>0</v>
      </c>
      <c r="J395" s="47">
        <f t="shared" si="119"/>
        <v>28.9042398235196</v>
      </c>
      <c r="K395" s="48">
        <f t="shared" si="120"/>
        <v>0</v>
      </c>
      <c r="L395" s="7">
        <f t="shared" si="121"/>
        <v>9.1762330755051096</v>
      </c>
      <c r="M395" s="7">
        <f t="shared" si="122"/>
        <v>0</v>
      </c>
      <c r="N395" s="7">
        <f t="shared" si="123"/>
        <v>0</v>
      </c>
      <c r="O395" s="7">
        <f t="shared" si="124"/>
        <v>9.1762330755051096</v>
      </c>
      <c r="P395" s="49">
        <f t="shared" si="125"/>
        <v>18.820467213074501</v>
      </c>
      <c r="Q395" s="54">
        <f t="shared" si="127"/>
        <v>357.505702479185</v>
      </c>
      <c r="R395" s="55">
        <f t="shared" si="126"/>
        <v>43.476811009646902</v>
      </c>
    </row>
    <row r="396" ht="12.800000000000001">
      <c r="A396" s="1">
        <v>392</v>
      </c>
      <c r="B396" s="44">
        <v>43937</v>
      </c>
      <c r="C396" s="45">
        <f t="shared" si="112"/>
        <v>8.9262311316619893</v>
      </c>
      <c r="D396" s="3">
        <f t="shared" si="113"/>
        <v>8.9262311316619893</v>
      </c>
      <c r="E396" s="46">
        <f t="shared" si="114"/>
        <v>0</v>
      </c>
      <c r="F396" s="46">
        <f t="shared" si="115"/>
        <v>26.554222250237899</v>
      </c>
      <c r="G396" s="46">
        <f t="shared" si="116"/>
        <v>100</v>
      </c>
      <c r="H396" s="46">
        <f t="shared" si="117"/>
        <v>33.6151104240382</v>
      </c>
      <c r="I396" s="47">
        <f t="shared" si="118"/>
        <v>0</v>
      </c>
      <c r="J396" s="47">
        <f t="shared" si="119"/>
        <v>29.1804640112504</v>
      </c>
      <c r="K396" s="48">
        <f t="shared" si="120"/>
        <v>0</v>
      </c>
      <c r="L396" s="7">
        <f t="shared" si="121"/>
        <v>8.9262311316619893</v>
      </c>
      <c r="M396" s="7">
        <f t="shared" si="122"/>
        <v>0</v>
      </c>
      <c r="N396" s="7">
        <f t="shared" si="123"/>
        <v>0</v>
      </c>
      <c r="O396" s="7">
        <f t="shared" si="124"/>
        <v>8.9262311316619893</v>
      </c>
      <c r="P396" s="49">
        <f t="shared" si="125"/>
        <v>19.371418811621801</v>
      </c>
      <c r="Q396" s="54">
        <f t="shared" si="127"/>
        <v>371.99746223325201</v>
      </c>
      <c r="R396" s="55">
        <f t="shared" si="126"/>
        <v>43.617746131835702</v>
      </c>
    </row>
    <row r="397" ht="12.800000000000001">
      <c r="A397" s="1">
        <v>393</v>
      </c>
      <c r="B397" s="44">
        <v>43938</v>
      </c>
      <c r="C397" s="45">
        <f t="shared" si="112"/>
        <v>8.6783778745005407</v>
      </c>
      <c r="D397" s="3">
        <f t="shared" si="113"/>
        <v>8.6783778745005407</v>
      </c>
      <c r="E397" s="46">
        <f t="shared" si="114"/>
        <v>0</v>
      </c>
      <c r="F397" s="46">
        <f t="shared" si="115"/>
        <v>26.803425867861399</v>
      </c>
      <c r="G397" s="46">
        <f t="shared" si="116"/>
        <v>100</v>
      </c>
      <c r="H397" s="46">
        <f t="shared" si="117"/>
        <v>32.377868102697697</v>
      </c>
      <c r="I397" s="47">
        <f t="shared" si="118"/>
        <v>0</v>
      </c>
      <c r="J397" s="47">
        <f t="shared" si="119"/>
        <v>29.454314140507002</v>
      </c>
      <c r="K397" s="48">
        <f t="shared" si="120"/>
        <v>0</v>
      </c>
      <c r="L397" s="7">
        <f t="shared" si="121"/>
        <v>8.6783778745005407</v>
      </c>
      <c r="M397" s="7">
        <f t="shared" si="122"/>
        <v>0</v>
      </c>
      <c r="N397" s="7">
        <f t="shared" si="123"/>
        <v>0</v>
      </c>
      <c r="O397" s="7">
        <f t="shared" si="124"/>
        <v>8.6783778745005407</v>
      </c>
      <c r="P397" s="49">
        <f t="shared" si="125"/>
        <v>19.917635157539401</v>
      </c>
      <c r="Q397" s="54">
        <f t="shared" si="127"/>
        <v>386.91345471820102</v>
      </c>
      <c r="R397" s="55">
        <f t="shared" si="126"/>
        <v>43.7628069980872</v>
      </c>
    </row>
    <row r="398" ht="12.800000000000001">
      <c r="A398" s="1">
        <v>394</v>
      </c>
      <c r="B398" s="44">
        <v>43939</v>
      </c>
      <c r="C398" s="45">
        <f t="shared" si="112"/>
        <v>8.4327467482899294</v>
      </c>
      <c r="D398" s="3">
        <f t="shared" si="113"/>
        <v>8.4327467482899294</v>
      </c>
      <c r="E398" s="46">
        <f t="shared" si="114"/>
        <v>0</v>
      </c>
      <c r="F398" s="46">
        <f t="shared" si="115"/>
        <v>27.050395247863399</v>
      </c>
      <c r="G398" s="46">
        <f t="shared" si="116"/>
        <v>100</v>
      </c>
      <c r="H398" s="46">
        <f t="shared" si="117"/>
        <v>31.174208994066401</v>
      </c>
      <c r="I398" s="47">
        <f t="shared" si="118"/>
        <v>0</v>
      </c>
      <c r="J398" s="47">
        <f t="shared" si="119"/>
        <v>29.725709063586098</v>
      </c>
      <c r="K398" s="48">
        <f t="shared" si="120"/>
        <v>0</v>
      </c>
      <c r="L398" s="7">
        <f t="shared" si="121"/>
        <v>8.4327467482899294</v>
      </c>
      <c r="M398" s="7">
        <f t="shared" si="122"/>
        <v>0</v>
      </c>
      <c r="N398" s="7">
        <f t="shared" si="123"/>
        <v>0</v>
      </c>
      <c r="O398" s="7">
        <f t="shared" si="124"/>
        <v>8.4327467482899294</v>
      </c>
      <c r="P398" s="49">
        <f t="shared" si="125"/>
        <v>20.458954395135599</v>
      </c>
      <c r="Q398" s="54">
        <f t="shared" si="127"/>
        <v>402.25003378950697</v>
      </c>
      <c r="R398" s="55">
        <f t="shared" si="126"/>
        <v>43.911958148951904</v>
      </c>
    </row>
    <row r="399" ht="12.800000000000001">
      <c r="A399" s="1">
        <v>395</v>
      </c>
      <c r="B399" s="44">
        <v>43940</v>
      </c>
      <c r="C399" s="45">
        <f t="shared" si="112"/>
        <v>8.1894105388340304</v>
      </c>
      <c r="D399" s="3">
        <f t="shared" si="113"/>
        <v>8.1894105388340304</v>
      </c>
      <c r="E399" s="46">
        <f t="shared" si="114"/>
        <v>0</v>
      </c>
      <c r="F399" s="46">
        <f t="shared" si="115"/>
        <v>27.295057207886401</v>
      </c>
      <c r="G399" s="46">
        <f t="shared" si="116"/>
        <v>100</v>
      </c>
      <c r="H399" s="46">
        <f t="shared" si="117"/>
        <v>30.003273033873199</v>
      </c>
      <c r="I399" s="47">
        <f t="shared" si="118"/>
        <v>0</v>
      </c>
      <c r="J399" s="47">
        <f t="shared" si="119"/>
        <v>29.994568360314702</v>
      </c>
      <c r="K399" s="48">
        <f t="shared" si="120"/>
        <v>0</v>
      </c>
      <c r="L399" s="7">
        <f t="shared" si="121"/>
        <v>8.1894105388340304</v>
      </c>
      <c r="M399" s="7">
        <f t="shared" si="122"/>
        <v>0</v>
      </c>
      <c r="N399" s="7">
        <f t="shared" si="123"/>
        <v>0</v>
      </c>
      <c r="O399" s="7">
        <f t="shared" si="124"/>
        <v>8.1894105388340304</v>
      </c>
      <c r="P399" s="49">
        <f t="shared" si="125"/>
        <v>20.9952161198377</v>
      </c>
      <c r="Q399" s="54">
        <f t="shared" si="127"/>
        <v>418.00342867376099</v>
      </c>
      <c r="R399" s="55">
        <f t="shared" si="126"/>
        <v>44.065162912940401</v>
      </c>
    </row>
    <row r="400" ht="12.800000000000001">
      <c r="A400" s="1">
        <v>396</v>
      </c>
      <c r="B400" s="44">
        <v>43941</v>
      </c>
      <c r="C400" s="45">
        <f t="shared" si="112"/>
        <v>7.9484413519033401</v>
      </c>
      <c r="D400" s="3">
        <f t="shared" si="113"/>
        <v>7.9484413519033401</v>
      </c>
      <c r="E400" s="46">
        <f t="shared" si="114"/>
        <v>0</v>
      </c>
      <c r="F400" s="46">
        <f t="shared" si="115"/>
        <v>27.537339249311501</v>
      </c>
      <c r="G400" s="46">
        <f t="shared" si="116"/>
        <v>100</v>
      </c>
      <c r="H400" s="46">
        <f t="shared" si="117"/>
        <v>28.864231507414399</v>
      </c>
      <c r="I400" s="47">
        <f t="shared" si="118"/>
        <v>0</v>
      </c>
      <c r="J400" s="47">
        <f t="shared" si="119"/>
        <v>30.260812361880699</v>
      </c>
      <c r="K400" s="48">
        <f t="shared" si="120"/>
        <v>0</v>
      </c>
      <c r="L400" s="7">
        <f t="shared" si="121"/>
        <v>7.9484413519033401</v>
      </c>
      <c r="M400" s="7">
        <f t="shared" si="122"/>
        <v>0</v>
      </c>
      <c r="N400" s="7">
        <f t="shared" si="123"/>
        <v>0</v>
      </c>
      <c r="O400" s="7">
        <f t="shared" si="124"/>
        <v>7.9484413519033401</v>
      </c>
      <c r="P400" s="49">
        <f t="shared" si="125"/>
        <v>21.526261425723199</v>
      </c>
      <c r="Q400" s="54">
        <f t="shared" si="127"/>
        <v>434.16974508603602</v>
      </c>
      <c r="R400" s="55">
        <f t="shared" si="126"/>
        <v>44.222383417390702</v>
      </c>
    </row>
    <row r="401" ht="12.800000000000001">
      <c r="A401" s="1">
        <v>397</v>
      </c>
      <c r="B401" s="44">
        <v>43942</v>
      </c>
      <c r="C401" s="45">
        <f t="shared" si="112"/>
        <v>7.7099105918684696</v>
      </c>
      <c r="D401" s="3">
        <f t="shared" si="113"/>
        <v>7.7099105918684696</v>
      </c>
      <c r="E401" s="46">
        <f t="shared" si="114"/>
        <v>0</v>
      </c>
      <c r="F401" s="46">
        <f t="shared" si="115"/>
        <v>27.777169578740899</v>
      </c>
      <c r="G401" s="46">
        <f t="shared" si="116"/>
        <v>100</v>
      </c>
      <c r="H401" s="46">
        <f t="shared" si="117"/>
        <v>27.7562858591943</v>
      </c>
      <c r="I401" s="47">
        <f t="shared" si="118"/>
        <v>0</v>
      </c>
      <c r="J401" s="47">
        <f t="shared" si="119"/>
        <v>30.524362174440501</v>
      </c>
      <c r="K401" s="48">
        <f t="shared" si="120"/>
        <v>0</v>
      </c>
      <c r="L401" s="7">
        <f t="shared" si="121"/>
        <v>7.7099105918684696</v>
      </c>
      <c r="M401" s="7">
        <f t="shared" si="122"/>
        <v>0</v>
      </c>
      <c r="N401" s="7">
        <f t="shared" si="123"/>
        <v>0</v>
      </c>
      <c r="O401" s="7">
        <f t="shared" si="124"/>
        <v>7.7099105918684696</v>
      </c>
      <c r="P401" s="49">
        <f t="shared" si="125"/>
        <v>22.051932952607</v>
      </c>
      <c r="Q401" s="54">
        <f t="shared" si="127"/>
        <v>450.74496638384301</v>
      </c>
      <c r="R401" s="55">
        <f t="shared" si="126"/>
        <v>44.3835805996899</v>
      </c>
    </row>
    <row r="402" ht="12.800000000000001">
      <c r="A402" s="1">
        <v>398</v>
      </c>
      <c r="B402" s="44">
        <v>43943</v>
      </c>
      <c r="C402" s="45">
        <f t="shared" si="112"/>
        <v>7.4738889405415501</v>
      </c>
      <c r="D402" s="3">
        <f t="shared" si="113"/>
        <v>7.4738889405415501</v>
      </c>
      <c r="E402" s="46">
        <f t="shared" si="114"/>
        <v>0</v>
      </c>
      <c r="F402" s="46">
        <f t="shared" si="115"/>
        <v>28.014477129271999</v>
      </c>
      <c r="G402" s="46">
        <f t="shared" si="116"/>
        <v>100</v>
      </c>
      <c r="H402" s="46">
        <f t="shared" si="117"/>
        <v>26.678666555343799</v>
      </c>
      <c r="I402" s="47">
        <f t="shared" si="118"/>
        <v>0</v>
      </c>
      <c r="J402" s="47">
        <f t="shared" si="119"/>
        <v>30.7851397024967</v>
      </c>
      <c r="K402" s="48">
        <f t="shared" si="120"/>
        <v>0</v>
      </c>
      <c r="L402" s="7">
        <f t="shared" si="121"/>
        <v>7.4738889405415501</v>
      </c>
      <c r="M402" s="7">
        <f t="shared" si="122"/>
        <v>0</v>
      </c>
      <c r="N402" s="7">
        <f t="shared" si="123"/>
        <v>0</v>
      </c>
      <c r="O402" s="7">
        <f t="shared" si="124"/>
        <v>7.4738889405415501</v>
      </c>
      <c r="P402" s="49">
        <f t="shared" si="125"/>
        <v>22.572074932670901</v>
      </c>
      <c r="Q402" s="54">
        <f t="shared" si="127"/>
        <v>467.72495475735002</v>
      </c>
      <c r="R402" s="55">
        <f t="shared" si="126"/>
        <v>44.548714218849803</v>
      </c>
    </row>
    <row r="403" ht="12.800000000000001">
      <c r="A403" s="1">
        <v>399</v>
      </c>
      <c r="B403" s="44">
        <v>43944</v>
      </c>
      <c r="C403" s="45">
        <f t="shared" si="112"/>
        <v>7.2404463362316003</v>
      </c>
      <c r="D403" s="3">
        <f t="shared" si="113"/>
        <v>7.2404463362316003</v>
      </c>
      <c r="E403" s="46">
        <f t="shared" si="114"/>
        <v>0</v>
      </c>
      <c r="F403" s="46">
        <f t="shared" si="115"/>
        <v>28.2491915815562</v>
      </c>
      <c r="G403" s="46">
        <f t="shared" si="116"/>
        <v>100</v>
      </c>
      <c r="H403" s="46">
        <f t="shared" si="117"/>
        <v>25.630631996417399</v>
      </c>
      <c r="I403" s="47">
        <f t="shared" si="118"/>
        <v>0</v>
      </c>
      <c r="J403" s="47">
        <f t="shared" si="119"/>
        <v>31.0430676720398</v>
      </c>
      <c r="K403" s="48">
        <f t="shared" si="120"/>
        <v>0</v>
      </c>
      <c r="L403" s="7">
        <f t="shared" si="121"/>
        <v>7.2404463362316003</v>
      </c>
      <c r="M403" s="7">
        <f t="shared" si="122"/>
        <v>0</v>
      </c>
      <c r="N403" s="7">
        <f t="shared" si="123"/>
        <v>0</v>
      </c>
      <c r="O403" s="7">
        <f t="shared" si="124"/>
        <v>7.2404463362316003</v>
      </c>
      <c r="P403" s="49">
        <f t="shared" si="125"/>
        <v>23.086533236620401</v>
      </c>
      <c r="Q403" s="54">
        <f t="shared" si="127"/>
        <v>485.10545245550702</v>
      </c>
      <c r="R403" s="55">
        <f t="shared" si="126"/>
        <v>44.7177428674309</v>
      </c>
    </row>
    <row r="404" ht="12.800000000000001">
      <c r="A404" s="1">
        <v>400</v>
      </c>
      <c r="B404" s="44">
        <v>43945</v>
      </c>
      <c r="C404" s="45">
        <f t="shared" si="112"/>
        <v>7.00965195302041</v>
      </c>
      <c r="D404" s="3">
        <f t="shared" si="113"/>
        <v>7.00965195302041</v>
      </c>
      <c r="E404" s="46">
        <f t="shared" si="114"/>
        <v>0</v>
      </c>
      <c r="F404" s="46">
        <f t="shared" si="115"/>
        <v>28.481243384635601</v>
      </c>
      <c r="G404" s="46">
        <f t="shared" si="116"/>
        <v>100</v>
      </c>
      <c r="H404" s="46">
        <f t="shared" si="117"/>
        <v>24.6114674782837</v>
      </c>
      <c r="I404" s="47">
        <f t="shared" si="118"/>
        <v>0</v>
      </c>
      <c r="J404" s="47">
        <f t="shared" si="119"/>
        <v>31.298069653445701</v>
      </c>
      <c r="K404" s="48">
        <f t="shared" si="120"/>
        <v>0</v>
      </c>
      <c r="L404" s="7">
        <f t="shared" si="121"/>
        <v>7.00965195302041</v>
      </c>
      <c r="M404" s="7">
        <f t="shared" si="122"/>
        <v>0</v>
      </c>
      <c r="N404" s="7">
        <f t="shared" si="123"/>
        <v>0</v>
      </c>
      <c r="O404" s="7">
        <f t="shared" si="124"/>
        <v>7.00965195302041</v>
      </c>
      <c r="P404" s="49">
        <f t="shared" si="125"/>
        <v>23.5951554193574</v>
      </c>
      <c r="Q404" s="54">
        <f t="shared" si="127"/>
        <v>502.88208304770501</v>
      </c>
      <c r="R404" s="55">
        <f t="shared" si="126"/>
        <v>44.890623983812503</v>
      </c>
    </row>
    <row r="405" ht="12.800000000000001">
      <c r="A405" s="1">
        <v>401</v>
      </c>
      <c r="B405" s="44">
        <v>43946</v>
      </c>
      <c r="C405" s="45">
        <f t="shared" si="112"/>
        <v>6.7815741802646796</v>
      </c>
      <c r="D405" s="3">
        <f t="shared" si="113"/>
        <v>6.7815741802646796</v>
      </c>
      <c r="E405" s="46">
        <f t="shared" si="114"/>
        <v>0</v>
      </c>
      <c r="F405" s="46">
        <f t="shared" si="115"/>
        <v>28.710563776552998</v>
      </c>
      <c r="G405" s="46">
        <f t="shared" si="116"/>
        <v>100</v>
      </c>
      <c r="H405" s="46">
        <f t="shared" si="117"/>
        <v>23.6204841989309</v>
      </c>
      <c r="I405" s="47">
        <f t="shared" si="118"/>
        <v>0</v>
      </c>
      <c r="J405" s="47">
        <f t="shared" si="119"/>
        <v>31.550070084124101</v>
      </c>
      <c r="K405" s="48">
        <f t="shared" si="120"/>
        <v>0</v>
      </c>
      <c r="L405" s="7">
        <f t="shared" si="121"/>
        <v>6.7815741802646796</v>
      </c>
      <c r="M405" s="7">
        <f t="shared" si="122"/>
        <v>0</v>
      </c>
      <c r="N405" s="7">
        <f t="shared" si="123"/>
        <v>0</v>
      </c>
      <c r="O405" s="7">
        <f t="shared" si="124"/>
        <v>6.7815741802646796</v>
      </c>
      <c r="P405" s="49">
        <f t="shared" si="125"/>
        <v>24.097790765151899</v>
      </c>
      <c r="Q405" s="54">
        <f t="shared" si="127"/>
        <v>521.05035272061002</v>
      </c>
      <c r="R405" s="55">
        <f t="shared" si="126"/>
        <v>45.067313864804497</v>
      </c>
    </row>
    <row r="406" ht="12.800000000000001">
      <c r="A406" s="1">
        <v>402</v>
      </c>
      <c r="B406" s="44">
        <v>43947</v>
      </c>
      <c r="C406" s="45">
        <f t="shared" si="112"/>
        <v>6.55628060233078</v>
      </c>
      <c r="D406" s="3">
        <f t="shared" si="113"/>
        <v>6.55628060233078</v>
      </c>
      <c r="E406" s="46">
        <f t="shared" si="114"/>
        <v>0</v>
      </c>
      <c r="F406" s="46">
        <f t="shared" si="115"/>
        <v>28.937084804726901</v>
      </c>
      <c r="G406" s="46">
        <f t="shared" si="116"/>
        <v>100</v>
      </c>
      <c r="H406" s="46">
        <f t="shared" si="117"/>
        <v>22.657018309113798</v>
      </c>
      <c r="I406" s="47">
        <f t="shared" si="118"/>
        <v>0</v>
      </c>
      <c r="J406" s="47">
        <f t="shared" si="119"/>
        <v>31.798994290908698</v>
      </c>
      <c r="K406" s="48">
        <f t="shared" si="120"/>
        <v>0</v>
      </c>
      <c r="L406" s="7">
        <f t="shared" si="121"/>
        <v>6.55628060233078</v>
      </c>
      <c r="M406" s="7">
        <f t="shared" si="122"/>
        <v>0</v>
      </c>
      <c r="N406" s="7">
        <f t="shared" si="123"/>
        <v>0</v>
      </c>
      <c r="O406" s="7">
        <f t="shared" si="124"/>
        <v>6.55628060233078</v>
      </c>
      <c r="P406" s="49">
        <f t="shared" si="125"/>
        <v>24.594290332303501</v>
      </c>
      <c r="Q406" s="54">
        <f t="shared" si="127"/>
        <v>539.60565160977706</v>
      </c>
      <c r="R406" s="55">
        <f t="shared" si="126"/>
        <v>45.247767678597498</v>
      </c>
    </row>
    <row r="407" ht="12.800000000000001">
      <c r="A407" s="1">
        <v>403</v>
      </c>
      <c r="B407" s="44">
        <v>43948</v>
      </c>
      <c r="C407" s="45">
        <f t="shared" si="112"/>
        <v>6.3338379785681003</v>
      </c>
      <c r="D407" s="3">
        <f t="shared" si="113"/>
        <v>6.3338379785681003</v>
      </c>
      <c r="E407" s="46">
        <f t="shared" si="114"/>
        <v>0</v>
      </c>
      <c r="F407" s="46">
        <f t="shared" si="115"/>
        <v>29.160739346088199</v>
      </c>
      <c r="G407" s="46">
        <f t="shared" si="116"/>
        <v>100</v>
      </c>
      <c r="H407" s="46">
        <f t="shared" si="117"/>
        <v>21.7204300048646</v>
      </c>
      <c r="I407" s="47">
        <f t="shared" si="118"/>
        <v>0</v>
      </c>
      <c r="J407" s="47">
        <f t="shared" si="119"/>
        <v>32.044768512184802</v>
      </c>
      <c r="K407" s="48">
        <f t="shared" si="120"/>
        <v>0</v>
      </c>
      <c r="L407" s="7">
        <f t="shared" si="121"/>
        <v>6.3338379785681003</v>
      </c>
      <c r="M407" s="7">
        <f t="shared" si="122"/>
        <v>0</v>
      </c>
      <c r="N407" s="7">
        <f t="shared" si="123"/>
        <v>0</v>
      </c>
      <c r="O407" s="7">
        <f t="shared" si="124"/>
        <v>6.3338379785681003</v>
      </c>
      <c r="P407" s="49">
        <f t="shared" si="125"/>
        <v>25.084506997274801</v>
      </c>
      <c r="Q407" s="54">
        <f t="shared" si="127"/>
        <v>558.54325516565098</v>
      </c>
      <c r="R407" s="55">
        <f t="shared" si="126"/>
        <v>45.431939478048001</v>
      </c>
    </row>
    <row r="408" ht="12.800000000000001">
      <c r="A408" s="1">
        <v>404</v>
      </c>
      <c r="B408" s="44">
        <v>43949</v>
      </c>
      <c r="C408" s="45">
        <f t="shared" si="112"/>
        <v>6.11431222352675</v>
      </c>
      <c r="D408" s="3">
        <f t="shared" si="113"/>
        <v>6.11431222352675</v>
      </c>
      <c r="E408" s="46">
        <f t="shared" si="114"/>
        <v>0</v>
      </c>
      <c r="F408" s="46">
        <f t="shared" si="115"/>
        <v>29.381461126969199</v>
      </c>
      <c r="G408" s="46">
        <f t="shared" si="116"/>
        <v>100</v>
      </c>
      <c r="H408" s="46">
        <f t="shared" si="117"/>
        <v>20.810102659987901</v>
      </c>
      <c r="I408" s="47">
        <f t="shared" si="118"/>
        <v>0</v>
      </c>
      <c r="J408" s="47">
        <f t="shared" si="119"/>
        <v>32.287319919746402</v>
      </c>
      <c r="K408" s="48">
        <f t="shared" si="120"/>
        <v>0</v>
      </c>
      <c r="L408" s="7">
        <f t="shared" si="121"/>
        <v>6.11431222352675</v>
      </c>
      <c r="M408" s="7">
        <f t="shared" si="122"/>
        <v>0</v>
      </c>
      <c r="N408" s="7">
        <f t="shared" si="123"/>
        <v>0</v>
      </c>
      <c r="O408" s="7">
        <f t="shared" si="124"/>
        <v>6.11431222352675</v>
      </c>
      <c r="P408" s="49">
        <f t="shared" si="125"/>
        <v>25.5682954982884</v>
      </c>
      <c r="Q408" s="54">
        <f t="shared" si="127"/>
        <v>577.85832555355205</v>
      </c>
      <c r="R408" s="55">
        <f t="shared" si="126"/>
        <v>45.619782214292698</v>
      </c>
    </row>
    <row r="409" ht="12.800000000000001">
      <c r="A409" s="1">
        <v>405</v>
      </c>
      <c r="B409" s="44">
        <v>43950</v>
      </c>
      <c r="C409" s="45">
        <f t="shared" si="112"/>
        <v>5.8977683874257103</v>
      </c>
      <c r="D409" s="3">
        <f t="shared" si="113"/>
        <v>5.8977683874257103</v>
      </c>
      <c r="E409" s="46">
        <f t="shared" si="114"/>
        <v>0</v>
      </c>
      <c r="F409" s="46">
        <f t="shared" si="115"/>
        <v>29.5991847427428</v>
      </c>
      <c r="G409" s="46">
        <f t="shared" si="116"/>
        <v>100</v>
      </c>
      <c r="H409" s="46">
        <f t="shared" si="117"/>
        <v>19.925441996748699</v>
      </c>
      <c r="I409" s="47">
        <f t="shared" si="118"/>
        <v>0</v>
      </c>
      <c r="J409" s="47">
        <f t="shared" si="119"/>
        <v>32.526576640376703</v>
      </c>
      <c r="K409" s="48">
        <f t="shared" si="120"/>
        <v>0</v>
      </c>
      <c r="L409" s="7">
        <f t="shared" si="121"/>
        <v>5.8977683874257103</v>
      </c>
      <c r="M409" s="7">
        <f t="shared" si="122"/>
        <v>0</v>
      </c>
      <c r="N409" s="7">
        <f t="shared" si="123"/>
        <v>0</v>
      </c>
      <c r="O409" s="7">
        <f t="shared" si="124"/>
        <v>5.8977683874257103</v>
      </c>
      <c r="P409" s="49">
        <f t="shared" si="125"/>
        <v>26.045512478370501</v>
      </c>
      <c r="Q409" s="54">
        <f t="shared" si="127"/>
        <v>597.545913087234</v>
      </c>
      <c r="R409" s="55">
        <f t="shared" si="126"/>
        <v>45.811247750690598</v>
      </c>
    </row>
    <row r="410" ht="12.800000000000001">
      <c r="A410" s="1">
        <v>406</v>
      </c>
      <c r="B410" s="44">
        <v>43951</v>
      </c>
      <c r="C410" s="45">
        <f t="shared" si="112"/>
        <v>5.6842706368770299</v>
      </c>
      <c r="D410" s="3">
        <f t="shared" si="113"/>
        <v>5.6842706368770299</v>
      </c>
      <c r="E410" s="46">
        <f t="shared" si="114"/>
        <v>0</v>
      </c>
      <c r="F410" s="46">
        <f t="shared" si="115"/>
        <v>29.813845677202799</v>
      </c>
      <c r="G410" s="46">
        <f t="shared" si="116"/>
        <v>100</v>
      </c>
      <c r="H410" s="46">
        <f t="shared" si="117"/>
        <v>19.065875293047199</v>
      </c>
      <c r="I410" s="47">
        <f t="shared" si="118"/>
        <v>0</v>
      </c>
      <c r="J410" s="47">
        <f t="shared" si="119"/>
        <v>32.762467777145901</v>
      </c>
      <c r="K410" s="48">
        <f t="shared" si="120"/>
        <v>0</v>
      </c>
      <c r="L410" s="7">
        <f t="shared" si="121"/>
        <v>5.6842706368770299</v>
      </c>
      <c r="M410" s="7">
        <f t="shared" si="122"/>
        <v>0</v>
      </c>
      <c r="N410" s="7">
        <f t="shared" si="123"/>
        <v>0</v>
      </c>
      <c r="O410" s="7">
        <f t="shared" si="124"/>
        <v>5.6842706368770299</v>
      </c>
      <c r="P410" s="49">
        <f t="shared" si="125"/>
        <v>26.516016527830502</v>
      </c>
      <c r="Q410" s="54">
        <f t="shared" si="127"/>
        <v>617.60095769557995</v>
      </c>
      <c r="R410" s="55">
        <f t="shared" si="126"/>
        <v>46.0062868770869</v>
      </c>
    </row>
    <row r="411" ht="12.800000000000001">
      <c r="A411" s="1">
        <v>407</v>
      </c>
      <c r="B411" s="44">
        <v>43952</v>
      </c>
      <c r="C411" s="45">
        <f t="shared" si="112"/>
        <v>5.4738822358718302</v>
      </c>
      <c r="D411" s="3">
        <f t="shared" si="113"/>
        <v>5.4738822358718302</v>
      </c>
      <c r="E411" s="46">
        <f t="shared" si="114"/>
        <v>0</v>
      </c>
      <c r="F411" s="46">
        <f t="shared" si="115"/>
        <v>30.025380321681499</v>
      </c>
      <c r="G411" s="46">
        <f t="shared" si="116"/>
        <v>100</v>
      </c>
      <c r="H411" s="46">
        <f t="shared" si="117"/>
        <v>18.230850624460199</v>
      </c>
      <c r="I411" s="47">
        <f t="shared" si="118"/>
        <v>0</v>
      </c>
      <c r="J411" s="47">
        <f t="shared" si="119"/>
        <v>32.994923430419199</v>
      </c>
      <c r="K411" s="48">
        <f t="shared" si="120"/>
        <v>0</v>
      </c>
      <c r="L411" s="7">
        <f t="shared" si="121"/>
        <v>5.4738822358718302</v>
      </c>
      <c r="M411" s="7">
        <f t="shared" si="122"/>
        <v>0</v>
      </c>
      <c r="N411" s="7">
        <f t="shared" si="123"/>
        <v>0</v>
      </c>
      <c r="O411" s="7">
        <f t="shared" si="124"/>
        <v>5.4738822358718302</v>
      </c>
      <c r="P411" s="49">
        <f t="shared" si="125"/>
        <v>26.979668226164399</v>
      </c>
      <c r="Q411" s="54">
        <f t="shared" si="127"/>
        <v>638.01829042200904</v>
      </c>
      <c r="R411" s="55">
        <f t="shared" si="126"/>
        <v>46.204849324395099</v>
      </c>
    </row>
    <row r="412" ht="12.800000000000001">
      <c r="A412" s="1">
        <v>408</v>
      </c>
      <c r="B412" s="44">
        <v>43953</v>
      </c>
      <c r="C412" s="45">
        <f t="shared" si="112"/>
        <v>5.2666655270338998</v>
      </c>
      <c r="D412" s="3">
        <f t="shared" si="113"/>
        <v>5.2666655270338998</v>
      </c>
      <c r="E412" s="46">
        <f t="shared" si="114"/>
        <v>0</v>
      </c>
      <c r="F412" s="46">
        <f t="shared" si="115"/>
        <v>30.2337259938984</v>
      </c>
      <c r="G412" s="46">
        <f t="shared" si="116"/>
        <v>100</v>
      </c>
      <c r="H412" s="46">
        <f t="shared" si="117"/>
        <v>17.419836139603799</v>
      </c>
      <c r="I412" s="47">
        <f t="shared" si="118"/>
        <v>0</v>
      </c>
      <c r="J412" s="47">
        <f t="shared" si="119"/>
        <v>33.223874718569597</v>
      </c>
      <c r="K412" s="48">
        <f t="shared" si="120"/>
        <v>0</v>
      </c>
      <c r="L412" s="7">
        <f t="shared" si="121"/>
        <v>5.2666655270338998</v>
      </c>
      <c r="M412" s="7">
        <f t="shared" si="122"/>
        <v>0</v>
      </c>
      <c r="N412" s="7">
        <f t="shared" si="123"/>
        <v>0</v>
      </c>
      <c r="O412" s="7">
        <f t="shared" si="124"/>
        <v>5.2666655270338998</v>
      </c>
      <c r="P412" s="49">
        <f t="shared" si="125"/>
        <v>27.436330183367499</v>
      </c>
      <c r="Q412" s="54">
        <f t="shared" si="127"/>
        <v>658.79263495615601</v>
      </c>
      <c r="R412" s="55">
        <f t="shared" si="126"/>
        <v>46.406883779492198</v>
      </c>
    </row>
    <row r="413" ht="12.800000000000001">
      <c r="A413" s="1">
        <v>409</v>
      </c>
      <c r="B413" s="44">
        <v>43954</v>
      </c>
      <c r="C413" s="45">
        <f t="shared" si="112"/>
        <v>5.0626819131461698</v>
      </c>
      <c r="D413" s="3">
        <f t="shared" si="113"/>
        <v>5.0626819131461698</v>
      </c>
      <c r="E413" s="46">
        <f t="shared" si="114"/>
        <v>0</v>
      </c>
      <c r="F413" s="46">
        <f t="shared" si="115"/>
        <v>30.4388209565344</v>
      </c>
      <c r="G413" s="46">
        <f t="shared" si="116"/>
        <v>100</v>
      </c>
      <c r="H413" s="46">
        <f t="shared" si="117"/>
        <v>16.632319367348401</v>
      </c>
      <c r="I413" s="47">
        <f t="shared" si="118"/>
        <v>0</v>
      </c>
      <c r="J413" s="47">
        <f t="shared" si="119"/>
        <v>33.449253798389499</v>
      </c>
      <c r="K413" s="48">
        <f t="shared" si="120"/>
        <v>0</v>
      </c>
      <c r="L413" s="7">
        <f t="shared" si="121"/>
        <v>5.0626819131461698</v>
      </c>
      <c r="M413" s="7">
        <f t="shared" si="122"/>
        <v>0</v>
      </c>
      <c r="N413" s="7">
        <f t="shared" si="123"/>
        <v>0</v>
      </c>
      <c r="O413" s="7">
        <f t="shared" si="124"/>
        <v>5.0626819131461698</v>
      </c>
      <c r="P413" s="49">
        <f t="shared" si="125"/>
        <v>27.885867080646399</v>
      </c>
      <c r="Q413" s="54">
        <f t="shared" si="127"/>
        <v>679.91860919734904</v>
      </c>
      <c r="R413" s="55">
        <f t="shared" si="126"/>
        <v>46.612337900424997</v>
      </c>
    </row>
    <row r="414" ht="12.800000000000001">
      <c r="A414" s="1">
        <v>410</v>
      </c>
      <c r="B414" s="44">
        <v>43955</v>
      </c>
      <c r="C414" s="45">
        <f t="shared" si="112"/>
        <v>4.8619918389557499</v>
      </c>
      <c r="D414" s="3">
        <f t="shared" si="113"/>
        <v>4.8619918389557499</v>
      </c>
      <c r="E414" s="46">
        <f t="shared" si="114"/>
        <v>0</v>
      </c>
      <c r="F414" s="46">
        <f t="shared" si="115"/>
        <v>30.640604435525798</v>
      </c>
      <c r="G414" s="46">
        <f t="shared" si="116"/>
        <v>100</v>
      </c>
      <c r="H414" s="46">
        <f t="shared" si="117"/>
        <v>15.8678065544901</v>
      </c>
      <c r="I414" s="47">
        <f t="shared" si="118"/>
        <v>0</v>
      </c>
      <c r="J414" s="47">
        <f t="shared" si="119"/>
        <v>33.670993885193198</v>
      </c>
      <c r="K414" s="48">
        <f t="shared" si="120"/>
        <v>0</v>
      </c>
      <c r="L414" s="7">
        <f t="shared" si="121"/>
        <v>4.8619918389557499</v>
      </c>
      <c r="M414" s="7">
        <f t="shared" si="122"/>
        <v>0</v>
      </c>
      <c r="N414" s="7">
        <f t="shared" si="123"/>
        <v>0</v>
      </c>
      <c r="O414" s="7">
        <f t="shared" si="124"/>
        <v>4.8619918389557499</v>
      </c>
      <c r="P414" s="49">
        <f t="shared" si="125"/>
        <v>28.328145710516601</v>
      </c>
      <c r="Q414" s="54">
        <f t="shared" si="127"/>
        <v>701.39072684944597</v>
      </c>
      <c r="R414" s="55">
        <f t="shared" si="126"/>
        <v>46.821158331918902</v>
      </c>
    </row>
    <row r="415" ht="12.800000000000001">
      <c r="A415" s="1">
        <v>411</v>
      </c>
      <c r="B415" s="44">
        <v>43956</v>
      </c>
      <c r="C415" s="45">
        <f t="shared" si="112"/>
        <v>4.6646547732628898</v>
      </c>
      <c r="D415" s="3">
        <f t="shared" si="113"/>
        <v>4.6646547732628898</v>
      </c>
      <c r="E415" s="46">
        <f t="shared" si="114"/>
        <v>0</v>
      </c>
      <c r="F415" s="46">
        <f t="shared" si="115"/>
        <v>30.839016638072899</v>
      </c>
      <c r="G415" s="46">
        <f t="shared" si="116"/>
        <v>100</v>
      </c>
      <c r="H415" s="46">
        <f t="shared" si="117"/>
        <v>15.125822032548401</v>
      </c>
      <c r="I415" s="47">
        <f t="shared" si="118"/>
        <v>0</v>
      </c>
      <c r="J415" s="47">
        <f t="shared" si="119"/>
        <v>33.889029272607601</v>
      </c>
      <c r="K415" s="48">
        <f t="shared" si="120"/>
        <v>0</v>
      </c>
      <c r="L415" s="7">
        <f t="shared" si="121"/>
        <v>4.6646547732628898</v>
      </c>
      <c r="M415" s="7">
        <f t="shared" si="122"/>
        <v>0</v>
      </c>
      <c r="N415" s="7">
        <f t="shared" si="123"/>
        <v>0</v>
      </c>
      <c r="O415" s="7">
        <f t="shared" si="124"/>
        <v>4.6646547732628898</v>
      </c>
      <c r="P415" s="49">
        <f t="shared" si="125"/>
        <v>28.763035016274799</v>
      </c>
      <c r="Q415" s="54">
        <f t="shared" si="127"/>
        <v>723.20339904654395</v>
      </c>
      <c r="R415" s="55">
        <f t="shared" si="126"/>
        <v>47.033290721189303</v>
      </c>
    </row>
    <row r="416" ht="12.800000000000001">
      <c r="A416" s="1">
        <v>412</v>
      </c>
      <c r="B416" s="44">
        <v>43957</v>
      </c>
      <c r="C416" s="45">
        <f t="shared" si="112"/>
        <v>4.4707291912990099</v>
      </c>
      <c r="D416" s="3">
        <f t="shared" si="113"/>
        <v>4.4707291912990099</v>
      </c>
      <c r="E416" s="46">
        <f t="shared" si="114"/>
        <v>0</v>
      </c>
      <c r="F416" s="46">
        <f t="shared" si="115"/>
        <v>31.033998770358</v>
      </c>
      <c r="G416" s="46">
        <f t="shared" si="116"/>
        <v>100</v>
      </c>
      <c r="H416" s="46">
        <f t="shared" si="117"/>
        <v>14.4059076124254</v>
      </c>
      <c r="I416" s="47">
        <f t="shared" si="118"/>
        <v>0</v>
      </c>
      <c r="J416" s="47">
        <f t="shared" si="119"/>
        <v>34.103295352041798</v>
      </c>
      <c r="K416" s="48">
        <f t="shared" si="120"/>
        <v>0</v>
      </c>
      <c r="L416" s="7">
        <f t="shared" si="121"/>
        <v>4.4707291912990099</v>
      </c>
      <c r="M416" s="7">
        <f t="shared" si="122"/>
        <v>0</v>
      </c>
      <c r="N416" s="7">
        <f t="shared" si="123"/>
        <v>0</v>
      </c>
      <c r="O416" s="7">
        <f t="shared" si="124"/>
        <v>4.4707291912990099</v>
      </c>
      <c r="P416" s="49">
        <f t="shared" si="125"/>
        <v>29.190406130834099</v>
      </c>
      <c r="Q416" s="54">
        <f t="shared" si="127"/>
        <v>745.35093600907601</v>
      </c>
      <c r="R416" s="55">
        <f t="shared" si="126"/>
        <v>47.248679734046704</v>
      </c>
    </row>
    <row r="417" ht="12.800000000000001">
      <c r="A417" s="1">
        <v>413</v>
      </c>
      <c r="B417" s="44">
        <v>43958</v>
      </c>
      <c r="C417" s="45">
        <f t="shared" si="112"/>
        <v>4.2802725573993303</v>
      </c>
      <c r="D417" s="3">
        <f t="shared" si="113"/>
        <v>4.2802725573993303</v>
      </c>
      <c r="E417" s="46">
        <f t="shared" si="114"/>
        <v>0</v>
      </c>
      <c r="F417" s="46">
        <f t="shared" si="115"/>
        <v>31.225493054967298</v>
      </c>
      <c r="G417" s="46">
        <f t="shared" si="116"/>
        <v>100</v>
      </c>
      <c r="H417" s="46">
        <f t="shared" si="117"/>
        <v>13.7076220057266</v>
      </c>
      <c r="I417" s="47">
        <f t="shared" si="118"/>
        <v>0</v>
      </c>
      <c r="J417" s="47">
        <f t="shared" si="119"/>
        <v>34.313728631832099</v>
      </c>
      <c r="K417" s="48">
        <f t="shared" si="120"/>
        <v>0</v>
      </c>
      <c r="L417" s="7">
        <f t="shared" si="121"/>
        <v>4.2802725573993303</v>
      </c>
      <c r="M417" s="7">
        <f t="shared" si="122"/>
        <v>0</v>
      </c>
      <c r="N417" s="7">
        <f t="shared" si="123"/>
        <v>0</v>
      </c>
      <c r="O417" s="7">
        <f t="shared" si="124"/>
        <v>4.2802725573993303</v>
      </c>
      <c r="P417" s="49">
        <f t="shared" si="125"/>
        <v>29.610132414909799</v>
      </c>
      <c r="Q417" s="54">
        <f t="shared" si="127"/>
        <v>767.82754872981798</v>
      </c>
      <c r="R417" s="55">
        <f t="shared" si="126"/>
        <v>47.467269071293998</v>
      </c>
    </row>
    <row r="418" ht="12.800000000000001">
      <c r="A418" s="1">
        <v>414</v>
      </c>
      <c r="B418" s="44">
        <v>43959</v>
      </c>
      <c r="C418" s="45">
        <f t="shared" si="112"/>
        <v>4.0933413079748497</v>
      </c>
      <c r="D418" s="3">
        <f t="shared" si="113"/>
        <v>4.0933413079748497</v>
      </c>
      <c r="E418" s="46">
        <f t="shared" si="114"/>
        <v>0</v>
      </c>
      <c r="F418" s="46">
        <f t="shared" si="115"/>
        <v>31.413442748011299</v>
      </c>
      <c r="G418" s="46">
        <f t="shared" si="116"/>
        <v>100</v>
      </c>
      <c r="H418" s="46">
        <f t="shared" si="117"/>
        <v>13.0305402715975</v>
      </c>
      <c r="I418" s="47">
        <f t="shared" si="118"/>
        <v>0</v>
      </c>
      <c r="J418" s="47">
        <f t="shared" si="119"/>
        <v>34.520266756056401</v>
      </c>
      <c r="K418" s="48">
        <f t="shared" si="120"/>
        <v>0</v>
      </c>
      <c r="L418" s="7">
        <f t="shared" si="121"/>
        <v>4.0933413079748497</v>
      </c>
      <c r="M418" s="7">
        <f t="shared" si="122"/>
        <v>0</v>
      </c>
      <c r="N418" s="7">
        <f t="shared" si="123"/>
        <v>0</v>
      </c>
      <c r="O418" s="7">
        <f t="shared" si="124"/>
        <v>4.0933413079748497</v>
      </c>
      <c r="P418" s="49">
        <f t="shared" si="125"/>
        <v>30.0220894945456</v>
      </c>
      <c r="Q418" s="54">
        <f t="shared" si="127"/>
        <v>790.62735068929896</v>
      </c>
      <c r="R418" s="55">
        <f t="shared" si="126"/>
        <v>47.689001485408703</v>
      </c>
    </row>
    <row r="419" ht="12.800000000000001">
      <c r="A419" s="1">
        <v>415</v>
      </c>
      <c r="B419" s="44">
        <v>43960</v>
      </c>
      <c r="C419" s="45">
        <f t="shared" si="112"/>
        <v>3.9099908347890802</v>
      </c>
      <c r="D419" s="3">
        <f t="shared" si="113"/>
        <v>3.9099908347890802</v>
      </c>
      <c r="E419" s="46">
        <f t="shared" si="114"/>
        <v>0</v>
      </c>
      <c r="F419" s="46">
        <f t="shared" si="115"/>
        <v>31.597792155939899</v>
      </c>
      <c r="G419" s="46">
        <f t="shared" si="116"/>
        <v>100</v>
      </c>
      <c r="H419" s="46">
        <f t="shared" si="117"/>
        <v>12.374253287991399</v>
      </c>
      <c r="I419" s="47">
        <f t="shared" si="118"/>
        <v>0</v>
      </c>
      <c r="J419" s="47">
        <f t="shared" si="119"/>
        <v>34.722848523010903</v>
      </c>
      <c r="K419" s="48">
        <f t="shared" si="120"/>
        <v>0</v>
      </c>
      <c r="L419" s="7">
        <f t="shared" si="121"/>
        <v>3.9099908347890802</v>
      </c>
      <c r="M419" s="7">
        <f t="shared" si="122"/>
        <v>0</v>
      </c>
      <c r="N419" s="7">
        <f t="shared" si="123"/>
        <v>0</v>
      </c>
      <c r="O419" s="7">
        <f t="shared" si="124"/>
        <v>3.9099908347890802</v>
      </c>
      <c r="P419" s="49">
        <f t="shared" si="125"/>
        <v>30.426155297967899</v>
      </c>
      <c r="Q419" s="54">
        <f t="shared" si="127"/>
        <v>813.74435960009896</v>
      </c>
      <c r="R419" s="55">
        <f t="shared" si="126"/>
        <v>47.913818797506998</v>
      </c>
    </row>
    <row r="420" ht="12.800000000000001">
      <c r="A420" s="1">
        <v>416</v>
      </c>
      <c r="B420" s="44">
        <v>43961</v>
      </c>
      <c r="C420" s="45">
        <f t="shared" ref="C420:C483" si="128">V$30-V$30*SIN(2*PI()/365*A420)</f>
        <v>3.7302754685442601</v>
      </c>
      <c r="D420" s="3">
        <f t="shared" ref="D420:D483" si="129">IF((E420+F420)&gt;C420,C420,E420+F420)</f>
        <v>3.7302754685442601</v>
      </c>
      <c r="E420" s="46">
        <f t="shared" ref="E420:E483" si="130">(V$27+V$28*SIN(2*PI()/365*A420))*V$29/100*V$9*V$10/100</f>
        <v>0</v>
      </c>
      <c r="F420" s="46">
        <f t="shared" ref="F420:F483" si="131">(V$27+V$28*SIN(2*PI()/365*A420))*V$29/100*V$11*(1-V$18/100)*(1-V$20/100)</f>
        <v>31.778486652044801</v>
      </c>
      <c r="G420" s="46">
        <f t="shared" ref="G420:G483" si="132">IF(C420&gt;E420,100,C420/E420*100)</f>
        <v>100</v>
      </c>
      <c r="H420" s="46">
        <f t="shared" ref="H420:H483" si="133">L420/F420*100</f>
        <v>11.738367246334001</v>
      </c>
      <c r="I420" s="47">
        <f t="shared" ref="I420:I483" si="134">(V$27+V$28*SIN(2*PI()/365*A420))*V$29/100*V$9*V$10/100*(1-V$19/100)</f>
        <v>0</v>
      </c>
      <c r="J420" s="47">
        <f t="shared" ref="J420:J483" si="135">(V$27+V$28*SIN(2*PI()/365*A420))*V$29/100*V$11*(1-V$18/100)</f>
        <v>34.921413903345901</v>
      </c>
      <c r="K420" s="48">
        <f t="shared" ref="K420:K483" si="136">IF(E420/C420*100&lt;100,E420/C420*100,100)</f>
        <v>0</v>
      </c>
      <c r="L420" s="7">
        <f t="shared" ref="L420:L483" si="137">IF(((C420-E420)&gt;0)*AND(F420&gt;(C420-E420)),(C420-E420),IF(C420&lt;E420,0,F420))</f>
        <v>3.7302754685442601</v>
      </c>
      <c r="M420" s="7">
        <f t="shared" ref="M420:M483" si="138">IF(C420&lt;(E420+F420),0,C420-E420-F420)</f>
        <v>0</v>
      </c>
      <c r="N420" s="7">
        <f t="shared" ref="N420:N483" si="139">IF(C420&lt;(E420+F420),0,(C420-E420-F420)/(1-V$20/100))</f>
        <v>0</v>
      </c>
      <c r="O420" s="7">
        <f t="shared" ref="O420:O483" si="140">L420+M420</f>
        <v>3.7302754685442601</v>
      </c>
      <c r="P420" s="49">
        <f t="shared" ref="P420:P483" si="141">IF(N420=0,I420*(1-G420/100)+J420*(1-H420/100),-N420)</f>
        <v>30.822210091758802</v>
      </c>
      <c r="Q420" s="54">
        <f t="shared" si="127"/>
        <v>837.17249917953404</v>
      </c>
      <c r="R420" s="55">
        <f t="shared" ref="R420:R483" si="142">R$4+Q420/V$32</f>
        <v>48.141661914582997</v>
      </c>
    </row>
    <row r="421" ht="12.800000000000001">
      <c r="A421" s="1">
        <v>417</v>
      </c>
      <c r="B421" s="44">
        <v>43962</v>
      </c>
      <c r="C421" s="45">
        <f t="shared" si="128"/>
        <v>3.5542484627819801</v>
      </c>
      <c r="D421" s="3">
        <f t="shared" si="129"/>
        <v>3.5542484627819801</v>
      </c>
      <c r="E421" s="46">
        <f t="shared" si="130"/>
        <v>0</v>
      </c>
      <c r="F421" s="46">
        <f t="shared" si="131"/>
        <v>31.955472692647199</v>
      </c>
      <c r="G421" s="46">
        <f t="shared" si="132"/>
        <v>100</v>
      </c>
      <c r="H421" s="46">
        <f t="shared" si="133"/>
        <v>11.1225031686037</v>
      </c>
      <c r="I421" s="47">
        <f t="shared" si="134"/>
        <v>0</v>
      </c>
      <c r="J421" s="47">
        <f t="shared" si="135"/>
        <v>35.115904057854003</v>
      </c>
      <c r="K421" s="48">
        <f t="shared" si="136"/>
        <v>0</v>
      </c>
      <c r="L421" s="7">
        <f t="shared" si="137"/>
        <v>3.5542484627819801</v>
      </c>
      <c r="M421" s="7">
        <f t="shared" si="138"/>
        <v>0</v>
      </c>
      <c r="N421" s="7">
        <f t="shared" si="139"/>
        <v>0</v>
      </c>
      <c r="O421" s="7">
        <f t="shared" si="140"/>
        <v>3.5542484627819801</v>
      </c>
      <c r="P421" s="49">
        <f t="shared" si="141"/>
        <v>31.2101365163354</v>
      </c>
      <c r="Q421" s="54">
        <f t="shared" ref="Q421:Q484" si="143">IF(P420&gt;0,Q420+P420*(1-V$24/100),Q420+P420)</f>
        <v>860.90560095018805</v>
      </c>
      <c r="R421" s="55">
        <f t="shared" si="142"/>
        <v>48.372470847019798</v>
      </c>
    </row>
    <row r="422" ht="12.800000000000001">
      <c r="A422" s="1">
        <v>418</v>
      </c>
      <c r="B422" s="44">
        <v>43963</v>
      </c>
      <c r="C422" s="45">
        <f t="shared" si="128"/>
        <v>3.3819619781030301</v>
      </c>
      <c r="D422" s="3">
        <f t="shared" si="129"/>
        <v>3.3819619781030301</v>
      </c>
      <c r="E422" s="46">
        <f t="shared" si="130"/>
        <v>0</v>
      </c>
      <c r="F422" s="46">
        <f t="shared" si="131"/>
        <v>32.128697832963397</v>
      </c>
      <c r="G422" s="46">
        <f t="shared" si="132"/>
        <v>100</v>
      </c>
      <c r="H422" s="46">
        <f t="shared" si="133"/>
        <v>10.526296445893299</v>
      </c>
      <c r="I422" s="47">
        <f t="shared" si="134"/>
        <v>0</v>
      </c>
      <c r="J422" s="47">
        <f t="shared" si="135"/>
        <v>35.306261354904898</v>
      </c>
      <c r="K422" s="48">
        <f t="shared" si="136"/>
        <v>0</v>
      </c>
      <c r="L422" s="7">
        <f t="shared" si="137"/>
        <v>3.3819619781030301</v>
      </c>
      <c r="M422" s="7">
        <f t="shared" si="138"/>
        <v>0</v>
      </c>
      <c r="N422" s="7">
        <f t="shared" si="139"/>
        <v>0</v>
      </c>
      <c r="O422" s="7">
        <f t="shared" si="140"/>
        <v>3.3819619781030301</v>
      </c>
      <c r="P422" s="49">
        <f t="shared" si="141"/>
        <v>31.589819620725699</v>
      </c>
      <c r="Q422" s="54">
        <f t="shared" si="143"/>
        <v>884.93740606776703</v>
      </c>
      <c r="R422" s="55">
        <f t="shared" si="142"/>
        <v>48.6061847263651</v>
      </c>
    </row>
    <row r="423" ht="12.800000000000001">
      <c r="A423" s="1">
        <v>419</v>
      </c>
      <c r="B423" s="44">
        <v>43964</v>
      </c>
      <c r="C423" s="45">
        <f t="shared" si="128"/>
        <v>3.2134670667110501</v>
      </c>
      <c r="D423" s="3">
        <f t="shared" si="129"/>
        <v>3.2134670667110501</v>
      </c>
      <c r="E423" s="46">
        <f t="shared" si="130"/>
        <v>0</v>
      </c>
      <c r="F423" s="46">
        <f t="shared" si="131"/>
        <v>32.298110742646102</v>
      </c>
      <c r="G423" s="46">
        <f t="shared" si="132"/>
        <v>100</v>
      </c>
      <c r="H423" s="46">
        <f t="shared" si="133"/>
        <v>9.9493963975670496</v>
      </c>
      <c r="I423" s="47">
        <f t="shared" si="134"/>
        <v>0</v>
      </c>
      <c r="J423" s="47">
        <f t="shared" si="135"/>
        <v>35.492429387523202</v>
      </c>
      <c r="K423" s="48">
        <f t="shared" si="136"/>
        <v>0</v>
      </c>
      <c r="L423" s="7">
        <f t="shared" si="137"/>
        <v>3.2134670667110501</v>
      </c>
      <c r="M423" s="7">
        <f t="shared" si="138"/>
        <v>0</v>
      </c>
      <c r="N423" s="7">
        <f t="shared" si="139"/>
        <v>0</v>
      </c>
      <c r="O423" s="7">
        <f t="shared" si="140"/>
        <v>3.2134670667110501</v>
      </c>
      <c r="P423" s="49">
        <f t="shared" si="141"/>
        <v>31.961146896631899</v>
      </c>
      <c r="Q423" s="54">
        <f t="shared" si="143"/>
        <v>909.26156717572496</v>
      </c>
      <c r="R423" s="55">
        <f t="shared" si="142"/>
        <v>48.842741823368399</v>
      </c>
    </row>
    <row r="424" ht="12.800000000000001">
      <c r="A424" s="1">
        <v>420</v>
      </c>
      <c r="B424" s="44">
        <v>43965</v>
      </c>
      <c r="C424" s="45">
        <f t="shared" si="128"/>
        <v>3.0488136572847102</v>
      </c>
      <c r="D424" s="3">
        <f t="shared" si="129"/>
        <v>3.0488136572847102</v>
      </c>
      <c r="E424" s="46">
        <f t="shared" si="130"/>
        <v>0</v>
      </c>
      <c r="F424" s="46">
        <f t="shared" si="131"/>
        <v>32.4636612209937</v>
      </c>
      <c r="G424" s="46">
        <f t="shared" si="132"/>
        <v>100</v>
      </c>
      <c r="H424" s="46">
        <f t="shared" si="133"/>
        <v>9.3914658501706203</v>
      </c>
      <c r="I424" s="47">
        <f t="shared" si="134"/>
        <v>0</v>
      </c>
      <c r="J424" s="47">
        <f t="shared" si="135"/>
        <v>35.674352990103003</v>
      </c>
      <c r="K424" s="48">
        <f t="shared" si="136"/>
        <v>0</v>
      </c>
      <c r="L424" s="7">
        <f t="shared" si="137"/>
        <v>3.0488136572847102</v>
      </c>
      <c r="M424" s="7">
        <f t="shared" si="138"/>
        <v>0</v>
      </c>
      <c r="N424" s="7">
        <f t="shared" si="139"/>
        <v>0</v>
      </c>
      <c r="O424" s="7">
        <f t="shared" si="140"/>
        <v>3.0488136572847102</v>
      </c>
      <c r="P424" s="49">
        <f t="shared" si="141"/>
        <v>32.324008311768097</v>
      </c>
      <c r="Q424" s="54">
        <f t="shared" si="143"/>
        <v>933.87165028613197</v>
      </c>
      <c r="R424" s="55">
        <f t="shared" si="142"/>
        <v>49.0820795662721</v>
      </c>
    </row>
    <row r="425" ht="12.800000000000001">
      <c r="A425" s="1">
        <v>421</v>
      </c>
      <c r="B425" s="44">
        <v>43966</v>
      </c>
      <c r="C425" s="45">
        <f t="shared" si="128"/>
        <v>2.8880505401827401</v>
      </c>
      <c r="D425" s="3">
        <f t="shared" si="129"/>
        <v>2.8880505401827401</v>
      </c>
      <c r="E425" s="46">
        <f t="shared" si="130"/>
        <v>0</v>
      </c>
      <c r="F425" s="46">
        <f t="shared" si="131"/>
        <v>32.625300211826698</v>
      </c>
      <c r="G425" s="46">
        <f t="shared" si="132"/>
        <v>100</v>
      </c>
      <c r="H425" s="46">
        <f t="shared" si="133"/>
        <v>8.8521807352927304</v>
      </c>
      <c r="I425" s="47">
        <f t="shared" si="134"/>
        <v>0</v>
      </c>
      <c r="J425" s="47">
        <f t="shared" si="135"/>
        <v>35.851978254754599</v>
      </c>
      <c r="K425" s="48">
        <f t="shared" si="136"/>
        <v>0</v>
      </c>
      <c r="L425" s="7">
        <f t="shared" si="137"/>
        <v>2.8880505401827401</v>
      </c>
      <c r="M425" s="7">
        <f t="shared" si="138"/>
        <v>0</v>
      </c>
      <c r="N425" s="7">
        <f t="shared" si="139"/>
        <v>0</v>
      </c>
      <c r="O425" s="7">
        <f t="shared" si="140"/>
        <v>2.8880505401827401</v>
      </c>
      <c r="P425" s="49">
        <f t="shared" si="141"/>
        <v>32.678296342465899</v>
      </c>
      <c r="Q425" s="54">
        <f t="shared" si="143"/>
        <v>958.76113668619303</v>
      </c>
      <c r="R425" s="55">
        <f t="shared" si="142"/>
        <v>49.324134559353602</v>
      </c>
    </row>
    <row r="426" ht="12.800000000000001">
      <c r="A426" s="1">
        <v>422</v>
      </c>
      <c r="B426" s="44">
        <v>43967</v>
      </c>
      <c r="C426" s="45">
        <f t="shared" si="128"/>
        <v>2.73122535298628</v>
      </c>
      <c r="D426" s="3">
        <f t="shared" si="129"/>
        <v>2.73122535298628</v>
      </c>
      <c r="E426" s="46">
        <f t="shared" si="130"/>
        <v>0</v>
      </c>
      <c r="F426" s="46">
        <f t="shared" si="131"/>
        <v>32.782979818023598</v>
      </c>
      <c r="G426" s="46">
        <f t="shared" si="132"/>
        <v>100</v>
      </c>
      <c r="H426" s="46">
        <f t="shared" si="133"/>
        <v>8.3312297056190499</v>
      </c>
      <c r="I426" s="47">
        <f t="shared" si="134"/>
        <v>0</v>
      </c>
      <c r="J426" s="47">
        <f t="shared" si="135"/>
        <v>36.025252547278697</v>
      </c>
      <c r="K426" s="48">
        <f t="shared" si="136"/>
        <v>0</v>
      </c>
      <c r="L426" s="7">
        <f t="shared" si="137"/>
        <v>2.73122535298628</v>
      </c>
      <c r="M426" s="7">
        <f t="shared" si="138"/>
        <v>0</v>
      </c>
      <c r="N426" s="7">
        <f t="shared" si="139"/>
        <v>0</v>
      </c>
      <c r="O426" s="7">
        <f t="shared" si="140"/>
        <v>2.73122535298628</v>
      </c>
      <c r="P426" s="49">
        <f t="shared" si="141"/>
        <v>33.023906005535501</v>
      </c>
      <c r="Q426" s="54">
        <f t="shared" si="143"/>
        <v>983.92342486989196</v>
      </c>
      <c r="R426" s="55">
        <f t="shared" si="142"/>
        <v>49.568842601710202</v>
      </c>
    </row>
    <row r="427" ht="12.800000000000001">
      <c r="A427" s="1">
        <v>423</v>
      </c>
      <c r="B427" s="44">
        <v>43968</v>
      </c>
      <c r="C427" s="45">
        <f t="shared" si="128"/>
        <v>2.5783845663828799</v>
      </c>
      <c r="D427" s="3">
        <f t="shared" si="129"/>
        <v>2.5783845663828799</v>
      </c>
      <c r="E427" s="46">
        <f t="shared" si="130"/>
        <v>0</v>
      </c>
      <c r="F427" s="46">
        <f t="shared" si="131"/>
        <v>32.936653315714203</v>
      </c>
      <c r="G427" s="46">
        <f t="shared" si="132"/>
        <v>100</v>
      </c>
      <c r="H427" s="46">
        <f t="shared" si="133"/>
        <v>7.8283137684566304</v>
      </c>
      <c r="I427" s="47">
        <f t="shared" si="134"/>
        <v>0</v>
      </c>
      <c r="J427" s="47">
        <f t="shared" si="135"/>
        <v>36.194124522762799</v>
      </c>
      <c r="K427" s="48">
        <f t="shared" si="136"/>
        <v>0</v>
      </c>
      <c r="L427" s="7">
        <f t="shared" si="137"/>
        <v>2.5783845663828799</v>
      </c>
      <c r="M427" s="7">
        <f t="shared" si="138"/>
        <v>0</v>
      </c>
      <c r="N427" s="7">
        <f t="shared" si="139"/>
        <v>0</v>
      </c>
      <c r="O427" s="7">
        <f t="shared" si="140"/>
        <v>2.5783845663828799</v>
      </c>
      <c r="P427" s="49">
        <f t="shared" si="141"/>
        <v>33.360734889375102</v>
      </c>
      <c r="Q427" s="54">
        <f t="shared" si="143"/>
        <v>1009.35183249415</v>
      </c>
      <c r="R427" s="55">
        <f t="shared" si="142"/>
        <v>49.816138706283397</v>
      </c>
    </row>
    <row r="428" ht="12.800000000000001">
      <c r="A428" s="1">
        <v>424</v>
      </c>
      <c r="B428" s="44">
        <v>43969</v>
      </c>
      <c r="C428" s="45">
        <f t="shared" si="128"/>
        <v>2.4295734703961598</v>
      </c>
      <c r="D428" s="3">
        <f t="shared" si="129"/>
        <v>2.4295734703961598</v>
      </c>
      <c r="E428" s="46">
        <f t="shared" si="130"/>
        <v>0</v>
      </c>
      <c r="F428" s="46">
        <f t="shared" si="131"/>
        <v>33.086275168124502</v>
      </c>
      <c r="G428" s="46">
        <f t="shared" si="132"/>
        <v>100</v>
      </c>
      <c r="H428" s="46">
        <f t="shared" si="133"/>
        <v>7.34314593604309</v>
      </c>
      <c r="I428" s="47">
        <f t="shared" si="134"/>
        <v>0</v>
      </c>
      <c r="J428" s="47">
        <f t="shared" si="135"/>
        <v>36.358544140796099</v>
      </c>
      <c r="K428" s="48">
        <f t="shared" si="136"/>
        <v>0</v>
      </c>
      <c r="L428" s="7">
        <f t="shared" si="137"/>
        <v>2.4295734703961598</v>
      </c>
      <c r="M428" s="7">
        <f t="shared" si="138"/>
        <v>0</v>
      </c>
      <c r="N428" s="7">
        <f t="shared" si="139"/>
        <v>0</v>
      </c>
      <c r="O428" s="7">
        <f t="shared" si="140"/>
        <v>2.4295734703961598</v>
      </c>
      <c r="P428" s="49">
        <f t="shared" si="141"/>
        <v>33.688683184316801</v>
      </c>
      <c r="Q428" s="54">
        <f t="shared" si="143"/>
        <v>1035.0395983589699</v>
      </c>
      <c r="R428" s="55">
        <f t="shared" si="142"/>
        <v>50.065957119116199</v>
      </c>
    </row>
    <row r="429" ht="12.800000000000001">
      <c r="A429" s="1">
        <v>425</v>
      </c>
      <c r="B429" s="44">
        <v>43970</v>
      </c>
      <c r="C429" s="45">
        <f t="shared" si="128"/>
        <v>2.2848361609654901</v>
      </c>
      <c r="D429" s="3">
        <f t="shared" si="129"/>
        <v>2.2848361609654901</v>
      </c>
      <c r="E429" s="46">
        <f t="shared" si="130"/>
        <v>0</v>
      </c>
      <c r="F429" s="46">
        <f t="shared" si="131"/>
        <v>33.231801039070398</v>
      </c>
      <c r="G429" s="46">
        <f t="shared" si="132"/>
        <v>100</v>
      </c>
      <c r="H429" s="46">
        <f t="shared" si="133"/>
        <v>6.8754508919911297</v>
      </c>
      <c r="I429" s="47">
        <f t="shared" si="134"/>
        <v>0</v>
      </c>
      <c r="J429" s="47">
        <f t="shared" si="135"/>
        <v>36.518462680297198</v>
      </c>
      <c r="K429" s="48">
        <f t="shared" si="136"/>
        <v>0</v>
      </c>
      <c r="L429" s="7">
        <f t="shared" si="137"/>
        <v>2.2848361609654901</v>
      </c>
      <c r="M429" s="7">
        <f t="shared" si="138"/>
        <v>0</v>
      </c>
      <c r="N429" s="7">
        <f t="shared" si="139"/>
        <v>0</v>
      </c>
      <c r="O429" s="7">
        <f t="shared" si="140"/>
        <v>2.2848361609654901</v>
      </c>
      <c r="P429" s="49">
        <f t="shared" si="141"/>
        <v>34.007653712203201</v>
      </c>
      <c r="Q429" s="54">
        <f t="shared" si="143"/>
        <v>1060.9798844109</v>
      </c>
      <c r="R429" s="55">
        <f t="shared" si="142"/>
        <v>50.318231338837201</v>
      </c>
    </row>
    <row r="430" ht="12.800000000000001">
      <c r="A430" s="1">
        <v>426</v>
      </c>
      <c r="B430" s="44">
        <v>43971</v>
      </c>
      <c r="C430" s="45">
        <f t="shared" si="128"/>
        <v>2.1442155268793299</v>
      </c>
      <c r="D430" s="3">
        <f t="shared" si="129"/>
        <v>2.1442155268793299</v>
      </c>
      <c r="E430" s="46">
        <f t="shared" si="130"/>
        <v>0</v>
      </c>
      <c r="F430" s="46">
        <f t="shared" si="131"/>
        <v>33.373187806095899</v>
      </c>
      <c r="G430" s="46">
        <f t="shared" si="132"/>
        <v>100</v>
      </c>
      <c r="H430" s="46">
        <f t="shared" si="133"/>
        <v>6.4249646732508703</v>
      </c>
      <c r="I430" s="47">
        <f t="shared" si="134"/>
        <v>0</v>
      </c>
      <c r="J430" s="47">
        <f t="shared" si="135"/>
        <v>36.673832753951501</v>
      </c>
      <c r="K430" s="48">
        <f t="shared" si="136"/>
        <v>0</v>
      </c>
      <c r="L430" s="7">
        <f t="shared" si="137"/>
        <v>2.1442155268793299</v>
      </c>
      <c r="M430" s="7">
        <f t="shared" si="138"/>
        <v>0</v>
      </c>
      <c r="N430" s="7">
        <f t="shared" si="139"/>
        <v>0</v>
      </c>
      <c r="O430" s="7">
        <f t="shared" si="140"/>
        <v>2.1442155268793299</v>
      </c>
      <c r="P430" s="49">
        <f t="shared" si="141"/>
        <v>34.317551955182999</v>
      </c>
      <c r="Q430" s="54">
        <f t="shared" si="143"/>
        <v>1087.1657777692899</v>
      </c>
      <c r="R430" s="55">
        <f t="shared" si="142"/>
        <v>50.572894136366202</v>
      </c>
    </row>
    <row r="431" ht="12.800000000000001">
      <c r="A431" s="1">
        <v>427</v>
      </c>
      <c r="B431" s="44">
        <v>43972</v>
      </c>
      <c r="C431" s="45">
        <f t="shared" si="128"/>
        <v>2.0077532370663902</v>
      </c>
      <c r="D431" s="3">
        <f t="shared" si="129"/>
        <v>2.0077532370663902</v>
      </c>
      <c r="E431" s="46">
        <f t="shared" si="130"/>
        <v>0</v>
      </c>
      <c r="F431" s="46">
        <f t="shared" si="131"/>
        <v>33.510393573250397</v>
      </c>
      <c r="G431" s="46">
        <f t="shared" si="132"/>
        <v>100</v>
      </c>
      <c r="H431" s="46">
        <f t="shared" si="133"/>
        <v>5.9914343670051098</v>
      </c>
      <c r="I431" s="47">
        <f t="shared" si="134"/>
        <v>0</v>
      </c>
      <c r="J431" s="47">
        <f t="shared" si="135"/>
        <v>36.824608322253198</v>
      </c>
      <c r="K431" s="48">
        <f t="shared" si="136"/>
        <v>0</v>
      </c>
      <c r="L431" s="7">
        <f t="shared" si="137"/>
        <v>2.0077532370663902</v>
      </c>
      <c r="M431" s="7">
        <f t="shared" si="138"/>
        <v>0</v>
      </c>
      <c r="N431" s="7">
        <f t="shared" si="139"/>
        <v>0</v>
      </c>
      <c r="O431" s="7">
        <f t="shared" si="140"/>
        <v>2.0077532370663902</v>
      </c>
      <c r="P431" s="49">
        <f t="shared" si="141"/>
        <v>34.618286083718701</v>
      </c>
      <c r="Q431" s="54">
        <f t="shared" si="143"/>
        <v>1113.59029277478</v>
      </c>
      <c r="R431" s="55">
        <f t="shared" si="142"/>
        <v>50.829877574835997</v>
      </c>
    </row>
    <row r="432" ht="12.800000000000001">
      <c r="A432" s="1">
        <v>428</v>
      </c>
      <c r="B432" s="44">
        <v>43973</v>
      </c>
      <c r="C432" s="45">
        <f t="shared" si="128"/>
        <v>1.8754897282482701</v>
      </c>
      <c r="D432" s="3">
        <f t="shared" si="129"/>
        <v>1.8754897282482701</v>
      </c>
      <c r="E432" s="46">
        <f t="shared" si="130"/>
        <v>0</v>
      </c>
      <c r="F432" s="46">
        <f t="shared" si="131"/>
        <v>33.6433776835039</v>
      </c>
      <c r="G432" s="46">
        <f t="shared" si="132"/>
        <v>100</v>
      </c>
      <c r="H432" s="46">
        <f t="shared" si="133"/>
        <v>5.5746178219431899</v>
      </c>
      <c r="I432" s="47">
        <f t="shared" si="134"/>
        <v>0</v>
      </c>
      <c r="J432" s="47">
        <f t="shared" si="135"/>
        <v>36.970744707147198</v>
      </c>
      <c r="K432" s="48">
        <f t="shared" si="136"/>
        <v>0</v>
      </c>
      <c r="L432" s="7">
        <f t="shared" si="137"/>
        <v>1.8754897282482701</v>
      </c>
      <c r="M432" s="7">
        <f t="shared" si="138"/>
        <v>0</v>
      </c>
      <c r="N432" s="7">
        <f t="shared" si="139"/>
        <v>0</v>
      </c>
      <c r="O432" s="7">
        <f t="shared" si="140"/>
        <v>1.8754897282482701</v>
      </c>
      <c r="P432" s="49">
        <f t="shared" si="141"/>
        <v>34.909766983797503</v>
      </c>
      <c r="Q432" s="54">
        <f t="shared" si="143"/>
        <v>1140.2463730592499</v>
      </c>
      <c r="R432" s="55">
        <f t="shared" si="142"/>
        <v>51.089113029723499</v>
      </c>
    </row>
    <row r="433" ht="12.800000000000001">
      <c r="A433" s="1">
        <v>429</v>
      </c>
      <c r="B433" s="44">
        <v>43974</v>
      </c>
      <c r="C433" s="45">
        <f t="shared" si="128"/>
        <v>1.74746419295708</v>
      </c>
      <c r="D433" s="3">
        <f t="shared" si="129"/>
        <v>1.74746419295708</v>
      </c>
      <c r="E433" s="46">
        <f t="shared" si="130"/>
        <v>0</v>
      </c>
      <c r="F433" s="46">
        <f t="shared" si="131"/>
        <v>33.772100730794698</v>
      </c>
      <c r="G433" s="46">
        <f t="shared" si="132"/>
        <v>100</v>
      </c>
      <c r="H433" s="46">
        <f t="shared" si="133"/>
        <v>5.1742833733871798</v>
      </c>
      <c r="I433" s="47">
        <f t="shared" si="134"/>
        <v>0</v>
      </c>
      <c r="J433" s="47">
        <f t="shared" si="135"/>
        <v>37.112198605268901</v>
      </c>
      <c r="K433" s="48">
        <f t="shared" si="136"/>
        <v>0</v>
      </c>
      <c r="L433" s="7">
        <f t="shared" si="137"/>
        <v>1.74746419295708</v>
      </c>
      <c r="M433" s="7">
        <f t="shared" si="138"/>
        <v>0</v>
      </c>
      <c r="N433" s="7">
        <f t="shared" si="139"/>
        <v>0</v>
      </c>
      <c r="O433" s="7">
        <f t="shared" si="140"/>
        <v>1.74746419295708</v>
      </c>
      <c r="P433" s="49">
        <f t="shared" si="141"/>
        <v>35.191908283338002</v>
      </c>
      <c r="Q433" s="54">
        <f t="shared" si="143"/>
        <v>1167.1268936367701</v>
      </c>
      <c r="R433" s="55">
        <f t="shared" si="142"/>
        <v>51.350531209184297</v>
      </c>
    </row>
    <row r="434" ht="12.800000000000001">
      <c r="A434" s="1">
        <v>430</v>
      </c>
      <c r="B434" s="44">
        <v>43975</v>
      </c>
      <c r="C434" s="45">
        <f t="shared" si="128"/>
        <v>1.62371456792196</v>
      </c>
      <c r="D434" s="3">
        <f t="shared" si="129"/>
        <v>1.62371456792196</v>
      </c>
      <c r="E434" s="46">
        <f t="shared" si="130"/>
        <v>0</v>
      </c>
      <c r="F434" s="46">
        <f t="shared" si="131"/>
        <v>33.896524571705598</v>
      </c>
      <c r="G434" s="46">
        <f t="shared" si="132"/>
        <v>100</v>
      </c>
      <c r="H434" s="46">
        <f t="shared" si="133"/>
        <v>4.79020958177325</v>
      </c>
      <c r="I434" s="47">
        <f t="shared" si="134"/>
        <v>0</v>
      </c>
      <c r="J434" s="47">
        <f t="shared" si="135"/>
        <v>37.248928100775402</v>
      </c>
      <c r="K434" s="48">
        <f t="shared" si="136"/>
        <v>0</v>
      </c>
      <c r="L434" s="7">
        <f t="shared" si="137"/>
        <v>1.62371456792196</v>
      </c>
      <c r="M434" s="7">
        <f t="shared" si="138"/>
        <v>0</v>
      </c>
      <c r="N434" s="7">
        <f t="shared" si="139"/>
        <v>0</v>
      </c>
      <c r="O434" s="7">
        <f t="shared" si="140"/>
        <v>1.62371456792196</v>
      </c>
      <c r="P434" s="49">
        <f t="shared" si="141"/>
        <v>35.464626377784199</v>
      </c>
      <c r="Q434" s="54">
        <f t="shared" si="143"/>
        <v>1194.22466301494</v>
      </c>
      <c r="R434" s="55">
        <f t="shared" si="142"/>
        <v>51.614062174585797</v>
      </c>
    </row>
    <row r="435" ht="12.800000000000001">
      <c r="A435" s="1">
        <v>431</v>
      </c>
      <c r="B435" s="44">
        <v>43976</v>
      </c>
      <c r="C435" s="45">
        <f t="shared" si="128"/>
        <v>1.50427752282755</v>
      </c>
      <c r="D435" s="3">
        <f t="shared" si="129"/>
        <v>1.50427752282755</v>
      </c>
      <c r="E435" s="46">
        <f t="shared" si="130"/>
        <v>0</v>
      </c>
      <c r="F435" s="46">
        <f t="shared" si="131"/>
        <v>34.016612336767302</v>
      </c>
      <c r="G435" s="46">
        <f t="shared" si="132"/>
        <v>100</v>
      </c>
      <c r="H435" s="46">
        <f t="shared" si="133"/>
        <v>4.4221849840162797</v>
      </c>
      <c r="I435" s="47">
        <f t="shared" si="134"/>
        <v>0</v>
      </c>
      <c r="J435" s="47">
        <f t="shared" si="135"/>
        <v>37.380892677766298</v>
      </c>
      <c r="K435" s="48">
        <f t="shared" si="136"/>
        <v>0</v>
      </c>
      <c r="L435" s="7">
        <f t="shared" si="137"/>
        <v>1.50427752282755</v>
      </c>
      <c r="M435" s="7">
        <f t="shared" si="138"/>
        <v>0</v>
      </c>
      <c r="N435" s="7">
        <f t="shared" si="139"/>
        <v>0</v>
      </c>
      <c r="O435" s="7">
        <f t="shared" si="140"/>
        <v>1.50427752282755</v>
      </c>
      <c r="P435" s="49">
        <f t="shared" si="141"/>
        <v>35.727840454878901</v>
      </c>
      <c r="Q435" s="54">
        <f t="shared" si="143"/>
        <v>1221.53242532584</v>
      </c>
      <c r="R435" s="55">
        <f t="shared" si="142"/>
        <v>51.879635361231301</v>
      </c>
    </row>
    <row r="436" ht="12.800000000000001">
      <c r="A436" s="1">
        <v>432</v>
      </c>
      <c r="B436" s="44">
        <v>43977</v>
      </c>
      <c r="C436" s="45">
        <f t="shared" si="128"/>
        <v>1.38918844944796</v>
      </c>
      <c r="D436" s="3">
        <f t="shared" si="129"/>
        <v>1.38918844944796</v>
      </c>
      <c r="E436" s="46">
        <f t="shared" si="130"/>
        <v>0</v>
      </c>
      <c r="F436" s="46">
        <f t="shared" si="131"/>
        <v>34.1323284413834</v>
      </c>
      <c r="G436" s="46">
        <f t="shared" si="132"/>
        <v>100</v>
      </c>
      <c r="H436" s="46">
        <f t="shared" si="133"/>
        <v>4.0700078573123504</v>
      </c>
      <c r="I436" s="47">
        <f t="shared" si="134"/>
        <v>0</v>
      </c>
      <c r="J436" s="47">
        <f t="shared" si="135"/>
        <v>37.508053232289498</v>
      </c>
      <c r="K436" s="48">
        <f t="shared" si="136"/>
        <v>0</v>
      </c>
      <c r="L436" s="7">
        <f t="shared" si="137"/>
        <v>1.38918844944796</v>
      </c>
      <c r="M436" s="7">
        <f t="shared" si="138"/>
        <v>0</v>
      </c>
      <c r="N436" s="7">
        <f t="shared" si="139"/>
        <v>0</v>
      </c>
      <c r="O436" s="7">
        <f t="shared" si="140"/>
        <v>1.38918844944796</v>
      </c>
      <c r="P436" s="49">
        <f t="shared" si="141"/>
        <v>35.981472518610403</v>
      </c>
      <c r="Q436" s="54">
        <f t="shared" si="143"/>
        <v>1249.04286247609</v>
      </c>
      <c r="R436" s="55">
        <f t="shared" si="142"/>
        <v>52.147179599269798</v>
      </c>
    </row>
    <row r="437" ht="12.800000000000001">
      <c r="A437" s="1">
        <v>433</v>
      </c>
      <c r="B437" s="44">
        <v>43978</v>
      </c>
      <c r="C437" s="45">
        <f t="shared" si="128"/>
        <v>1.27848145115947</v>
      </c>
      <c r="D437" s="3">
        <f t="shared" si="129"/>
        <v>1.27848145115947</v>
      </c>
      <c r="E437" s="46">
        <f t="shared" si="130"/>
        <v>0</v>
      </c>
      <c r="F437" s="46">
        <f t="shared" si="131"/>
        <v>34.243638596374701</v>
      </c>
      <c r="G437" s="46">
        <f t="shared" si="132"/>
        <v>100</v>
      </c>
      <c r="H437" s="46">
        <f t="shared" si="133"/>
        <v>3.7334859949573902</v>
      </c>
      <c r="I437" s="47">
        <f t="shared" si="134"/>
        <v>0</v>
      </c>
      <c r="J437" s="47">
        <f t="shared" si="135"/>
        <v>37.6303720839283</v>
      </c>
      <c r="K437" s="48">
        <f t="shared" si="136"/>
        <v>0</v>
      </c>
      <c r="L437" s="7">
        <f t="shared" si="137"/>
        <v>1.27848145115947</v>
      </c>
      <c r="M437" s="7">
        <f t="shared" si="138"/>
        <v>0</v>
      </c>
      <c r="N437" s="7">
        <f t="shared" si="139"/>
        <v>0</v>
      </c>
      <c r="O437" s="7">
        <f t="shared" si="140"/>
        <v>1.27848145115947</v>
      </c>
      <c r="P437" s="49">
        <f t="shared" si="141"/>
        <v>36.225447412324399</v>
      </c>
      <c r="Q437" s="54">
        <f t="shared" si="143"/>
        <v>1276.7485963154199</v>
      </c>
      <c r="R437" s="55">
        <f t="shared" si="142"/>
        <v>52.416623134785297</v>
      </c>
    </row>
    <row r="438" ht="12.800000000000001">
      <c r="A438" s="1">
        <v>434</v>
      </c>
      <c r="B438" s="44">
        <v>43979</v>
      </c>
      <c r="C438" s="45">
        <f t="shared" si="128"/>
        <v>1.17218933283492</v>
      </c>
      <c r="D438" s="3">
        <f t="shared" si="129"/>
        <v>1.17218933283492</v>
      </c>
      <c r="E438" s="46">
        <f t="shared" si="130"/>
        <v>0</v>
      </c>
      <c r="F438" s="46">
        <f t="shared" si="131"/>
        <v>34.350509818139997</v>
      </c>
      <c r="G438" s="46">
        <f t="shared" si="132"/>
        <v>100</v>
      </c>
      <c r="H438" s="46">
        <f t="shared" si="133"/>
        <v>3.4124364937835798</v>
      </c>
      <c r="I438" s="47">
        <f t="shared" si="134"/>
        <v>0</v>
      </c>
      <c r="J438" s="47">
        <f t="shared" si="135"/>
        <v>37.747812986966998</v>
      </c>
      <c r="K438" s="48">
        <f t="shared" si="136"/>
        <v>0</v>
      </c>
      <c r="L438" s="7">
        <f t="shared" si="137"/>
        <v>1.17218933283492</v>
      </c>
      <c r="M438" s="7">
        <f t="shared" si="138"/>
        <v>0</v>
      </c>
      <c r="N438" s="7">
        <f t="shared" si="139"/>
        <v>0</v>
      </c>
      <c r="O438" s="7">
        <f t="shared" si="140"/>
        <v>1.17218933283492</v>
      </c>
      <c r="P438" s="49">
        <f t="shared" si="141"/>
        <v>36.459692840994599</v>
      </c>
      <c r="Q438" s="54">
        <f t="shared" si="143"/>
        <v>1304.6421908229099</v>
      </c>
      <c r="R438" s="55">
        <f t="shared" si="142"/>
        <v>52.6878936510589</v>
      </c>
    </row>
    <row r="439" ht="12.800000000000001">
      <c r="A439" s="1">
        <v>435</v>
      </c>
      <c r="B439" s="44">
        <v>43980</v>
      </c>
      <c r="C439" s="45">
        <f t="shared" si="128"/>
        <v>1.07034359112294</v>
      </c>
      <c r="D439" s="3">
        <f t="shared" si="129"/>
        <v>1.07034359112294</v>
      </c>
      <c r="E439" s="46">
        <f t="shared" si="130"/>
        <v>0</v>
      </c>
      <c r="F439" s="46">
        <f t="shared" si="131"/>
        <v>34.452910438429797</v>
      </c>
      <c r="G439" s="46">
        <f t="shared" si="132"/>
        <v>100</v>
      </c>
      <c r="H439" s="46">
        <f t="shared" si="133"/>
        <v>3.1066855528380701</v>
      </c>
      <c r="I439" s="47">
        <f t="shared" si="134"/>
        <v>0</v>
      </c>
      <c r="J439" s="47">
        <f t="shared" si="135"/>
        <v>37.860341141131599</v>
      </c>
      <c r="K439" s="48">
        <f t="shared" si="136"/>
        <v>0</v>
      </c>
      <c r="L439" s="7">
        <f t="shared" si="137"/>
        <v>1.07034359112294</v>
      </c>
      <c r="M439" s="7">
        <f t="shared" si="138"/>
        <v>0</v>
      </c>
      <c r="N439" s="7">
        <f t="shared" si="139"/>
        <v>0</v>
      </c>
      <c r="O439" s="7">
        <f t="shared" si="140"/>
        <v>1.07034359112294</v>
      </c>
      <c r="P439" s="49">
        <f t="shared" si="141"/>
        <v>36.684139392644902</v>
      </c>
      <c r="Q439" s="54">
        <f t="shared" si="143"/>
        <v>1332.7161543104801</v>
      </c>
      <c r="R439" s="55">
        <f t="shared" si="142"/>
        <v>52.960918289997799</v>
      </c>
    </row>
    <row r="440" ht="12.800000000000001">
      <c r="A440" s="1">
        <v>436</v>
      </c>
      <c r="B440" s="44">
        <v>43981</v>
      </c>
      <c r="C440" s="45">
        <f t="shared" si="128"/>
        <v>0.97297440511480804</v>
      </c>
      <c r="D440" s="3">
        <f t="shared" si="129"/>
        <v>0.97297440511480804</v>
      </c>
      <c r="E440" s="46">
        <f t="shared" si="130"/>
        <v>0</v>
      </c>
      <c r="F440" s="46">
        <f t="shared" si="131"/>
        <v>34.5508101137303</v>
      </c>
      <c r="G440" s="46">
        <f t="shared" si="132"/>
        <v>100</v>
      </c>
      <c r="H440" s="46">
        <f t="shared" si="133"/>
        <v>2.8160682829493302</v>
      </c>
      <c r="I440" s="47">
        <f t="shared" si="134"/>
        <v>0</v>
      </c>
      <c r="J440" s="47">
        <f t="shared" si="135"/>
        <v>37.967923201901499</v>
      </c>
      <c r="K440" s="48">
        <f t="shared" si="136"/>
        <v>0</v>
      </c>
      <c r="L440" s="7">
        <f t="shared" si="137"/>
        <v>0.97297440511480804</v>
      </c>
      <c r="M440" s="7">
        <f t="shared" si="138"/>
        <v>0</v>
      </c>
      <c r="N440" s="7">
        <f t="shared" si="139"/>
        <v>0</v>
      </c>
      <c r="O440" s="7">
        <f t="shared" si="140"/>
        <v>0.97297440511480804</v>
      </c>
      <c r="P440" s="49">
        <f t="shared" si="141"/>
        <v>36.8987205589181</v>
      </c>
      <c r="Q440" s="54">
        <f t="shared" si="143"/>
        <v>1360.9629416428199</v>
      </c>
      <c r="R440" s="55">
        <f t="shared" si="142"/>
        <v>53.235623673725101</v>
      </c>
    </row>
    <row r="441" ht="12.800000000000001">
      <c r="A441" s="1">
        <v>437</v>
      </c>
      <c r="B441" s="44">
        <v>43982</v>
      </c>
      <c r="C441" s="45">
        <f t="shared" si="128"/>
        <v>0.88011062740174095</v>
      </c>
      <c r="D441" s="3">
        <f t="shared" si="129"/>
        <v>0.88011062740174095</v>
      </c>
      <c r="E441" s="46">
        <f t="shared" si="130"/>
        <v>0</v>
      </c>
      <c r="F441" s="46">
        <f t="shared" si="131"/>
        <v>34.644179834254999</v>
      </c>
      <c r="G441" s="46">
        <f t="shared" si="132"/>
        <v>100</v>
      </c>
      <c r="H441" s="46">
        <f t="shared" si="133"/>
        <v>2.5404285268474398</v>
      </c>
      <c r="I441" s="47">
        <f t="shared" si="134"/>
        <v>0</v>
      </c>
      <c r="J441" s="47">
        <f t="shared" si="135"/>
        <v>38.070527290390103</v>
      </c>
      <c r="K441" s="48">
        <f t="shared" si="136"/>
        <v>0</v>
      </c>
      <c r="L441" s="7">
        <f t="shared" si="137"/>
        <v>0.88011062740174095</v>
      </c>
      <c r="M441" s="7">
        <f t="shared" si="138"/>
        <v>0</v>
      </c>
      <c r="N441" s="7">
        <f t="shared" si="139"/>
        <v>0</v>
      </c>
      <c r="O441" s="7">
        <f t="shared" si="140"/>
        <v>0.88011062740174095</v>
      </c>
      <c r="P441" s="49">
        <f t="shared" si="141"/>
        <v>37.103372754783798</v>
      </c>
      <c r="Q441" s="54">
        <f t="shared" si="143"/>
        <v>1389.37495647318</v>
      </c>
      <c r="R441" s="55">
        <f t="shared" si="142"/>
        <v>53.511935926322501</v>
      </c>
    </row>
    <row r="442" ht="12.800000000000001">
      <c r="A442" s="1">
        <v>438</v>
      </c>
      <c r="B442" s="44">
        <v>43983</v>
      </c>
      <c r="C442" s="45">
        <f t="shared" si="128"/>
        <v>0.79177977552524603</v>
      </c>
      <c r="D442" s="3">
        <f t="shared" si="129"/>
        <v>0.79177977552524603</v>
      </c>
      <c r="E442" s="46">
        <f t="shared" si="130"/>
        <v>0</v>
      </c>
      <c r="F442" s="46">
        <f t="shared" si="131"/>
        <v>34.732991932540401</v>
      </c>
      <c r="G442" s="46">
        <f t="shared" si="132"/>
        <v>100</v>
      </c>
      <c r="H442" s="46">
        <f t="shared" si="133"/>
        <v>2.27961868952455</v>
      </c>
      <c r="I442" s="47">
        <f t="shared" si="134"/>
        <v>0</v>
      </c>
      <c r="J442" s="47">
        <f t="shared" si="135"/>
        <v>38.168123002791702</v>
      </c>
      <c r="K442" s="48">
        <f t="shared" si="136"/>
        <v>0</v>
      </c>
      <c r="L442" s="7">
        <f t="shared" si="137"/>
        <v>0.79177977552524603</v>
      </c>
      <c r="M442" s="7">
        <f t="shared" si="138"/>
        <v>0</v>
      </c>
      <c r="N442" s="7">
        <f t="shared" si="139"/>
        <v>0</v>
      </c>
      <c r="O442" s="7">
        <f t="shared" si="140"/>
        <v>0.79177977552524603</v>
      </c>
      <c r="P442" s="49">
        <f t="shared" si="141"/>
        <v>37.298035337379297</v>
      </c>
      <c r="Q442" s="54">
        <f t="shared" si="143"/>
        <v>1417.94455349437</v>
      </c>
      <c r="R442" s="55">
        <f t="shared" si="142"/>
        <v>53.7897806957223</v>
      </c>
    </row>
    <row r="443" ht="12.800000000000001">
      <c r="A443" s="1">
        <v>439</v>
      </c>
      <c r="B443" s="44">
        <v>43984</v>
      </c>
      <c r="C443" s="45">
        <f t="shared" si="128"/>
        <v>0.70800802382305705</v>
      </c>
      <c r="D443" s="3">
        <f t="shared" si="129"/>
        <v>0.70800802382305705</v>
      </c>
      <c r="E443" s="46">
        <f t="shared" si="130"/>
        <v>0</v>
      </c>
      <c r="F443" s="46">
        <f t="shared" si="131"/>
        <v>34.817220091645197</v>
      </c>
      <c r="G443" s="46">
        <f t="shared" si="132"/>
        <v>100</v>
      </c>
      <c r="H443" s="46">
        <f t="shared" si="133"/>
        <v>2.0334995785403098</v>
      </c>
      <c r="I443" s="47">
        <f t="shared" si="134"/>
        <v>0</v>
      </c>
      <c r="J443" s="47">
        <f t="shared" si="135"/>
        <v>38.260681419390401</v>
      </c>
      <c r="K443" s="48">
        <f t="shared" si="136"/>
        <v>0</v>
      </c>
      <c r="L443" s="7">
        <f t="shared" si="137"/>
        <v>0.70800802382305705</v>
      </c>
      <c r="M443" s="7">
        <f t="shared" si="138"/>
        <v>0</v>
      </c>
      <c r="N443" s="7">
        <f t="shared" si="139"/>
        <v>0</v>
      </c>
      <c r="O443" s="7">
        <f t="shared" si="140"/>
        <v>0.70800802382305705</v>
      </c>
      <c r="P443" s="49">
        <f t="shared" si="141"/>
        <v>37.482650623980398</v>
      </c>
      <c r="Q443" s="54">
        <f t="shared" si="143"/>
        <v>1446.66404070415</v>
      </c>
      <c r="R443" s="55">
        <f t="shared" si="142"/>
        <v>54.069083175738498</v>
      </c>
    </row>
    <row r="444" ht="12.800000000000001">
      <c r="A444" s="1">
        <v>440</v>
      </c>
      <c r="B444" s="44">
        <v>43985</v>
      </c>
      <c r="C444" s="45">
        <f t="shared" si="128"/>
        <v>0.62882019567315295</v>
      </c>
      <c r="D444" s="3">
        <f t="shared" si="129"/>
        <v>0.62882019567315295</v>
      </c>
      <c r="E444" s="46">
        <f t="shared" si="130"/>
        <v>0</v>
      </c>
      <c r="F444" s="46">
        <f t="shared" si="131"/>
        <v>34.896839352948099</v>
      </c>
      <c r="G444" s="46">
        <f t="shared" si="132"/>
        <v>100</v>
      </c>
      <c r="H444" s="46">
        <f t="shared" si="133"/>
        <v>1.80194025399618</v>
      </c>
      <c r="I444" s="47">
        <f t="shared" si="134"/>
        <v>0</v>
      </c>
      <c r="J444" s="47">
        <f t="shared" si="135"/>
        <v>38.348175113129798</v>
      </c>
      <c r="K444" s="48">
        <f t="shared" si="136"/>
        <v>0</v>
      </c>
      <c r="L444" s="7">
        <f t="shared" si="137"/>
        <v>0.62882019567315295</v>
      </c>
      <c r="M444" s="7">
        <f t="shared" si="138"/>
        <v>0</v>
      </c>
      <c r="N444" s="7">
        <f t="shared" si="139"/>
        <v>0</v>
      </c>
      <c r="O444" s="7">
        <f t="shared" si="140"/>
        <v>0.62882019567315295</v>
      </c>
      <c r="P444" s="49">
        <f t="shared" si="141"/>
        <v>37.657163909093399</v>
      </c>
      <c r="Q444" s="54">
        <f t="shared" si="143"/>
        <v>1475.5256816846099</v>
      </c>
      <c r="R444" s="55">
        <f t="shared" si="142"/>
        <v>54.349768128234402</v>
      </c>
    </row>
    <row r="445" ht="12.800000000000001">
      <c r="A445" s="1">
        <v>441</v>
      </c>
      <c r="B445" s="44">
        <v>43986</v>
      </c>
      <c r="C445" s="45">
        <f t="shared" si="128"/>
        <v>0.554239756138033</v>
      </c>
      <c r="D445" s="3">
        <f t="shared" si="129"/>
        <v>0.554239756138033</v>
      </c>
      <c r="E445" s="46">
        <f t="shared" si="130"/>
        <v>0</v>
      </c>
      <c r="F445" s="46">
        <f t="shared" si="131"/>
        <v>34.9718261235436</v>
      </c>
      <c r="G445" s="46">
        <f t="shared" si="132"/>
        <v>100</v>
      </c>
      <c r="H445" s="46">
        <f t="shared" si="133"/>
        <v>1.58481788791953</v>
      </c>
      <c r="I445" s="47">
        <f t="shared" si="134"/>
        <v>0</v>
      </c>
      <c r="J445" s="47">
        <f t="shared" si="135"/>
        <v>38.4305781577402</v>
      </c>
      <c r="K445" s="48">
        <f t="shared" si="136"/>
        <v>0</v>
      </c>
      <c r="L445" s="7">
        <f t="shared" si="137"/>
        <v>0.554239756138033</v>
      </c>
      <c r="M445" s="7">
        <f t="shared" si="138"/>
        <v>0</v>
      </c>
      <c r="N445" s="7">
        <f t="shared" si="139"/>
        <v>0</v>
      </c>
      <c r="O445" s="7">
        <f t="shared" si="140"/>
        <v>0.554239756138033</v>
      </c>
      <c r="P445" s="49">
        <f t="shared" si="141"/>
        <v>37.821523480665398</v>
      </c>
      <c r="Q445" s="54">
        <f t="shared" si="143"/>
        <v>1504.52169789461</v>
      </c>
      <c r="R445" s="55">
        <f t="shared" si="142"/>
        <v>54.631759905416502</v>
      </c>
    </row>
    <row r="446" ht="12.800000000000001">
      <c r="A446" s="1">
        <v>442</v>
      </c>
      <c r="B446" s="44">
        <v>43987</v>
      </c>
      <c r="C446" s="45">
        <f t="shared" si="128"/>
        <v>0.48428880501149901</v>
      </c>
      <c r="D446" s="3">
        <f t="shared" si="129"/>
        <v>0.48428880501149901</v>
      </c>
      <c r="E446" s="46">
        <f t="shared" si="130"/>
        <v>0</v>
      </c>
      <c r="F446" s="46">
        <f t="shared" si="131"/>
        <v>35.042158183233198</v>
      </c>
      <c r="G446" s="46">
        <f t="shared" si="132"/>
        <v>100</v>
      </c>
      <c r="H446" s="46">
        <f t="shared" si="133"/>
        <v>1.38201763281583</v>
      </c>
      <c r="I446" s="47">
        <f t="shared" si="134"/>
        <v>0</v>
      </c>
      <c r="J446" s="47">
        <f t="shared" si="135"/>
        <v>38.507866135421096</v>
      </c>
      <c r="K446" s="48">
        <f t="shared" si="136"/>
        <v>0</v>
      </c>
      <c r="L446" s="7">
        <f t="shared" si="137"/>
        <v>0.48428880501149901</v>
      </c>
      <c r="M446" s="7">
        <f t="shared" si="138"/>
        <v>0</v>
      </c>
      <c r="N446" s="7">
        <f t="shared" si="139"/>
        <v>0</v>
      </c>
      <c r="O446" s="7">
        <f t="shared" si="140"/>
        <v>0.48428880501149901</v>
      </c>
      <c r="P446" s="49">
        <f t="shared" si="141"/>
        <v>37.975680635408402</v>
      </c>
      <c r="Q446" s="54">
        <f t="shared" si="143"/>
        <v>1533.64427097473</v>
      </c>
      <c r="R446" s="55">
        <f t="shared" si="142"/>
        <v>54.914982472251097</v>
      </c>
    </row>
    <row r="447" ht="12.800000000000001">
      <c r="A447" s="1">
        <v>443</v>
      </c>
      <c r="B447" s="44">
        <v>43988</v>
      </c>
      <c r="C447" s="45">
        <f t="shared" si="128"/>
        <v>0.41898807027004498</v>
      </c>
      <c r="D447" s="3">
        <f t="shared" si="129"/>
        <v>0.41898807027004498</v>
      </c>
      <c r="E447" s="46">
        <f t="shared" si="130"/>
        <v>0</v>
      </c>
      <c r="F447" s="46">
        <f t="shared" si="131"/>
        <v>35.107814691109702</v>
      </c>
      <c r="G447" s="46">
        <f t="shared" si="132"/>
        <v>100</v>
      </c>
      <c r="H447" s="46">
        <f t="shared" si="133"/>
        <v>1.19343249916419</v>
      </c>
      <c r="I447" s="47">
        <f t="shared" si="134"/>
        <v>0</v>
      </c>
      <c r="J447" s="47">
        <f t="shared" si="135"/>
        <v>38.580016144076602</v>
      </c>
      <c r="K447" s="48">
        <f t="shared" si="136"/>
        <v>0</v>
      </c>
      <c r="L447" s="7">
        <f t="shared" si="137"/>
        <v>0.41898807027004498</v>
      </c>
      <c r="M447" s="7">
        <f t="shared" si="138"/>
        <v>0</v>
      </c>
      <c r="N447" s="7">
        <f t="shared" si="139"/>
        <v>0</v>
      </c>
      <c r="O447" s="7">
        <f t="shared" si="140"/>
        <v>0.41898807027004498</v>
      </c>
      <c r="P447" s="49">
        <f t="shared" si="141"/>
        <v>38.119589693230402</v>
      </c>
      <c r="Q447" s="54">
        <f t="shared" si="143"/>
        <v>1562.8855450639901</v>
      </c>
      <c r="R447" s="55">
        <f t="shared" si="142"/>
        <v>55.199359428995102</v>
      </c>
    </row>
    <row r="448" ht="12.800000000000001">
      <c r="A448" s="1">
        <v>444</v>
      </c>
      <c r="B448" s="44">
        <v>43989</v>
      </c>
      <c r="C448" s="45">
        <f t="shared" si="128"/>
        <v>0.35835690193066799</v>
      </c>
      <c r="D448" s="3">
        <f t="shared" si="129"/>
        <v>0.35835690193066799</v>
      </c>
      <c r="E448" s="46">
        <f t="shared" si="130"/>
        <v>0</v>
      </c>
      <c r="F448" s="46">
        <f t="shared" si="131"/>
        <v>35.168776191732903</v>
      </c>
      <c r="G448" s="46">
        <f t="shared" si="132"/>
        <v>100</v>
      </c>
      <c r="H448" s="46">
        <f t="shared" si="133"/>
        <v>1.01896324164645</v>
      </c>
      <c r="I448" s="47">
        <f t="shared" si="134"/>
        <v>0</v>
      </c>
      <c r="J448" s="47">
        <f t="shared" si="135"/>
        <v>38.647006804102098</v>
      </c>
      <c r="K448" s="48">
        <f t="shared" si="136"/>
        <v>0</v>
      </c>
      <c r="L448" s="7">
        <f t="shared" si="137"/>
        <v>0.35835690193066799</v>
      </c>
      <c r="M448" s="7">
        <f t="shared" si="138"/>
        <v>0</v>
      </c>
      <c r="N448" s="7">
        <f t="shared" si="139"/>
        <v>0</v>
      </c>
      <c r="O448" s="7">
        <f t="shared" si="140"/>
        <v>0.35835690193066799</v>
      </c>
      <c r="P448" s="49">
        <f t="shared" si="141"/>
        <v>38.253208010771701</v>
      </c>
      <c r="Q448" s="54">
        <f t="shared" si="143"/>
        <v>1592.2376291277801</v>
      </c>
      <c r="R448" s="55">
        <f t="shared" si="142"/>
        <v>55.484814033834603</v>
      </c>
    </row>
    <row r="449" ht="12.800000000000001">
      <c r="A449" s="1">
        <v>445</v>
      </c>
      <c r="B449" s="44">
        <v>43990</v>
      </c>
      <c r="C449" s="45">
        <f t="shared" si="128"/>
        <v>0.30241326631708498</v>
      </c>
      <c r="D449" s="3">
        <f t="shared" si="129"/>
        <v>0.30241326631708498</v>
      </c>
      <c r="E449" s="46">
        <f t="shared" si="130"/>
        <v>0</v>
      </c>
      <c r="F449" s="46">
        <f t="shared" si="131"/>
        <v>35.225024620894501</v>
      </c>
      <c r="G449" s="46">
        <f t="shared" si="132"/>
        <v>100</v>
      </c>
      <c r="H449" s="46">
        <f t="shared" si="133"/>
        <v>0.85851825391685199</v>
      </c>
      <c r="I449" s="47">
        <f t="shared" si="134"/>
        <v>0</v>
      </c>
      <c r="J449" s="47">
        <f t="shared" si="135"/>
        <v>38.708818264719298</v>
      </c>
      <c r="K449" s="48">
        <f t="shared" si="136"/>
        <v>0</v>
      </c>
      <c r="L449" s="7">
        <f t="shared" si="137"/>
        <v>0.30241326631708498</v>
      </c>
      <c r="M449" s="7">
        <f t="shared" si="138"/>
        <v>0</v>
      </c>
      <c r="N449" s="7">
        <f t="shared" si="139"/>
        <v>0</v>
      </c>
      <c r="O449" s="7">
        <f t="shared" si="140"/>
        <v>0.30241326631708498</v>
      </c>
      <c r="P449" s="49">
        <f t="shared" si="141"/>
        <v>38.3764959940412</v>
      </c>
      <c r="Q449" s="54">
        <f t="shared" si="143"/>
        <v>1621.6925992960701</v>
      </c>
      <c r="R449" s="55">
        <f t="shared" si="142"/>
        <v>55.771269225625304</v>
      </c>
    </row>
    <row r="450" ht="12.800000000000001">
      <c r="A450" s="1">
        <v>446</v>
      </c>
      <c r="B450" s="44">
        <v>43991</v>
      </c>
      <c r="C450" s="45">
        <f t="shared" si="128"/>
        <v>0.251173740735888</v>
      </c>
      <c r="D450" s="3">
        <f t="shared" si="129"/>
        <v>0.251173740735888</v>
      </c>
      <c r="E450" s="46">
        <f t="shared" si="130"/>
        <v>0</v>
      </c>
      <c r="F450" s="46">
        <f t="shared" si="131"/>
        <v>35.276543310971</v>
      </c>
      <c r="G450" s="46">
        <f t="shared" si="132"/>
        <v>100</v>
      </c>
      <c r="H450" s="46">
        <f t="shared" si="133"/>
        <v>0.71201347173313601</v>
      </c>
      <c r="I450" s="47">
        <f t="shared" si="134"/>
        <v>0</v>
      </c>
      <c r="J450" s="47">
        <f t="shared" si="135"/>
        <v>38.765432209858297</v>
      </c>
      <c r="K450" s="48">
        <f t="shared" si="136"/>
        <v>0</v>
      </c>
      <c r="L450" s="7">
        <f t="shared" si="137"/>
        <v>0.251173740735888</v>
      </c>
      <c r="M450" s="7">
        <f t="shared" si="138"/>
        <v>0</v>
      </c>
      <c r="N450" s="7">
        <f t="shared" si="139"/>
        <v>0</v>
      </c>
      <c r="O450" s="7">
        <f t="shared" si="140"/>
        <v>0.251173740735888</v>
      </c>
      <c r="P450" s="49">
        <f t="shared" si="141"/>
        <v>38.489417110148501</v>
      </c>
      <c r="Q450" s="54">
        <f t="shared" si="143"/>
        <v>1651.24250121149</v>
      </c>
      <c r="R450" s="55">
        <f t="shared" si="142"/>
        <v>56.058647646727501</v>
      </c>
    </row>
    <row r="451" ht="12.800000000000001">
      <c r="A451" s="1">
        <v>447</v>
      </c>
      <c r="B451" s="44">
        <v>43992</v>
      </c>
      <c r="C451" s="45">
        <f t="shared" si="128"/>
        <v>0.204653508564345</v>
      </c>
      <c r="D451" s="3">
        <f t="shared" si="129"/>
        <v>0.204653508564345</v>
      </c>
      <c r="E451" s="46">
        <f t="shared" si="130"/>
        <v>0</v>
      </c>
      <c r="F451" s="46">
        <f t="shared" si="131"/>
        <v>35.323316995862697</v>
      </c>
      <c r="G451" s="46">
        <f t="shared" si="132"/>
        <v>100</v>
      </c>
      <c r="H451" s="46">
        <f t="shared" si="133"/>
        <v>0.57937228428552001</v>
      </c>
      <c r="I451" s="47">
        <f t="shared" si="134"/>
        <v>0</v>
      </c>
      <c r="J451" s="47">
        <f t="shared" si="135"/>
        <v>38.816831863585399</v>
      </c>
      <c r="K451" s="48">
        <f t="shared" si="136"/>
        <v>0</v>
      </c>
      <c r="L451" s="7">
        <f t="shared" si="137"/>
        <v>0.204653508564345</v>
      </c>
      <c r="M451" s="7">
        <f t="shared" si="138"/>
        <v>0</v>
      </c>
      <c r="N451" s="7">
        <f t="shared" si="139"/>
        <v>0</v>
      </c>
      <c r="O451" s="7">
        <f t="shared" si="140"/>
        <v>0.204653508564345</v>
      </c>
      <c r="P451" s="49">
        <f t="shared" si="141"/>
        <v>38.591937898129999</v>
      </c>
      <c r="Q451" s="54">
        <f t="shared" si="143"/>
        <v>1680.8793523863001</v>
      </c>
      <c r="R451" s="55">
        <f t="shared" si="142"/>
        <v>56.346871665928603</v>
      </c>
    </row>
    <row r="452" ht="12.800000000000001">
      <c r="A452" s="1">
        <v>448</v>
      </c>
      <c r="B452" s="44">
        <v>43993</v>
      </c>
      <c r="C452" s="45">
        <f t="shared" si="128"/>
        <v>0.16286635475123701</v>
      </c>
      <c r="D452" s="3">
        <f t="shared" si="129"/>
        <v>0.16286635475123701</v>
      </c>
      <c r="E452" s="46">
        <f t="shared" si="130"/>
        <v>0</v>
      </c>
      <c r="F452" s="46">
        <f t="shared" si="131"/>
        <v>35.365331815517202</v>
      </c>
      <c r="G452" s="46">
        <f t="shared" si="132"/>
        <v>100</v>
      </c>
      <c r="H452" s="46">
        <f t="shared" si="133"/>
        <v>0.46052545357365199</v>
      </c>
      <c r="I452" s="47">
        <f t="shared" si="134"/>
        <v>0</v>
      </c>
      <c r="J452" s="47">
        <f t="shared" si="135"/>
        <v>38.863001995073802</v>
      </c>
      <c r="K452" s="48">
        <f t="shared" si="136"/>
        <v>0</v>
      </c>
      <c r="L452" s="7">
        <f t="shared" si="137"/>
        <v>0.16286635475123701</v>
      </c>
      <c r="M452" s="7">
        <f t="shared" si="138"/>
        <v>0</v>
      </c>
      <c r="N452" s="7">
        <f t="shared" si="139"/>
        <v>0</v>
      </c>
      <c r="O452" s="7">
        <f t="shared" si="140"/>
        <v>0.16286635475123701</v>
      </c>
      <c r="P452" s="49">
        <f t="shared" si="141"/>
        <v>38.684027978863703</v>
      </c>
      <c r="Q452" s="54">
        <f t="shared" si="143"/>
        <v>1710.59514456786</v>
      </c>
      <c r="R452" s="55">
        <f t="shared" si="142"/>
        <v>56.635863401447097</v>
      </c>
    </row>
    <row r="453" ht="12.800000000000001">
      <c r="A453" s="1">
        <v>449</v>
      </c>
      <c r="B453" s="44">
        <v>43994</v>
      </c>
      <c r="C453" s="45">
        <f t="shared" si="128"/>
        <v>0.12582466173208201</v>
      </c>
      <c r="D453" s="3">
        <f t="shared" si="129"/>
        <v>0.12582466173208201</v>
      </c>
      <c r="E453" s="46">
        <f t="shared" si="130"/>
        <v>0</v>
      </c>
      <c r="F453" s="46">
        <f t="shared" si="131"/>
        <v>35.402575320036703</v>
      </c>
      <c r="G453" s="46">
        <f t="shared" si="132"/>
        <v>100</v>
      </c>
      <c r="H453" s="46">
        <f t="shared" si="133"/>
        <v>0.35541104169579901</v>
      </c>
      <c r="I453" s="47">
        <f t="shared" si="134"/>
        <v>0</v>
      </c>
      <c r="J453" s="47">
        <f t="shared" si="135"/>
        <v>38.903928923117299</v>
      </c>
      <c r="K453" s="48">
        <f t="shared" si="136"/>
        <v>0</v>
      </c>
      <c r="L453" s="7">
        <f t="shared" si="137"/>
        <v>0.12582466173208201</v>
      </c>
      <c r="M453" s="7">
        <f t="shared" si="138"/>
        <v>0</v>
      </c>
      <c r="N453" s="7">
        <f t="shared" si="139"/>
        <v>0</v>
      </c>
      <c r="O453" s="7">
        <f t="shared" si="140"/>
        <v>0.12582466173208201</v>
      </c>
      <c r="P453" s="49">
        <f t="shared" si="141"/>
        <v>38.765660064071</v>
      </c>
      <c r="Q453" s="54">
        <f t="shared" si="143"/>
        <v>1740.38184611159</v>
      </c>
      <c r="R453" s="55">
        <f t="shared" si="142"/>
        <v>56.925544744010601</v>
      </c>
    </row>
    <row r="454" ht="12.800000000000001">
      <c r="A454" s="1">
        <v>450</v>
      </c>
      <c r="B454" s="44">
        <v>43995</v>
      </c>
      <c r="C454" s="45">
        <f t="shared" si="128"/>
        <v>0.093539405759944599</v>
      </c>
      <c r="D454" s="3">
        <f t="shared" si="129"/>
        <v>0.093539405759944599</v>
      </c>
      <c r="E454" s="46">
        <f t="shared" si="130"/>
        <v>0</v>
      </c>
      <c r="F454" s="46">
        <f t="shared" si="131"/>
        <v>35.435036473367099</v>
      </c>
      <c r="G454" s="46">
        <f t="shared" si="132"/>
        <v>100</v>
      </c>
      <c r="H454" s="46">
        <f t="shared" si="133"/>
        <v>0.26397434592807201</v>
      </c>
      <c r="I454" s="47">
        <f t="shared" si="134"/>
        <v>0</v>
      </c>
      <c r="J454" s="47">
        <f t="shared" si="135"/>
        <v>38.939600520183603</v>
      </c>
      <c r="K454" s="48">
        <f t="shared" si="136"/>
        <v>0</v>
      </c>
      <c r="L454" s="7">
        <f t="shared" si="137"/>
        <v>0.093539405759944599</v>
      </c>
      <c r="M454" s="7">
        <f t="shared" si="138"/>
        <v>0</v>
      </c>
      <c r="N454" s="7">
        <f t="shared" si="139"/>
        <v>0</v>
      </c>
      <c r="O454" s="7">
        <f t="shared" si="140"/>
        <v>0.093539405759944599</v>
      </c>
      <c r="P454" s="49">
        <f t="shared" si="141"/>
        <v>38.8368099644035</v>
      </c>
      <c r="Q454" s="54">
        <f t="shared" si="143"/>
        <v>1770.2314043609199</v>
      </c>
      <c r="R454" s="55">
        <f t="shared" si="142"/>
        <v>57.215837380001297</v>
      </c>
    </row>
    <row r="455" ht="12.800000000000001">
      <c r="A455" s="1">
        <v>451</v>
      </c>
      <c r="B455" s="44">
        <v>43996</v>
      </c>
      <c r="C455" s="45">
        <f t="shared" si="128"/>
        <v>0.066020153652942795</v>
      </c>
      <c r="D455" s="3">
        <f t="shared" si="129"/>
        <v>0.066020153652942795</v>
      </c>
      <c r="E455" s="46">
        <f t="shared" si="130"/>
        <v>0</v>
      </c>
      <c r="F455" s="46">
        <f t="shared" si="131"/>
        <v>35.462705656568097</v>
      </c>
      <c r="G455" s="46">
        <f t="shared" si="132"/>
        <v>100</v>
      </c>
      <c r="H455" s="46">
        <f t="shared" si="133"/>
        <v>0.186167841484805</v>
      </c>
      <c r="I455" s="47">
        <f t="shared" si="134"/>
        <v>0</v>
      </c>
      <c r="J455" s="47">
        <f t="shared" si="135"/>
        <v>38.970006216008898</v>
      </c>
      <c r="K455" s="48">
        <f t="shared" si="136"/>
        <v>0</v>
      </c>
      <c r="L455" s="7">
        <f t="shared" si="137"/>
        <v>0.066020153652942795</v>
      </c>
      <c r="M455" s="7">
        <f t="shared" si="138"/>
        <v>0</v>
      </c>
      <c r="N455" s="7">
        <f t="shared" si="139"/>
        <v>0</v>
      </c>
      <c r="O455" s="7">
        <f t="shared" si="140"/>
        <v>0.066020153652942795</v>
      </c>
      <c r="P455" s="49">
        <f t="shared" si="141"/>
        <v>38.897456596609999</v>
      </c>
      <c r="Q455" s="54">
        <f t="shared" si="143"/>
        <v>1800.13574803351</v>
      </c>
      <c r="R455" s="55">
        <f t="shared" si="142"/>
        <v>57.506662814661901</v>
      </c>
    </row>
    <row r="456" ht="12.800000000000001">
      <c r="A456" s="1">
        <v>452</v>
      </c>
      <c r="B456" s="44">
        <v>43997</v>
      </c>
      <c r="C456" s="45">
        <f t="shared" si="128"/>
        <v>0.043275059959388101</v>
      </c>
      <c r="D456" s="3">
        <f t="shared" si="129"/>
        <v>0.043275059959388101</v>
      </c>
      <c r="E456" s="46">
        <f t="shared" si="130"/>
        <v>0</v>
      </c>
      <c r="F456" s="46">
        <f t="shared" si="131"/>
        <v>35.485574670663503</v>
      </c>
      <c r="G456" s="46">
        <f t="shared" si="132"/>
        <v>100</v>
      </c>
      <c r="H456" s="46">
        <f t="shared" si="133"/>
        <v>0.121951131864195</v>
      </c>
      <c r="I456" s="47">
        <f t="shared" si="134"/>
        <v>0</v>
      </c>
      <c r="J456" s="47">
        <f t="shared" si="135"/>
        <v>38.995137000729102</v>
      </c>
      <c r="K456" s="48">
        <f t="shared" si="136"/>
        <v>0</v>
      </c>
      <c r="L456" s="7">
        <f t="shared" si="137"/>
        <v>0.043275059959388101</v>
      </c>
      <c r="M456" s="7">
        <f t="shared" si="138"/>
        <v>0</v>
      </c>
      <c r="N456" s="7">
        <f t="shared" si="139"/>
        <v>0</v>
      </c>
      <c r="O456" s="7">
        <f t="shared" si="140"/>
        <v>0.043275059959388101</v>
      </c>
      <c r="P456" s="49">
        <f t="shared" si="141"/>
        <v>38.947581989784702</v>
      </c>
      <c r="Q456" s="54">
        <f t="shared" si="143"/>
        <v>1830.0867896129</v>
      </c>
      <c r="R456" s="55">
        <f t="shared" si="142"/>
        <v>57.7979423953552</v>
      </c>
    </row>
    <row r="457" ht="12.800000000000001">
      <c r="A457" s="1">
        <v>453</v>
      </c>
      <c r="B457" s="44">
        <v>43998</v>
      </c>
      <c r="C457" s="45">
        <f t="shared" si="128"/>
        <v>0.025310864541424401</v>
      </c>
      <c r="D457" s="3">
        <f t="shared" si="129"/>
        <v>0.025310864541424401</v>
      </c>
      <c r="E457" s="46">
        <f t="shared" si="130"/>
        <v>0</v>
      </c>
      <c r="F457" s="46">
        <f t="shared" si="131"/>
        <v>35.503636739070899</v>
      </c>
      <c r="G457" s="46">
        <f t="shared" si="132"/>
        <v>100</v>
      </c>
      <c r="H457" s="46">
        <f t="shared" si="133"/>
        <v>0.0712909066962438</v>
      </c>
      <c r="I457" s="47">
        <f t="shared" si="134"/>
        <v>0</v>
      </c>
      <c r="J457" s="47">
        <f t="shared" si="135"/>
        <v>39.014985427550499</v>
      </c>
      <c r="K457" s="48">
        <f t="shared" si="136"/>
        <v>0</v>
      </c>
      <c r="L457" s="7">
        <f t="shared" si="137"/>
        <v>0.025310864541424401</v>
      </c>
      <c r="M457" s="7">
        <f t="shared" si="138"/>
        <v>0</v>
      </c>
      <c r="N457" s="7">
        <f t="shared" si="139"/>
        <v>0</v>
      </c>
      <c r="O457" s="7">
        <f t="shared" si="140"/>
        <v>0.025310864541424401</v>
      </c>
      <c r="P457" s="49">
        <f t="shared" si="141"/>
        <v>38.987171290691798</v>
      </c>
      <c r="Q457" s="54">
        <f t="shared" si="143"/>
        <v>1860.0764277450301</v>
      </c>
      <c r="R457" s="55">
        <f t="shared" si="142"/>
        <v>58.089597334871002</v>
      </c>
    </row>
    <row r="458" ht="12.800000000000001">
      <c r="A458" s="1">
        <v>454</v>
      </c>
      <c r="B458" s="44">
        <v>43999</v>
      </c>
      <c r="C458" s="45">
        <f t="shared" si="128"/>
        <v>0.012132890577852599</v>
      </c>
      <c r="D458" s="3">
        <f t="shared" si="129"/>
        <v>0.012132890577852599</v>
      </c>
      <c r="E458" s="46">
        <f t="shared" si="130"/>
        <v>0</v>
      </c>
      <c r="F458" s="46">
        <f t="shared" si="131"/>
        <v>35.516886509609698</v>
      </c>
      <c r="G458" s="46">
        <f t="shared" si="132"/>
        <v>100</v>
      </c>
      <c r="H458" s="46">
        <f t="shared" si="133"/>
        <v>0.034160907022550702</v>
      </c>
      <c r="I458" s="47">
        <f t="shared" si="134"/>
        <v>0</v>
      </c>
      <c r="J458" s="47">
        <f t="shared" si="135"/>
        <v>39.029545614955701</v>
      </c>
      <c r="K458" s="48">
        <f t="shared" si="136"/>
        <v>0</v>
      </c>
      <c r="L458" s="7">
        <f t="shared" si="137"/>
        <v>0.012132890577852599</v>
      </c>
      <c r="M458" s="7">
        <f t="shared" si="138"/>
        <v>0</v>
      </c>
      <c r="N458" s="7">
        <f t="shared" si="139"/>
        <v>0</v>
      </c>
      <c r="O458" s="7">
        <f t="shared" si="140"/>
        <v>0.012132890577852599</v>
      </c>
      <c r="P458" s="49">
        <f t="shared" si="141"/>
        <v>39.016212768166803</v>
      </c>
      <c r="Q458" s="54">
        <f t="shared" si="143"/>
        <v>1890.0965496388701</v>
      </c>
      <c r="R458" s="55">
        <f t="shared" si="142"/>
        <v>58.381548734772103</v>
      </c>
    </row>
    <row r="459" ht="12.800000000000001">
      <c r="A459" s="1">
        <v>455</v>
      </c>
      <c r="B459" s="44">
        <v>44000</v>
      </c>
      <c r="C459" s="45">
        <f t="shared" si="128"/>
        <v>0.0037450429867611499</v>
      </c>
      <c r="D459" s="3">
        <f t="shared" si="129"/>
        <v>0.0037450429867611499</v>
      </c>
      <c r="E459" s="46">
        <f t="shared" si="130"/>
        <v>0</v>
      </c>
      <c r="F459" s="46">
        <f t="shared" si="131"/>
        <v>35.525320056086798</v>
      </c>
      <c r="G459" s="46">
        <f t="shared" si="132"/>
        <v>100</v>
      </c>
      <c r="H459" s="46">
        <f t="shared" si="133"/>
        <v>0.010541897950105799</v>
      </c>
      <c r="I459" s="47">
        <f t="shared" si="134"/>
        <v>0</v>
      </c>
      <c r="J459" s="47">
        <f t="shared" si="135"/>
        <v>39.038813248446999</v>
      </c>
      <c r="K459" s="48">
        <f t="shared" si="136"/>
        <v>0</v>
      </c>
      <c r="L459" s="7">
        <f t="shared" si="137"/>
        <v>0.0037450429867611499</v>
      </c>
      <c r="M459" s="7">
        <f t="shared" si="138"/>
        <v>0</v>
      </c>
      <c r="N459" s="7">
        <f t="shared" si="139"/>
        <v>0</v>
      </c>
      <c r="O459" s="7">
        <f t="shared" si="140"/>
        <v>0.0037450429867611499</v>
      </c>
      <c r="P459" s="49">
        <f t="shared" si="141"/>
        <v>39.0346978165934</v>
      </c>
      <c r="Q459" s="54">
        <f t="shared" si="143"/>
        <v>1920.1390334703599</v>
      </c>
      <c r="R459" s="55">
        <f t="shared" si="142"/>
        <v>58.6737176087736</v>
      </c>
    </row>
    <row r="460" ht="12.800000000000001">
      <c r="A460" s="1">
        <v>456</v>
      </c>
      <c r="B460" s="44">
        <v>44001</v>
      </c>
      <c r="C460" s="45">
        <f t="shared" si="128"/>
        <v>0.00014980726841784501</v>
      </c>
      <c r="D460" s="3">
        <f t="shared" si="129"/>
        <v>0.00014980726841784501</v>
      </c>
      <c r="E460" s="46">
        <f t="shared" si="130"/>
        <v>0</v>
      </c>
      <c r="F460" s="46">
        <f t="shared" si="131"/>
        <v>35.528934879460401</v>
      </c>
      <c r="G460" s="46">
        <f t="shared" si="132"/>
        <v>100</v>
      </c>
      <c r="H460" s="46">
        <f t="shared" si="133"/>
        <v>0.000421648633504209</v>
      </c>
      <c r="I460" s="47">
        <f t="shared" si="134"/>
        <v>0</v>
      </c>
      <c r="J460" s="47">
        <f t="shared" si="135"/>
        <v>39.042785581824603</v>
      </c>
      <c r="K460" s="48">
        <f t="shared" si="136"/>
        <v>0</v>
      </c>
      <c r="L460" s="7">
        <f t="shared" si="137"/>
        <v>0.00014980726841784501</v>
      </c>
      <c r="M460" s="7">
        <f t="shared" si="138"/>
        <v>0</v>
      </c>
      <c r="N460" s="7">
        <f t="shared" si="139"/>
        <v>0</v>
      </c>
      <c r="O460" s="7">
        <f t="shared" si="140"/>
        <v>0.00014980726841784501</v>
      </c>
      <c r="P460" s="49">
        <f t="shared" si="141"/>
        <v>39.042620958452702</v>
      </c>
      <c r="Q460" s="54">
        <f t="shared" si="143"/>
        <v>1950.19575078913</v>
      </c>
      <c r="R460" s="55">
        <f t="shared" si="142"/>
        <v>58.966024906148398</v>
      </c>
    </row>
    <row r="461" ht="12.800000000000001">
      <c r="A461" s="1">
        <v>457</v>
      </c>
      <c r="B461" s="44">
        <v>44002</v>
      </c>
      <c r="C461" s="45">
        <f t="shared" si="128"/>
        <v>0.00134824876875328</v>
      </c>
      <c r="D461" s="3">
        <f t="shared" si="129"/>
        <v>0.00134824876875328</v>
      </c>
      <c r="E461" s="46">
        <f t="shared" si="130"/>
        <v>0</v>
      </c>
      <c r="F461" s="46">
        <f t="shared" si="131"/>
        <v>35.527729908580397</v>
      </c>
      <c r="G461" s="46">
        <f t="shared" si="132"/>
        <v>100</v>
      </c>
      <c r="H461" s="46">
        <f t="shared" si="133"/>
        <v>0.00379491955219931</v>
      </c>
      <c r="I461" s="47">
        <f t="shared" si="134"/>
        <v>0</v>
      </c>
      <c r="J461" s="47">
        <f t="shared" si="135"/>
        <v>39.041461438000503</v>
      </c>
      <c r="K461" s="48">
        <f t="shared" si="136"/>
        <v>0</v>
      </c>
      <c r="L461" s="7">
        <f t="shared" si="137"/>
        <v>0.00134824876875328</v>
      </c>
      <c r="M461" s="7">
        <f t="shared" si="138"/>
        <v>0</v>
      </c>
      <c r="N461" s="7">
        <f t="shared" si="139"/>
        <v>0</v>
      </c>
      <c r="O461" s="7">
        <f t="shared" si="140"/>
        <v>0.00134824876875328</v>
      </c>
      <c r="P461" s="49">
        <f t="shared" si="141"/>
        <v>39.039979845946903</v>
      </c>
      <c r="Q461" s="54">
        <f t="shared" si="143"/>
        <v>1980.25856892714</v>
      </c>
      <c r="R461" s="55">
        <f t="shared" si="142"/>
        <v>59.258391535151503</v>
      </c>
    </row>
    <row r="462" ht="12.800000000000001">
      <c r="A462" s="1">
        <v>458</v>
      </c>
      <c r="B462" s="44">
        <v>44003</v>
      </c>
      <c r="C462" s="45">
        <f t="shared" si="128"/>
        <v>0.0073400123636915299</v>
      </c>
      <c r="D462" s="3">
        <f t="shared" si="129"/>
        <v>0.0073400123636915299</v>
      </c>
      <c r="E462" s="46">
        <f t="shared" si="130"/>
        <v>0</v>
      </c>
      <c r="F462" s="46">
        <f t="shared" si="131"/>
        <v>35.521705500505597</v>
      </c>
      <c r="G462" s="46">
        <f t="shared" si="132"/>
        <v>100</v>
      </c>
      <c r="H462" s="46">
        <f t="shared" si="133"/>
        <v>0.020663457061730998</v>
      </c>
      <c r="I462" s="47">
        <f t="shared" si="134"/>
        <v>0</v>
      </c>
      <c r="J462" s="47">
        <f t="shared" si="135"/>
        <v>39.034841209346901</v>
      </c>
      <c r="K462" s="48">
        <f t="shared" si="136"/>
        <v>0</v>
      </c>
      <c r="L462" s="7">
        <f t="shared" si="137"/>
        <v>0.0073400123636915299</v>
      </c>
      <c r="M462" s="7">
        <f t="shared" si="138"/>
        <v>0</v>
      </c>
      <c r="N462" s="7">
        <f t="shared" si="139"/>
        <v>0</v>
      </c>
      <c r="O462" s="7">
        <f t="shared" si="140"/>
        <v>0.0073400123636915299</v>
      </c>
      <c r="P462" s="49">
        <f t="shared" si="141"/>
        <v>39.026775261694503</v>
      </c>
      <c r="Q462" s="54">
        <f t="shared" si="143"/>
        <v>2010.3193534085201</v>
      </c>
      <c r="R462" s="55">
        <f t="shared" si="142"/>
        <v>59.550738386456899</v>
      </c>
    </row>
    <row r="463" ht="12.800000000000001">
      <c r="A463" s="1">
        <v>459</v>
      </c>
      <c r="B463" s="44">
        <v>44004</v>
      </c>
      <c r="C463" s="45">
        <f t="shared" si="128"/>
        <v>0.018123322564360202</v>
      </c>
      <c r="D463" s="3">
        <f t="shared" si="129"/>
        <v>0.018123322564360202</v>
      </c>
      <c r="E463" s="46">
        <f t="shared" si="130"/>
        <v>0</v>
      </c>
      <c r="F463" s="46">
        <f t="shared" si="131"/>
        <v>35.510863440398197</v>
      </c>
      <c r="G463" s="46">
        <f t="shared" si="132"/>
        <v>100</v>
      </c>
      <c r="H463" s="46">
        <f t="shared" si="133"/>
        <v>0.051035995209687303</v>
      </c>
      <c r="I463" s="47">
        <f t="shared" si="134"/>
        <v>0</v>
      </c>
      <c r="J463" s="47">
        <f t="shared" si="135"/>
        <v>39.022926857580501</v>
      </c>
      <c r="K463" s="48">
        <f t="shared" si="136"/>
        <v>0</v>
      </c>
      <c r="L463" s="7">
        <f t="shared" si="137"/>
        <v>0.018123322564360202</v>
      </c>
      <c r="M463" s="7">
        <f t="shared" si="138"/>
        <v>0</v>
      </c>
      <c r="N463" s="7">
        <f t="shared" si="139"/>
        <v>0</v>
      </c>
      <c r="O463" s="7">
        <f t="shared" si="140"/>
        <v>0.018123322564360202</v>
      </c>
      <c r="P463" s="49">
        <f t="shared" si="141"/>
        <v>39.003011118498797</v>
      </c>
      <c r="Q463" s="54">
        <f t="shared" si="143"/>
        <v>2040.36997036002</v>
      </c>
      <c r="R463" s="55">
        <f t="shared" si="142"/>
        <v>59.842986356598701</v>
      </c>
    </row>
    <row r="464" ht="12.800000000000001">
      <c r="A464" s="1">
        <v>460</v>
      </c>
      <c r="B464" s="44">
        <v>44005</v>
      </c>
      <c r="C464" s="45">
        <f t="shared" si="128"/>
        <v>0.033694984043233199</v>
      </c>
      <c r="D464" s="3">
        <f t="shared" si="129"/>
        <v>0.033694984043233199</v>
      </c>
      <c r="E464" s="46">
        <f t="shared" si="130"/>
        <v>0</v>
      </c>
      <c r="F464" s="46">
        <f t="shared" si="131"/>
        <v>35.495206940994599</v>
      </c>
      <c r="G464" s="46">
        <f t="shared" si="132"/>
        <v>100</v>
      </c>
      <c r="H464" s="46">
        <f t="shared" si="133"/>
        <v>0.094928264819658797</v>
      </c>
      <c r="I464" s="47">
        <f t="shared" si="134"/>
        <v>0</v>
      </c>
      <c r="J464" s="47">
        <f t="shared" si="135"/>
        <v>39.0057219131808</v>
      </c>
      <c r="K464" s="48">
        <f t="shared" si="136"/>
        <v>0</v>
      </c>
      <c r="L464" s="7">
        <f t="shared" si="137"/>
        <v>0.033694984043233199</v>
      </c>
      <c r="M464" s="7">
        <f t="shared" si="138"/>
        <v>0</v>
      </c>
      <c r="N464" s="7">
        <f t="shared" si="139"/>
        <v>0</v>
      </c>
      <c r="O464" s="7">
        <f t="shared" si="140"/>
        <v>0.033694984043233199</v>
      </c>
      <c r="P464" s="49">
        <f t="shared" si="141"/>
        <v>38.968694458188303</v>
      </c>
      <c r="Q464" s="54">
        <f t="shared" si="143"/>
        <v>2070.4022889212702</v>
      </c>
      <c r="R464" s="55">
        <f t="shared" si="142"/>
        <v>60.135056371412098</v>
      </c>
    </row>
    <row r="465" ht="12.800000000000001">
      <c r="A465" s="1">
        <v>461</v>
      </c>
      <c r="B465" s="44">
        <v>44006</v>
      </c>
      <c r="C465" s="45">
        <f t="shared" si="128"/>
        <v>0.054050382580939499</v>
      </c>
      <c r="D465" s="3">
        <f t="shared" si="129"/>
        <v>0.054050382580939499</v>
      </c>
      <c r="E465" s="46">
        <f t="shared" si="130"/>
        <v>0</v>
      </c>
      <c r="F465" s="46">
        <f t="shared" si="131"/>
        <v>35.474740641653298</v>
      </c>
      <c r="G465" s="46">
        <f t="shared" si="132"/>
        <v>100</v>
      </c>
      <c r="H465" s="46">
        <f t="shared" si="133"/>
        <v>0.152363009857992</v>
      </c>
      <c r="I465" s="47">
        <f t="shared" si="134"/>
        <v>0</v>
      </c>
      <c r="J465" s="47">
        <f t="shared" si="135"/>
        <v>38.983231474344301</v>
      </c>
      <c r="K465" s="48">
        <f t="shared" si="136"/>
        <v>0</v>
      </c>
      <c r="L465" s="7">
        <f t="shared" si="137"/>
        <v>0.054050382580939499</v>
      </c>
      <c r="M465" s="7">
        <f t="shared" si="138"/>
        <v>0</v>
      </c>
      <c r="N465" s="7">
        <f t="shared" si="139"/>
        <v>0</v>
      </c>
      <c r="O465" s="7">
        <f t="shared" si="140"/>
        <v>0.054050382580939499</v>
      </c>
      <c r="P465" s="49">
        <f t="shared" si="141"/>
        <v>38.923835449530102</v>
      </c>
      <c r="Q465" s="54">
        <f t="shared" si="143"/>
        <v>2100.4081836540699</v>
      </c>
      <c r="R465" s="55">
        <f t="shared" si="142"/>
        <v>60.426869409463897</v>
      </c>
    </row>
    <row r="466" ht="12.800000000000001">
      <c r="A466" s="1">
        <v>462</v>
      </c>
      <c r="B466" s="44">
        <v>44007</v>
      </c>
      <c r="C466" s="45">
        <f t="shared" si="128"/>
        <v>0.079183486433592506</v>
      </c>
      <c r="D466" s="3">
        <f t="shared" si="129"/>
        <v>0.079183486433592506</v>
      </c>
      <c r="E466" s="46">
        <f t="shared" si="130"/>
        <v>0</v>
      </c>
      <c r="F466" s="46">
        <f t="shared" si="131"/>
        <v>35.449470606980697</v>
      </c>
      <c r="G466" s="46">
        <f t="shared" si="132"/>
        <v>100</v>
      </c>
      <c r="H466" s="46">
        <f t="shared" si="133"/>
        <v>0.22337001111096899</v>
      </c>
      <c r="I466" s="47">
        <f t="shared" si="134"/>
        <v>0</v>
      </c>
      <c r="J466" s="47">
        <f t="shared" si="135"/>
        <v>38.955462205473303</v>
      </c>
      <c r="K466" s="48">
        <f t="shared" si="136"/>
        <v>0</v>
      </c>
      <c r="L466" s="7">
        <f t="shared" si="137"/>
        <v>0.079183486433592506</v>
      </c>
      <c r="M466" s="7">
        <f t="shared" si="138"/>
        <v>0</v>
      </c>
      <c r="N466" s="7">
        <f t="shared" si="139"/>
        <v>0</v>
      </c>
      <c r="O466" s="7">
        <f t="shared" si="140"/>
        <v>0.079183486433592506</v>
      </c>
      <c r="P466" s="49">
        <f t="shared" si="141"/>
        <v>38.868447385216598</v>
      </c>
      <c r="Q466" s="54">
        <f t="shared" si="143"/>
        <v>2130.37953695021</v>
      </c>
      <c r="R466" s="55">
        <f t="shared" si="142"/>
        <v>60.718346525469101</v>
      </c>
    </row>
    <row r="467" ht="12.800000000000001">
      <c r="A467" s="1">
        <v>463</v>
      </c>
      <c r="B467" s="44">
        <v>44008</v>
      </c>
      <c r="C467" s="45">
        <f t="shared" si="128"/>
        <v>0.10908684812010699</v>
      </c>
      <c r="D467" s="3">
        <f t="shared" si="129"/>
        <v>0.10908684812010699</v>
      </c>
      <c r="E467" s="46">
        <f t="shared" si="130"/>
        <v>0</v>
      </c>
      <c r="F467" s="46">
        <f t="shared" si="131"/>
        <v>35.419404325033398</v>
      </c>
      <c r="G467" s="46">
        <f t="shared" si="132"/>
        <v>100</v>
      </c>
      <c r="H467" s="46">
        <f t="shared" si="133"/>
        <v>0.307986117211485</v>
      </c>
      <c r="I467" s="47">
        <f t="shared" si="134"/>
        <v>0</v>
      </c>
      <c r="J467" s="47">
        <f t="shared" si="135"/>
        <v>38.922422335201503</v>
      </c>
      <c r="K467" s="48">
        <f t="shared" si="136"/>
        <v>0</v>
      </c>
      <c r="L467" s="7">
        <f t="shared" si="137"/>
        <v>0.10908684812010699</v>
      </c>
      <c r="M467" s="7">
        <f t="shared" si="138"/>
        <v>0</v>
      </c>
      <c r="N467" s="7">
        <f t="shared" si="139"/>
        <v>0</v>
      </c>
      <c r="O467" s="7">
        <f t="shared" si="140"/>
        <v>0.10908684812010699</v>
      </c>
      <c r="P467" s="49">
        <f t="shared" si="141"/>
        <v>38.802546677926699</v>
      </c>
      <c r="Q467" s="54">
        <f t="shared" si="143"/>
        <v>2160.30824143683</v>
      </c>
      <c r="R467" s="55">
        <f t="shared" si="142"/>
        <v>61.009408873683199</v>
      </c>
    </row>
    <row r="468" ht="12.800000000000001">
      <c r="A468" s="1">
        <v>464</v>
      </c>
      <c r="B468" s="44">
        <v>44009</v>
      </c>
      <c r="C468" s="45">
        <f t="shared" si="128"/>
        <v>0.14375160662904199</v>
      </c>
      <c r="D468" s="3">
        <f t="shared" si="129"/>
        <v>0.14375160662904199</v>
      </c>
      <c r="E468" s="46">
        <f t="shared" si="130"/>
        <v>0</v>
      </c>
      <c r="F468" s="46">
        <f t="shared" si="131"/>
        <v>35.3845507050995</v>
      </c>
      <c r="G468" s="46">
        <f t="shared" si="132"/>
        <v>100</v>
      </c>
      <c r="H468" s="46">
        <f t="shared" si="133"/>
        <v>0.40625528306715197</v>
      </c>
      <c r="I468" s="47">
        <f t="shared" si="134"/>
        <v>0</v>
      </c>
      <c r="J468" s="47">
        <f t="shared" si="135"/>
        <v>38.884121653955503</v>
      </c>
      <c r="K468" s="48">
        <f t="shared" si="136"/>
        <v>0</v>
      </c>
      <c r="L468" s="7">
        <f t="shared" si="137"/>
        <v>0.14375160662904199</v>
      </c>
      <c r="M468" s="7">
        <f t="shared" si="138"/>
        <v>0</v>
      </c>
      <c r="N468" s="7">
        <f t="shared" si="139"/>
        <v>0</v>
      </c>
      <c r="O468" s="7">
        <f t="shared" si="140"/>
        <v>0.14375160662904199</v>
      </c>
      <c r="P468" s="49">
        <f t="shared" si="141"/>
        <v>38.726152855462097</v>
      </c>
      <c r="Q468" s="54">
        <f t="shared" si="143"/>
        <v>2190.1862023788299</v>
      </c>
      <c r="R468" s="55">
        <f t="shared" si="142"/>
        <v>61.299977731266701</v>
      </c>
    </row>
    <row r="469" ht="12.800000000000001">
      <c r="A469" s="1">
        <v>465</v>
      </c>
      <c r="B469" s="44">
        <v>44010</v>
      </c>
      <c r="C469" s="45">
        <f t="shared" si="128"/>
        <v>0.18316749004433</v>
      </c>
      <c r="D469" s="3">
        <f t="shared" si="129"/>
        <v>0.18316749004433</v>
      </c>
      <c r="E469" s="46">
        <f t="shared" si="130"/>
        <v>0</v>
      </c>
      <c r="F469" s="46">
        <f t="shared" si="131"/>
        <v>35.344920075059001</v>
      </c>
      <c r="G469" s="46">
        <f t="shared" si="132"/>
        <v>100</v>
      </c>
      <c r="H469" s="46">
        <f t="shared" si="133"/>
        <v>0.51822861575398305</v>
      </c>
      <c r="I469" s="47">
        <f t="shared" si="134"/>
        <v>0</v>
      </c>
      <c r="J469" s="47">
        <f t="shared" si="135"/>
        <v>38.840571511053803</v>
      </c>
      <c r="K469" s="48">
        <f t="shared" si="136"/>
        <v>0</v>
      </c>
      <c r="L469" s="7">
        <f t="shared" si="137"/>
        <v>0.18316749004433</v>
      </c>
      <c r="M469" s="7">
        <f t="shared" si="138"/>
        <v>0</v>
      </c>
      <c r="N469" s="7">
        <f t="shared" si="139"/>
        <v>0</v>
      </c>
      <c r="O469" s="7">
        <f t="shared" si="140"/>
        <v>0.18316749004433</v>
      </c>
      <c r="P469" s="49">
        <f t="shared" si="141"/>
        <v>38.639288554961098</v>
      </c>
      <c r="Q469" s="54">
        <f t="shared" si="143"/>
        <v>2220.00534007754</v>
      </c>
      <c r="R469" s="55">
        <f t="shared" si="142"/>
        <v>61.589974521611801</v>
      </c>
    </row>
    <row r="470" ht="12.800000000000001">
      <c r="A470" s="1">
        <v>466</v>
      </c>
      <c r="B470" s="44">
        <v>44011</v>
      </c>
      <c r="C470" s="45">
        <f t="shared" si="128"/>
        <v>0.22732281858904299</v>
      </c>
      <c r="D470" s="3">
        <f t="shared" si="129"/>
        <v>0.22732281858904299</v>
      </c>
      <c r="E470" s="46">
        <f t="shared" si="130"/>
        <v>0</v>
      </c>
      <c r="F470" s="46">
        <f t="shared" si="131"/>
        <v>35.300524178322597</v>
      </c>
      <c r="G470" s="46">
        <f t="shared" si="132"/>
        <v>100</v>
      </c>
      <c r="H470" s="46">
        <f t="shared" si="133"/>
        <v>0.64396442795214204</v>
      </c>
      <c r="I470" s="47">
        <f t="shared" si="134"/>
        <v>0</v>
      </c>
      <c r="J470" s="47">
        <f t="shared" si="135"/>
        <v>38.791784811343597</v>
      </c>
      <c r="K470" s="48">
        <f t="shared" si="136"/>
        <v>0</v>
      </c>
      <c r="L470" s="7">
        <f t="shared" si="137"/>
        <v>0.22732281858904299</v>
      </c>
      <c r="M470" s="7">
        <f t="shared" si="138"/>
        <v>0</v>
      </c>
      <c r="N470" s="7">
        <f t="shared" si="139"/>
        <v>0</v>
      </c>
      <c r="O470" s="7">
        <f t="shared" si="140"/>
        <v>0.22732281858904299</v>
      </c>
      <c r="P470" s="49">
        <f t="shared" si="141"/>
        <v>38.5419795161908</v>
      </c>
      <c r="Q470" s="54">
        <f t="shared" si="143"/>
        <v>2249.7575922648598</v>
      </c>
      <c r="R470" s="55">
        <f t="shared" si="142"/>
        <v>61.8793208376267</v>
      </c>
    </row>
    <row r="471" ht="12.800000000000001">
      <c r="A471" s="1">
        <v>467</v>
      </c>
      <c r="B471" s="44">
        <v>44012</v>
      </c>
      <c r="C471" s="45">
        <f t="shared" si="128"/>
        <v>0.27620450808638902</v>
      </c>
      <c r="D471" s="3">
        <f t="shared" si="129"/>
        <v>0.27620450808638902</v>
      </c>
      <c r="E471" s="46">
        <f t="shared" si="130"/>
        <v>0</v>
      </c>
      <c r="F471" s="46">
        <f t="shared" si="131"/>
        <v>35.251376170352898</v>
      </c>
      <c r="G471" s="46">
        <f t="shared" si="132"/>
        <v>100</v>
      </c>
      <c r="H471" s="46">
        <f t="shared" si="133"/>
        <v>0.78352829901342103</v>
      </c>
      <c r="I471" s="47">
        <f t="shared" si="134"/>
        <v>0</v>
      </c>
      <c r="J471" s="47">
        <f t="shared" si="135"/>
        <v>38.737776011376802</v>
      </c>
      <c r="K471" s="48">
        <f t="shared" si="136"/>
        <v>0</v>
      </c>
      <c r="L471" s="7">
        <f t="shared" si="137"/>
        <v>0.27620450808638902</v>
      </c>
      <c r="M471" s="7">
        <f t="shared" si="138"/>
        <v>0</v>
      </c>
      <c r="N471" s="7">
        <f t="shared" si="139"/>
        <v>0</v>
      </c>
      <c r="O471" s="7">
        <f t="shared" si="140"/>
        <v>0.27620450808638902</v>
      </c>
      <c r="P471" s="49">
        <f t="shared" si="141"/>
        <v>38.434254573919297</v>
      </c>
      <c r="Q471" s="54">
        <f t="shared" si="143"/>
        <v>2279.4349164923201</v>
      </c>
      <c r="R471" s="55">
        <f t="shared" si="142"/>
        <v>62.167938464969097</v>
      </c>
    </row>
    <row r="472" ht="12.800000000000001">
      <c r="A472" s="1">
        <v>468</v>
      </c>
      <c r="B472" s="44">
        <v>44013</v>
      </c>
      <c r="C472" s="45">
        <f t="shared" si="128"/>
        <v>0.32979807383682103</v>
      </c>
      <c r="D472" s="3">
        <f t="shared" si="129"/>
        <v>0.32979807383682103</v>
      </c>
      <c r="E472" s="46">
        <f t="shared" si="130"/>
        <v>0</v>
      </c>
      <c r="F472" s="46">
        <f t="shared" si="131"/>
        <v>35.1974906147653</v>
      </c>
      <c r="G472" s="46">
        <f t="shared" si="132"/>
        <v>100</v>
      </c>
      <c r="H472" s="46">
        <f t="shared" si="133"/>
        <v>0.93699314376256104</v>
      </c>
      <c r="I472" s="47">
        <f t="shared" si="134"/>
        <v>0</v>
      </c>
      <c r="J472" s="47">
        <f t="shared" si="135"/>
        <v>38.678561115126698</v>
      </c>
      <c r="K472" s="48">
        <f t="shared" si="136"/>
        <v>0</v>
      </c>
      <c r="L472" s="7">
        <f t="shared" si="137"/>
        <v>0.32979807383682103</v>
      </c>
      <c r="M472" s="7">
        <f t="shared" si="138"/>
        <v>0</v>
      </c>
      <c r="N472" s="7">
        <f t="shared" si="139"/>
        <v>0</v>
      </c>
      <c r="O472" s="7">
        <f t="shared" si="140"/>
        <v>0.32979807383682103</v>
      </c>
      <c r="P472" s="49">
        <f t="shared" si="141"/>
        <v>38.316145649371897</v>
      </c>
      <c r="Q472" s="54">
        <f t="shared" si="143"/>
        <v>2309.0292925142398</v>
      </c>
      <c r="R472" s="55">
        <f t="shared" si="142"/>
        <v>62.455749405222903</v>
      </c>
    </row>
    <row r="473" ht="12.800000000000001">
      <c r="A473" s="1">
        <v>469</v>
      </c>
      <c r="B473" s="44">
        <v>44014</v>
      </c>
      <c r="C473" s="45">
        <f t="shared" si="128"/>
        <v>0.38808763491015003</v>
      </c>
      <c r="D473" s="3">
        <f t="shared" si="129"/>
        <v>0.38808763491015003</v>
      </c>
      <c r="E473" s="46">
        <f t="shared" si="130"/>
        <v>0</v>
      </c>
      <c r="F473" s="46">
        <f t="shared" si="131"/>
        <v>35.138883479012797</v>
      </c>
      <c r="G473" s="46">
        <f t="shared" si="132"/>
        <v>100</v>
      </c>
      <c r="H473" s="46">
        <f t="shared" si="133"/>
        <v>1.1044392891479899</v>
      </c>
      <c r="I473" s="47">
        <f t="shared" si="134"/>
        <v>0</v>
      </c>
      <c r="J473" s="47">
        <f t="shared" si="135"/>
        <v>38.614157669244797</v>
      </c>
      <c r="K473" s="48">
        <f t="shared" si="136"/>
        <v>0</v>
      </c>
      <c r="L473" s="7">
        <f t="shared" si="137"/>
        <v>0.38808763491015003</v>
      </c>
      <c r="M473" s="7">
        <f t="shared" si="138"/>
        <v>0</v>
      </c>
      <c r="N473" s="7">
        <f t="shared" si="139"/>
        <v>0</v>
      </c>
      <c r="O473" s="7">
        <f t="shared" si="140"/>
        <v>0.38808763491015003</v>
      </c>
      <c r="P473" s="49">
        <f t="shared" si="141"/>
        <v>38.187687740772098</v>
      </c>
      <c r="Q473" s="54">
        <f t="shared" si="143"/>
        <v>2338.5327246642601</v>
      </c>
      <c r="R473" s="55">
        <f t="shared" si="142"/>
        <v>62.742675899010898</v>
      </c>
    </row>
    <row r="474" ht="12.800000000000001">
      <c r="A474" s="1">
        <v>470</v>
      </c>
      <c r="B474" s="44">
        <v>44015</v>
      </c>
      <c r="C474" s="45">
        <f t="shared" si="128"/>
        <v>0.45105591885144902</v>
      </c>
      <c r="D474" s="3">
        <f t="shared" si="129"/>
        <v>0.45105591885144902</v>
      </c>
      <c r="E474" s="46">
        <f t="shared" si="130"/>
        <v>0</v>
      </c>
      <c r="F474" s="46">
        <f t="shared" si="131"/>
        <v>35.075572129654603</v>
      </c>
      <c r="G474" s="46">
        <f t="shared" si="132"/>
        <v>100</v>
      </c>
      <c r="H474" s="46">
        <f t="shared" si="133"/>
        <v>1.2859545588712</v>
      </c>
      <c r="I474" s="47">
        <f t="shared" si="134"/>
        <v>0</v>
      </c>
      <c r="J474" s="47">
        <f t="shared" si="135"/>
        <v>38.544584757862197</v>
      </c>
      <c r="K474" s="48">
        <f t="shared" si="136"/>
        <v>0</v>
      </c>
      <c r="L474" s="7">
        <f t="shared" si="137"/>
        <v>0.45105591885144902</v>
      </c>
      <c r="M474" s="7">
        <f t="shared" si="138"/>
        <v>0</v>
      </c>
      <c r="N474" s="7">
        <f t="shared" si="139"/>
        <v>0</v>
      </c>
      <c r="O474" s="7">
        <f t="shared" si="140"/>
        <v>0.45105591885144902</v>
      </c>
      <c r="P474" s="49">
        <f t="shared" si="141"/>
        <v>38.0489189129705</v>
      </c>
      <c r="Q474" s="54">
        <f t="shared" si="143"/>
        <v>2367.9372442246499</v>
      </c>
      <c r="R474" s="55">
        <f t="shared" si="142"/>
        <v>63.028640449036203</v>
      </c>
    </row>
    <row r="475" ht="12.800000000000001">
      <c r="A475" s="1">
        <v>471</v>
      </c>
      <c r="B475" s="44">
        <v>44016</v>
      </c>
      <c r="C475" s="45">
        <f t="shared" si="128"/>
        <v>0.51868426679922097</v>
      </c>
      <c r="D475" s="3">
        <f t="shared" si="129"/>
        <v>0.51868426679922097</v>
      </c>
      <c r="E475" s="46">
        <f t="shared" si="130"/>
        <v>0</v>
      </c>
      <c r="F475" s="46">
        <f t="shared" si="131"/>
        <v>35.0075753272098</v>
      </c>
      <c r="G475" s="46">
        <f t="shared" si="132"/>
        <v>100</v>
      </c>
      <c r="H475" s="46">
        <f t="shared" si="133"/>
        <v>1.48163436613695</v>
      </c>
      <c r="I475" s="47">
        <f t="shared" si="134"/>
        <v>0</v>
      </c>
      <c r="J475" s="47">
        <f t="shared" si="135"/>
        <v>38.469862996933898</v>
      </c>
      <c r="K475" s="48">
        <f t="shared" si="136"/>
        <v>0</v>
      </c>
      <c r="L475" s="7">
        <f t="shared" si="137"/>
        <v>0.51868426679922097</v>
      </c>
      <c r="M475" s="7">
        <f t="shared" si="138"/>
        <v>0</v>
      </c>
      <c r="N475" s="7">
        <f t="shared" si="139"/>
        <v>0</v>
      </c>
      <c r="O475" s="7">
        <f t="shared" si="140"/>
        <v>0.51868426679922097</v>
      </c>
      <c r="P475" s="49">
        <f t="shared" si="141"/>
        <v>37.899880286165498</v>
      </c>
      <c r="Q475" s="54">
        <f t="shared" si="143"/>
        <v>2397.2349117876402</v>
      </c>
      <c r="R475" s="55">
        <f t="shared" si="142"/>
        <v>63.313565843047002</v>
      </c>
    </row>
    <row r="476" ht="12.800000000000001">
      <c r="A476" s="1">
        <v>472</v>
      </c>
      <c r="B476" s="44">
        <v>44017</v>
      </c>
      <c r="C476" s="45">
        <f t="shared" si="128"/>
        <v>0.59095263901441797</v>
      </c>
      <c r="D476" s="3">
        <f t="shared" si="129"/>
        <v>0.59095263901441797</v>
      </c>
      <c r="E476" s="46">
        <f t="shared" si="130"/>
        <v>0</v>
      </c>
      <c r="F476" s="46">
        <f t="shared" si="131"/>
        <v>34.934913220598702</v>
      </c>
      <c r="G476" s="46">
        <f t="shared" si="132"/>
        <v>100</v>
      </c>
      <c r="H476" s="46">
        <f t="shared" si="133"/>
        <v>1.69158181468152</v>
      </c>
      <c r="I476" s="47">
        <f t="shared" si="134"/>
        <v>0</v>
      </c>
      <c r="J476" s="47">
        <f t="shared" si="135"/>
        <v>38.390014528130401</v>
      </c>
      <c r="K476" s="48">
        <f t="shared" si="136"/>
        <v>0</v>
      </c>
      <c r="L476" s="7">
        <f t="shared" si="137"/>
        <v>0.59095263901441797</v>
      </c>
      <c r="M476" s="7">
        <f t="shared" si="138"/>
        <v>0</v>
      </c>
      <c r="N476" s="7">
        <f t="shared" si="139"/>
        <v>0</v>
      </c>
      <c r="O476" s="7">
        <f t="shared" si="140"/>
        <v>0.59095263901441797</v>
      </c>
      <c r="P476" s="49">
        <f t="shared" si="141"/>
        <v>37.740616023718999</v>
      </c>
      <c r="Q476" s="54">
        <f t="shared" si="143"/>
        <v>2426.4178196079902</v>
      </c>
      <c r="R476" s="55">
        <f t="shared" si="142"/>
        <v>63.597375176715502</v>
      </c>
    </row>
    <row r="477" ht="12.800000000000001">
      <c r="A477" s="1">
        <v>473</v>
      </c>
      <c r="B477" s="44">
        <v>44018</v>
      </c>
      <c r="C477" s="45">
        <f t="shared" si="128"/>
        <v>0.66783962081868298</v>
      </c>
      <c r="D477" s="3">
        <f t="shared" si="129"/>
        <v>0.66783962081868298</v>
      </c>
      <c r="E477" s="46">
        <f t="shared" si="130"/>
        <v>0</v>
      </c>
      <c r="F477" s="46">
        <f t="shared" si="131"/>
        <v>34.857607341171402</v>
      </c>
      <c r="G477" s="46">
        <f t="shared" si="132"/>
        <v>100</v>
      </c>
      <c r="H477" s="46">
        <f t="shared" si="133"/>
        <v>1.9159078082501599</v>
      </c>
      <c r="I477" s="47">
        <f t="shared" si="134"/>
        <v>0</v>
      </c>
      <c r="J477" s="47">
        <f t="shared" si="135"/>
        <v>38.3050630122763</v>
      </c>
      <c r="K477" s="48">
        <f t="shared" si="136"/>
        <v>0</v>
      </c>
      <c r="L477" s="7">
        <f t="shared" si="137"/>
        <v>0.66783962081868298</v>
      </c>
      <c r="M477" s="7">
        <f t="shared" si="138"/>
        <v>0</v>
      </c>
      <c r="N477" s="7">
        <f t="shared" si="139"/>
        <v>0</v>
      </c>
      <c r="O477" s="7">
        <f t="shared" si="140"/>
        <v>0.66783962081868298</v>
      </c>
      <c r="P477" s="49">
        <f t="shared" si="141"/>
        <v>37.571173319068897</v>
      </c>
      <c r="Q477" s="54">
        <f t="shared" si="143"/>
        <v>2455.4780939462498</v>
      </c>
      <c r="R477" s="55">
        <f t="shared" si="142"/>
        <v>63.879991876426701</v>
      </c>
    </row>
    <row r="478" ht="12.800000000000001">
      <c r="A478" s="1">
        <v>474</v>
      </c>
      <c r="B478" s="44">
        <v>44019</v>
      </c>
      <c r="C478" s="45">
        <f t="shared" si="128"/>
        <v>0.74932242893995304</v>
      </c>
      <c r="D478" s="3">
        <f t="shared" si="129"/>
        <v>0.74932242893995304</v>
      </c>
      <c r="E478" s="46">
        <f t="shared" si="130"/>
        <v>0</v>
      </c>
      <c r="F478" s="46">
        <f t="shared" si="131"/>
        <v>34.775680596328499</v>
      </c>
      <c r="G478" s="46">
        <f t="shared" si="132"/>
        <v>100</v>
      </c>
      <c r="H478" s="46">
        <f t="shared" si="133"/>
        <v>2.1547311687095001</v>
      </c>
      <c r="I478" s="47">
        <f t="shared" si="134"/>
        <v>0</v>
      </c>
      <c r="J478" s="47">
        <f t="shared" si="135"/>
        <v>38.215033622339</v>
      </c>
      <c r="K478" s="48">
        <f t="shared" si="136"/>
        <v>0</v>
      </c>
      <c r="L478" s="7">
        <f t="shared" si="137"/>
        <v>0.74932242893995304</v>
      </c>
      <c r="M478" s="7">
        <f t="shared" si="138"/>
        <v>0</v>
      </c>
      <c r="N478" s="7">
        <f t="shared" si="139"/>
        <v>0</v>
      </c>
      <c r="O478" s="7">
        <f t="shared" si="140"/>
        <v>0.74932242893995304</v>
      </c>
      <c r="P478" s="49">
        <f t="shared" si="141"/>
        <v>37.391602381745699</v>
      </c>
      <c r="Q478" s="54">
        <f t="shared" si="143"/>
        <v>2484.4078974019299</v>
      </c>
      <c r="R478" s="55">
        <f t="shared" si="142"/>
        <v>64.1613397219691</v>
      </c>
    </row>
    <row r="479" ht="12.800000000000001">
      <c r="A479" s="1">
        <v>475</v>
      </c>
      <c r="B479" s="44">
        <v>44020</v>
      </c>
      <c r="C479" s="45">
        <f t="shared" si="128"/>
        <v>0.83537691826362703</v>
      </c>
      <c r="D479" s="3">
        <f t="shared" si="129"/>
        <v>0.83537691826362703</v>
      </c>
      <c r="E479" s="46">
        <f t="shared" si="130"/>
        <v>0</v>
      </c>
      <c r="F479" s="46">
        <f t="shared" si="131"/>
        <v>34.6891572627326</v>
      </c>
      <c r="G479" s="46">
        <f t="shared" si="132"/>
        <v>100</v>
      </c>
      <c r="H479" s="46">
        <f t="shared" si="133"/>
        <v>2.40817876299662</v>
      </c>
      <c r="I479" s="47">
        <f t="shared" si="134"/>
        <v>0</v>
      </c>
      <c r="J479" s="47">
        <f t="shared" si="135"/>
        <v>38.1199530359699</v>
      </c>
      <c r="K479" s="48">
        <f t="shared" si="136"/>
        <v>0</v>
      </c>
      <c r="L479" s="7">
        <f t="shared" si="137"/>
        <v>0.83537691826362703</v>
      </c>
      <c r="M479" s="7">
        <f t="shared" si="138"/>
        <v>0</v>
      </c>
      <c r="N479" s="7">
        <f t="shared" si="139"/>
        <v>0</v>
      </c>
      <c r="O479" s="7">
        <f t="shared" si="140"/>
        <v>0.83537691826362703</v>
      </c>
      <c r="P479" s="49">
        <f t="shared" si="141"/>
        <v>37.201956422493403</v>
      </c>
      <c r="Q479" s="54">
        <f t="shared" si="143"/>
        <v>2513.1994312358802</v>
      </c>
      <c r="R479" s="55">
        <f t="shared" si="142"/>
        <v>64.441342869119794</v>
      </c>
    </row>
    <row r="480" ht="12.800000000000001">
      <c r="A480" s="1">
        <v>476</v>
      </c>
      <c r="B480" s="44">
        <v>44021</v>
      </c>
      <c r="C480" s="45">
        <f t="shared" si="128"/>
        <v>0.92597758898731697</v>
      </c>
      <c r="D480" s="3">
        <f t="shared" si="129"/>
        <v>0.92597758898731697</v>
      </c>
      <c r="E480" s="46">
        <f t="shared" si="130"/>
        <v>0</v>
      </c>
      <c r="F480" s="46">
        <f t="shared" si="131"/>
        <v>34.5980629791148</v>
      </c>
      <c r="G480" s="46">
        <f t="shared" si="132"/>
        <v>100</v>
      </c>
      <c r="H480" s="46">
        <f t="shared" si="133"/>
        <v>2.6763856391217198</v>
      </c>
      <c r="I480" s="47">
        <f t="shared" si="134"/>
        <v>0</v>
      </c>
      <c r="J480" s="47">
        <f t="shared" si="135"/>
        <v>38.0198494275987</v>
      </c>
      <c r="K480" s="48">
        <f t="shared" si="136"/>
        <v>0</v>
      </c>
      <c r="L480" s="7">
        <f t="shared" si="137"/>
        <v>0.92597758898731697</v>
      </c>
      <c r="M480" s="7">
        <f t="shared" si="138"/>
        <v>0</v>
      </c>
      <c r="N480" s="7">
        <f t="shared" si="139"/>
        <v>0</v>
      </c>
      <c r="O480" s="7">
        <f t="shared" si="140"/>
        <v>0.92597758898731697</v>
      </c>
      <c r="P480" s="49">
        <f t="shared" si="141"/>
        <v>37.002291637502701</v>
      </c>
      <c r="Q480" s="54">
        <f t="shared" si="143"/>
        <v>2541.8449376812</v>
      </c>
      <c r="R480" s="55">
        <f t="shared" si="142"/>
        <v>64.719925872119006</v>
      </c>
    </row>
    <row r="481" ht="12.800000000000001">
      <c r="A481" s="1">
        <v>477</v>
      </c>
      <c r="B481" s="44">
        <v>44022</v>
      </c>
      <c r="C481" s="45">
        <f t="shared" si="128"/>
        <v>1.02109759417696</v>
      </c>
      <c r="D481" s="3">
        <f t="shared" si="129"/>
        <v>1.02109759417696</v>
      </c>
      <c r="E481" s="46">
        <f t="shared" si="130"/>
        <v>0</v>
      </c>
      <c r="F481" s="46">
        <f t="shared" si="131"/>
        <v>34.502424738677298</v>
      </c>
      <c r="G481" s="46">
        <f t="shared" si="132"/>
        <v>100</v>
      </c>
      <c r="H481" s="46">
        <f t="shared" si="133"/>
        <v>2.9594951714576498</v>
      </c>
      <c r="I481" s="47">
        <f t="shared" si="134"/>
        <v>0</v>
      </c>
      <c r="J481" s="47">
        <f t="shared" si="135"/>
        <v>37.914752460084898</v>
      </c>
      <c r="K481" s="48">
        <f t="shared" si="136"/>
        <v>0</v>
      </c>
      <c r="L481" s="7">
        <f t="shared" si="137"/>
        <v>1.02109759417696</v>
      </c>
      <c r="M481" s="7">
        <f t="shared" si="138"/>
        <v>0</v>
      </c>
      <c r="N481" s="7">
        <f t="shared" si="139"/>
        <v>0</v>
      </c>
      <c r="O481" s="7">
        <f t="shared" si="140"/>
        <v>1.02109759417696</v>
      </c>
      <c r="P481" s="49">
        <f t="shared" si="141"/>
        <v>36.792667191758603</v>
      </c>
      <c r="Q481" s="54">
        <f t="shared" si="143"/>
        <v>2570.3367022420798</v>
      </c>
      <c r="R481" s="55">
        <f t="shared" si="142"/>
        <v>64.997013706026493</v>
      </c>
    </row>
    <row r="482" ht="12.800000000000001">
      <c r="A482" s="1">
        <v>478</v>
      </c>
      <c r="B482" s="44">
        <v>44023</v>
      </c>
      <c r="C482" s="45">
        <f t="shared" si="128"/>
        <v>1.12070874772218</v>
      </c>
      <c r="D482" s="3">
        <f t="shared" si="129"/>
        <v>1.12070874772218</v>
      </c>
      <c r="E482" s="46">
        <f t="shared" si="130"/>
        <v>0</v>
      </c>
      <c r="F482" s="46">
        <f t="shared" si="131"/>
        <v>34.402270881094701</v>
      </c>
      <c r="G482" s="46">
        <f t="shared" si="132"/>
        <v>100</v>
      </c>
      <c r="H482" s="46">
        <f t="shared" si="133"/>
        <v>3.2576592155666502</v>
      </c>
      <c r="I482" s="47">
        <f t="shared" si="134"/>
        <v>0</v>
      </c>
      <c r="J482" s="47">
        <f t="shared" si="135"/>
        <v>37.804693275928301</v>
      </c>
      <c r="K482" s="48">
        <f t="shared" si="136"/>
        <v>0</v>
      </c>
      <c r="L482" s="7">
        <f t="shared" si="137"/>
        <v>1.12070874772218</v>
      </c>
      <c r="M482" s="7">
        <f t="shared" si="138"/>
        <v>0</v>
      </c>
      <c r="N482" s="7">
        <f t="shared" si="139"/>
        <v>0</v>
      </c>
      <c r="O482" s="7">
        <f t="shared" si="140"/>
        <v>1.12070874772218</v>
      </c>
      <c r="P482" s="49">
        <f t="shared" si="141"/>
        <v>36.573145201508297</v>
      </c>
      <c r="Q482" s="54">
        <f t="shared" si="143"/>
        <v>2598.6670559797299</v>
      </c>
      <c r="R482" s="55">
        <f t="shared" si="142"/>
        <v>65.272531788952705</v>
      </c>
    </row>
    <row r="483" ht="12.800000000000001">
      <c r="A483" s="1">
        <v>479</v>
      </c>
      <c r="B483" s="44">
        <v>44024</v>
      </c>
      <c r="C483" s="45">
        <f t="shared" si="128"/>
        <v>1.22478153268838</v>
      </c>
      <c r="D483" s="3">
        <f t="shared" si="129"/>
        <v>1.22478153268838</v>
      </c>
      <c r="E483" s="46">
        <f t="shared" si="130"/>
        <v>0</v>
      </c>
      <c r="F483" s="46">
        <f t="shared" si="131"/>
        <v>34.297631084116603</v>
      </c>
      <c r="G483" s="46">
        <f t="shared" si="132"/>
        <v>100</v>
      </c>
      <c r="H483" s="46">
        <f t="shared" si="133"/>
        <v>3.57103827283155</v>
      </c>
      <c r="I483" s="47">
        <f t="shared" si="134"/>
        <v>0</v>
      </c>
      <c r="J483" s="47">
        <f t="shared" si="135"/>
        <v>37.689704488040299</v>
      </c>
      <c r="K483" s="48">
        <f t="shared" si="136"/>
        <v>0</v>
      </c>
      <c r="L483" s="7">
        <f t="shared" si="137"/>
        <v>1.22478153268838</v>
      </c>
      <c r="M483" s="7">
        <f t="shared" si="138"/>
        <v>0</v>
      </c>
      <c r="N483" s="7">
        <f t="shared" si="139"/>
        <v>0</v>
      </c>
      <c r="O483" s="7">
        <f t="shared" si="140"/>
        <v>1.22478153268838</v>
      </c>
      <c r="P483" s="49">
        <f t="shared" si="141"/>
        <v>36.343790715855199</v>
      </c>
      <c r="Q483" s="54">
        <f t="shared" si="143"/>
        <v>2626.8283777848901</v>
      </c>
      <c r="R483" s="55">
        <f t="shared" si="142"/>
        <v>65.546406004159394</v>
      </c>
    </row>
    <row r="484" ht="12.800000000000001">
      <c r="A484" s="1">
        <v>480</v>
      </c>
      <c r="B484" s="44">
        <v>44025</v>
      </c>
      <c r="C484" s="45">
        <f t="shared" ref="C484:C547" si="144">V$30-V$30*SIN(2*PI()/365*A484)</f>
        <v>1.3332851100632901</v>
      </c>
      <c r="D484" s="3">
        <f t="shared" ref="D484:D547" si="145">IF((E484+F484)&gt;C484,C484,E484+F484)</f>
        <v>1.3332851100632901</v>
      </c>
      <c r="E484" s="46">
        <f t="shared" ref="E484:E547" si="146">(V$27+V$28*SIN(2*PI()/365*A484))*V$29/100*V$9*V$10/100</f>
        <v>0</v>
      </c>
      <c r="F484" s="46">
        <f t="shared" ref="F484:F547" si="147">(V$27+V$28*SIN(2*PI()/365*A484))*V$29/100*V$11*(1-V$18/100)*(1-V$20/100)</f>
        <v>34.188536354773198</v>
      </c>
      <c r="G484" s="46">
        <f t="shared" ref="G484:G547" si="148">IF(C484&gt;E484,100,C484/E484*100)</f>
        <v>100</v>
      </c>
      <c r="H484" s="46">
        <f t="shared" ref="H484:H547" si="149">L484/F484*100</f>
        <v>3.8998016651775802</v>
      </c>
      <c r="I484" s="47">
        <f t="shared" ref="I484:I547" si="150">(V$27+V$28*SIN(2*PI()/365*A484))*V$29/100*V$9*V$10/100*(1-V$19/100)</f>
        <v>0</v>
      </c>
      <c r="J484" s="47">
        <f t="shared" ref="J484:J547" si="151">(V$27+V$28*SIN(2*PI()/365*A484))*V$29/100*V$11*(1-V$18/100)</f>
        <v>37.569820170080398</v>
      </c>
      <c r="K484" s="48">
        <f t="shared" ref="K484:K547" si="152">IF(E484/C484*100&lt;100,E484/C484*100,100)</f>
        <v>0</v>
      </c>
      <c r="L484" s="7">
        <f t="shared" ref="L484:L547" si="153">IF(((C484-E484)&gt;0)*AND(F484&gt;(C484-E484)),(C484-E484),IF(C484&lt;E484,0,F484))</f>
        <v>1.3332851100632901</v>
      </c>
      <c r="M484" s="7">
        <f t="shared" ref="M484:M547" si="154">IF(C484&lt;(E484+F484),0,C484-E484-F484)</f>
        <v>0</v>
      </c>
      <c r="N484" s="7">
        <f t="shared" ref="N484:N547" si="155">IF(C484&lt;(E484+F484),0,(C484-E484-F484)/(1-V$20/100))</f>
        <v>0</v>
      </c>
      <c r="O484" s="7">
        <f t="shared" ref="O484:O547" si="156">L484+M484</f>
        <v>1.3332851100632901</v>
      </c>
      <c r="P484" s="49">
        <f t="shared" ref="P484:P547" si="157">IF(N484=0,I484*(1-G484/100)+J484*(1-H484/100),-N484)</f>
        <v>36.104671697483397</v>
      </c>
      <c r="Q484" s="54">
        <f t="shared" si="143"/>
        <v>2654.8130966361</v>
      </c>
      <c r="R484" s="55">
        <f t="shared" ref="R484:R547" si="158">R$4+Q484/V$32</f>
        <v>65.818562722021596</v>
      </c>
    </row>
    <row r="485" ht="12.800000000000001">
      <c r="A485" s="1">
        <v>481</v>
      </c>
      <c r="B485" s="44">
        <v>44026</v>
      </c>
      <c r="C485" s="45">
        <f t="shared" si="144"/>
        <v>1.4461873278952599</v>
      </c>
      <c r="D485" s="3">
        <f t="shared" si="145"/>
        <v>1.4461873278952599</v>
      </c>
      <c r="E485" s="46">
        <f t="shared" si="146"/>
        <v>0</v>
      </c>
      <c r="F485" s="46">
        <f t="shared" si="147"/>
        <v>34.075019020187099</v>
      </c>
      <c r="G485" s="46">
        <f t="shared" si="148"/>
        <v>100</v>
      </c>
      <c r="H485" s="46">
        <f t="shared" si="149"/>
        <v>4.2441277201884899</v>
      </c>
      <c r="I485" s="47">
        <f t="shared" si="150"/>
        <v>0</v>
      </c>
      <c r="J485" s="47">
        <f t="shared" si="151"/>
        <v>37.445075846359401</v>
      </c>
      <c r="K485" s="48">
        <f t="shared" si="152"/>
        <v>0</v>
      </c>
      <c r="L485" s="7">
        <f t="shared" si="153"/>
        <v>1.4461873278952599</v>
      </c>
      <c r="M485" s="7">
        <f t="shared" si="154"/>
        <v>0</v>
      </c>
      <c r="N485" s="7">
        <f t="shared" si="155"/>
        <v>0</v>
      </c>
      <c r="O485" s="7">
        <f t="shared" si="156"/>
        <v>1.4461873278952599</v>
      </c>
      <c r="P485" s="49">
        <f t="shared" si="157"/>
        <v>35.8558590025185</v>
      </c>
      <c r="Q485" s="54">
        <f t="shared" ref="Q485:Q548" si="159">IF(P484&gt;0,Q484+P484*(1-V$24/100),Q484+P484)</f>
        <v>2682.61369384316</v>
      </c>
      <c r="R485" s="55">
        <f t="shared" si="158"/>
        <v>66.088928821845997</v>
      </c>
    </row>
    <row r="486" ht="12.800000000000001">
      <c r="A486" s="1">
        <v>482</v>
      </c>
      <c r="B486" s="44">
        <v>44027</v>
      </c>
      <c r="C486" s="45">
        <f t="shared" si="144"/>
        <v>1.56345473082049</v>
      </c>
      <c r="D486" s="3">
        <f t="shared" si="145"/>
        <v>1.56345473082049</v>
      </c>
      <c r="E486" s="46">
        <f t="shared" si="146"/>
        <v>0</v>
      </c>
      <c r="F486" s="46">
        <f t="shared" si="147"/>
        <v>33.957112717994498</v>
      </c>
      <c r="G486" s="46">
        <f t="shared" si="148"/>
        <v>100</v>
      </c>
      <c r="H486" s="46">
        <f t="shared" si="149"/>
        <v>4.6042039669408901</v>
      </c>
      <c r="I486" s="47">
        <f t="shared" si="150"/>
        <v>0</v>
      </c>
      <c r="J486" s="47">
        <f t="shared" si="151"/>
        <v>37.315508481312698</v>
      </c>
      <c r="K486" s="48">
        <f t="shared" si="152"/>
        <v>0</v>
      </c>
      <c r="L486" s="7">
        <f t="shared" si="153"/>
        <v>1.56345473082049</v>
      </c>
      <c r="M486" s="7">
        <f t="shared" si="154"/>
        <v>0</v>
      </c>
      <c r="N486" s="7">
        <f t="shared" si="155"/>
        <v>0</v>
      </c>
      <c r="O486" s="7">
        <f t="shared" si="156"/>
        <v>1.56345473082049</v>
      </c>
      <c r="P486" s="49">
        <f t="shared" si="157"/>
        <v>35.597426359531902</v>
      </c>
      <c r="Q486" s="54">
        <f t="shared" si="159"/>
        <v>2710.2227052751</v>
      </c>
      <c r="R486" s="55">
        <f t="shared" si="158"/>
        <v>66.357431713538006</v>
      </c>
    </row>
    <row r="487" ht="12.800000000000001">
      <c r="A487" s="1">
        <v>483</v>
      </c>
      <c r="B487" s="44">
        <v>44028</v>
      </c>
      <c r="C487" s="45">
        <f t="shared" si="144"/>
        <v>1.6850525699766801</v>
      </c>
      <c r="D487" s="3">
        <f t="shared" si="145"/>
        <v>1.6850525699766801</v>
      </c>
      <c r="E487" s="46">
        <f t="shared" si="146"/>
        <v>0</v>
      </c>
      <c r="F487" s="46">
        <f t="shared" si="147"/>
        <v>33.834852386377499</v>
      </c>
      <c r="G487" s="46">
        <f t="shared" si="148"/>
        <v>100</v>
      </c>
      <c r="H487" s="46">
        <f t="shared" si="149"/>
        <v>4.9802273429013404</v>
      </c>
      <c r="I487" s="47">
        <f t="shared" si="150"/>
        <v>0</v>
      </c>
      <c r="J487" s="47">
        <f t="shared" si="151"/>
        <v>37.181156468546703</v>
      </c>
      <c r="K487" s="48">
        <f t="shared" si="152"/>
        <v>0</v>
      </c>
      <c r="L487" s="7">
        <f t="shared" si="153"/>
        <v>1.6850525699766801</v>
      </c>
      <c r="M487" s="7">
        <f t="shared" si="154"/>
        <v>0</v>
      </c>
      <c r="N487" s="7">
        <f t="shared" si="155"/>
        <v>0</v>
      </c>
      <c r="O487" s="7">
        <f t="shared" si="156"/>
        <v>1.6850525699766801</v>
      </c>
      <c r="P487" s="49">
        <f t="shared" si="157"/>
        <v>35.329450347693196</v>
      </c>
      <c r="Q487" s="54">
        <f t="shared" si="159"/>
        <v>2737.63272357194</v>
      </c>
      <c r="R487" s="55">
        <f t="shared" si="158"/>
        <v>66.623999359111806</v>
      </c>
    </row>
    <row r="488" ht="12.800000000000001">
      <c r="A488" s="1">
        <v>484</v>
      </c>
      <c r="B488" s="44">
        <v>44029</v>
      </c>
      <c r="C488" s="45">
        <f t="shared" si="144"/>
        <v>1.8109448132997801</v>
      </c>
      <c r="D488" s="3">
        <f t="shared" si="145"/>
        <v>1.8109448132997801</v>
      </c>
      <c r="E488" s="46">
        <f t="shared" si="146"/>
        <v>0</v>
      </c>
      <c r="F488" s="46">
        <f t="shared" si="147"/>
        <v>33.708274253710798</v>
      </c>
      <c r="G488" s="46">
        <f t="shared" si="148"/>
        <v>100</v>
      </c>
      <c r="H488" s="46">
        <f t="shared" si="149"/>
        <v>5.3724044122502903</v>
      </c>
      <c r="I488" s="47">
        <f t="shared" si="150"/>
        <v>0</v>
      </c>
      <c r="J488" s="47">
        <f t="shared" si="151"/>
        <v>37.0420596194624</v>
      </c>
      <c r="K488" s="48">
        <f t="shared" si="152"/>
        <v>0</v>
      </c>
      <c r="L488" s="7">
        <f t="shared" si="153"/>
        <v>1.8109448132997801</v>
      </c>
      <c r="M488" s="7">
        <f t="shared" si="154"/>
        <v>0</v>
      </c>
      <c r="N488" s="7">
        <f t="shared" si="155"/>
        <v>0</v>
      </c>
      <c r="O488" s="7">
        <f t="shared" si="156"/>
        <v>1.8109448132997801</v>
      </c>
      <c r="P488" s="49">
        <f t="shared" si="157"/>
        <v>35.052010374078002</v>
      </c>
      <c r="Q488" s="54">
        <f t="shared" si="159"/>
        <v>2764.83640033966</v>
      </c>
      <c r="R488" s="55">
        <f t="shared" si="158"/>
        <v>66.888560294036694</v>
      </c>
    </row>
    <row r="489" ht="12.800000000000001">
      <c r="A489" s="1">
        <v>485</v>
      </c>
      <c r="B489" s="44">
        <v>44030</v>
      </c>
      <c r="C489" s="45">
        <f t="shared" si="144"/>
        <v>1.9410941562011199</v>
      </c>
      <c r="D489" s="3">
        <f t="shared" si="145"/>
        <v>1.9410941562011199</v>
      </c>
      <c r="E489" s="46">
        <f t="shared" si="146"/>
        <v>0</v>
      </c>
      <c r="F489" s="46">
        <f t="shared" si="147"/>
        <v>33.577415827826897</v>
      </c>
      <c r="G489" s="46">
        <f t="shared" si="148"/>
        <v>100</v>
      </c>
      <c r="H489" s="46">
        <f t="shared" si="149"/>
        <v>5.78095159602025</v>
      </c>
      <c r="I489" s="47">
        <f t="shared" si="150"/>
        <v>0</v>
      </c>
      <c r="J489" s="47">
        <f t="shared" si="151"/>
        <v>36.898259151458099</v>
      </c>
      <c r="K489" s="48">
        <f t="shared" si="152"/>
        <v>0</v>
      </c>
      <c r="L489" s="7">
        <f t="shared" si="153"/>
        <v>1.9410941562011199</v>
      </c>
      <c r="M489" s="7">
        <f t="shared" si="154"/>
        <v>0</v>
      </c>
      <c r="N489" s="7">
        <f t="shared" si="155"/>
        <v>0</v>
      </c>
      <c r="O489" s="7">
        <f t="shared" si="156"/>
        <v>1.9410941562011199</v>
      </c>
      <c r="P489" s="49">
        <f t="shared" si="157"/>
        <v>34.765188650138199</v>
      </c>
      <c r="Q489" s="54">
        <f t="shared" si="159"/>
        <v>2791.8264483276998</v>
      </c>
      <c r="R489" s="55">
        <f t="shared" si="158"/>
        <v>67.151043648413903</v>
      </c>
    </row>
    <row r="490" ht="12.800000000000001">
      <c r="A490" s="1">
        <v>486</v>
      </c>
      <c r="B490" s="44">
        <v>44031</v>
      </c>
      <c r="C490" s="45">
        <f t="shared" si="144"/>
        <v>2.0754620326215298</v>
      </c>
      <c r="D490" s="3">
        <f t="shared" si="145"/>
        <v>2.0754620326215298</v>
      </c>
      <c r="E490" s="46">
        <f t="shared" si="146"/>
        <v>0</v>
      </c>
      <c r="F490" s="46">
        <f t="shared" si="147"/>
        <v>33.442315884901603</v>
      </c>
      <c r="G490" s="46">
        <f t="shared" si="148"/>
        <v>100</v>
      </c>
      <c r="H490" s="46">
        <f t="shared" si="149"/>
        <v>6.2060954144582698</v>
      </c>
      <c r="I490" s="47">
        <f t="shared" si="150"/>
        <v>0</v>
      </c>
      <c r="J490" s="47">
        <f t="shared" si="151"/>
        <v>36.749797675716003</v>
      </c>
      <c r="K490" s="48">
        <f t="shared" si="152"/>
        <v>0</v>
      </c>
      <c r="L490" s="7">
        <f t="shared" si="153"/>
        <v>2.0754620326215298</v>
      </c>
      <c r="M490" s="7">
        <f t="shared" si="154"/>
        <v>0</v>
      </c>
      <c r="N490" s="7">
        <f t="shared" si="155"/>
        <v>0</v>
      </c>
      <c r="O490" s="7">
        <f t="shared" si="156"/>
        <v>2.0754620326215298</v>
      </c>
      <c r="P490" s="49">
        <f t="shared" si="157"/>
        <v>34.469070167340703</v>
      </c>
      <c r="Q490" s="54">
        <f t="shared" si="159"/>
        <v>2818.5956435883099</v>
      </c>
      <c r="R490" s="55">
        <f t="shared" si="158"/>
        <v>67.411379167976406</v>
      </c>
    </row>
    <row r="491" ht="12.800000000000001">
      <c r="A491" s="1">
        <v>487</v>
      </c>
      <c r="B491" s="44">
        <v>44032</v>
      </c>
      <c r="C491" s="45">
        <f t="shared" si="144"/>
        <v>2.2140086264593499</v>
      </c>
      <c r="D491" s="3">
        <f t="shared" si="145"/>
        <v>2.2140086264593499</v>
      </c>
      <c r="E491" s="46">
        <f t="shared" si="146"/>
        <v>0</v>
      </c>
      <c r="F491" s="46">
        <f t="shared" si="147"/>
        <v>33.303014457963698</v>
      </c>
      <c r="G491" s="46">
        <f t="shared" si="148"/>
        <v>100</v>
      </c>
      <c r="H491" s="46">
        <f t="shared" si="149"/>
        <v>6.6480727420454802</v>
      </c>
      <c r="I491" s="47">
        <f t="shared" si="150"/>
        <v>0</v>
      </c>
      <c r="J491" s="47">
        <f t="shared" si="151"/>
        <v>36.596719184575498</v>
      </c>
      <c r="K491" s="48">
        <f t="shared" si="152"/>
        <v>0</v>
      </c>
      <c r="L491" s="7">
        <f t="shared" si="153"/>
        <v>2.2140086264593499</v>
      </c>
      <c r="M491" s="7">
        <f t="shared" si="154"/>
        <v>0</v>
      </c>
      <c r="N491" s="7">
        <f t="shared" si="155"/>
        <v>0</v>
      </c>
      <c r="O491" s="7">
        <f t="shared" si="156"/>
        <v>2.2140086264593499</v>
      </c>
      <c r="P491" s="49">
        <f t="shared" si="157"/>
        <v>34.163742671982803</v>
      </c>
      <c r="Q491" s="54">
        <f t="shared" si="159"/>
        <v>2845.1368276171602</v>
      </c>
      <c r="R491" s="55">
        <f t="shared" si="158"/>
        <v>67.669497234906999</v>
      </c>
    </row>
    <row r="492" ht="12.800000000000001">
      <c r="A492" s="1">
        <v>488</v>
      </c>
      <c r="B492" s="44">
        <v>44033</v>
      </c>
      <c r="C492" s="45">
        <f t="shared" si="144"/>
        <v>2.3566928833687402</v>
      </c>
      <c r="D492" s="3">
        <f t="shared" si="145"/>
        <v>2.3566928833687402</v>
      </c>
      <c r="E492" s="46">
        <f t="shared" si="146"/>
        <v>0</v>
      </c>
      <c r="F492" s="46">
        <f t="shared" si="147"/>
        <v>33.1595528250323</v>
      </c>
      <c r="G492" s="46">
        <f t="shared" si="148"/>
        <v>100</v>
      </c>
      <c r="H492" s="46">
        <f t="shared" si="149"/>
        <v>7.1071310756328101</v>
      </c>
      <c r="I492" s="47">
        <f t="shared" si="150"/>
        <v>0</v>
      </c>
      <c r="J492" s="47">
        <f t="shared" si="151"/>
        <v>36.439069038497003</v>
      </c>
      <c r="K492" s="48">
        <f t="shared" si="152"/>
        <v>0</v>
      </c>
      <c r="L492" s="7">
        <f t="shared" si="153"/>
        <v>2.3566928833687402</v>
      </c>
      <c r="M492" s="7">
        <f t="shared" si="154"/>
        <v>0</v>
      </c>
      <c r="N492" s="7">
        <f t="shared" si="155"/>
        <v>0</v>
      </c>
      <c r="O492" s="7">
        <f t="shared" si="156"/>
        <v>2.3566928833687402</v>
      </c>
      <c r="P492" s="49">
        <f t="shared" si="157"/>
        <v>33.849296639190698</v>
      </c>
      <c r="Q492" s="54">
        <f t="shared" si="159"/>
        <v>2871.4429094745901</v>
      </c>
      <c r="R492" s="55">
        <f t="shared" si="158"/>
        <v>67.925328888467504</v>
      </c>
    </row>
    <row r="493" ht="12.800000000000001">
      <c r="A493" s="1">
        <v>489</v>
      </c>
      <c r="B493" s="44">
        <v>44034</v>
      </c>
      <c r="C493" s="45">
        <f t="shared" si="144"/>
        <v>2.5034725229250001</v>
      </c>
      <c r="D493" s="3">
        <f t="shared" si="145"/>
        <v>2.5034725229250001</v>
      </c>
      <c r="E493" s="46">
        <f t="shared" si="146"/>
        <v>0</v>
      </c>
      <c r="F493" s="46">
        <f t="shared" si="147"/>
        <v>33.011973496885403</v>
      </c>
      <c r="G493" s="46">
        <f t="shared" si="148"/>
        <v>100</v>
      </c>
      <c r="H493" s="46">
        <f t="shared" si="149"/>
        <v>7.5835288161769396</v>
      </c>
      <c r="I493" s="47">
        <f t="shared" si="150"/>
        <v>0</v>
      </c>
      <c r="J493" s="47">
        <f t="shared" si="151"/>
        <v>36.2768939526213</v>
      </c>
      <c r="K493" s="48">
        <f t="shared" si="152"/>
        <v>0</v>
      </c>
      <c r="L493" s="7">
        <f t="shared" si="153"/>
        <v>2.5034725229250001</v>
      </c>
      <c r="M493" s="7">
        <f t="shared" si="154"/>
        <v>0</v>
      </c>
      <c r="N493" s="7">
        <f t="shared" si="155"/>
        <v>0</v>
      </c>
      <c r="O493" s="7">
        <f t="shared" si="156"/>
        <v>2.5034725229250001</v>
      </c>
      <c r="P493" s="49">
        <f t="shared" si="157"/>
        <v>33.525825246110301</v>
      </c>
      <c r="Q493" s="54">
        <f t="shared" si="159"/>
        <v>2897.5068678867701</v>
      </c>
      <c r="R493" s="55">
        <f t="shared" si="158"/>
        <v>68.178805845433601</v>
      </c>
    </row>
    <row r="494" ht="12.800000000000001">
      <c r="A494" s="1">
        <v>490</v>
      </c>
      <c r="B494" s="44">
        <v>44035</v>
      </c>
      <c r="C494" s="45">
        <f t="shared" si="144"/>
        <v>2.6543040511531499</v>
      </c>
      <c r="D494" s="3">
        <f t="shared" si="145"/>
        <v>2.6543040511531499</v>
      </c>
      <c r="E494" s="46">
        <f t="shared" si="146"/>
        <v>0</v>
      </c>
      <c r="F494" s="46">
        <f t="shared" si="147"/>
        <v>32.860320204463001</v>
      </c>
      <c r="G494" s="46">
        <f t="shared" si="148"/>
        <v>100</v>
      </c>
      <c r="H494" s="46">
        <f t="shared" si="149"/>
        <v>8.0775355645884801</v>
      </c>
      <c r="I494" s="47">
        <f t="shared" si="150"/>
        <v>0</v>
      </c>
      <c r="J494" s="47">
        <f t="shared" si="151"/>
        <v>36.110241982926397</v>
      </c>
      <c r="K494" s="48">
        <f t="shared" si="152"/>
        <v>0</v>
      </c>
      <c r="L494" s="7">
        <f t="shared" si="153"/>
        <v>2.6543040511531499</v>
      </c>
      <c r="M494" s="7">
        <f t="shared" si="154"/>
        <v>0</v>
      </c>
      <c r="N494" s="7">
        <f t="shared" si="155"/>
        <v>0</v>
      </c>
      <c r="O494" s="7">
        <f t="shared" si="156"/>
        <v>2.6543040511531499</v>
      </c>
      <c r="P494" s="49">
        <f t="shared" si="157"/>
        <v>33.193424344296602</v>
      </c>
      <c r="Q494" s="54">
        <f t="shared" si="159"/>
        <v>2923.32175332627</v>
      </c>
      <c r="R494" s="55">
        <f t="shared" si="158"/>
        <v>68.429860520328106</v>
      </c>
    </row>
    <row r="495" ht="12.800000000000001">
      <c r="A495" s="1">
        <v>491</v>
      </c>
      <c r="B495" s="44">
        <v>44036</v>
      </c>
      <c r="C495" s="45">
        <f t="shared" si="144"/>
        <v>2.8091427734162</v>
      </c>
      <c r="D495" s="3">
        <f t="shared" si="145"/>
        <v>2.8091427734162</v>
      </c>
      <c r="E495" s="46">
        <f t="shared" si="146"/>
        <v>0</v>
      </c>
      <c r="F495" s="46">
        <f t="shared" si="147"/>
        <v>32.704637885908603</v>
      </c>
      <c r="G495" s="46">
        <f t="shared" si="148"/>
        <v>100</v>
      </c>
      <c r="H495" s="46">
        <f t="shared" si="149"/>
        <v>8.5894324322317992</v>
      </c>
      <c r="I495" s="47">
        <f t="shared" si="150"/>
        <v>0</v>
      </c>
      <c r="J495" s="47">
        <f t="shared" si="151"/>
        <v>35.939162511987497</v>
      </c>
      <c r="K495" s="48">
        <f t="shared" si="152"/>
        <v>0</v>
      </c>
      <c r="L495" s="7">
        <f t="shared" si="153"/>
        <v>2.8091427734162</v>
      </c>
      <c r="M495" s="7">
        <f t="shared" si="154"/>
        <v>0</v>
      </c>
      <c r="N495" s="7">
        <f t="shared" si="155"/>
        <v>0</v>
      </c>
      <c r="O495" s="7">
        <f t="shared" si="156"/>
        <v>2.8091427734162</v>
      </c>
      <c r="P495" s="49">
        <f t="shared" si="157"/>
        <v>32.8521924313103</v>
      </c>
      <c r="Q495" s="54">
        <f t="shared" si="159"/>
        <v>2948.8806900713798</v>
      </c>
      <c r="R495" s="55">
        <f t="shared" si="158"/>
        <v>68.678426045448404</v>
      </c>
    </row>
    <row r="496" ht="12.800000000000001">
      <c r="A496" s="1">
        <v>492</v>
      </c>
      <c r="B496" s="44">
        <v>44037</v>
      </c>
      <c r="C496" s="45">
        <f t="shared" si="144"/>
        <v>2.96794280765902</v>
      </c>
      <c r="D496" s="3">
        <f t="shared" si="145"/>
        <v>2.96794280765902</v>
      </c>
      <c r="E496" s="46">
        <f t="shared" si="146"/>
        <v>0</v>
      </c>
      <c r="F496" s="46">
        <f t="shared" si="147"/>
        <v>32.544972673253099</v>
      </c>
      <c r="G496" s="46">
        <f t="shared" si="148"/>
        <v>100</v>
      </c>
      <c r="H496" s="46">
        <f t="shared" si="149"/>
        <v>9.1195123666464308</v>
      </c>
      <c r="I496" s="47">
        <f t="shared" si="150"/>
        <v>0</v>
      </c>
      <c r="J496" s="47">
        <f t="shared" si="151"/>
        <v>35.763706234343999</v>
      </c>
      <c r="K496" s="48">
        <f t="shared" si="152"/>
        <v>0</v>
      </c>
      <c r="L496" s="7">
        <f t="shared" si="153"/>
        <v>2.96794280765902</v>
      </c>
      <c r="M496" s="7">
        <f t="shared" si="154"/>
        <v>0</v>
      </c>
      <c r="N496" s="7">
        <f t="shared" si="155"/>
        <v>0</v>
      </c>
      <c r="O496" s="7">
        <f t="shared" si="156"/>
        <v>2.96794280765902</v>
      </c>
      <c r="P496" s="49">
        <f t="shared" si="157"/>
        <v>32.502230621531901</v>
      </c>
      <c r="Q496" s="54">
        <f t="shared" si="159"/>
        <v>2974.1768782434901</v>
      </c>
      <c r="R496" s="55">
        <f t="shared" si="158"/>
        <v>68.924436290680802</v>
      </c>
    </row>
    <row r="497" ht="12.800000000000001">
      <c r="A497" s="1">
        <v>493</v>
      </c>
      <c r="B497" s="44">
        <v>44038</v>
      </c>
      <c r="C497" s="45">
        <f t="shared" si="144"/>
        <v>3.1306570980042698</v>
      </c>
      <c r="D497" s="3">
        <f t="shared" si="145"/>
        <v>3.1306570980042698</v>
      </c>
      <c r="E497" s="46">
        <f t="shared" si="146"/>
        <v>0</v>
      </c>
      <c r="F497" s="46">
        <f t="shared" si="147"/>
        <v>32.381371878744801</v>
      </c>
      <c r="G497" s="46">
        <f t="shared" si="148"/>
        <v>100</v>
      </c>
      <c r="H497" s="46">
        <f t="shared" si="149"/>
        <v>9.6680804930912991</v>
      </c>
      <c r="I497" s="47">
        <f t="shared" si="150"/>
        <v>0</v>
      </c>
      <c r="J497" s="47">
        <f t="shared" si="151"/>
        <v>35.5839251414777</v>
      </c>
      <c r="K497" s="48">
        <f t="shared" si="152"/>
        <v>0</v>
      </c>
      <c r="L497" s="7">
        <f t="shared" si="153"/>
        <v>3.1306570980042698</v>
      </c>
      <c r="M497" s="7">
        <f t="shared" si="154"/>
        <v>0</v>
      </c>
      <c r="N497" s="7">
        <f t="shared" si="155"/>
        <v>0</v>
      </c>
      <c r="O497" s="7">
        <f t="shared" si="156"/>
        <v>3.1306570980042698</v>
      </c>
      <c r="P497" s="49">
        <f t="shared" si="157"/>
        <v>32.143642616198299</v>
      </c>
      <c r="Q497" s="54">
        <f t="shared" si="159"/>
        <v>2999.2035958220699</v>
      </c>
      <c r="R497" s="55">
        <f t="shared" si="158"/>
        <v>69.1678258830961</v>
      </c>
    </row>
    <row r="498" ht="12.800000000000001">
      <c r="A498" s="1">
        <v>494</v>
      </c>
      <c r="B498" s="44">
        <v>44039</v>
      </c>
      <c r="C498" s="45">
        <f t="shared" si="144"/>
        <v>3.2972374286961101</v>
      </c>
      <c r="D498" s="3">
        <f t="shared" si="145"/>
        <v>3.2972374286961101</v>
      </c>
      <c r="E498" s="46">
        <f t="shared" si="146"/>
        <v>0</v>
      </c>
      <c r="F498" s="46">
        <f t="shared" si="147"/>
        <v>32.213883980829898</v>
      </c>
      <c r="G498" s="46">
        <f t="shared" si="148"/>
        <v>100</v>
      </c>
      <c r="H498" s="46">
        <f t="shared" si="149"/>
        <v>10.235454472544401</v>
      </c>
      <c r="I498" s="47">
        <f t="shared" si="150"/>
        <v>0</v>
      </c>
      <c r="J498" s="47">
        <f t="shared" si="151"/>
        <v>35.399872506406403</v>
      </c>
      <c r="K498" s="48">
        <f t="shared" si="152"/>
        <v>0</v>
      </c>
      <c r="L498" s="7">
        <f t="shared" si="153"/>
        <v>3.2972374286961101</v>
      </c>
      <c r="M498" s="7">
        <f t="shared" si="154"/>
        <v>0</v>
      </c>
      <c r="N498" s="7">
        <f t="shared" si="155"/>
        <v>0</v>
      </c>
      <c r="O498" s="7">
        <f t="shared" si="156"/>
        <v>3.2972374286961101</v>
      </c>
      <c r="P498" s="49">
        <f t="shared" si="157"/>
        <v>31.776534672674501</v>
      </c>
      <c r="Q498" s="54">
        <f t="shared" si="159"/>
        <v>3023.95420063654</v>
      </c>
      <c r="R498" s="55">
        <f t="shared" si="158"/>
        <v>69.408530226320906</v>
      </c>
    </row>
    <row r="499" ht="12.800000000000001">
      <c r="A499" s="1">
        <v>495</v>
      </c>
      <c r="B499" s="44">
        <v>44040</v>
      </c>
      <c r="C499" s="45">
        <f t="shared" si="144"/>
        <v>3.4676344383873898</v>
      </c>
      <c r="D499" s="3">
        <f t="shared" si="145"/>
        <v>3.4676344383873898</v>
      </c>
      <c r="E499" s="46">
        <f t="shared" si="146"/>
        <v>0</v>
      </c>
      <c r="F499" s="46">
        <f t="shared" si="147"/>
        <v>32.042558609787299</v>
      </c>
      <c r="G499" s="46">
        <f t="shared" si="148"/>
        <v>100</v>
      </c>
      <c r="H499" s="46">
        <f t="shared" si="149"/>
        <v>10.821964876825501</v>
      </c>
      <c r="I499" s="47">
        <f t="shared" si="150"/>
        <v>0</v>
      </c>
      <c r="J499" s="47">
        <f t="shared" si="151"/>
        <v>35.211602867898101</v>
      </c>
      <c r="K499" s="48">
        <f t="shared" si="152"/>
        <v>0</v>
      </c>
      <c r="L499" s="7">
        <f t="shared" si="153"/>
        <v>3.4676344383873898</v>
      </c>
      <c r="M499" s="7">
        <f t="shared" si="154"/>
        <v>0</v>
      </c>
      <c r="N499" s="7">
        <f t="shared" si="155"/>
        <v>0</v>
      </c>
      <c r="O499" s="7">
        <f t="shared" si="156"/>
        <v>3.4676344383873898</v>
      </c>
      <c r="P499" s="49">
        <f t="shared" si="157"/>
        <v>31.401015572966902</v>
      </c>
      <c r="Q499" s="54">
        <f t="shared" si="159"/>
        <v>3048.4221323345</v>
      </c>
      <c r="R499" s="55">
        <f t="shared" si="158"/>
        <v>69.646485519679402</v>
      </c>
    </row>
    <row r="500" ht="12.800000000000001">
      <c r="A500" s="1">
        <v>496</v>
      </c>
      <c r="B500" s="44">
        <v>44041</v>
      </c>
      <c r="C500" s="45">
        <f t="shared" si="144"/>
        <v>3.64179763476672</v>
      </c>
      <c r="D500" s="3">
        <f t="shared" si="145"/>
        <v>3.64179763476672</v>
      </c>
      <c r="E500" s="46">
        <f t="shared" si="146"/>
        <v>0</v>
      </c>
      <c r="F500" s="46">
        <f t="shared" si="147"/>
        <v>31.867446533021901</v>
      </c>
      <c r="G500" s="46">
        <f t="shared" si="148"/>
        <v>100</v>
      </c>
      <c r="H500" s="46">
        <f t="shared" si="149"/>
        <v>11.4279555815462</v>
      </c>
      <c r="I500" s="47">
        <f t="shared" si="150"/>
        <v>0</v>
      </c>
      <c r="J500" s="47">
        <f t="shared" si="151"/>
        <v>35.019172014309802</v>
      </c>
      <c r="K500" s="48">
        <f t="shared" si="152"/>
        <v>0</v>
      </c>
      <c r="L500" s="7">
        <f t="shared" si="153"/>
        <v>3.64179763476672</v>
      </c>
      <c r="M500" s="7">
        <f t="shared" si="154"/>
        <v>0</v>
      </c>
      <c r="N500" s="7">
        <f t="shared" si="155"/>
        <v>0</v>
      </c>
      <c r="O500" s="7">
        <f t="shared" si="156"/>
        <v>3.64179763476672</v>
      </c>
      <c r="P500" s="49">
        <f t="shared" si="157"/>
        <v>31.017196591489199</v>
      </c>
      <c r="Q500" s="54">
        <f t="shared" si="159"/>
        <v>3072.6009143256902</v>
      </c>
      <c r="R500" s="55">
        <f t="shared" si="158"/>
        <v>69.8816287770983</v>
      </c>
    </row>
    <row r="501" ht="12.800000000000001">
      <c r="A501" s="1">
        <v>497</v>
      </c>
      <c r="B501" s="44">
        <v>44042</v>
      </c>
      <c r="C501" s="45">
        <f t="shared" si="144"/>
        <v>3.8196754095202299</v>
      </c>
      <c r="D501" s="3">
        <f t="shared" si="145"/>
        <v>3.8196754095202299</v>
      </c>
      <c r="E501" s="46">
        <f t="shared" si="146"/>
        <v>0</v>
      </c>
      <c r="F501" s="46">
        <f t="shared" si="147"/>
        <v>31.688599640021302</v>
      </c>
      <c r="G501" s="46">
        <f t="shared" si="148"/>
        <v>100</v>
      </c>
      <c r="H501" s="46">
        <f t="shared" si="149"/>
        <v>12.0537841776263</v>
      </c>
      <c r="I501" s="47">
        <f t="shared" si="150"/>
        <v>0</v>
      </c>
      <c r="J501" s="47">
        <f t="shared" si="151"/>
        <v>34.822636967056397</v>
      </c>
      <c r="K501" s="48">
        <f t="shared" si="152"/>
        <v>0</v>
      </c>
      <c r="L501" s="7">
        <f t="shared" si="153"/>
        <v>3.8196754095202299</v>
      </c>
      <c r="M501" s="7">
        <f t="shared" si="154"/>
        <v>0</v>
      </c>
      <c r="N501" s="7">
        <f t="shared" si="155"/>
        <v>0</v>
      </c>
      <c r="O501" s="7">
        <f t="shared" si="156"/>
        <v>3.8196754095202299</v>
      </c>
      <c r="P501" s="49">
        <f t="shared" si="157"/>
        <v>30.625191462089099</v>
      </c>
      <c r="Q501" s="54">
        <f t="shared" si="159"/>
        <v>3096.48415570113</v>
      </c>
      <c r="R501" s="55">
        <f t="shared" si="158"/>
        <v>70.113897845771504</v>
      </c>
    </row>
    <row r="502" ht="12.800000000000001">
      <c r="A502" s="1">
        <v>498</v>
      </c>
      <c r="B502" s="44">
        <v>44043</v>
      </c>
      <c r="C502" s="45">
        <f t="shared" si="144"/>
        <v>4.0012150536243896</v>
      </c>
      <c r="D502" s="3">
        <f t="shared" si="145"/>
        <v>4.0012150536243896</v>
      </c>
      <c r="E502" s="46">
        <f t="shared" si="146"/>
        <v>0</v>
      </c>
      <c r="F502" s="46">
        <f t="shared" si="147"/>
        <v>31.506070926979699</v>
      </c>
      <c r="G502" s="46">
        <f t="shared" si="148"/>
        <v>100</v>
      </c>
      <c r="H502" s="46">
        <f t="shared" si="149"/>
        <v>12.6998224021581</v>
      </c>
      <c r="I502" s="47">
        <f t="shared" si="150"/>
        <v>0</v>
      </c>
      <c r="J502" s="47">
        <f t="shared" si="151"/>
        <v>34.622055963713997</v>
      </c>
      <c r="K502" s="48">
        <f t="shared" si="152"/>
        <v>0</v>
      </c>
      <c r="L502" s="7">
        <f t="shared" si="153"/>
        <v>4.0012150536243896</v>
      </c>
      <c r="M502" s="7">
        <f t="shared" si="154"/>
        <v>0</v>
      </c>
      <c r="N502" s="7">
        <f t="shared" si="155"/>
        <v>0</v>
      </c>
      <c r="O502" s="7">
        <f t="shared" si="156"/>
        <v>4.0012150536243896</v>
      </c>
      <c r="P502" s="49">
        <f t="shared" si="157"/>
        <v>30.2251163443465</v>
      </c>
      <c r="Q502" s="54">
        <f t="shared" si="159"/>
        <v>3120.0655531269399</v>
      </c>
      <c r="R502" s="55">
        <f t="shared" si="158"/>
        <v>70.343231424576999</v>
      </c>
    </row>
    <row r="503" ht="12.800000000000001">
      <c r="A503" s="1">
        <v>499</v>
      </c>
      <c r="B503" s="44">
        <v>44044</v>
      </c>
      <c r="C503" s="45">
        <f t="shared" si="144"/>
        <v>4.1863627729646504</v>
      </c>
      <c r="D503" s="3">
        <f t="shared" si="145"/>
        <v>4.1863627729646504</v>
      </c>
      <c r="E503" s="46">
        <f t="shared" si="146"/>
        <v>0</v>
      </c>
      <c r="F503" s="46">
        <f t="shared" si="147"/>
        <v>31.319914481094099</v>
      </c>
      <c r="G503" s="46">
        <f t="shared" si="148"/>
        <v>100</v>
      </c>
      <c r="H503" s="46">
        <f t="shared" si="149"/>
        <v>13.3664565894383</v>
      </c>
      <c r="I503" s="47">
        <f t="shared" si="150"/>
        <v>0</v>
      </c>
      <c r="J503" s="47">
        <f t="shared" si="151"/>
        <v>34.417488440762803</v>
      </c>
      <c r="K503" s="48">
        <f t="shared" si="152"/>
        <v>0</v>
      </c>
      <c r="L503" s="7">
        <f t="shared" si="153"/>
        <v>4.1863627729646504</v>
      </c>
      <c r="M503" s="7">
        <f t="shared" si="154"/>
        <v>0</v>
      </c>
      <c r="N503" s="7">
        <f t="shared" si="155"/>
        <v>0</v>
      </c>
      <c r="O503" s="7">
        <f t="shared" si="156"/>
        <v>4.1863627729646504</v>
      </c>
      <c r="P503" s="49">
        <f t="shared" si="157"/>
        <v>29.8170897891533</v>
      </c>
      <c r="Q503" s="54">
        <f t="shared" si="159"/>
        <v>3143.33889271209</v>
      </c>
      <c r="R503" s="55">
        <f t="shared" si="158"/>
        <v>70.5695690822416</v>
      </c>
    </row>
    <row r="504" ht="12.800000000000001">
      <c r="A504" s="1">
        <v>500</v>
      </c>
      <c r="B504" s="44">
        <v>44045</v>
      </c>
      <c r="C504" s="45">
        <f t="shared" si="144"/>
        <v>4.3750637042759797</v>
      </c>
      <c r="D504" s="3">
        <f t="shared" si="145"/>
        <v>4.3750637042759797</v>
      </c>
      <c r="E504" s="46">
        <f t="shared" si="146"/>
        <v>0</v>
      </c>
      <c r="F504" s="46">
        <f t="shared" si="147"/>
        <v>31.130185464537</v>
      </c>
      <c r="G504" s="46">
        <f t="shared" si="148"/>
        <v>100</v>
      </c>
      <c r="H504" s="46">
        <f t="shared" si="149"/>
        <v>14.054088143034001</v>
      </c>
      <c r="I504" s="47">
        <f t="shared" si="150"/>
        <v>0</v>
      </c>
      <c r="J504" s="47">
        <f t="shared" si="151"/>
        <v>34.2089950159747</v>
      </c>
      <c r="K504" s="48">
        <f t="shared" si="152"/>
        <v>0</v>
      </c>
      <c r="L504" s="7">
        <f t="shared" si="153"/>
        <v>4.3750637042759797</v>
      </c>
      <c r="M504" s="7">
        <f t="shared" si="154"/>
        <v>0</v>
      </c>
      <c r="N504" s="7">
        <f t="shared" si="155"/>
        <v>0</v>
      </c>
      <c r="O504" s="7">
        <f t="shared" si="156"/>
        <v>4.3750637042759797</v>
      </c>
      <c r="P504" s="49">
        <f t="shared" si="157"/>
        <v>29.401232703583499</v>
      </c>
      <c r="Q504" s="54">
        <f t="shared" si="159"/>
        <v>3166.2980518497402</v>
      </c>
      <c r="R504" s="55">
        <f t="shared" si="158"/>
        <v>70.792851275248495</v>
      </c>
    </row>
    <row r="505" ht="12.800000000000001">
      <c r="A505" s="1">
        <v>501</v>
      </c>
      <c r="B505" s="44">
        <v>44046</v>
      </c>
      <c r="C505" s="45">
        <f t="shared" si="144"/>
        <v>4.5672619313999601</v>
      </c>
      <c r="D505" s="3">
        <f t="shared" si="145"/>
        <v>4.5672619313999601</v>
      </c>
      <c r="E505" s="46">
        <f t="shared" si="146"/>
        <v>0</v>
      </c>
      <c r="F505" s="46">
        <f t="shared" si="147"/>
        <v>30.9369400981107</v>
      </c>
      <c r="G505" s="46">
        <f t="shared" si="148"/>
        <v>100</v>
      </c>
      <c r="H505" s="46">
        <f t="shared" si="149"/>
        <v>14.7631340297901</v>
      </c>
      <c r="I505" s="47">
        <f t="shared" si="150"/>
        <v>0</v>
      </c>
      <c r="J505" s="47">
        <f t="shared" si="151"/>
        <v>33.996637470451297</v>
      </c>
      <c r="K505" s="48">
        <f t="shared" si="152"/>
        <v>0</v>
      </c>
      <c r="L505" s="7">
        <f t="shared" si="153"/>
        <v>4.5672619313999601</v>
      </c>
      <c r="M505" s="7">
        <f t="shared" si="154"/>
        <v>0</v>
      </c>
      <c r="N505" s="7">
        <f t="shared" si="155"/>
        <v>0</v>
      </c>
      <c r="O505" s="7">
        <f t="shared" si="156"/>
        <v>4.5672619313999601</v>
      </c>
      <c r="P505" s="49">
        <f t="shared" si="157"/>
        <v>28.977668315066701</v>
      </c>
      <c r="Q505" s="54">
        <f t="shared" si="159"/>
        <v>3188.9370010315001</v>
      </c>
      <c r="R505" s="55">
        <f t="shared" si="158"/>
        <v>71.013019365480702</v>
      </c>
    </row>
    <row r="506" ht="12.800000000000001">
      <c r="A506" s="1">
        <v>502</v>
      </c>
      <c r="B506" s="44">
        <v>44047</v>
      </c>
      <c r="C506" s="45">
        <f t="shared" si="144"/>
        <v>4.7629005018538697</v>
      </c>
      <c r="D506" s="3">
        <f t="shared" si="145"/>
        <v>4.7629005018538697</v>
      </c>
      <c r="E506" s="46">
        <f t="shared" si="146"/>
        <v>0</v>
      </c>
      <c r="F506" s="46">
        <f t="shared" si="147"/>
        <v>30.740235644587798</v>
      </c>
      <c r="G506" s="46">
        <f t="shared" si="148"/>
        <v>100</v>
      </c>
      <c r="H506" s="46">
        <f t="shared" si="149"/>
        <v>15.494027296737499</v>
      </c>
      <c r="I506" s="47">
        <f t="shared" si="150"/>
        <v>0</v>
      </c>
      <c r="J506" s="47">
        <f t="shared" si="151"/>
        <v>33.780478730316197</v>
      </c>
      <c r="K506" s="48">
        <f t="shared" si="152"/>
        <v>0</v>
      </c>
      <c r="L506" s="7">
        <f t="shared" si="153"/>
        <v>4.7629005018538697</v>
      </c>
      <c r="M506" s="7">
        <f t="shared" si="154"/>
        <v>0</v>
      </c>
      <c r="N506" s="7">
        <f t="shared" si="155"/>
        <v>0</v>
      </c>
      <c r="O506" s="7">
        <f t="shared" si="156"/>
        <v>4.7629005018538697</v>
      </c>
      <c r="P506" s="49">
        <f t="shared" si="157"/>
        <v>28.546522134872401</v>
      </c>
      <c r="Q506" s="54">
        <f t="shared" si="159"/>
        <v>3211.2498056341001</v>
      </c>
      <c r="R506" s="55">
        <f t="shared" si="158"/>
        <v>71.230015637597305</v>
      </c>
    </row>
    <row r="507" ht="12.800000000000001">
      <c r="A507" s="1">
        <v>503</v>
      </c>
      <c r="B507" s="44">
        <v>44048</v>
      </c>
      <c r="C507" s="45">
        <f t="shared" si="144"/>
        <v>4.9619214437070696</v>
      </c>
      <c r="D507" s="3">
        <f t="shared" si="145"/>
        <v>4.9619214437070696</v>
      </c>
      <c r="E507" s="46">
        <f t="shared" si="146"/>
        <v>0</v>
      </c>
      <c r="F507" s="46">
        <f t="shared" si="147"/>
        <v>30.540130391743102</v>
      </c>
      <c r="G507" s="46">
        <f t="shared" si="148"/>
        <v>100</v>
      </c>
      <c r="H507" s="46">
        <f t="shared" si="149"/>
        <v>16.2472176119084</v>
      </c>
      <c r="I507" s="47">
        <f t="shared" si="150"/>
        <v>0</v>
      </c>
      <c r="J507" s="47">
        <f t="shared" si="151"/>
        <v>33.560582848069402</v>
      </c>
      <c r="K507" s="48">
        <f t="shared" si="152"/>
        <v>0</v>
      </c>
      <c r="L507" s="7">
        <f t="shared" si="153"/>
        <v>4.9619214437070696</v>
      </c>
      <c r="M507" s="7">
        <f t="shared" si="154"/>
        <v>0</v>
      </c>
      <c r="N507" s="7">
        <f t="shared" si="155"/>
        <v>0</v>
      </c>
      <c r="O507" s="7">
        <f t="shared" si="156"/>
        <v>4.9619214437070696</v>
      </c>
      <c r="P507" s="49">
        <f t="shared" si="157"/>
        <v>28.107921920918699</v>
      </c>
      <c r="Q507" s="54">
        <f t="shared" si="159"/>
        <v>3233.23062767795</v>
      </c>
      <c r="R507" s="55">
        <f t="shared" si="158"/>
        <v>71.443783316135594</v>
      </c>
    </row>
    <row r="508" ht="12.800000000000001">
      <c r="A508" s="1">
        <v>504</v>
      </c>
      <c r="B508" s="44">
        <v>44049</v>
      </c>
      <c r="C508" s="45">
        <f t="shared" si="144"/>
        <v>5.1642657827592897</v>
      </c>
      <c r="D508" s="3">
        <f t="shared" si="145"/>
        <v>5.1642657827592897</v>
      </c>
      <c r="E508" s="46">
        <f t="shared" si="146"/>
        <v>0</v>
      </c>
      <c r="F508" s="46">
        <f t="shared" si="147"/>
        <v>30.336683635081702</v>
      </c>
      <c r="G508" s="46">
        <f t="shared" si="148"/>
        <v>100</v>
      </c>
      <c r="H508" s="46">
        <f t="shared" si="149"/>
        <v>17.023171830118098</v>
      </c>
      <c r="I508" s="47">
        <f t="shared" si="150"/>
        <v>0</v>
      </c>
      <c r="J508" s="47">
        <f t="shared" si="151"/>
        <v>33.337014983606302</v>
      </c>
      <c r="K508" s="48">
        <f t="shared" si="152"/>
        <v>0</v>
      </c>
      <c r="L508" s="7">
        <f t="shared" si="153"/>
        <v>5.1642657827592897</v>
      </c>
      <c r="M508" s="7">
        <f t="shared" si="154"/>
        <v>0</v>
      </c>
      <c r="N508" s="7">
        <f t="shared" si="155"/>
        <v>0</v>
      </c>
      <c r="O508" s="7">
        <f t="shared" si="156"/>
        <v>5.1642657827592897</v>
      </c>
      <c r="P508" s="49">
        <f t="shared" si="157"/>
        <v>27.661997639914802</v>
      </c>
      <c r="Q508" s="54">
        <f t="shared" si="159"/>
        <v>3254.8737275570602</v>
      </c>
      <c r="R508" s="55">
        <f t="shared" si="158"/>
        <v>71.6542665823345</v>
      </c>
    </row>
    <row r="509" ht="12.800000000000001">
      <c r="A509" s="1">
        <v>505</v>
      </c>
      <c r="B509" s="44">
        <v>44050</v>
      </c>
      <c r="C509" s="45">
        <f t="shared" si="144"/>
        <v>5.3698735600158898</v>
      </c>
      <c r="D509" s="3">
        <f t="shared" si="145"/>
        <v>5.3698735600158898</v>
      </c>
      <c r="E509" s="46">
        <f t="shared" si="146"/>
        <v>0</v>
      </c>
      <c r="F509" s="46">
        <f t="shared" si="147"/>
        <v>30.129955660268401</v>
      </c>
      <c r="G509" s="46">
        <f t="shared" si="148"/>
        <v>100</v>
      </c>
      <c r="H509" s="46">
        <f t="shared" si="149"/>
        <v>17.8223745848289</v>
      </c>
      <c r="I509" s="47">
        <f t="shared" si="150"/>
        <v>0</v>
      </c>
      <c r="J509" s="47">
        <f t="shared" si="151"/>
        <v>33.109841384910297</v>
      </c>
      <c r="K509" s="48">
        <f t="shared" si="152"/>
        <v>0</v>
      </c>
      <c r="L509" s="7">
        <f t="shared" si="153"/>
        <v>5.3698735600158898</v>
      </c>
      <c r="M509" s="7">
        <f t="shared" si="154"/>
        <v>0</v>
      </c>
      <c r="N509" s="7">
        <f t="shared" si="155"/>
        <v>0</v>
      </c>
      <c r="O509" s="7">
        <f t="shared" si="156"/>
        <v>5.3698735600158898</v>
      </c>
      <c r="P509" s="49">
        <f t="shared" si="157"/>
        <v>27.208881428848901</v>
      </c>
      <c r="Q509" s="54">
        <f t="shared" si="159"/>
        <v>3276.1734657397901</v>
      </c>
      <c r="R509" s="55">
        <f t="shared" si="158"/>
        <v>71.861410590675604</v>
      </c>
    </row>
    <row r="510" ht="12.800000000000001">
      <c r="A510" s="1">
        <v>506</v>
      </c>
      <c r="B510" s="44">
        <v>44051</v>
      </c>
      <c r="C510" s="45">
        <f t="shared" si="144"/>
        <v>5.5786838494550999</v>
      </c>
      <c r="D510" s="3">
        <f t="shared" si="145"/>
        <v>5.5786838494550999</v>
      </c>
      <c r="E510" s="46">
        <f t="shared" si="146"/>
        <v>0</v>
      </c>
      <c r="F510" s="46">
        <f t="shared" si="147"/>
        <v>29.920007725263499</v>
      </c>
      <c r="G510" s="46">
        <f t="shared" si="148"/>
        <v>100</v>
      </c>
      <c r="H510" s="46">
        <f t="shared" si="149"/>
        <v>18.645328907267</v>
      </c>
      <c r="I510" s="47">
        <f t="shared" si="150"/>
        <v>0</v>
      </c>
      <c r="J510" s="47">
        <f t="shared" si="151"/>
        <v>32.879129368421502</v>
      </c>
      <c r="K510" s="48">
        <f t="shared" si="152"/>
        <v>0</v>
      </c>
      <c r="L510" s="7">
        <f t="shared" si="153"/>
        <v>5.5786838494550999</v>
      </c>
      <c r="M510" s="7">
        <f t="shared" si="154"/>
        <v>0</v>
      </c>
      <c r="N510" s="7">
        <f t="shared" si="155"/>
        <v>0</v>
      </c>
      <c r="O510" s="7">
        <f t="shared" si="156"/>
        <v>5.5786838494550999</v>
      </c>
      <c r="P510" s="49">
        <f t="shared" si="157"/>
        <v>26.748707555833501</v>
      </c>
      <c r="Q510" s="54">
        <f t="shared" si="159"/>
        <v>3297.1243044399998</v>
      </c>
      <c r="R510" s="55">
        <f t="shared" si="158"/>
        <v>72.065161485134396</v>
      </c>
    </row>
    <row r="511" ht="12.800000000000001">
      <c r="A511" s="1">
        <v>507</v>
      </c>
      <c r="B511" s="44">
        <v>44052</v>
      </c>
      <c r="C511" s="45">
        <f t="shared" si="144"/>
        <v>5.7906347760816601</v>
      </c>
      <c r="D511" s="3">
        <f t="shared" si="145"/>
        <v>5.7906347760816601</v>
      </c>
      <c r="E511" s="46">
        <f t="shared" si="146"/>
        <v>0</v>
      </c>
      <c r="F511" s="46">
        <f t="shared" si="147"/>
        <v>29.7069020421714</v>
      </c>
      <c r="G511" s="46">
        <f t="shared" si="148"/>
        <v>100</v>
      </c>
      <c r="H511" s="46">
        <f t="shared" si="149"/>
        <v>19.4925568740267</v>
      </c>
      <c r="I511" s="47">
        <f t="shared" si="150"/>
        <v>0</v>
      </c>
      <c r="J511" s="47">
        <f t="shared" si="151"/>
        <v>32.644947299089502</v>
      </c>
      <c r="K511" s="48">
        <f t="shared" si="152"/>
        <v>0</v>
      </c>
      <c r="L511" s="7">
        <f t="shared" si="153"/>
        <v>5.7906347760816601</v>
      </c>
      <c r="M511" s="7">
        <f t="shared" si="154"/>
        <v>0</v>
      </c>
      <c r="N511" s="7">
        <f t="shared" si="155"/>
        <v>0</v>
      </c>
      <c r="O511" s="7">
        <f t="shared" si="156"/>
        <v>5.7906347760816601</v>
      </c>
      <c r="P511" s="49">
        <f t="shared" si="157"/>
        <v>26.2816123803184</v>
      </c>
      <c r="Q511" s="54">
        <f t="shared" si="159"/>
        <v>3317.7208092579999</v>
      </c>
      <c r="R511" s="55">
        <f t="shared" si="158"/>
        <v>72.265466415139201</v>
      </c>
    </row>
    <row r="512" ht="12.800000000000001">
      <c r="A512" s="1">
        <v>508</v>
      </c>
      <c r="B512" s="44">
        <v>44053</v>
      </c>
      <c r="C512" s="45">
        <f t="shared" si="144"/>
        <v>6.0056635342617701</v>
      </c>
      <c r="D512" s="3">
        <f t="shared" si="145"/>
        <v>6.0056635342617701</v>
      </c>
      <c r="E512" s="46">
        <f t="shared" si="146"/>
        <v>0</v>
      </c>
      <c r="F512" s="46">
        <f t="shared" si="147"/>
        <v>29.490701758805098</v>
      </c>
      <c r="G512" s="46">
        <f t="shared" si="148"/>
        <v>100</v>
      </c>
      <c r="H512" s="46">
        <f t="shared" si="149"/>
        <v>20.364600284456301</v>
      </c>
      <c r="I512" s="47">
        <f t="shared" si="150"/>
        <v>0</v>
      </c>
      <c r="J512" s="47">
        <f t="shared" si="151"/>
        <v>32.407364570115398</v>
      </c>
      <c r="K512" s="48">
        <f t="shared" si="152"/>
        <v>0</v>
      </c>
      <c r="L512" s="7">
        <f t="shared" si="153"/>
        <v>6.0056635342617701</v>
      </c>
      <c r="M512" s="7">
        <f t="shared" si="154"/>
        <v>0</v>
      </c>
      <c r="N512" s="7">
        <f t="shared" si="155"/>
        <v>0</v>
      </c>
      <c r="O512" s="7">
        <f t="shared" si="156"/>
        <v>6.0056635342617701</v>
      </c>
      <c r="P512" s="49">
        <f t="shared" si="157"/>
        <v>25.8077343126849</v>
      </c>
      <c r="Q512" s="54">
        <f t="shared" si="159"/>
        <v>3337.95765079084</v>
      </c>
      <c r="R512" s="55">
        <f t="shared" si="158"/>
        <v>72.4622735512323</v>
      </c>
    </row>
    <row r="513" ht="12.800000000000001">
      <c r="A513" s="1">
        <v>509</v>
      </c>
      <c r="B513" s="44">
        <v>44054</v>
      </c>
      <c r="C513" s="45">
        <f t="shared" si="144"/>
        <v>6.2237064063336298</v>
      </c>
      <c r="D513" s="3">
        <f t="shared" si="145"/>
        <v>6.2237064063336298</v>
      </c>
      <c r="E513" s="46">
        <f t="shared" si="146"/>
        <v>0</v>
      </c>
      <c r="F513" s="46">
        <f t="shared" si="147"/>
        <v>29.271470939974499</v>
      </c>
      <c r="G513" s="46">
        <f t="shared" si="148"/>
        <v>100</v>
      </c>
      <c r="H513" s="46">
        <f t="shared" si="149"/>
        <v>21.262021369190101</v>
      </c>
      <c r="I513" s="47">
        <f t="shared" si="150"/>
        <v>0</v>
      </c>
      <c r="J513" s="47">
        <f t="shared" si="151"/>
        <v>32.166451582389499</v>
      </c>
      <c r="K513" s="48">
        <f t="shared" si="152"/>
        <v>0</v>
      </c>
      <c r="L513" s="7">
        <f t="shared" si="153"/>
        <v>6.2237064063336298</v>
      </c>
      <c r="M513" s="7">
        <f t="shared" si="154"/>
        <v>0</v>
      </c>
      <c r="N513" s="7">
        <f t="shared" si="155"/>
        <v>0</v>
      </c>
      <c r="O513" s="7">
        <f t="shared" si="156"/>
        <v>6.2237064063336298</v>
      </c>
      <c r="P513" s="49">
        <f t="shared" si="157"/>
        <v>25.327213773231701</v>
      </c>
      <c r="Q513" s="54">
        <f t="shared" si="159"/>
        <v>3357.8296062116101</v>
      </c>
      <c r="R513" s="55">
        <f t="shared" si="158"/>
        <v>72.655532100427493</v>
      </c>
    </row>
    <row r="514" ht="12.800000000000001">
      <c r="A514" s="1">
        <v>510</v>
      </c>
      <c r="B514" s="44">
        <v>44055</v>
      </c>
      <c r="C514" s="45">
        <f t="shared" si="144"/>
        <v>6.4446987814885102</v>
      </c>
      <c r="D514" s="3">
        <f t="shared" si="145"/>
        <v>6.4446987814885102</v>
      </c>
      <c r="E514" s="46">
        <f t="shared" si="146"/>
        <v>0</v>
      </c>
      <c r="F514" s="46">
        <f t="shared" si="147"/>
        <v>29.049274548502598</v>
      </c>
      <c r="G514" s="46">
        <f t="shared" si="148"/>
        <v>100</v>
      </c>
      <c r="H514" s="46">
        <f t="shared" si="149"/>
        <v>22.185403531258601</v>
      </c>
      <c r="I514" s="47">
        <f t="shared" si="150"/>
        <v>0</v>
      </c>
      <c r="J514" s="47">
        <f t="shared" si="151"/>
        <v>31.922279723629199</v>
      </c>
      <c r="K514" s="48">
        <f t="shared" si="152"/>
        <v>0</v>
      </c>
      <c r="L514" s="7">
        <f t="shared" si="153"/>
        <v>6.4446987814885102</v>
      </c>
      <c r="M514" s="7">
        <f t="shared" si="154"/>
        <v>0</v>
      </c>
      <c r="N514" s="7">
        <f t="shared" si="155"/>
        <v>0</v>
      </c>
      <c r="O514" s="7">
        <f t="shared" si="156"/>
        <v>6.4446987814885102</v>
      </c>
      <c r="P514" s="49">
        <f t="shared" si="157"/>
        <v>24.8401931505649</v>
      </c>
      <c r="Q514" s="54">
        <f t="shared" si="159"/>
        <v>3377.3315608170001</v>
      </c>
      <c r="R514" s="55">
        <f t="shared" si="158"/>
        <v>72.845192321261607</v>
      </c>
    </row>
    <row r="515" ht="12.800000000000001">
      <c r="A515" s="1">
        <v>511</v>
      </c>
      <c r="B515" s="44">
        <v>44056</v>
      </c>
      <c r="C515" s="45">
        <f t="shared" si="144"/>
        <v>6.6685751749162803</v>
      </c>
      <c r="D515" s="3">
        <f t="shared" si="145"/>
        <v>6.6685751749162803</v>
      </c>
      <c r="E515" s="46">
        <f t="shared" si="146"/>
        <v>0</v>
      </c>
      <c r="F515" s="46">
        <f t="shared" si="147"/>
        <v>28.824178425975699</v>
      </c>
      <c r="G515" s="46">
        <f t="shared" si="148"/>
        <v>100</v>
      </c>
      <c r="H515" s="46">
        <f t="shared" si="149"/>
        <v>23.1353521212827</v>
      </c>
      <c r="I515" s="47">
        <f t="shared" si="150"/>
        <v>0</v>
      </c>
      <c r="J515" s="47">
        <f t="shared" si="151"/>
        <v>31.674921347226</v>
      </c>
      <c r="K515" s="48">
        <f t="shared" si="152"/>
        <v>0</v>
      </c>
      <c r="L515" s="7">
        <f t="shared" si="153"/>
        <v>6.6685751749162803</v>
      </c>
      <c r="M515" s="7">
        <f t="shared" si="154"/>
        <v>0</v>
      </c>
      <c r="N515" s="7">
        <f t="shared" si="155"/>
        <v>0</v>
      </c>
      <c r="O515" s="7">
        <f t="shared" si="156"/>
        <v>6.6685751749162803</v>
      </c>
      <c r="P515" s="49">
        <f t="shared" si="157"/>
        <v>24.3468167594059</v>
      </c>
      <c r="Q515" s="54">
        <f t="shared" si="159"/>
        <v>3396.4585095429302</v>
      </c>
      <c r="R515" s="55">
        <f t="shared" si="158"/>
        <v>73.031205538533698</v>
      </c>
    </row>
    <row r="516" ht="12.800000000000001">
      <c r="A516" s="1">
        <v>512</v>
      </c>
      <c r="B516" s="44">
        <v>44057</v>
      </c>
      <c r="C516" s="45">
        <f t="shared" si="144"/>
        <v>6.8952692472098702</v>
      </c>
      <c r="D516" s="3">
        <f t="shared" si="145"/>
        <v>6.8952692472098702</v>
      </c>
      <c r="E516" s="46">
        <f t="shared" si="146"/>
        <v>0</v>
      </c>
      <c r="F516" s="46">
        <f t="shared" si="147"/>
        <v>28.5962492732328</v>
      </c>
      <c r="G516" s="46">
        <f t="shared" si="148"/>
        <v>100</v>
      </c>
      <c r="H516" s="46">
        <f t="shared" si="149"/>
        <v>24.112495248333499</v>
      </c>
      <c r="I516" s="47">
        <f t="shared" si="150"/>
        <v>0</v>
      </c>
      <c r="J516" s="47">
        <f t="shared" si="151"/>
        <v>31.424449750805302</v>
      </c>
      <c r="K516" s="48">
        <f t="shared" si="152"/>
        <v>0</v>
      </c>
      <c r="L516" s="7">
        <f t="shared" si="153"/>
        <v>6.8952692472098702</v>
      </c>
      <c r="M516" s="7">
        <f t="shared" si="154"/>
        <v>0</v>
      </c>
      <c r="N516" s="7">
        <f t="shared" si="155"/>
        <v>0</v>
      </c>
      <c r="O516" s="7">
        <f t="shared" si="156"/>
        <v>6.8952692472098702</v>
      </c>
      <c r="P516" s="49">
        <f t="shared" si="157"/>
        <v>23.8472307978274</v>
      </c>
      <c r="Q516" s="54">
        <f t="shared" si="159"/>
        <v>3415.2055584476798</v>
      </c>
      <c r="R516" s="55">
        <f t="shared" si="158"/>
        <v>73.213524157728898</v>
      </c>
    </row>
    <row r="517" ht="12.800000000000001">
      <c r="A517" s="1">
        <v>513</v>
      </c>
      <c r="B517" s="44">
        <v>44058</v>
      </c>
      <c r="C517" s="45">
        <f t="shared" si="144"/>
        <v>7.1247138240232202</v>
      </c>
      <c r="D517" s="3">
        <f t="shared" si="145"/>
        <v>7.1247138240232202</v>
      </c>
      <c r="E517" s="46">
        <f t="shared" si="146"/>
        <v>0</v>
      </c>
      <c r="F517" s="46">
        <f t="shared" si="147"/>
        <v>28.365554630601</v>
      </c>
      <c r="G517" s="46">
        <f t="shared" si="148"/>
        <v>100</v>
      </c>
      <c r="H517" s="46">
        <f t="shared" si="149"/>
        <v>25.117484628123599</v>
      </c>
      <c r="I517" s="47">
        <f t="shared" si="150"/>
        <v>0</v>
      </c>
      <c r="J517" s="47">
        <f t="shared" si="151"/>
        <v>31.170939154506598</v>
      </c>
      <c r="K517" s="48">
        <f t="shared" si="152"/>
        <v>0</v>
      </c>
      <c r="L517" s="7">
        <f t="shared" si="153"/>
        <v>7.1247138240232202</v>
      </c>
      <c r="M517" s="7">
        <f t="shared" si="154"/>
        <v>0</v>
      </c>
      <c r="N517" s="7">
        <f t="shared" si="155"/>
        <v>0</v>
      </c>
      <c r="O517" s="7">
        <f t="shared" si="156"/>
        <v>7.1247138240232202</v>
      </c>
      <c r="P517" s="49">
        <f t="shared" si="157"/>
        <v>23.3415833039316</v>
      </c>
      <c r="Q517" s="54">
        <f t="shared" si="159"/>
        <v>3433.5679261619998</v>
      </c>
      <c r="R517" s="55">
        <f t="shared" si="158"/>
        <v>73.392101679121197</v>
      </c>
    </row>
    <row r="518" ht="12.800000000000001">
      <c r="A518" s="1">
        <v>514</v>
      </c>
      <c r="B518" s="44">
        <v>44059</v>
      </c>
      <c r="C518" s="45">
        <f t="shared" si="144"/>
        <v>7.3568409159764201</v>
      </c>
      <c r="D518" s="3">
        <f t="shared" si="145"/>
        <v>7.3568409159764201</v>
      </c>
      <c r="E518" s="46">
        <f t="shared" si="146"/>
        <v>0</v>
      </c>
      <c r="F518" s="46">
        <f t="shared" si="147"/>
        <v>28.132162857881699</v>
      </c>
      <c r="G518" s="46">
        <f t="shared" si="148"/>
        <v>100</v>
      </c>
      <c r="H518" s="46">
        <f t="shared" si="149"/>
        <v>26.150996470274201</v>
      </c>
      <c r="I518" s="47">
        <f t="shared" si="150"/>
        <v>0</v>
      </c>
      <c r="J518" s="47">
        <f t="shared" si="151"/>
        <v>30.9144646789908</v>
      </c>
      <c r="K518" s="48">
        <f t="shared" si="152"/>
        <v>0</v>
      </c>
      <c r="L518" s="7">
        <f t="shared" si="153"/>
        <v>7.3568409159764201</v>
      </c>
      <c r="M518" s="7">
        <f t="shared" si="154"/>
        <v>0</v>
      </c>
      <c r="N518" s="7">
        <f t="shared" si="155"/>
        <v>0</v>
      </c>
      <c r="O518" s="7">
        <f t="shared" si="156"/>
        <v>7.3568409159764201</v>
      </c>
      <c r="P518" s="49">
        <f t="shared" si="157"/>
        <v>22.8300241119838</v>
      </c>
      <c r="Q518" s="54">
        <f t="shared" si="159"/>
        <v>3451.5409453060302</v>
      </c>
      <c r="R518" s="55">
        <f t="shared" si="158"/>
        <v>73.566892711552896</v>
      </c>
    </row>
    <row r="519" ht="12.800000000000001">
      <c r="A519" s="1">
        <v>515</v>
      </c>
      <c r="B519" s="44">
        <v>44060</v>
      </c>
      <c r="C519" s="45">
        <f t="shared" si="144"/>
        <v>7.5915817388023701</v>
      </c>
      <c r="D519" s="3">
        <f t="shared" si="145"/>
        <v>7.5915817388023701</v>
      </c>
      <c r="E519" s="46">
        <f t="shared" si="146"/>
        <v>0</v>
      </c>
      <c r="F519" s="46">
        <f t="shared" si="147"/>
        <v>27.896143114094102</v>
      </c>
      <c r="G519" s="46">
        <f t="shared" si="148"/>
        <v>100</v>
      </c>
      <c r="H519" s="46">
        <f t="shared" si="149"/>
        <v>27.213732406494699</v>
      </c>
      <c r="I519" s="47">
        <f t="shared" si="150"/>
        <v>0</v>
      </c>
      <c r="J519" s="47">
        <f t="shared" si="151"/>
        <v>30.655102323180401</v>
      </c>
      <c r="K519" s="48">
        <f t="shared" si="152"/>
        <v>0</v>
      </c>
      <c r="L519" s="7">
        <f t="shared" si="153"/>
        <v>7.5915817388023701</v>
      </c>
      <c r="M519" s="7">
        <f t="shared" si="154"/>
        <v>0</v>
      </c>
      <c r="N519" s="7">
        <f t="shared" si="155"/>
        <v>0</v>
      </c>
      <c r="O519" s="7">
        <f t="shared" si="156"/>
        <v>7.5915817388023701</v>
      </c>
      <c r="P519" s="49">
        <f t="shared" si="157"/>
        <v>22.312704808012899</v>
      </c>
      <c r="Q519" s="54">
        <f t="shared" si="159"/>
        <v>3469.1200638722598</v>
      </c>
      <c r="R519" s="55">
        <f t="shared" si="158"/>
        <v>73.737852985884501</v>
      </c>
    </row>
    <row r="520" ht="12.800000000000001">
      <c r="A520" s="1">
        <v>516</v>
      </c>
      <c r="B520" s="44">
        <v>44061</v>
      </c>
      <c r="C520" s="45">
        <f t="shared" si="144"/>
        <v>7.8288667337291802</v>
      </c>
      <c r="D520" s="3">
        <f t="shared" si="145"/>
        <v>7.8288667337291802</v>
      </c>
      <c r="E520" s="46">
        <f t="shared" si="146"/>
        <v>0</v>
      </c>
      <c r="F520" s="46">
        <f t="shared" si="147"/>
        <v>27.657565336982099</v>
      </c>
      <c r="G520" s="46">
        <f t="shared" si="148"/>
        <v>100</v>
      </c>
      <c r="H520" s="46">
        <f t="shared" si="149"/>
        <v>28.306420461604599</v>
      </c>
      <c r="I520" s="47">
        <f t="shared" si="150"/>
        <v>0</v>
      </c>
      <c r="J520" s="47">
        <f t="shared" si="151"/>
        <v>30.392928941738599</v>
      </c>
      <c r="K520" s="48">
        <f t="shared" si="152"/>
        <v>0</v>
      </c>
      <c r="L520" s="7">
        <f t="shared" si="153"/>
        <v>7.8288667337291802</v>
      </c>
      <c r="M520" s="7">
        <f t="shared" si="154"/>
        <v>0</v>
      </c>
      <c r="N520" s="7">
        <f t="shared" si="155"/>
        <v>0</v>
      </c>
      <c r="O520" s="7">
        <f t="shared" si="156"/>
        <v>7.8288667337291802</v>
      </c>
      <c r="P520" s="49">
        <f t="shared" si="157"/>
        <v>21.789778684893399</v>
      </c>
      <c r="Q520" s="54">
        <f t="shared" si="159"/>
        <v>3486.3008465744301</v>
      </c>
      <c r="R520" s="55">
        <f t="shared" si="158"/>
        <v>73.904939368112906</v>
      </c>
    </row>
    <row r="521" ht="12.800000000000001">
      <c r="A521" s="1">
        <v>517</v>
      </c>
      <c r="B521" s="44">
        <v>44062</v>
      </c>
      <c r="C521" s="45">
        <f t="shared" si="144"/>
        <v>8.0686255880918303</v>
      </c>
      <c r="D521" s="3">
        <f t="shared" si="145"/>
        <v>8.0686255880918303</v>
      </c>
      <c r="E521" s="46">
        <f t="shared" si="146"/>
        <v>0</v>
      </c>
      <c r="F521" s="46">
        <f t="shared" si="147"/>
        <v>27.416500222290001</v>
      </c>
      <c r="G521" s="46">
        <f t="shared" si="148"/>
        <v>100</v>
      </c>
      <c r="H521" s="46">
        <f t="shared" si="149"/>
        <v>29.4298160694191</v>
      </c>
      <c r="I521" s="47">
        <f t="shared" si="150"/>
        <v>0</v>
      </c>
      <c r="J521" s="47">
        <f t="shared" si="151"/>
        <v>30.1280222222967</v>
      </c>
      <c r="K521" s="48">
        <f t="shared" si="152"/>
        <v>0</v>
      </c>
      <c r="L521" s="7">
        <f t="shared" si="153"/>
        <v>8.0686255880918303</v>
      </c>
      <c r="M521" s="7">
        <f t="shared" si="154"/>
        <v>0</v>
      </c>
      <c r="N521" s="7">
        <f t="shared" si="155"/>
        <v>0</v>
      </c>
      <c r="O521" s="7">
        <f t="shared" si="156"/>
        <v>8.0686255880918303</v>
      </c>
      <c r="P521" s="49">
        <f t="shared" si="157"/>
        <v>21.2614006969211</v>
      </c>
      <c r="Q521" s="54">
        <f t="shared" si="159"/>
        <v>3503.0789761617998</v>
      </c>
      <c r="R521" s="55">
        <f t="shared" si="158"/>
        <v>74.068109872152704</v>
      </c>
    </row>
    <row r="522" ht="12.800000000000001">
      <c r="A522" s="1">
        <v>518</v>
      </c>
      <c r="B522" s="44">
        <v>44063</v>
      </c>
      <c r="C522" s="45">
        <f t="shared" si="144"/>
        <v>8.3107872561673002</v>
      </c>
      <c r="D522" s="3">
        <f t="shared" si="145"/>
        <v>8.3107872561673002</v>
      </c>
      <c r="E522" s="46">
        <f t="shared" si="146"/>
        <v>0</v>
      </c>
      <c r="F522" s="46">
        <f t="shared" si="147"/>
        <v>27.173019202813801</v>
      </c>
      <c r="G522" s="46">
        <f t="shared" si="148"/>
        <v>100</v>
      </c>
      <c r="H522" s="46">
        <f t="shared" si="149"/>
        <v>30.584703135626199</v>
      </c>
      <c r="I522" s="47">
        <f t="shared" si="150"/>
        <v>0</v>
      </c>
      <c r="J522" s="47">
        <f t="shared" si="151"/>
        <v>29.8604606624328</v>
      </c>
      <c r="K522" s="48">
        <f t="shared" si="152"/>
        <v>0</v>
      </c>
      <c r="L522" s="7">
        <f t="shared" si="153"/>
        <v>8.3107872561673002</v>
      </c>
      <c r="M522" s="7">
        <f t="shared" si="154"/>
        <v>0</v>
      </c>
      <c r="N522" s="7">
        <f t="shared" si="155"/>
        <v>0</v>
      </c>
      <c r="O522" s="7">
        <f t="shared" si="156"/>
        <v>8.3107872561673002</v>
      </c>
      <c r="P522" s="49">
        <f t="shared" si="157"/>
        <v>20.727727413897298</v>
      </c>
      <c r="Q522" s="54">
        <f t="shared" si="159"/>
        <v>3519.4502546984199</v>
      </c>
      <c r="R522" s="55">
        <f t="shared" si="158"/>
        <v>74.227323672277905</v>
      </c>
    </row>
    <row r="523" ht="12.800000000000001">
      <c r="A523" s="1">
        <v>519</v>
      </c>
      <c r="B523" s="44">
        <v>44064</v>
      </c>
      <c r="C523" s="45">
        <f t="shared" si="144"/>
        <v>8.5552799802271107</v>
      </c>
      <c r="D523" s="3">
        <f t="shared" si="145"/>
        <v>8.5552799802271107</v>
      </c>
      <c r="E523" s="46">
        <f t="shared" si="146"/>
        <v>0</v>
      </c>
      <c r="F523" s="46">
        <f t="shared" si="147"/>
        <v>26.927194427234401</v>
      </c>
      <c r="G523" s="46">
        <f t="shared" si="148"/>
        <v>100</v>
      </c>
      <c r="H523" s="46">
        <f t="shared" si="149"/>
        <v>31.771895149886898</v>
      </c>
      <c r="I523" s="47">
        <f t="shared" si="150"/>
        <v>0</v>
      </c>
      <c r="J523" s="47">
        <f t="shared" si="151"/>
        <v>29.590323546411401</v>
      </c>
      <c r="K523" s="48">
        <f t="shared" si="152"/>
        <v>0</v>
      </c>
      <c r="L523" s="7">
        <f t="shared" si="153"/>
        <v>8.5552799802271107</v>
      </c>
      <c r="M523" s="7">
        <f t="shared" si="154"/>
        <v>0</v>
      </c>
      <c r="N523" s="7">
        <f t="shared" si="155"/>
        <v>0</v>
      </c>
      <c r="O523" s="7">
        <f t="shared" si="156"/>
        <v>8.5552799802271107</v>
      </c>
      <c r="P523" s="49">
        <f t="shared" si="157"/>
        <v>20.188916974733299</v>
      </c>
      <c r="Q523" s="54">
        <f t="shared" si="159"/>
        <v>3535.4106048071299</v>
      </c>
      <c r="R523" s="55">
        <f t="shared" si="158"/>
        <v>74.382541115219198</v>
      </c>
    </row>
    <row r="524" ht="12.800000000000001">
      <c r="A524" s="1">
        <v>520</v>
      </c>
      <c r="B524" s="44">
        <v>44065</v>
      </c>
      <c r="C524" s="45">
        <f t="shared" si="144"/>
        <v>8.8020313118005102</v>
      </c>
      <c r="D524" s="3">
        <f t="shared" si="145"/>
        <v>8.8020313118005102</v>
      </c>
      <c r="E524" s="46">
        <f t="shared" si="146"/>
        <v>0</v>
      </c>
      <c r="F524" s="46">
        <f t="shared" si="147"/>
        <v>26.679098738738102</v>
      </c>
      <c r="G524" s="46">
        <f t="shared" si="148"/>
        <v>100</v>
      </c>
      <c r="H524" s="46">
        <f t="shared" si="149"/>
        <v>32.992236349498299</v>
      </c>
      <c r="I524" s="47">
        <f t="shared" si="150"/>
        <v>0</v>
      </c>
      <c r="J524" s="47">
        <f t="shared" si="151"/>
        <v>29.3176909216902</v>
      </c>
      <c r="K524" s="48">
        <f t="shared" si="152"/>
        <v>0</v>
      </c>
      <c r="L524" s="7">
        <f t="shared" si="153"/>
        <v>8.8020313118005102</v>
      </c>
      <c r="M524" s="7">
        <f t="shared" si="154"/>
        <v>0</v>
      </c>
      <c r="N524" s="7">
        <f t="shared" si="155"/>
        <v>0</v>
      </c>
      <c r="O524" s="7">
        <f t="shared" si="156"/>
        <v>8.8020313118005102</v>
      </c>
      <c r="P524" s="49">
        <f t="shared" si="157"/>
        <v>19.645129040590799</v>
      </c>
      <c r="Q524" s="54">
        <f t="shared" si="159"/>
        <v>3550.9560708776698</v>
      </c>
      <c r="R524" s="55">
        <f t="shared" si="158"/>
        <v>74.533723731914094</v>
      </c>
    </row>
    <row r="525" ht="12.800000000000001">
      <c r="A525" s="1">
        <v>521</v>
      </c>
      <c r="B525" s="44">
        <v>44066</v>
      </c>
      <c r="C525" s="45">
        <f t="shared" si="144"/>
        <v>9.0509681331426801</v>
      </c>
      <c r="D525" s="3">
        <f t="shared" si="145"/>
        <v>9.0509681331426801</v>
      </c>
      <c r="E525" s="46">
        <f t="shared" si="146"/>
        <v>0</v>
      </c>
      <c r="F525" s="46">
        <f t="shared" si="147"/>
        <v>26.428805653431802</v>
      </c>
      <c r="G525" s="46">
        <f t="shared" si="148"/>
        <v>100</v>
      </c>
      <c r="H525" s="46">
        <f t="shared" si="149"/>
        <v>34.246602937077498</v>
      </c>
      <c r="I525" s="47">
        <f t="shared" si="150"/>
        <v>0</v>
      </c>
      <c r="J525" s="47">
        <f t="shared" si="151"/>
        <v>29.042643575199701</v>
      </c>
      <c r="K525" s="48">
        <f t="shared" si="152"/>
        <v>0</v>
      </c>
      <c r="L525" s="7">
        <f t="shared" si="153"/>
        <v>9.0509681331426801</v>
      </c>
      <c r="M525" s="7">
        <f t="shared" si="154"/>
        <v>0</v>
      </c>
      <c r="N525" s="7">
        <f t="shared" si="155"/>
        <v>0</v>
      </c>
      <c r="O525" s="7">
        <f t="shared" si="156"/>
        <v>9.0509681331426801</v>
      </c>
      <c r="P525" s="49">
        <f t="shared" si="157"/>
        <v>19.096524747570399</v>
      </c>
      <c r="Q525" s="54">
        <f t="shared" si="159"/>
        <v>3566.0828202389198</v>
      </c>
      <c r="R525" s="55">
        <f t="shared" si="158"/>
        <v>74.680834248906393</v>
      </c>
    </row>
    <row r="526" ht="12.800000000000001">
      <c r="A526" s="1">
        <v>522</v>
      </c>
      <c r="B526" s="44">
        <v>44067</v>
      </c>
      <c r="C526" s="45">
        <f t="shared" si="144"/>
        <v>9.3020166789008805</v>
      </c>
      <c r="D526" s="3">
        <f t="shared" si="145"/>
        <v>9.3020166789008805</v>
      </c>
      <c r="E526" s="46">
        <f t="shared" si="146"/>
        <v>0</v>
      </c>
      <c r="F526" s="46">
        <f t="shared" si="147"/>
        <v>26.176389338558302</v>
      </c>
      <c r="G526" s="46">
        <f t="shared" si="148"/>
        <v>100</v>
      </c>
      <c r="H526" s="46">
        <f t="shared" si="149"/>
        <v>35.535904354841001</v>
      </c>
      <c r="I526" s="47">
        <f t="shared" si="150"/>
        <v>0</v>
      </c>
      <c r="J526" s="47">
        <f t="shared" si="151"/>
        <v>28.765263009404698</v>
      </c>
      <c r="K526" s="48">
        <f t="shared" si="152"/>
        <v>0</v>
      </c>
      <c r="L526" s="7">
        <f t="shared" si="153"/>
        <v>9.3020166789008805</v>
      </c>
      <c r="M526" s="7">
        <f t="shared" si="154"/>
        <v>0</v>
      </c>
      <c r="N526" s="7">
        <f t="shared" si="155"/>
        <v>0</v>
      </c>
      <c r="O526" s="7">
        <f t="shared" si="156"/>
        <v>9.3020166789008805</v>
      </c>
      <c r="P526" s="49">
        <f t="shared" si="157"/>
        <v>18.5432666589642</v>
      </c>
      <c r="Q526" s="54">
        <f t="shared" si="159"/>
        <v>3580.7871442945502</v>
      </c>
      <c r="R526" s="55">
        <f t="shared" si="158"/>
        <v>74.823836599390603</v>
      </c>
    </row>
    <row r="527" ht="12.800000000000001">
      <c r="A527" s="1">
        <v>523</v>
      </c>
      <c r="B527" s="44">
        <v>44068</v>
      </c>
      <c r="C527" s="45">
        <f t="shared" si="144"/>
        <v>9.5551025579729707</v>
      </c>
      <c r="D527" s="3">
        <f t="shared" si="145"/>
        <v>9.5551025579729707</v>
      </c>
      <c r="E527" s="46">
        <f t="shared" si="146"/>
        <v>0</v>
      </c>
      <c r="F527" s="46">
        <f t="shared" si="147"/>
        <v>25.921924590519499</v>
      </c>
      <c r="G527" s="46">
        <f t="shared" si="148"/>
        <v>100</v>
      </c>
      <c r="H527" s="46">
        <f t="shared" si="149"/>
        <v>36.861084618183</v>
      </c>
      <c r="I527" s="47">
        <f t="shared" si="150"/>
        <v>0</v>
      </c>
      <c r="J527" s="47">
        <f t="shared" si="151"/>
        <v>28.485631418153201</v>
      </c>
      <c r="K527" s="48">
        <f t="shared" si="152"/>
        <v>0</v>
      </c>
      <c r="L527" s="7">
        <f t="shared" si="153"/>
        <v>9.5551025579729707</v>
      </c>
      <c r="M527" s="7">
        <f t="shared" si="154"/>
        <v>0</v>
      </c>
      <c r="N527" s="7">
        <f t="shared" si="155"/>
        <v>0</v>
      </c>
      <c r="O527" s="7">
        <f t="shared" si="156"/>
        <v>9.5551025579729707</v>
      </c>
      <c r="P527" s="49">
        <f t="shared" si="157"/>
        <v>17.985518717084101</v>
      </c>
      <c r="Q527" s="54">
        <f t="shared" si="159"/>
        <v>3595.0654596219601</v>
      </c>
      <c r="R527" s="55">
        <f t="shared" si="158"/>
        <v>74.962695933899795</v>
      </c>
    </row>
    <row r="528" ht="12.800000000000001">
      <c r="A528" s="1">
        <v>524</v>
      </c>
      <c r="B528" s="44">
        <v>44069</v>
      </c>
      <c r="C528" s="45">
        <f t="shared" si="144"/>
        <v>9.8101507755509605</v>
      </c>
      <c r="D528" s="3">
        <f t="shared" si="145"/>
        <v>9.8101507755509605</v>
      </c>
      <c r="E528" s="46">
        <f t="shared" si="146"/>
        <v>0</v>
      </c>
      <c r="F528" s="46">
        <f t="shared" si="147"/>
        <v>25.665486812711801</v>
      </c>
      <c r="G528" s="46">
        <f t="shared" si="148"/>
        <v>100</v>
      </c>
      <c r="H528" s="46">
        <f t="shared" si="149"/>
        <v>38.223123711380801</v>
      </c>
      <c r="I528" s="47">
        <f t="shared" si="150"/>
        <v>0</v>
      </c>
      <c r="J528" s="47">
        <f t="shared" si="151"/>
        <v>28.203831662320699</v>
      </c>
      <c r="K528" s="48">
        <f t="shared" si="152"/>
        <v>0</v>
      </c>
      <c r="L528" s="7">
        <f t="shared" si="153"/>
        <v>9.8101507755509605</v>
      </c>
      <c r="M528" s="7">
        <f t="shared" si="154"/>
        <v>0</v>
      </c>
      <c r="N528" s="7">
        <f t="shared" si="155"/>
        <v>0</v>
      </c>
      <c r="O528" s="7">
        <f t="shared" si="156"/>
        <v>9.8101507755509605</v>
      </c>
      <c r="P528" s="49">
        <f t="shared" si="157"/>
        <v>17.423446194682199</v>
      </c>
      <c r="Q528" s="54">
        <f t="shared" si="159"/>
        <v>3608.9143090341099</v>
      </c>
      <c r="R528" s="55">
        <f t="shared" si="158"/>
        <v>75.097378630632306</v>
      </c>
    </row>
    <row r="529" ht="12.800000000000001">
      <c r="A529" s="1">
        <v>525</v>
      </c>
      <c r="B529" s="44">
        <v>44070</v>
      </c>
      <c r="C529" s="45">
        <f t="shared" si="144"/>
        <v>10.0670857553435</v>
      </c>
      <c r="D529" s="3">
        <f t="shared" si="145"/>
        <v>10.0670857553435</v>
      </c>
      <c r="E529" s="46">
        <f t="shared" si="146"/>
        <v>0</v>
      </c>
      <c r="F529" s="46">
        <f t="shared" si="147"/>
        <v>25.407151993183302</v>
      </c>
      <c r="G529" s="46">
        <f t="shared" si="148"/>
        <v>100</v>
      </c>
      <c r="H529" s="46">
        <f t="shared" si="149"/>
        <v>39.623039048392798</v>
      </c>
      <c r="I529" s="47">
        <f t="shared" si="150"/>
        <v>0</v>
      </c>
      <c r="J529" s="47">
        <f t="shared" si="151"/>
        <v>27.919947245256399</v>
      </c>
      <c r="K529" s="48">
        <f t="shared" si="152"/>
        <v>0</v>
      </c>
      <c r="L529" s="7">
        <f t="shared" si="153"/>
        <v>10.0670857553435</v>
      </c>
      <c r="M529" s="7">
        <f t="shared" si="154"/>
        <v>0</v>
      </c>
      <c r="N529" s="7">
        <f t="shared" si="155"/>
        <v>0</v>
      </c>
      <c r="O529" s="7">
        <f t="shared" si="156"/>
        <v>10.0670857553435</v>
      </c>
      <c r="P529" s="49">
        <f t="shared" si="157"/>
        <v>16.857215645977799</v>
      </c>
      <c r="Q529" s="54">
        <f t="shared" si="159"/>
        <v>3622.3303626040201</v>
      </c>
      <c r="R529" s="55">
        <f t="shared" si="158"/>
        <v>75.227852305413904</v>
      </c>
    </row>
    <row r="530" ht="12.800000000000001">
      <c r="A530" s="1">
        <v>526</v>
      </c>
      <c r="B530" s="44">
        <v>44071</v>
      </c>
      <c r="C530" s="45">
        <f t="shared" si="144"/>
        <v>10.325831361971099</v>
      </c>
      <c r="D530" s="3">
        <f t="shared" si="145"/>
        <v>10.325831361971099</v>
      </c>
      <c r="E530" s="46">
        <f t="shared" si="146"/>
        <v>0</v>
      </c>
      <c r="F530" s="46">
        <f t="shared" si="147"/>
        <v>25.146996682116399</v>
      </c>
      <c r="G530" s="46">
        <f t="shared" si="148"/>
        <v>100</v>
      </c>
      <c r="H530" s="46">
        <f t="shared" si="149"/>
        <v>41.0618870018561</v>
      </c>
      <c r="I530" s="47">
        <f t="shared" si="150"/>
        <v>0</v>
      </c>
      <c r="J530" s="47">
        <f t="shared" si="151"/>
        <v>27.634062288039999</v>
      </c>
      <c r="K530" s="48">
        <f t="shared" si="152"/>
        <v>0</v>
      </c>
      <c r="L530" s="7">
        <f t="shared" si="153"/>
        <v>10.325831361971099</v>
      </c>
      <c r="M530" s="7">
        <f t="shared" si="154"/>
        <v>0</v>
      </c>
      <c r="N530" s="7">
        <f t="shared" si="155"/>
        <v>0</v>
      </c>
      <c r="O530" s="7">
        <f t="shared" si="156"/>
        <v>10.325831361971099</v>
      </c>
      <c r="P530" s="49">
        <f t="shared" si="157"/>
        <v>16.286994857302499</v>
      </c>
      <c r="Q530" s="54">
        <f t="shared" si="159"/>
        <v>3635.3104186514202</v>
      </c>
      <c r="R530" s="55">
        <f t="shared" si="158"/>
        <v>75.354085821294902</v>
      </c>
    </row>
    <row r="531" ht="12.800000000000001">
      <c r="A531" s="1">
        <v>527</v>
      </c>
      <c r="B531" s="44">
        <v>44072</v>
      </c>
      <c r="C531" s="45">
        <f t="shared" si="144"/>
        <v>10.5863109235263</v>
      </c>
      <c r="D531" s="3">
        <f t="shared" si="145"/>
        <v>10.5863109235263</v>
      </c>
      <c r="E531" s="46">
        <f t="shared" si="146"/>
        <v>0</v>
      </c>
      <c r="F531" s="46">
        <f t="shared" si="147"/>
        <v>24.885097969144201</v>
      </c>
      <c r="G531" s="46">
        <f t="shared" si="148"/>
        <v>100</v>
      </c>
      <c r="H531" s="46">
        <f t="shared" si="149"/>
        <v>42.540764503529701</v>
      </c>
      <c r="I531" s="47">
        <f t="shared" si="150"/>
        <v>0</v>
      </c>
      <c r="J531" s="47">
        <f t="shared" si="151"/>
        <v>27.3462615045541</v>
      </c>
      <c r="K531" s="48">
        <f t="shared" si="152"/>
        <v>0</v>
      </c>
      <c r="L531" s="7">
        <f t="shared" si="153"/>
        <v>10.5863109235263</v>
      </c>
      <c r="M531" s="7">
        <f t="shared" si="154"/>
        <v>0</v>
      </c>
      <c r="N531" s="7">
        <f t="shared" si="155"/>
        <v>0</v>
      </c>
      <c r="O531" s="7">
        <f t="shared" si="156"/>
        <v>10.5863109235263</v>
      </c>
      <c r="P531" s="49">
        <f t="shared" si="157"/>
        <v>15.7129527973823</v>
      </c>
      <c r="Q531" s="54">
        <f t="shared" si="159"/>
        <v>3647.8514046915402</v>
      </c>
      <c r="R531" s="55">
        <f t="shared" si="158"/>
        <v>75.476049297775802</v>
      </c>
    </row>
    <row r="532" ht="12.800000000000001">
      <c r="A532" s="1">
        <v>528</v>
      </c>
      <c r="B532" s="44">
        <v>44073</v>
      </c>
      <c r="C532" s="45">
        <f t="shared" si="144"/>
        <v>10.848447254293299</v>
      </c>
      <c r="D532" s="3">
        <f t="shared" si="145"/>
        <v>10.848447254293299</v>
      </c>
      <c r="E532" s="46">
        <f t="shared" si="146"/>
        <v>0</v>
      </c>
      <c r="F532" s="46">
        <f t="shared" si="147"/>
        <v>24.621533460507798</v>
      </c>
      <c r="G532" s="46">
        <f t="shared" si="148"/>
        <v>100</v>
      </c>
      <c r="H532" s="46">
        <f t="shared" si="149"/>
        <v>44.060810719583699</v>
      </c>
      <c r="I532" s="47">
        <f t="shared" si="150"/>
        <v>0</v>
      </c>
      <c r="J532" s="47">
        <f t="shared" si="151"/>
        <v>27.0566301763822</v>
      </c>
      <c r="K532" s="48">
        <f t="shared" si="152"/>
        <v>0</v>
      </c>
      <c r="L532" s="7">
        <f t="shared" si="153"/>
        <v>10.848447254293299</v>
      </c>
      <c r="M532" s="7">
        <f t="shared" si="154"/>
        <v>0</v>
      </c>
      <c r="N532" s="7">
        <f t="shared" si="155"/>
        <v>0</v>
      </c>
      <c r="O532" s="7">
        <f t="shared" si="156"/>
        <v>10.848447254293299</v>
      </c>
      <c r="P532" s="49">
        <f t="shared" si="157"/>
        <v>15.135259567268699</v>
      </c>
      <c r="Q532" s="54">
        <f t="shared" si="159"/>
        <v>3659.9503783455302</v>
      </c>
      <c r="R532" s="55">
        <f t="shared" si="158"/>
        <v>75.593714119662295</v>
      </c>
    </row>
    <row r="533" ht="12.800000000000001">
      <c r="A533" s="1">
        <v>529</v>
      </c>
      <c r="B533" s="44">
        <v>44074</v>
      </c>
      <c r="C533" s="45">
        <f t="shared" si="144"/>
        <v>11.112162677620001</v>
      </c>
      <c r="D533" s="3">
        <f t="shared" si="145"/>
        <v>11.112162677620001</v>
      </c>
      <c r="E533" s="46">
        <f t="shared" si="146"/>
        <v>0</v>
      </c>
      <c r="F533" s="46">
        <f t="shared" si="147"/>
        <v>24.356381256059102</v>
      </c>
      <c r="G533" s="46">
        <f t="shared" si="148"/>
        <v>100</v>
      </c>
      <c r="H533" s="46">
        <f t="shared" si="149"/>
        <v>45.623208804286698</v>
      </c>
      <c r="I533" s="47">
        <f t="shared" si="150"/>
        <v>0</v>
      </c>
      <c r="J533" s="47">
        <f t="shared" si="151"/>
        <v>26.765254127537499</v>
      </c>
      <c r="K533" s="48">
        <f t="shared" si="152"/>
        <v>0</v>
      </c>
      <c r="L533" s="7">
        <f t="shared" si="153"/>
        <v>11.112162677620001</v>
      </c>
      <c r="M533" s="7">
        <f t="shared" si="154"/>
        <v>0</v>
      </c>
      <c r="N533" s="7">
        <f t="shared" si="155"/>
        <v>0</v>
      </c>
      <c r="O533" s="7">
        <f t="shared" si="156"/>
        <v>11.112162677620001</v>
      </c>
      <c r="P533" s="49">
        <f t="shared" si="157"/>
        <v>14.554086349933099</v>
      </c>
      <c r="Q533" s="54">
        <f t="shared" si="159"/>
        <v>3671.60452821232</v>
      </c>
      <c r="R533" s="55">
        <f t="shared" si="158"/>
        <v>75.707052945543893</v>
      </c>
    </row>
    <row r="534" ht="12.800000000000001">
      <c r="A534" s="1">
        <v>530</v>
      </c>
      <c r="B534" s="44">
        <v>44075</v>
      </c>
      <c r="C534" s="45">
        <f t="shared" si="144"/>
        <v>11.377379048935</v>
      </c>
      <c r="D534" s="3">
        <f t="shared" si="145"/>
        <v>11.377379048935</v>
      </c>
      <c r="E534" s="46">
        <f t="shared" si="146"/>
        <v>0</v>
      </c>
      <c r="F534" s="46">
        <f t="shared" si="147"/>
        <v>24.089719926118899</v>
      </c>
      <c r="G534" s="46">
        <f t="shared" si="148"/>
        <v>100</v>
      </c>
      <c r="H534" s="46">
        <f t="shared" si="149"/>
        <v>47.229187735799698</v>
      </c>
      <c r="I534" s="47">
        <f t="shared" si="150"/>
        <v>0</v>
      </c>
      <c r="J534" s="47">
        <f t="shared" si="151"/>
        <v>26.4722196990318</v>
      </c>
      <c r="K534" s="48">
        <f t="shared" si="152"/>
        <v>0</v>
      </c>
      <c r="L534" s="7">
        <f t="shared" si="153"/>
        <v>11.377379048935</v>
      </c>
      <c r="M534" s="7">
        <f t="shared" si="154"/>
        <v>0</v>
      </c>
      <c r="N534" s="7">
        <f t="shared" si="155"/>
        <v>0</v>
      </c>
      <c r="O534" s="7">
        <f t="shared" si="156"/>
        <v>11.377379048935</v>
      </c>
      <c r="P534" s="49">
        <f t="shared" si="157"/>
        <v>13.969605359542699</v>
      </c>
      <c r="Q534" s="54">
        <f t="shared" si="159"/>
        <v>3682.8111747017701</v>
      </c>
      <c r="R534" s="55">
        <f t="shared" si="158"/>
        <v>75.816039715896196</v>
      </c>
    </row>
    <row r="535" ht="12.800000000000001">
      <c r="A535" s="1">
        <v>531</v>
      </c>
      <c r="B535" s="44">
        <v>44076</v>
      </c>
      <c r="C535" s="45">
        <f t="shared" si="144"/>
        <v>11.6440177789037</v>
      </c>
      <c r="D535" s="3">
        <f t="shared" si="145"/>
        <v>11.6440177789037</v>
      </c>
      <c r="E535" s="46">
        <f t="shared" si="146"/>
        <v>0</v>
      </c>
      <c r="F535" s="46">
        <f t="shared" si="147"/>
        <v>23.821628488194101</v>
      </c>
      <c r="G535" s="46">
        <f t="shared" si="148"/>
        <v>100</v>
      </c>
      <c r="H535" s="46">
        <f t="shared" si="149"/>
        <v>48.880024237950202</v>
      </c>
      <c r="I535" s="47">
        <f t="shared" si="150"/>
        <v>0</v>
      </c>
      <c r="J535" s="47">
        <f t="shared" si="151"/>
        <v>26.1776137232903</v>
      </c>
      <c r="K535" s="48">
        <f t="shared" si="152"/>
        <v>0</v>
      </c>
      <c r="L535" s="7">
        <f t="shared" si="153"/>
        <v>11.6440177789037</v>
      </c>
      <c r="M535" s="7">
        <f t="shared" si="154"/>
        <v>0</v>
      </c>
      <c r="N535" s="7">
        <f t="shared" si="155"/>
        <v>0</v>
      </c>
      <c r="O535" s="7">
        <f t="shared" si="156"/>
        <v>11.6440177789037</v>
      </c>
      <c r="P535" s="49">
        <f t="shared" si="157"/>
        <v>13.381989790428999</v>
      </c>
      <c r="Q535" s="54">
        <f t="shared" si="159"/>
        <v>3693.5677708286198</v>
      </c>
      <c r="R535" s="55">
        <f t="shared" si="158"/>
        <v>75.920649660802795</v>
      </c>
    </row>
    <row r="536" ht="12.800000000000001">
      <c r="A536" s="1">
        <v>532</v>
      </c>
      <c r="B536" s="44">
        <v>44077</v>
      </c>
      <c r="C536" s="45">
        <f t="shared" si="144"/>
        <v>11.9119998567159</v>
      </c>
      <c r="D536" s="3">
        <f t="shared" si="145"/>
        <v>11.9119998567159</v>
      </c>
      <c r="E536" s="46">
        <f t="shared" si="146"/>
        <v>0</v>
      </c>
      <c r="F536" s="46">
        <f t="shared" si="147"/>
        <v>23.5521863835638</v>
      </c>
      <c r="G536" s="46">
        <f t="shared" si="148"/>
        <v>100</v>
      </c>
      <c r="H536" s="46">
        <f t="shared" si="149"/>
        <v>50.577044792023102</v>
      </c>
      <c r="I536" s="47">
        <f t="shared" si="150"/>
        <v>0</v>
      </c>
      <c r="J536" s="47">
        <f t="shared" si="151"/>
        <v>25.881523498421799</v>
      </c>
      <c r="K536" s="48">
        <f t="shared" si="152"/>
        <v>0</v>
      </c>
      <c r="L536" s="7">
        <f t="shared" si="153"/>
        <v>11.9119998567159</v>
      </c>
      <c r="M536" s="7">
        <f t="shared" si="154"/>
        <v>0</v>
      </c>
      <c r="N536" s="7">
        <f t="shared" si="155"/>
        <v>0</v>
      </c>
      <c r="O536" s="7">
        <f t="shared" si="156"/>
        <v>11.9119998567159</v>
      </c>
      <c r="P536" s="49">
        <f t="shared" si="157"/>
        <v>12.791413765767</v>
      </c>
      <c r="Q536" s="54">
        <f t="shared" si="159"/>
        <v>3703.8719029672502</v>
      </c>
      <c r="R536" s="55">
        <f t="shared" si="158"/>
        <v>76.020859307295098</v>
      </c>
    </row>
    <row r="537" ht="12.800000000000001">
      <c r="A537" s="1">
        <v>533</v>
      </c>
      <c r="B537" s="44">
        <v>44078</v>
      </c>
      <c r="C537" s="45">
        <f t="shared" si="144"/>
        <v>12.181245873498201</v>
      </c>
      <c r="D537" s="3">
        <f t="shared" si="145"/>
        <v>12.181245873498201</v>
      </c>
      <c r="E537" s="46">
        <f t="shared" si="146"/>
        <v>0</v>
      </c>
      <c r="F537" s="46">
        <f t="shared" si="147"/>
        <v>23.281473453738698</v>
      </c>
      <c r="G537" s="46">
        <f t="shared" si="148"/>
        <v>100</v>
      </c>
      <c r="H537" s="46">
        <f t="shared" si="149"/>
        <v>52.321627742775398</v>
      </c>
      <c r="I537" s="47">
        <f t="shared" si="150"/>
        <v>0</v>
      </c>
      <c r="J537" s="47">
        <f t="shared" si="151"/>
        <v>25.584036762350198</v>
      </c>
      <c r="K537" s="48">
        <f t="shared" si="152"/>
        <v>0</v>
      </c>
      <c r="L537" s="7">
        <f t="shared" si="153"/>
        <v>12.181245873498201</v>
      </c>
      <c r="M537" s="7">
        <f t="shared" si="154"/>
        <v>0</v>
      </c>
      <c r="N537" s="7">
        <f t="shared" si="155"/>
        <v>0</v>
      </c>
      <c r="O537" s="7">
        <f t="shared" si="156"/>
        <v>12.181245873498201</v>
      </c>
      <c r="P537" s="49">
        <f t="shared" si="157"/>
        <v>12.1980522859785</v>
      </c>
      <c r="Q537" s="54">
        <f t="shared" si="159"/>
        <v>3713.7212915668902</v>
      </c>
      <c r="R537" s="55">
        <f t="shared" si="158"/>
        <v>76.116646486308099</v>
      </c>
    </row>
    <row r="538" ht="12.800000000000001">
      <c r="A538" s="1">
        <v>534</v>
      </c>
      <c r="B538" s="44">
        <v>44079</v>
      </c>
      <c r="C538" s="45">
        <f t="shared" si="144"/>
        <v>12.4516760458453</v>
      </c>
      <c r="D538" s="3">
        <f t="shared" si="145"/>
        <v>12.4516760458453</v>
      </c>
      <c r="E538" s="46">
        <f t="shared" si="146"/>
        <v>0</v>
      </c>
      <c r="F538" s="46">
        <f t="shared" si="147"/>
        <v>23.0095699168021</v>
      </c>
      <c r="G538" s="46">
        <f t="shared" si="148"/>
        <v>100</v>
      </c>
      <c r="H538" s="46">
        <f t="shared" si="149"/>
        <v>54.115205503049403</v>
      </c>
      <c r="I538" s="47">
        <f t="shared" si="150"/>
        <v>0</v>
      </c>
      <c r="J538" s="47">
        <f t="shared" si="151"/>
        <v>25.285241666815502</v>
      </c>
      <c r="K538" s="48">
        <f t="shared" si="152"/>
        <v>0</v>
      </c>
      <c r="L538" s="7">
        <f t="shared" si="153"/>
        <v>12.4516760458453</v>
      </c>
      <c r="M538" s="7">
        <f t="shared" si="154"/>
        <v>0</v>
      </c>
      <c r="N538" s="7">
        <f t="shared" si="155"/>
        <v>0</v>
      </c>
      <c r="O538" s="7">
        <f t="shared" si="156"/>
        <v>12.4516760458453</v>
      </c>
      <c r="P538" s="49">
        <f t="shared" si="157"/>
        <v>11.6020811768756</v>
      </c>
      <c r="Q538" s="54">
        <f t="shared" si="159"/>
        <v>3723.1137918270902</v>
      </c>
      <c r="R538" s="55">
        <f t="shared" si="158"/>
        <v>76.207990339248994</v>
      </c>
    </row>
    <row r="539" ht="12.800000000000001">
      <c r="A539" s="1">
        <v>535</v>
      </c>
      <c r="B539" s="44">
        <v>44080</v>
      </c>
      <c r="C539" s="45">
        <f t="shared" si="144"/>
        <v>12.723210239460601</v>
      </c>
      <c r="D539" s="3">
        <f t="shared" si="145"/>
        <v>12.723210239460601</v>
      </c>
      <c r="E539" s="46">
        <f t="shared" si="146"/>
        <v>0</v>
      </c>
      <c r="F539" s="46">
        <f t="shared" si="147"/>
        <v>22.736556343640402</v>
      </c>
      <c r="G539" s="46">
        <f t="shared" si="148"/>
        <v>100</v>
      </c>
      <c r="H539" s="46">
        <f t="shared" si="149"/>
        <v>55.959266861533202</v>
      </c>
      <c r="I539" s="47">
        <f t="shared" si="150"/>
        <v>0</v>
      </c>
      <c r="J539" s="47">
        <f t="shared" si="151"/>
        <v>24.985226751253101</v>
      </c>
      <c r="K539" s="48">
        <f t="shared" si="152"/>
        <v>0</v>
      </c>
      <c r="L539" s="7">
        <f t="shared" si="153"/>
        <v>12.723210239460601</v>
      </c>
      <c r="M539" s="7">
        <f t="shared" si="154"/>
        <v>0</v>
      </c>
      <c r="N539" s="7">
        <f t="shared" si="155"/>
        <v>0</v>
      </c>
      <c r="O539" s="7">
        <f t="shared" si="156"/>
        <v>12.723210239460601</v>
      </c>
      <c r="P539" s="49">
        <f t="shared" si="157"/>
        <v>11.0036770375602</v>
      </c>
      <c r="Q539" s="54">
        <f t="shared" si="159"/>
        <v>3732.04739433329</v>
      </c>
      <c r="R539" s="55">
        <f t="shared" si="158"/>
        <v>76.294871324178601</v>
      </c>
    </row>
    <row r="540" ht="12.800000000000001">
      <c r="A540" s="1">
        <v>536</v>
      </c>
      <c r="B540" s="44">
        <v>44081</v>
      </c>
      <c r="C540" s="45">
        <f t="shared" si="144"/>
        <v>12.9957679929023</v>
      </c>
      <c r="D540" s="3">
        <f t="shared" si="145"/>
        <v>12.9957679929023</v>
      </c>
      <c r="E540" s="46">
        <f t="shared" si="146"/>
        <v>0</v>
      </c>
      <c r="F540" s="46">
        <f t="shared" si="147"/>
        <v>22.4625136340673</v>
      </c>
      <c r="G540" s="46">
        <f t="shared" si="148"/>
        <v>100</v>
      </c>
      <c r="H540" s="46">
        <f t="shared" si="149"/>
        <v>57.855359398391499</v>
      </c>
      <c r="I540" s="47">
        <f t="shared" si="150"/>
        <v>0</v>
      </c>
      <c r="J540" s="47">
        <f t="shared" si="151"/>
        <v>24.684080916557502</v>
      </c>
      <c r="K540" s="48">
        <f t="shared" si="152"/>
        <v>0</v>
      </c>
      <c r="L540" s="7">
        <f t="shared" si="153"/>
        <v>12.9957679929023</v>
      </c>
      <c r="M540" s="7">
        <f t="shared" si="154"/>
        <v>0</v>
      </c>
      <c r="N540" s="7">
        <f t="shared" si="155"/>
        <v>0</v>
      </c>
      <c r="O540" s="7">
        <f t="shared" si="156"/>
        <v>12.9957679929023</v>
      </c>
      <c r="P540" s="49">
        <f t="shared" si="157"/>
        <v>10.403017188093401</v>
      </c>
      <c r="Q540" s="54">
        <f t="shared" si="159"/>
        <v>3740.5202256522098</v>
      </c>
      <c r="R540" s="55">
        <f t="shared" si="158"/>
        <v>76.377271221601802</v>
      </c>
    </row>
    <row r="541" ht="12.800000000000001">
      <c r="A541" s="1">
        <v>537</v>
      </c>
      <c r="B541" s="44">
        <v>44082</v>
      </c>
      <c r="C541" s="45">
        <f t="shared" si="144"/>
        <v>13.269268541425999</v>
      </c>
      <c r="D541" s="3">
        <f t="shared" si="145"/>
        <v>13.269268541425999</v>
      </c>
      <c r="E541" s="46">
        <f t="shared" si="146"/>
        <v>0</v>
      </c>
      <c r="F541" s="46">
        <f t="shared" si="147"/>
        <v>22.187522992851999</v>
      </c>
      <c r="G541" s="46">
        <f t="shared" si="148"/>
        <v>100</v>
      </c>
      <c r="H541" s="46">
        <f t="shared" si="149"/>
        <v>59.805092013654999</v>
      </c>
      <c r="I541" s="47">
        <f t="shared" si="150"/>
        <v>0</v>
      </c>
      <c r="J541" s="47">
        <f t="shared" si="151"/>
        <v>24.381893398738502</v>
      </c>
      <c r="K541" s="48">
        <f t="shared" si="152"/>
        <v>0</v>
      </c>
      <c r="L541" s="7">
        <f t="shared" si="153"/>
        <v>13.269268541425999</v>
      </c>
      <c r="M541" s="7">
        <f t="shared" si="154"/>
        <v>0</v>
      </c>
      <c r="N541" s="7">
        <f t="shared" si="155"/>
        <v>0</v>
      </c>
      <c r="O541" s="7">
        <f t="shared" si="156"/>
        <v>13.269268541425999</v>
      </c>
      <c r="P541" s="49">
        <f t="shared" si="157"/>
        <v>9.8002796169516699</v>
      </c>
      <c r="Q541" s="54">
        <f t="shared" si="159"/>
        <v>3748.5305488870399</v>
      </c>
      <c r="R541" s="55">
        <f t="shared" si="158"/>
        <v>76.455173139866503</v>
      </c>
    </row>
    <row r="542" ht="12.800000000000001">
      <c r="A542" s="1">
        <v>538</v>
      </c>
      <c r="B542" s="44">
        <v>44083</v>
      </c>
      <c r="C542" s="45">
        <f t="shared" si="144"/>
        <v>13.5436308409164</v>
      </c>
      <c r="D542" s="3">
        <f t="shared" si="145"/>
        <v>13.5436308409164</v>
      </c>
      <c r="E542" s="46">
        <f t="shared" si="146"/>
        <v>0</v>
      </c>
      <c r="F542" s="46">
        <f t="shared" si="147"/>
        <v>21.911665905656399</v>
      </c>
      <c r="G542" s="46">
        <f t="shared" si="148"/>
        <v>100</v>
      </c>
      <c r="H542" s="46">
        <f t="shared" si="149"/>
        <v>61.810137573429003</v>
      </c>
      <c r="I542" s="47">
        <f t="shared" si="150"/>
        <v>0</v>
      </c>
      <c r="J542" s="47">
        <f t="shared" si="151"/>
        <v>24.078753742479499</v>
      </c>
      <c r="K542" s="48">
        <f t="shared" si="152"/>
        <v>0</v>
      </c>
      <c r="L542" s="7">
        <f t="shared" si="153"/>
        <v>13.5436308409164</v>
      </c>
      <c r="M542" s="7">
        <f t="shared" si="154"/>
        <v>0</v>
      </c>
      <c r="N542" s="7">
        <f t="shared" si="155"/>
        <v>0</v>
      </c>
      <c r="O542" s="7">
        <f t="shared" si="156"/>
        <v>13.5436308409164</v>
      </c>
      <c r="P542" s="49">
        <f t="shared" si="157"/>
        <v>9.1956429282857393</v>
      </c>
      <c r="Q542" s="54">
        <f t="shared" si="159"/>
        <v>3756.0767641920902</v>
      </c>
      <c r="R542" s="55">
        <f t="shared" si="158"/>
        <v>76.528561520168793</v>
      </c>
    </row>
    <row r="543" ht="12.800000000000001">
      <c r="A543" s="1">
        <v>539</v>
      </c>
      <c r="B543" s="44">
        <v>44084</v>
      </c>
      <c r="C543" s="45">
        <f t="shared" si="144"/>
        <v>13.8187735919029</v>
      </c>
      <c r="D543" s="3">
        <f t="shared" si="145"/>
        <v>13.8187735919029</v>
      </c>
      <c r="E543" s="46">
        <f t="shared" si="146"/>
        <v>0</v>
      </c>
      <c r="F543" s="46">
        <f t="shared" si="147"/>
        <v>21.6350241148888</v>
      </c>
      <c r="G543" s="46">
        <f t="shared" si="148"/>
        <v>100</v>
      </c>
      <c r="H543" s="46">
        <f t="shared" si="149"/>
        <v>63.872235679150798</v>
      </c>
      <c r="I543" s="47">
        <f t="shared" si="150"/>
        <v>0</v>
      </c>
      <c r="J543" s="47">
        <f t="shared" si="151"/>
        <v>23.774751774603001</v>
      </c>
      <c r="K543" s="48">
        <f t="shared" si="152"/>
        <v>0</v>
      </c>
      <c r="L543" s="7">
        <f t="shared" si="153"/>
        <v>13.8187735919029</v>
      </c>
      <c r="M543" s="7">
        <f t="shared" si="154"/>
        <v>0</v>
      </c>
      <c r="N543" s="7">
        <f t="shared" si="155"/>
        <v>0</v>
      </c>
      <c r="O543" s="7">
        <f t="shared" si="156"/>
        <v>13.8187735919029</v>
      </c>
      <c r="P543" s="49">
        <f t="shared" si="157"/>
        <v>8.5892862889955008</v>
      </c>
      <c r="Q543" s="54">
        <f t="shared" si="159"/>
        <v>3763.15740924688</v>
      </c>
      <c r="R543" s="55">
        <f t="shared" si="158"/>
        <v>76.597422141163506</v>
      </c>
    </row>
    <row r="544" ht="12.800000000000001">
      <c r="A544" s="1">
        <v>540</v>
      </c>
      <c r="B544" s="44">
        <v>44085</v>
      </c>
      <c r="C544" s="45">
        <f t="shared" si="144"/>
        <v>14.094615263650301</v>
      </c>
      <c r="D544" s="3">
        <f t="shared" si="145"/>
        <v>14.094615263650301</v>
      </c>
      <c r="E544" s="46">
        <f t="shared" si="146"/>
        <v>0</v>
      </c>
      <c r="F544" s="46">
        <f t="shared" si="147"/>
        <v>21.3576795954822</v>
      </c>
      <c r="G544" s="46">
        <f t="shared" si="148"/>
        <v>100</v>
      </c>
      <c r="H544" s="46">
        <f t="shared" si="149"/>
        <v>65.99319556527</v>
      </c>
      <c r="I544" s="47">
        <f t="shared" si="150"/>
        <v>0</v>
      </c>
      <c r="J544" s="47">
        <f t="shared" si="151"/>
        <v>23.469977577453001</v>
      </c>
      <c r="K544" s="48">
        <f t="shared" si="152"/>
        <v>0</v>
      </c>
      <c r="L544" s="7">
        <f t="shared" si="153"/>
        <v>14.094615263650301</v>
      </c>
      <c r="M544" s="7">
        <f t="shared" si="154"/>
        <v>0</v>
      </c>
      <c r="N544" s="7">
        <f t="shared" si="155"/>
        <v>0</v>
      </c>
      <c r="O544" s="7">
        <f t="shared" si="156"/>
        <v>14.094615263650301</v>
      </c>
      <c r="P544" s="49">
        <f t="shared" si="157"/>
        <v>7.9813893756394103</v>
      </c>
      <c r="Q544" s="54">
        <f t="shared" si="159"/>
        <v>3769.7711596894001</v>
      </c>
      <c r="R544" s="55">
        <f t="shared" si="158"/>
        <v>76.6617421231782</v>
      </c>
    </row>
    <row r="545" ht="12.800000000000001">
      <c r="A545" s="1">
        <v>541</v>
      </c>
      <c r="B545" s="44">
        <v>44086</v>
      </c>
      <c r="C545" s="45">
        <f t="shared" si="144"/>
        <v>14.371074118318299</v>
      </c>
      <c r="D545" s="3">
        <f t="shared" si="145"/>
        <v>14.371074118318299</v>
      </c>
      <c r="E545" s="46">
        <f t="shared" si="146"/>
        <v>0</v>
      </c>
      <c r="F545" s="46">
        <f t="shared" si="147"/>
        <v>21.079714530603301</v>
      </c>
      <c r="G545" s="46">
        <f t="shared" si="148"/>
        <v>100</v>
      </c>
      <c r="H545" s="46">
        <f t="shared" si="149"/>
        <v>68.174899130889699</v>
      </c>
      <c r="I545" s="47">
        <f t="shared" si="150"/>
        <v>0</v>
      </c>
      <c r="J545" s="47">
        <f t="shared" si="151"/>
        <v>23.164521462201499</v>
      </c>
      <c r="K545" s="48">
        <f t="shared" si="152"/>
        <v>0</v>
      </c>
      <c r="L545" s="7">
        <f t="shared" si="153"/>
        <v>14.371074118318299</v>
      </c>
      <c r="M545" s="7">
        <f t="shared" si="154"/>
        <v>0</v>
      </c>
      <c r="N545" s="7">
        <f t="shared" si="155"/>
        <v>0</v>
      </c>
      <c r="O545" s="7">
        <f t="shared" si="156"/>
        <v>14.371074118318299</v>
      </c>
      <c r="P545" s="49">
        <f t="shared" si="157"/>
        <v>7.3721323211923302</v>
      </c>
      <c r="Q545" s="54">
        <f t="shared" si="159"/>
        <v>3775.9168295086401</v>
      </c>
      <c r="R545" s="55">
        <f t="shared" si="158"/>
        <v>76.721509932030003</v>
      </c>
    </row>
    <row r="546" ht="12.800000000000001">
      <c r="A546" s="1">
        <v>542</v>
      </c>
      <c r="B546" s="44">
        <v>44087</v>
      </c>
      <c r="C546" s="45">
        <f t="shared" si="144"/>
        <v>14.648068235181601</v>
      </c>
      <c r="D546" s="3">
        <f t="shared" si="145"/>
        <v>14.648068235181601</v>
      </c>
      <c r="E546" s="46">
        <f t="shared" si="146"/>
        <v>0</v>
      </c>
      <c r="F546" s="46">
        <f t="shared" si="147"/>
        <v>20.8012112872999</v>
      </c>
      <c r="G546" s="46">
        <f t="shared" si="148"/>
        <v>100</v>
      </c>
      <c r="H546" s="46">
        <f t="shared" si="149"/>
        <v>70.419304111030002</v>
      </c>
      <c r="I546" s="47">
        <f t="shared" si="150"/>
        <v>0</v>
      </c>
      <c r="J546" s="47">
        <f t="shared" si="151"/>
        <v>22.858473942087802</v>
      </c>
      <c r="K546" s="48">
        <f t="shared" si="152"/>
        <v>0</v>
      </c>
      <c r="L546" s="7">
        <f t="shared" si="153"/>
        <v>14.648068235181601</v>
      </c>
      <c r="M546" s="7">
        <f t="shared" si="154"/>
        <v>0</v>
      </c>
      <c r="N546" s="7">
        <f t="shared" si="155"/>
        <v>0</v>
      </c>
      <c r="O546" s="7">
        <f t="shared" si="156"/>
        <v>14.648068235181601</v>
      </c>
      <c r="P546" s="49">
        <f t="shared" si="157"/>
        <v>6.7616956616684503</v>
      </c>
      <c r="Q546" s="54">
        <f t="shared" si="159"/>
        <v>3781.5933713959598</v>
      </c>
      <c r="R546" s="55">
        <f t="shared" si="158"/>
        <v>76.776715382442902</v>
      </c>
    </row>
    <row r="547" ht="12.800000000000001">
      <c r="A547" s="1">
        <v>543</v>
      </c>
      <c r="B547" s="44">
        <v>44088</v>
      </c>
      <c r="C547" s="45">
        <f t="shared" si="144"/>
        <v>14.9255155349055</v>
      </c>
      <c r="D547" s="3">
        <f t="shared" si="145"/>
        <v>14.9255155349055</v>
      </c>
      <c r="E547" s="46">
        <f t="shared" si="146"/>
        <v>0</v>
      </c>
      <c r="F547" s="46">
        <f t="shared" si="147"/>
        <v>20.522252392093499</v>
      </c>
      <c r="G547" s="46">
        <f t="shared" si="148"/>
        <v>100</v>
      </c>
      <c r="H547" s="46">
        <f t="shared" si="149"/>
        <v>72.728447393307206</v>
      </c>
      <c r="I547" s="47">
        <f t="shared" si="150"/>
        <v>0</v>
      </c>
      <c r="J547" s="47">
        <f t="shared" si="151"/>
        <v>22.551925705597299</v>
      </c>
      <c r="K547" s="48">
        <f t="shared" si="152"/>
        <v>0</v>
      </c>
      <c r="L547" s="7">
        <f t="shared" si="153"/>
        <v>14.9255155349055</v>
      </c>
      <c r="M547" s="7">
        <f t="shared" si="154"/>
        <v>0</v>
      </c>
      <c r="N547" s="7">
        <f t="shared" si="155"/>
        <v>0</v>
      </c>
      <c r="O547" s="7">
        <f t="shared" si="156"/>
        <v>14.9255155349055</v>
      </c>
      <c r="P547" s="49">
        <f t="shared" si="157"/>
        <v>6.1502602826242398</v>
      </c>
      <c r="Q547" s="54">
        <f t="shared" si="159"/>
        <v>3786.79987705545</v>
      </c>
      <c r="R547" s="55">
        <f t="shared" si="158"/>
        <v>76.827349641066405</v>
      </c>
    </row>
    <row r="548" ht="12.800000000000001">
      <c r="A548" s="1">
        <v>544</v>
      </c>
      <c r="B548" s="44">
        <v>44089</v>
      </c>
      <c r="C548" s="45">
        <f t="shared" ref="C548:C611" si="160">V$30-V$30*SIN(2*PI()/365*A548)</f>
        <v>15.2033338038671</v>
      </c>
      <c r="D548" s="3">
        <f t="shared" ref="D548:D611" si="161">IF((E548+F548)&gt;C548,C548,E548+F548)</f>
        <v>15.2033338038671</v>
      </c>
      <c r="E548" s="46">
        <f t="shared" ref="E548:E611" si="162">(V$27+V$28*SIN(2*PI()/365*A548))*V$29/100*V$9*V$10/100</f>
        <v>0</v>
      </c>
      <c r="F548" s="46">
        <f t="shared" ref="F548:F611" si="163">(V$27+V$28*SIN(2*PI()/365*A548))*V$29/100*V$11*(1-V$18/100)*(1-V$20/100)</f>
        <v>20.242920506525198</v>
      </c>
      <c r="G548" s="46">
        <f t="shared" ref="G548:G611" si="164">IF(C548&gt;E548,100,C548/E548*100)</f>
        <v>100</v>
      </c>
      <c r="H548" s="46">
        <f t="shared" ref="H548:H611" si="165">L548/F548*100</f>
        <v>75.104448485911007</v>
      </c>
      <c r="I548" s="47">
        <f t="shared" ref="I548:I611" si="166">(V$27+V$28*SIN(2*PI()/365*A548))*V$29/100*V$9*V$10/100*(1-V$19/100)</f>
        <v>0</v>
      </c>
      <c r="J548" s="47">
        <f t="shared" ref="J548:J611" si="167">(V$27+V$28*SIN(2*PI()/365*A548))*V$29/100*V$11*(1-V$18/100)</f>
        <v>22.2449675895881</v>
      </c>
      <c r="K548" s="48">
        <f t="shared" ref="K548:K611" si="168">IF(E548/C548*100&lt;100,E548/C548*100,100)</f>
        <v>0</v>
      </c>
      <c r="L548" s="7">
        <f t="shared" ref="L548:L611" si="169">IF(((C548-E548)&gt;0)*AND(F548&gt;(C548-E548)),(C548-E548),IF(C548&lt;E548,0,F548))</f>
        <v>15.2033338038671</v>
      </c>
      <c r="M548" s="7">
        <f t="shared" ref="M548:M611" si="170">IF(C548&lt;(E548+F548),0,C548-E548-F548)</f>
        <v>0</v>
      </c>
      <c r="N548" s="7">
        <f t="shared" ref="N548:N611" si="171">IF(C548&lt;(E548+F548),0,(C548-E548-F548)/(1-V$20/100))</f>
        <v>0</v>
      </c>
      <c r="O548" s="7">
        <f t="shared" ref="O548:O611" si="172">L548+M548</f>
        <v>15.2033338038671</v>
      </c>
      <c r="P548" s="49">
        <f t="shared" ref="P548:P611" si="173">IF(N548=0,I548*(1-G548/100)+J548*(1-H548/100),-N548)</f>
        <v>5.5380073655583102</v>
      </c>
      <c r="Q548" s="54">
        <f t="shared" si="159"/>
        <v>3791.5355774730701</v>
      </c>
      <c r="R548" s="55">
        <f t="shared" ref="R548:R611" si="174">R$4+Q548/V$32</f>
        <v>76.873405229092498</v>
      </c>
    </row>
    <row r="549" ht="12.800000000000001">
      <c r="A549" s="1">
        <v>545</v>
      </c>
      <c r="B549" s="44">
        <v>44090</v>
      </c>
      <c r="C549" s="45">
        <f t="shared" si="160"/>
        <v>15.4814407185177</v>
      </c>
      <c r="D549" s="3">
        <f t="shared" si="161"/>
        <v>15.4814407185177</v>
      </c>
      <c r="E549" s="46">
        <f t="shared" si="162"/>
        <v>0</v>
      </c>
      <c r="F549" s="46">
        <f t="shared" si="163"/>
        <v>19.963298402661199</v>
      </c>
      <c r="G549" s="46">
        <f t="shared" si="164"/>
        <v>100</v>
      </c>
      <c r="H549" s="46">
        <f t="shared" si="165"/>
        <v>77.549513142848099</v>
      </c>
      <c r="I549" s="47">
        <f t="shared" si="166"/>
        <v>0</v>
      </c>
      <c r="J549" s="47">
        <f t="shared" si="167"/>
        <v>21.9376905523749</v>
      </c>
      <c r="K549" s="48">
        <f t="shared" si="168"/>
        <v>0</v>
      </c>
      <c r="L549" s="7">
        <f t="shared" si="169"/>
        <v>15.4814407185177</v>
      </c>
      <c r="M549" s="7">
        <f t="shared" si="170"/>
        <v>0</v>
      </c>
      <c r="N549" s="7">
        <f t="shared" si="171"/>
        <v>0</v>
      </c>
      <c r="O549" s="7">
        <f t="shared" si="172"/>
        <v>15.4814407185177</v>
      </c>
      <c r="P549" s="49">
        <f t="shared" si="173"/>
        <v>4.9251183342235896</v>
      </c>
      <c r="Q549" s="54">
        <f t="shared" ref="Q549:Q612" si="175">IF(P548&gt;0,Q548+P548*(1-V$24/100),Q548+P548)</f>
        <v>3795.7998431445499</v>
      </c>
      <c r="R549" s="55">
        <f t="shared" si="174"/>
        <v>76.914876024472406</v>
      </c>
    </row>
    <row r="550" ht="12.800000000000001">
      <c r="A550" s="1">
        <v>546</v>
      </c>
      <c r="B550" s="44">
        <v>44091</v>
      </c>
      <c r="C550" s="45">
        <f t="shared" si="160"/>
        <v>15.759753869776301</v>
      </c>
      <c r="D550" s="3">
        <f t="shared" si="161"/>
        <v>15.759753869776301</v>
      </c>
      <c r="E550" s="46">
        <f t="shared" si="162"/>
        <v>0</v>
      </c>
      <c r="F550" s="46">
        <f t="shared" si="163"/>
        <v>19.6834689385655</v>
      </c>
      <c r="G550" s="46">
        <f t="shared" si="164"/>
        <v>100</v>
      </c>
      <c r="H550" s="46">
        <f t="shared" si="165"/>
        <v>80.065937152462396</v>
      </c>
      <c r="I550" s="47">
        <f t="shared" si="166"/>
        <v>0</v>
      </c>
      <c r="J550" s="47">
        <f t="shared" si="167"/>
        <v>21.630185646775299</v>
      </c>
      <c r="K550" s="48">
        <f t="shared" si="168"/>
        <v>0</v>
      </c>
      <c r="L550" s="7">
        <f t="shared" si="169"/>
        <v>15.759753869776301</v>
      </c>
      <c r="M550" s="7">
        <f t="shared" si="170"/>
        <v>0</v>
      </c>
      <c r="N550" s="7">
        <f t="shared" si="171"/>
        <v>0</v>
      </c>
      <c r="O550" s="7">
        <f t="shared" si="172"/>
        <v>15.759753869776301</v>
      </c>
      <c r="P550" s="49">
        <f t="shared" si="173"/>
        <v>4.3117748008672399</v>
      </c>
      <c r="Q550" s="54">
        <f t="shared" si="175"/>
        <v>3799.5921842619</v>
      </c>
      <c r="R550" s="55">
        <f t="shared" si="174"/>
        <v>76.951757263730101</v>
      </c>
    </row>
    <row r="551" ht="12.800000000000001">
      <c r="A551" s="1">
        <v>547</v>
      </c>
      <c r="B551" s="44">
        <v>44092</v>
      </c>
      <c r="C551" s="45">
        <f t="shared" si="160"/>
        <v>16.0381907874498</v>
      </c>
      <c r="D551" s="3">
        <f t="shared" si="161"/>
        <v>16.0381907874498</v>
      </c>
      <c r="E551" s="46">
        <f t="shared" si="162"/>
        <v>0</v>
      </c>
      <c r="F551" s="46">
        <f t="shared" si="163"/>
        <v>19.403515033747599</v>
      </c>
      <c r="G551" s="46">
        <f t="shared" si="164"/>
        <v>100</v>
      </c>
      <c r="H551" s="46">
        <f t="shared" si="165"/>
        <v>82.656110295249704</v>
      </c>
      <c r="I551" s="47">
        <f t="shared" si="166"/>
        <v>0</v>
      </c>
      <c r="J551" s="47">
        <f t="shared" si="167"/>
        <v>21.322543993129202</v>
      </c>
      <c r="K551" s="48">
        <f t="shared" si="168"/>
        <v>0</v>
      </c>
      <c r="L551" s="7">
        <f t="shared" si="169"/>
        <v>16.0381907874498</v>
      </c>
      <c r="M551" s="7">
        <f t="shared" si="170"/>
        <v>0</v>
      </c>
      <c r="N551" s="7">
        <f t="shared" si="171"/>
        <v>0</v>
      </c>
      <c r="O551" s="7">
        <f t="shared" si="172"/>
        <v>16.0381907874498</v>
      </c>
      <c r="P551" s="49">
        <f t="shared" si="173"/>
        <v>3.6981585124151799</v>
      </c>
      <c r="Q551" s="54">
        <f t="shared" si="175"/>
        <v>3802.9122508585701</v>
      </c>
      <c r="R551" s="55">
        <f t="shared" si="174"/>
        <v>76.984045543374407</v>
      </c>
    </row>
    <row r="552" ht="12.800000000000001">
      <c r="A552" s="1">
        <v>548</v>
      </c>
      <c r="B552" s="44">
        <v>44093</v>
      </c>
      <c r="C552" s="45">
        <f t="shared" si="160"/>
        <v>16.3166689646702</v>
      </c>
      <c r="D552" s="3">
        <f t="shared" si="161"/>
        <v>16.3166689646702</v>
      </c>
      <c r="E552" s="46">
        <f t="shared" si="162"/>
        <v>0</v>
      </c>
      <c r="F552" s="46">
        <f t="shared" si="163"/>
        <v>19.123519644591401</v>
      </c>
      <c r="G552" s="46">
        <f t="shared" si="164"/>
        <v>100</v>
      </c>
      <c r="H552" s="46">
        <f t="shared" si="165"/>
        <v>85.3225204769507</v>
      </c>
      <c r="I552" s="47">
        <f t="shared" si="166"/>
        <v>0</v>
      </c>
      <c r="J552" s="47">
        <f t="shared" si="167"/>
        <v>21.0148567522983</v>
      </c>
      <c r="K552" s="48">
        <f t="shared" si="168"/>
        <v>0</v>
      </c>
      <c r="L552" s="7">
        <f t="shared" si="169"/>
        <v>16.3166689646702</v>
      </c>
      <c r="M552" s="7">
        <f t="shared" si="170"/>
        <v>0</v>
      </c>
      <c r="N552" s="7">
        <f t="shared" si="171"/>
        <v>0</v>
      </c>
      <c r="O552" s="7">
        <f t="shared" si="172"/>
        <v>16.3166689646702</v>
      </c>
      <c r="P552" s="49">
        <f t="shared" si="173"/>
        <v>3.0844512966167099</v>
      </c>
      <c r="Q552" s="54">
        <f t="shared" si="175"/>
        <v>3805.7598329131301</v>
      </c>
      <c r="R552" s="55">
        <f t="shared" si="174"/>
        <v>77.0117388209068</v>
      </c>
    </row>
    <row r="553" ht="12.800000000000001">
      <c r="A553" s="1">
        <v>549</v>
      </c>
      <c r="B553" s="44">
        <v>44094</v>
      </c>
      <c r="C553" s="45">
        <f t="shared" si="160"/>
        <v>16.595105882343699</v>
      </c>
      <c r="D553" s="3">
        <f t="shared" si="161"/>
        <v>16.595105882343699</v>
      </c>
      <c r="E553" s="46">
        <f t="shared" si="162"/>
        <v>0</v>
      </c>
      <c r="F553" s="46">
        <f t="shared" si="163"/>
        <v>18.843565739773599</v>
      </c>
      <c r="G553" s="46">
        <f t="shared" si="164"/>
        <v>100</v>
      </c>
      <c r="H553" s="46">
        <f t="shared" si="165"/>
        <v>88.067758042820898</v>
      </c>
      <c r="I553" s="47">
        <f t="shared" si="166"/>
        <v>0</v>
      </c>
      <c r="J553" s="47">
        <f t="shared" si="167"/>
        <v>20.707215098652298</v>
      </c>
      <c r="K553" s="48">
        <f t="shared" si="168"/>
        <v>0</v>
      </c>
      <c r="L553" s="7">
        <f t="shared" si="169"/>
        <v>16.595105882343699</v>
      </c>
      <c r="M553" s="7">
        <f t="shared" si="170"/>
        <v>0</v>
      </c>
      <c r="N553" s="7">
        <f t="shared" si="171"/>
        <v>0</v>
      </c>
      <c r="O553" s="7">
        <f t="shared" si="172"/>
        <v>16.595105882343699</v>
      </c>
      <c r="P553" s="49">
        <f t="shared" si="173"/>
        <v>2.4708350081647201</v>
      </c>
      <c r="Q553" s="54">
        <f t="shared" si="175"/>
        <v>3808.1348604115201</v>
      </c>
      <c r="R553" s="55">
        <f t="shared" si="174"/>
        <v>77.034836415427307</v>
      </c>
    </row>
    <row r="554" ht="12.800000000000001">
      <c r="A554" s="1">
        <v>550</v>
      </c>
      <c r="B554" s="44">
        <v>44095</v>
      </c>
      <c r="C554" s="45">
        <f t="shared" si="160"/>
        <v>16.8734190336023</v>
      </c>
      <c r="D554" s="3">
        <f t="shared" si="161"/>
        <v>16.8734190336023</v>
      </c>
      <c r="E554" s="46">
        <f t="shared" si="162"/>
        <v>0</v>
      </c>
      <c r="F554" s="46">
        <f t="shared" si="163"/>
        <v>18.563736275677901</v>
      </c>
      <c r="G554" s="46">
        <f t="shared" si="164"/>
        <v>100</v>
      </c>
      <c r="H554" s="46">
        <f t="shared" si="165"/>
        <v>90.894520278817694</v>
      </c>
      <c r="I554" s="47">
        <f t="shared" si="166"/>
        <v>0</v>
      </c>
      <c r="J554" s="47">
        <f t="shared" si="167"/>
        <v>20.399710193052702</v>
      </c>
      <c r="K554" s="48">
        <f t="shared" si="168"/>
        <v>0</v>
      </c>
      <c r="L554" s="7">
        <f t="shared" si="169"/>
        <v>16.8734190336023</v>
      </c>
      <c r="M554" s="7">
        <f t="shared" si="170"/>
        <v>0</v>
      </c>
      <c r="N554" s="7">
        <f t="shared" si="171"/>
        <v>0</v>
      </c>
      <c r="O554" s="7">
        <f t="shared" si="172"/>
        <v>16.8734190336023</v>
      </c>
      <c r="P554" s="49">
        <f t="shared" si="173"/>
        <v>1.8574914748083799</v>
      </c>
      <c r="Q554" s="54">
        <f t="shared" si="175"/>
        <v>3810.0374033678099</v>
      </c>
      <c r="R554" s="55">
        <f t="shared" si="174"/>
        <v>77.053339007836001</v>
      </c>
    </row>
    <row r="555" ht="12.800000000000001">
      <c r="A555" s="1">
        <v>551</v>
      </c>
      <c r="B555" s="44">
        <v>44096</v>
      </c>
      <c r="C555" s="45">
        <f t="shared" si="160"/>
        <v>17.1515259482529</v>
      </c>
      <c r="D555" s="3">
        <f t="shared" si="161"/>
        <v>17.1515259482529</v>
      </c>
      <c r="E555" s="46">
        <f t="shared" si="162"/>
        <v>0</v>
      </c>
      <c r="F555" s="46">
        <f t="shared" si="163"/>
        <v>18.284114171813901</v>
      </c>
      <c r="G555" s="46">
        <f t="shared" si="164"/>
        <v>100</v>
      </c>
      <c r="H555" s="46">
        <f t="shared" si="165"/>
        <v>93.805616105225695</v>
      </c>
      <c r="I555" s="47">
        <f t="shared" si="166"/>
        <v>0</v>
      </c>
      <c r="J555" s="47">
        <f t="shared" si="167"/>
        <v>20.092433155839402</v>
      </c>
      <c r="K555" s="48">
        <f t="shared" si="168"/>
        <v>0</v>
      </c>
      <c r="L555" s="7">
        <f t="shared" si="169"/>
        <v>17.1515259482529</v>
      </c>
      <c r="M555" s="7">
        <f t="shared" si="170"/>
        <v>0</v>
      </c>
      <c r="N555" s="7">
        <f t="shared" si="171"/>
        <v>0</v>
      </c>
      <c r="O555" s="7">
        <f t="shared" si="172"/>
        <v>17.1515259482529</v>
      </c>
      <c r="P555" s="49">
        <f t="shared" si="173"/>
        <v>1.2446024434736001</v>
      </c>
      <c r="Q555" s="54">
        <f t="shared" si="175"/>
        <v>3811.4676718034102</v>
      </c>
      <c r="R555" s="55">
        <f t="shared" si="174"/>
        <v>77.067248640631107</v>
      </c>
    </row>
    <row r="556" ht="12.800000000000001">
      <c r="A556" s="1">
        <v>552</v>
      </c>
      <c r="B556" s="44">
        <v>44097</v>
      </c>
      <c r="C556" s="45">
        <f t="shared" si="160"/>
        <v>17.429344217214499</v>
      </c>
      <c r="D556" s="3">
        <f t="shared" si="161"/>
        <v>17.429344217214499</v>
      </c>
      <c r="E556" s="46">
        <f t="shared" si="162"/>
        <v>0</v>
      </c>
      <c r="F556" s="46">
        <f t="shared" si="163"/>
        <v>18.004782286245501</v>
      </c>
      <c r="G556" s="46">
        <f t="shared" si="164"/>
        <v>100</v>
      </c>
      <c r="H556" s="46">
        <f t="shared" si="165"/>
        <v>96.803970967921003</v>
      </c>
      <c r="I556" s="47">
        <f t="shared" si="166"/>
        <v>0</v>
      </c>
      <c r="J556" s="47">
        <f t="shared" si="167"/>
        <v>19.785475039830299</v>
      </c>
      <c r="K556" s="48">
        <f t="shared" si="168"/>
        <v>0</v>
      </c>
      <c r="L556" s="7">
        <f t="shared" si="169"/>
        <v>17.429344217214499</v>
      </c>
      <c r="M556" s="7">
        <f t="shared" si="170"/>
        <v>0</v>
      </c>
      <c r="N556" s="7">
        <f t="shared" si="171"/>
        <v>0</v>
      </c>
      <c r="O556" s="7">
        <f t="shared" si="172"/>
        <v>17.429344217214499</v>
      </c>
      <c r="P556" s="49">
        <f t="shared" si="173"/>
        <v>0.63234952640772102</v>
      </c>
      <c r="Q556" s="54">
        <f t="shared" si="175"/>
        <v>3812.42601568489</v>
      </c>
      <c r="R556" s="55">
        <f t="shared" si="174"/>
        <v>77.076568717304099</v>
      </c>
    </row>
    <row r="557" ht="12.800000000000001">
      <c r="A557" s="1">
        <v>553</v>
      </c>
      <c r="B557" s="44">
        <v>44098</v>
      </c>
      <c r="C557" s="45">
        <f t="shared" si="160"/>
        <v>17.706791516938399</v>
      </c>
      <c r="D557" s="3">
        <f t="shared" si="161"/>
        <v>17.706791516938399</v>
      </c>
      <c r="E557" s="46">
        <f t="shared" si="162"/>
        <v>0</v>
      </c>
      <c r="F557" s="46">
        <f t="shared" si="163"/>
        <v>17.725823391039199</v>
      </c>
      <c r="G557" s="46">
        <f t="shared" si="164"/>
        <v>100</v>
      </c>
      <c r="H557" s="46">
        <f t="shared" si="165"/>
        <v>99.892631932063495</v>
      </c>
      <c r="I557" s="47">
        <f t="shared" si="166"/>
        <v>0</v>
      </c>
      <c r="J557" s="47">
        <f t="shared" si="167"/>
        <v>19.4789268033397</v>
      </c>
      <c r="K557" s="48">
        <f t="shared" si="168"/>
        <v>0</v>
      </c>
      <c r="L557" s="7">
        <f t="shared" si="169"/>
        <v>17.706791516938399</v>
      </c>
      <c r="M557" s="7">
        <f t="shared" si="170"/>
        <v>0</v>
      </c>
      <c r="N557" s="7">
        <f t="shared" si="171"/>
        <v>0</v>
      </c>
      <c r="O557" s="7">
        <f t="shared" si="172"/>
        <v>17.706791516938399</v>
      </c>
      <c r="P557" s="49">
        <f t="shared" si="173"/>
        <v>0.020914147363512599</v>
      </c>
      <c r="Q557" s="54">
        <f t="shared" si="175"/>
        <v>3812.9129248202198</v>
      </c>
      <c r="R557" s="55">
        <f t="shared" si="174"/>
        <v>77.081304001330807</v>
      </c>
    </row>
    <row r="558" ht="12.800000000000001">
      <c r="A558" s="1">
        <v>554</v>
      </c>
      <c r="B558" s="44">
        <v>44099</v>
      </c>
      <c r="C558" s="45">
        <f t="shared" si="160"/>
        <v>17.983785633801698</v>
      </c>
      <c r="D558" s="3">
        <f t="shared" si="161"/>
        <v>17.447320147735699</v>
      </c>
      <c r="E558" s="46">
        <f t="shared" si="162"/>
        <v>0</v>
      </c>
      <c r="F558" s="46">
        <f t="shared" si="163"/>
        <v>17.447320147735699</v>
      </c>
      <c r="G558" s="46">
        <f t="shared" si="164"/>
        <v>100</v>
      </c>
      <c r="H558" s="46">
        <f t="shared" si="165"/>
        <v>100</v>
      </c>
      <c r="I558" s="47">
        <f t="shared" si="166"/>
        <v>0</v>
      </c>
      <c r="J558" s="47">
        <f t="shared" si="167"/>
        <v>19.172879283226099</v>
      </c>
      <c r="K558" s="48">
        <f t="shared" si="168"/>
        <v>0</v>
      </c>
      <c r="L558" s="7">
        <f t="shared" si="169"/>
        <v>17.447320147735699</v>
      </c>
      <c r="M558" s="7">
        <f t="shared" si="170"/>
        <v>0.53646548606598898</v>
      </c>
      <c r="N558" s="7">
        <f t="shared" si="171"/>
        <v>0.58952251216042695</v>
      </c>
      <c r="O558" s="7">
        <f t="shared" si="172"/>
        <v>17.983785633801698</v>
      </c>
      <c r="P558" s="49">
        <f t="shared" si="173"/>
        <v>-0.58952251216042695</v>
      </c>
      <c r="Q558" s="54">
        <f t="shared" si="175"/>
        <v>3812.9290287136901</v>
      </c>
      <c r="R558" s="55">
        <f t="shared" si="174"/>
        <v>77.081460614760303</v>
      </c>
    </row>
    <row r="559" ht="12.800000000000001">
      <c r="A559" s="1">
        <v>555</v>
      </c>
      <c r="B559" s="44">
        <v>44100</v>
      </c>
      <c r="C559" s="45">
        <f t="shared" si="160"/>
        <v>18.260244488469699</v>
      </c>
      <c r="D559" s="3">
        <f t="shared" si="161"/>
        <v>17.169355082856899</v>
      </c>
      <c r="E559" s="46">
        <f t="shared" si="162"/>
        <v>0</v>
      </c>
      <c r="F559" s="46">
        <f t="shared" si="163"/>
        <v>17.169355082856899</v>
      </c>
      <c r="G559" s="46">
        <f t="shared" si="164"/>
        <v>100</v>
      </c>
      <c r="H559" s="46">
        <f t="shared" si="165"/>
        <v>100</v>
      </c>
      <c r="I559" s="47">
        <f t="shared" si="166"/>
        <v>0</v>
      </c>
      <c r="J559" s="47">
        <f t="shared" si="167"/>
        <v>18.8674231679746</v>
      </c>
      <c r="K559" s="48">
        <f t="shared" si="168"/>
        <v>0</v>
      </c>
      <c r="L559" s="7">
        <f t="shared" si="169"/>
        <v>17.169355082856899</v>
      </c>
      <c r="M559" s="7">
        <f t="shared" si="170"/>
        <v>1.09088940561277</v>
      </c>
      <c r="N559" s="7">
        <f t="shared" si="171"/>
        <v>1.1987795666074399</v>
      </c>
      <c r="O559" s="7">
        <f t="shared" si="172"/>
        <v>18.260244488469699</v>
      </c>
      <c r="P559" s="49">
        <f t="shared" si="173"/>
        <v>-1.1987795666074399</v>
      </c>
      <c r="Q559" s="54">
        <f t="shared" si="175"/>
        <v>3812.3395062015302</v>
      </c>
      <c r="R559" s="55">
        <f t="shared" si="174"/>
        <v>77.075727396110906</v>
      </c>
    </row>
    <row r="560" ht="12.800000000000001">
      <c r="A560" s="1">
        <v>556</v>
      </c>
      <c r="B560" s="44">
        <v>44101</v>
      </c>
      <c r="C560" s="45">
        <f t="shared" si="160"/>
        <v>18.536086160217099</v>
      </c>
      <c r="D560" s="3">
        <f t="shared" si="161"/>
        <v>16.892010563450299</v>
      </c>
      <c r="E560" s="46">
        <f t="shared" si="162"/>
        <v>0</v>
      </c>
      <c r="F560" s="46">
        <f t="shared" si="163"/>
        <v>16.892010563450299</v>
      </c>
      <c r="G560" s="46">
        <f t="shared" si="164"/>
        <v>100</v>
      </c>
      <c r="H560" s="46">
        <f t="shared" si="165"/>
        <v>100</v>
      </c>
      <c r="I560" s="47">
        <f t="shared" si="166"/>
        <v>0</v>
      </c>
      <c r="J560" s="47">
        <f t="shared" si="167"/>
        <v>18.562648970824501</v>
      </c>
      <c r="K560" s="48">
        <f t="shared" si="168"/>
        <v>0</v>
      </c>
      <c r="L560" s="7">
        <f t="shared" si="169"/>
        <v>16.892010563450299</v>
      </c>
      <c r="M560" s="7">
        <f t="shared" si="170"/>
        <v>1.6440755967668199</v>
      </c>
      <c r="N560" s="7">
        <f t="shared" si="171"/>
        <v>1.80667647996354</v>
      </c>
      <c r="O560" s="7">
        <f t="shared" si="172"/>
        <v>18.536086160217099</v>
      </c>
      <c r="P560" s="49">
        <f t="shared" si="173"/>
        <v>-1.80667647996354</v>
      </c>
      <c r="Q560" s="54">
        <f t="shared" si="175"/>
        <v>3811.1407266349202</v>
      </c>
      <c r="R560" s="55">
        <f t="shared" si="174"/>
        <v>77.064069036631807</v>
      </c>
    </row>
    <row r="561" ht="12.800000000000001">
      <c r="A561" s="1">
        <v>557</v>
      </c>
      <c r="B561" s="44">
        <v>44102</v>
      </c>
      <c r="C561" s="45">
        <f t="shared" si="160"/>
        <v>18.811228911203699</v>
      </c>
      <c r="D561" s="3">
        <f t="shared" si="161"/>
        <v>16.6153687726827</v>
      </c>
      <c r="E561" s="46">
        <f t="shared" si="162"/>
        <v>0</v>
      </c>
      <c r="F561" s="46">
        <f t="shared" si="163"/>
        <v>16.6153687726827</v>
      </c>
      <c r="G561" s="46">
        <f t="shared" si="164"/>
        <v>100</v>
      </c>
      <c r="H561" s="46">
        <f t="shared" si="165"/>
        <v>100</v>
      </c>
      <c r="I561" s="47">
        <f t="shared" si="166"/>
        <v>0</v>
      </c>
      <c r="J561" s="47">
        <f t="shared" si="167"/>
        <v>18.258647002947999</v>
      </c>
      <c r="K561" s="48">
        <f t="shared" si="168"/>
        <v>0</v>
      </c>
      <c r="L561" s="7">
        <f t="shared" si="169"/>
        <v>16.6153687726827</v>
      </c>
      <c r="M561" s="7">
        <f t="shared" si="170"/>
        <v>2.1958601385210001</v>
      </c>
      <c r="N561" s="7">
        <f t="shared" si="171"/>
        <v>2.4130331192538499</v>
      </c>
      <c r="O561" s="7">
        <f t="shared" si="172"/>
        <v>18.811228911203699</v>
      </c>
      <c r="P561" s="49">
        <f t="shared" si="173"/>
        <v>-2.4130331192538499</v>
      </c>
      <c r="Q561" s="54">
        <f t="shared" si="175"/>
        <v>3809.3340501549601</v>
      </c>
      <c r="R561" s="55">
        <f t="shared" si="174"/>
        <v>77.046498763954105</v>
      </c>
    </row>
    <row r="562" ht="12.800000000000001">
      <c r="A562" s="1">
        <v>558</v>
      </c>
      <c r="B562" s="44">
        <v>44103</v>
      </c>
      <c r="C562" s="45">
        <f t="shared" si="160"/>
        <v>19.085591210694002</v>
      </c>
      <c r="D562" s="3">
        <f t="shared" si="161"/>
        <v>16.339511685487</v>
      </c>
      <c r="E562" s="46">
        <f t="shared" si="162"/>
        <v>0</v>
      </c>
      <c r="F562" s="46">
        <f t="shared" si="163"/>
        <v>16.339511685487</v>
      </c>
      <c r="G562" s="46">
        <f t="shared" si="164"/>
        <v>100</v>
      </c>
      <c r="H562" s="46">
        <f t="shared" si="165"/>
        <v>100</v>
      </c>
      <c r="I562" s="47">
        <f t="shared" si="166"/>
        <v>0</v>
      </c>
      <c r="J562" s="47">
        <f t="shared" si="167"/>
        <v>17.955507346689</v>
      </c>
      <c r="K562" s="48">
        <f t="shared" si="168"/>
        <v>0</v>
      </c>
      <c r="L562" s="7">
        <f t="shared" si="169"/>
        <v>16.339511685487</v>
      </c>
      <c r="M562" s="7">
        <f t="shared" si="170"/>
        <v>2.7460795252069898</v>
      </c>
      <c r="N562" s="7">
        <f t="shared" si="171"/>
        <v>3.0176698079197699</v>
      </c>
      <c r="O562" s="7">
        <f t="shared" si="172"/>
        <v>19.085591210694002</v>
      </c>
      <c r="P562" s="49">
        <f t="shared" si="173"/>
        <v>-3.0176698079197699</v>
      </c>
      <c r="Q562" s="54">
        <f t="shared" si="175"/>
        <v>3806.9210170357001</v>
      </c>
      <c r="R562" s="55">
        <f t="shared" si="174"/>
        <v>77.0230315575362</v>
      </c>
    </row>
    <row r="563" ht="12.800000000000001">
      <c r="A563" s="1">
        <v>559</v>
      </c>
      <c r="B563" s="44">
        <v>44104</v>
      </c>
      <c r="C563" s="45">
        <f t="shared" si="160"/>
        <v>19.359091759217701</v>
      </c>
      <c r="D563" s="3">
        <f t="shared" si="161"/>
        <v>16.0645210442718</v>
      </c>
      <c r="E563" s="46">
        <f t="shared" si="162"/>
        <v>0</v>
      </c>
      <c r="F563" s="46">
        <f t="shared" si="163"/>
        <v>16.0645210442718</v>
      </c>
      <c r="G563" s="46">
        <f t="shared" si="164"/>
        <v>100</v>
      </c>
      <c r="H563" s="46">
        <f t="shared" si="165"/>
        <v>100</v>
      </c>
      <c r="I563" s="47">
        <f t="shared" si="166"/>
        <v>0</v>
      </c>
      <c r="J563" s="47">
        <f t="shared" si="167"/>
        <v>17.653319828870099</v>
      </c>
      <c r="K563" s="48">
        <f t="shared" si="168"/>
        <v>0</v>
      </c>
      <c r="L563" s="7">
        <f t="shared" si="169"/>
        <v>16.0645210442718</v>
      </c>
      <c r="M563" s="7">
        <f t="shared" si="170"/>
        <v>3.2945707149458698</v>
      </c>
      <c r="N563" s="7">
        <f t="shared" si="171"/>
        <v>3.6204073790614002</v>
      </c>
      <c r="O563" s="7">
        <f t="shared" si="172"/>
        <v>19.359091759217701</v>
      </c>
      <c r="P563" s="49">
        <f t="shared" si="173"/>
        <v>-3.6204073790614002</v>
      </c>
      <c r="Q563" s="54">
        <f t="shared" si="175"/>
        <v>3803.9033472277802</v>
      </c>
      <c r="R563" s="55">
        <f t="shared" si="174"/>
        <v>76.993684144225298</v>
      </c>
    </row>
    <row r="564" ht="12.800000000000001">
      <c r="A564" s="1">
        <v>560</v>
      </c>
      <c r="B564" s="44">
        <v>44105</v>
      </c>
      <c r="C564" s="45">
        <f t="shared" si="160"/>
        <v>19.631649512659401</v>
      </c>
      <c r="D564" s="3">
        <f t="shared" si="161"/>
        <v>15.790478334698699</v>
      </c>
      <c r="E564" s="46">
        <f t="shared" si="162"/>
        <v>0</v>
      </c>
      <c r="F564" s="46">
        <f t="shared" si="163"/>
        <v>15.790478334698699</v>
      </c>
      <c r="G564" s="46">
        <f t="shared" si="164"/>
        <v>100</v>
      </c>
      <c r="H564" s="46">
        <f t="shared" si="165"/>
        <v>100</v>
      </c>
      <c r="I564" s="47">
        <f t="shared" si="166"/>
        <v>0</v>
      </c>
      <c r="J564" s="47">
        <f t="shared" si="167"/>
        <v>17.3521739941744</v>
      </c>
      <c r="K564" s="48">
        <f t="shared" si="168"/>
        <v>0</v>
      </c>
      <c r="L564" s="7">
        <f t="shared" si="169"/>
        <v>15.790478334698699</v>
      </c>
      <c r="M564" s="7">
        <f t="shared" si="170"/>
        <v>3.8411711779607098</v>
      </c>
      <c r="N564" s="7">
        <f t="shared" si="171"/>
        <v>4.22106722852826</v>
      </c>
      <c r="O564" s="7">
        <f t="shared" si="172"/>
        <v>19.631649512659401</v>
      </c>
      <c r="P564" s="49">
        <f t="shared" si="173"/>
        <v>-4.22106722852826</v>
      </c>
      <c r="Q564" s="54">
        <f t="shared" si="175"/>
        <v>3800.2829398487202</v>
      </c>
      <c r="R564" s="55">
        <f t="shared" si="174"/>
        <v>76.958474993300896</v>
      </c>
    </row>
    <row r="565" ht="12.800000000000001">
      <c r="A565" s="1">
        <v>561</v>
      </c>
      <c r="B565" s="44">
        <v>44106</v>
      </c>
      <c r="C565" s="45">
        <f t="shared" si="160"/>
        <v>19.903183706274699</v>
      </c>
      <c r="D565" s="3">
        <f t="shared" si="161"/>
        <v>15.517464761536999</v>
      </c>
      <c r="E565" s="46">
        <f t="shared" si="162"/>
        <v>0</v>
      </c>
      <c r="F565" s="46">
        <f t="shared" si="163"/>
        <v>15.517464761536999</v>
      </c>
      <c r="G565" s="46">
        <f t="shared" si="164"/>
        <v>100</v>
      </c>
      <c r="H565" s="46">
        <f t="shared" si="165"/>
        <v>100</v>
      </c>
      <c r="I565" s="47">
        <f t="shared" si="166"/>
        <v>0</v>
      </c>
      <c r="J565" s="47">
        <f t="shared" si="167"/>
        <v>17.052159078612</v>
      </c>
      <c r="K565" s="48">
        <f t="shared" si="168"/>
        <v>0</v>
      </c>
      <c r="L565" s="7">
        <f t="shared" si="169"/>
        <v>15.517464761536999</v>
      </c>
      <c r="M565" s="7">
        <f t="shared" si="170"/>
        <v>4.3857189447377802</v>
      </c>
      <c r="N565" s="7">
        <f t="shared" si="171"/>
        <v>4.8194713678437102</v>
      </c>
      <c r="O565" s="7">
        <f t="shared" si="172"/>
        <v>19.903183706274699</v>
      </c>
      <c r="P565" s="49">
        <f t="shared" si="173"/>
        <v>-4.8194713678437102</v>
      </c>
      <c r="Q565" s="54">
        <f t="shared" si="175"/>
        <v>3796.0618726201901</v>
      </c>
      <c r="R565" s="55">
        <f t="shared" si="174"/>
        <v>76.917424311001696</v>
      </c>
    </row>
    <row r="566" ht="12.800000000000001">
      <c r="A566" s="1">
        <v>562</v>
      </c>
      <c r="B566" s="44">
        <v>44107</v>
      </c>
      <c r="C566" s="45">
        <f t="shared" si="160"/>
        <v>20.173613878621801</v>
      </c>
      <c r="D566" s="3">
        <f t="shared" si="161"/>
        <v>15.245561224600401</v>
      </c>
      <c r="E566" s="46">
        <f t="shared" si="162"/>
        <v>0</v>
      </c>
      <c r="F566" s="46">
        <f t="shared" si="163"/>
        <v>15.245561224600401</v>
      </c>
      <c r="G566" s="46">
        <f t="shared" si="164"/>
        <v>100</v>
      </c>
      <c r="H566" s="46">
        <f t="shared" si="165"/>
        <v>100</v>
      </c>
      <c r="I566" s="47">
        <f t="shared" si="166"/>
        <v>0</v>
      </c>
      <c r="J566" s="47">
        <f t="shared" si="167"/>
        <v>16.753363983077399</v>
      </c>
      <c r="K566" s="48">
        <f t="shared" si="168"/>
        <v>0</v>
      </c>
      <c r="L566" s="7">
        <f t="shared" si="169"/>
        <v>15.245561224600401</v>
      </c>
      <c r="M566" s="7">
        <f t="shared" si="170"/>
        <v>4.9280526540213598</v>
      </c>
      <c r="N566" s="7">
        <f t="shared" si="171"/>
        <v>5.4154424769465397</v>
      </c>
      <c r="O566" s="7">
        <f t="shared" si="172"/>
        <v>20.173613878621801</v>
      </c>
      <c r="P566" s="49">
        <f t="shared" si="173"/>
        <v>-5.4154424769465397</v>
      </c>
      <c r="Q566" s="54">
        <f t="shared" si="175"/>
        <v>3791.2424012523502</v>
      </c>
      <c r="R566" s="55">
        <f t="shared" si="174"/>
        <v>76.870554034538401</v>
      </c>
    </row>
    <row r="567" ht="12.800000000000001">
      <c r="A567" s="1">
        <v>563</v>
      </c>
      <c r="B567" s="44">
        <v>44108</v>
      </c>
      <c r="C567" s="45">
        <f t="shared" si="160"/>
        <v>20.442859895404101</v>
      </c>
      <c r="D567" s="3">
        <f t="shared" si="161"/>
        <v>14.9748482947752</v>
      </c>
      <c r="E567" s="46">
        <f t="shared" si="162"/>
        <v>0</v>
      </c>
      <c r="F567" s="46">
        <f t="shared" si="163"/>
        <v>14.9748482947752</v>
      </c>
      <c r="G567" s="46">
        <f t="shared" si="164"/>
        <v>100</v>
      </c>
      <c r="H567" s="46">
        <f t="shared" si="165"/>
        <v>100</v>
      </c>
      <c r="I567" s="47">
        <f t="shared" si="166"/>
        <v>0</v>
      </c>
      <c r="J567" s="47">
        <f t="shared" si="167"/>
        <v>16.455877247005699</v>
      </c>
      <c r="K567" s="48">
        <f t="shared" si="168"/>
        <v>0</v>
      </c>
      <c r="L567" s="7">
        <f t="shared" si="169"/>
        <v>14.9748482947752</v>
      </c>
      <c r="M567" s="7">
        <f t="shared" si="170"/>
        <v>5.4680116006289197</v>
      </c>
      <c r="N567" s="7">
        <f t="shared" si="171"/>
        <v>6.0088039567350702</v>
      </c>
      <c r="O567" s="7">
        <f t="shared" si="172"/>
        <v>20.442859895404101</v>
      </c>
      <c r="P567" s="49">
        <f t="shared" si="173"/>
        <v>-6.0088039567350702</v>
      </c>
      <c r="Q567" s="54">
        <f t="shared" si="175"/>
        <v>3785.8269587753998</v>
      </c>
      <c r="R567" s="55">
        <f t="shared" si="174"/>
        <v>76.817887825593004</v>
      </c>
    </row>
    <row r="568" ht="12.800000000000001">
      <c r="A568" s="1">
        <v>564</v>
      </c>
      <c r="B568" s="44">
        <v>44109</v>
      </c>
      <c r="C568" s="45">
        <f t="shared" si="160"/>
        <v>20.710841973216301</v>
      </c>
      <c r="D568" s="3">
        <f t="shared" si="161"/>
        <v>14.705406190144901</v>
      </c>
      <c r="E568" s="46">
        <f t="shared" si="162"/>
        <v>0</v>
      </c>
      <c r="F568" s="46">
        <f t="shared" si="163"/>
        <v>14.705406190144901</v>
      </c>
      <c r="G568" s="46">
        <f t="shared" si="164"/>
        <v>100</v>
      </c>
      <c r="H568" s="46">
        <f t="shared" si="165"/>
        <v>100</v>
      </c>
      <c r="I568" s="47">
        <f t="shared" si="166"/>
        <v>0</v>
      </c>
      <c r="J568" s="47">
        <f t="shared" si="167"/>
        <v>16.159787022137301</v>
      </c>
      <c r="K568" s="48">
        <f t="shared" si="168"/>
        <v>0</v>
      </c>
      <c r="L568" s="7">
        <f t="shared" si="169"/>
        <v>14.705406190144901</v>
      </c>
      <c r="M568" s="7">
        <f t="shared" si="170"/>
        <v>6.0054357830713698</v>
      </c>
      <c r="N568" s="7">
        <f t="shared" si="171"/>
        <v>6.5993799813971101</v>
      </c>
      <c r="O568" s="7">
        <f t="shared" si="172"/>
        <v>20.710841973216301</v>
      </c>
      <c r="P568" s="49">
        <f t="shared" si="173"/>
        <v>-6.5993799813971101</v>
      </c>
      <c r="Q568" s="54">
        <f t="shared" si="175"/>
        <v>3779.8181548186699</v>
      </c>
      <c r="R568" s="55">
        <f t="shared" si="174"/>
        <v>76.759451063307196</v>
      </c>
    </row>
    <row r="569" ht="12.800000000000001">
      <c r="A569" s="1">
        <v>565</v>
      </c>
      <c r="B569" s="44">
        <v>44110</v>
      </c>
      <c r="C569" s="45">
        <f t="shared" si="160"/>
        <v>20.977480703185002</v>
      </c>
      <c r="D569" s="3">
        <f t="shared" si="161"/>
        <v>14.4373147522202</v>
      </c>
      <c r="E569" s="46">
        <f t="shared" si="162"/>
        <v>0</v>
      </c>
      <c r="F569" s="46">
        <f t="shared" si="163"/>
        <v>14.4373147522202</v>
      </c>
      <c r="G569" s="46">
        <f t="shared" si="164"/>
        <v>100</v>
      </c>
      <c r="H569" s="46">
        <f t="shared" si="165"/>
        <v>100</v>
      </c>
      <c r="I569" s="47">
        <f t="shared" si="166"/>
        <v>0</v>
      </c>
      <c r="J569" s="47">
        <f t="shared" si="167"/>
        <v>15.865181046395801</v>
      </c>
      <c r="K569" s="48">
        <f t="shared" si="168"/>
        <v>0</v>
      </c>
      <c r="L569" s="7">
        <f t="shared" si="169"/>
        <v>14.4373147522202</v>
      </c>
      <c r="M569" s="7">
        <f t="shared" si="170"/>
        <v>6.5401659509647798</v>
      </c>
      <c r="N569" s="7">
        <f t="shared" si="171"/>
        <v>7.1869955505107397</v>
      </c>
      <c r="O569" s="7">
        <f t="shared" si="172"/>
        <v>20.977480703185002</v>
      </c>
      <c r="P569" s="49">
        <f t="shared" si="173"/>
        <v>-7.1869955505107397</v>
      </c>
      <c r="Q569" s="54">
        <f t="shared" si="175"/>
        <v>3773.2187748372698</v>
      </c>
      <c r="R569" s="55">
        <f t="shared" si="174"/>
        <v>76.695270836762404</v>
      </c>
    </row>
    <row r="570" ht="12.800000000000001">
      <c r="A570" s="1">
        <v>566</v>
      </c>
      <c r="B570" s="44">
        <v>44111</v>
      </c>
      <c r="C570" s="45">
        <f t="shared" si="160"/>
        <v>21.242697074500001</v>
      </c>
      <c r="D570" s="3">
        <f t="shared" si="161"/>
        <v>14.1706534222799</v>
      </c>
      <c r="E570" s="46">
        <f t="shared" si="162"/>
        <v>0</v>
      </c>
      <c r="F570" s="46">
        <f t="shared" si="163"/>
        <v>14.1706534222799</v>
      </c>
      <c r="G570" s="46">
        <f t="shared" si="164"/>
        <v>100</v>
      </c>
      <c r="H570" s="46">
        <f t="shared" si="165"/>
        <v>100</v>
      </c>
      <c r="I570" s="47">
        <f t="shared" si="166"/>
        <v>0</v>
      </c>
      <c r="J570" s="47">
        <f t="shared" si="167"/>
        <v>15.572146617890001</v>
      </c>
      <c r="K570" s="48">
        <f t="shared" si="168"/>
        <v>0</v>
      </c>
      <c r="L570" s="7">
        <f t="shared" si="169"/>
        <v>14.1706534222799</v>
      </c>
      <c r="M570" s="7">
        <f t="shared" si="170"/>
        <v>7.0720436522200396</v>
      </c>
      <c r="N570" s="7">
        <f t="shared" si="171"/>
        <v>7.7714765409011397</v>
      </c>
      <c r="O570" s="7">
        <f t="shared" si="172"/>
        <v>21.242697074500001</v>
      </c>
      <c r="P570" s="49">
        <f t="shared" si="173"/>
        <v>-7.7714765409011397</v>
      </c>
      <c r="Q570" s="54">
        <f t="shared" si="175"/>
        <v>3766.03177928676</v>
      </c>
      <c r="R570" s="55">
        <f t="shared" si="174"/>
        <v>76.625375936952395</v>
      </c>
    </row>
    <row r="571" ht="12.800000000000001">
      <c r="A571" s="1">
        <v>567</v>
      </c>
      <c r="B571" s="44">
        <v>44112</v>
      </c>
      <c r="C571" s="45">
        <f t="shared" si="160"/>
        <v>21.506412497826702</v>
      </c>
      <c r="D571" s="3">
        <f t="shared" si="161"/>
        <v>13.905501217831301</v>
      </c>
      <c r="E571" s="46">
        <f t="shared" si="162"/>
        <v>0</v>
      </c>
      <c r="F571" s="46">
        <f t="shared" si="163"/>
        <v>13.905501217831301</v>
      </c>
      <c r="G571" s="46">
        <f t="shared" si="164"/>
        <v>100</v>
      </c>
      <c r="H571" s="46">
        <f t="shared" si="165"/>
        <v>100</v>
      </c>
      <c r="I571" s="47">
        <f t="shared" si="166"/>
        <v>0</v>
      </c>
      <c r="J571" s="47">
        <f t="shared" si="167"/>
        <v>15.2807705690453</v>
      </c>
      <c r="K571" s="48">
        <f t="shared" si="168"/>
        <v>0</v>
      </c>
      <c r="L571" s="7">
        <f t="shared" si="169"/>
        <v>13.905501217831301</v>
      </c>
      <c r="M571" s="7">
        <f t="shared" si="170"/>
        <v>7.6009112799954499</v>
      </c>
      <c r="N571" s="7">
        <f t="shared" si="171"/>
        <v>8.35264975823676</v>
      </c>
      <c r="O571" s="7">
        <f t="shared" si="172"/>
        <v>21.506412497826702</v>
      </c>
      <c r="P571" s="49">
        <f t="shared" si="173"/>
        <v>-8.35264975823676</v>
      </c>
      <c r="Q571" s="54">
        <f t="shared" si="175"/>
        <v>3758.2603027458599</v>
      </c>
      <c r="R571" s="55">
        <f t="shared" si="174"/>
        <v>76.549796848251901</v>
      </c>
    </row>
    <row r="572" ht="12.800000000000001">
      <c r="A572" s="1">
        <v>568</v>
      </c>
      <c r="B572" s="44">
        <v>44113</v>
      </c>
      <c r="C572" s="45">
        <f t="shared" si="160"/>
        <v>21.768548828593701</v>
      </c>
      <c r="D572" s="3">
        <f t="shared" si="161"/>
        <v>13.6419367091948</v>
      </c>
      <c r="E572" s="46">
        <f t="shared" si="162"/>
        <v>0</v>
      </c>
      <c r="F572" s="46">
        <f t="shared" si="163"/>
        <v>13.6419367091948</v>
      </c>
      <c r="G572" s="46">
        <f t="shared" si="164"/>
        <v>100</v>
      </c>
      <c r="H572" s="46">
        <f t="shared" si="165"/>
        <v>100</v>
      </c>
      <c r="I572" s="47">
        <f t="shared" si="166"/>
        <v>0</v>
      </c>
      <c r="J572" s="47">
        <f t="shared" si="167"/>
        <v>14.9911392408734</v>
      </c>
      <c r="K572" s="48">
        <f t="shared" si="168"/>
        <v>0</v>
      </c>
      <c r="L572" s="7">
        <f t="shared" si="169"/>
        <v>13.6419367091948</v>
      </c>
      <c r="M572" s="7">
        <f t="shared" si="170"/>
        <v>8.12661211939891</v>
      </c>
      <c r="N572" s="7">
        <f t="shared" si="171"/>
        <v>8.9303429883504499</v>
      </c>
      <c r="O572" s="7">
        <f t="shared" si="172"/>
        <v>21.768548828593701</v>
      </c>
      <c r="P572" s="49">
        <f t="shared" si="173"/>
        <v>-8.9303429883504499</v>
      </c>
      <c r="Q572" s="54">
        <f t="shared" si="175"/>
        <v>3749.9076529876202</v>
      </c>
      <c r="R572" s="55">
        <f t="shared" si="174"/>
        <v>76.468565739383493</v>
      </c>
    </row>
    <row r="573" ht="12.800000000000001">
      <c r="A573" s="1">
        <v>569</v>
      </c>
      <c r="B573" s="44">
        <v>44114</v>
      </c>
      <c r="C573" s="45">
        <f t="shared" si="160"/>
        <v>22.029028390148898</v>
      </c>
      <c r="D573" s="3">
        <f t="shared" si="161"/>
        <v>13.380037996222701</v>
      </c>
      <c r="E573" s="46">
        <f t="shared" si="162"/>
        <v>0</v>
      </c>
      <c r="F573" s="46">
        <f t="shared" si="163"/>
        <v>13.380037996222701</v>
      </c>
      <c r="G573" s="46">
        <f t="shared" si="164"/>
        <v>100</v>
      </c>
      <c r="H573" s="46">
        <f t="shared" si="165"/>
        <v>100</v>
      </c>
      <c r="I573" s="47">
        <f t="shared" si="166"/>
        <v>0</v>
      </c>
      <c r="J573" s="47">
        <f t="shared" si="167"/>
        <v>14.7033384573876</v>
      </c>
      <c r="K573" s="48">
        <f t="shared" si="168"/>
        <v>0</v>
      </c>
      <c r="L573" s="7">
        <f t="shared" si="169"/>
        <v>13.380037996222701</v>
      </c>
      <c r="M573" s="7">
        <f t="shared" si="170"/>
        <v>8.6489903939261907</v>
      </c>
      <c r="N573" s="7">
        <f t="shared" si="171"/>
        <v>9.5043850482705405</v>
      </c>
      <c r="O573" s="7">
        <f t="shared" si="172"/>
        <v>22.029028390148898</v>
      </c>
      <c r="P573" s="49">
        <f t="shared" si="173"/>
        <v>-9.5043850482705405</v>
      </c>
      <c r="Q573" s="54">
        <f t="shared" si="175"/>
        <v>3740.9773099992699</v>
      </c>
      <c r="R573" s="55">
        <f t="shared" si="174"/>
        <v>76.381716453885403</v>
      </c>
    </row>
    <row r="574" ht="12.800000000000001">
      <c r="A574" s="1">
        <v>570</v>
      </c>
      <c r="B574" s="44">
        <v>44115</v>
      </c>
      <c r="C574" s="45">
        <f t="shared" si="160"/>
        <v>22.287773996776401</v>
      </c>
      <c r="D574" s="3">
        <f t="shared" si="161"/>
        <v>13.1198826851557</v>
      </c>
      <c r="E574" s="46">
        <f t="shared" si="162"/>
        <v>0</v>
      </c>
      <c r="F574" s="46">
        <f t="shared" si="163"/>
        <v>13.1198826851557</v>
      </c>
      <c r="G574" s="46">
        <f t="shared" si="164"/>
        <v>100</v>
      </c>
      <c r="H574" s="46">
        <f t="shared" si="165"/>
        <v>100</v>
      </c>
      <c r="I574" s="47">
        <f t="shared" si="166"/>
        <v>0</v>
      </c>
      <c r="J574" s="47">
        <f t="shared" si="167"/>
        <v>14.417453500171099</v>
      </c>
      <c r="K574" s="48">
        <f t="shared" si="168"/>
        <v>0</v>
      </c>
      <c r="L574" s="7">
        <f t="shared" si="169"/>
        <v>13.1198826851557</v>
      </c>
      <c r="M574" s="7">
        <f t="shared" si="170"/>
        <v>9.1678913116207106</v>
      </c>
      <c r="N574" s="7">
        <f t="shared" si="171"/>
        <v>10.0746058369458</v>
      </c>
      <c r="O574" s="7">
        <f t="shared" si="172"/>
        <v>22.287773996776401</v>
      </c>
      <c r="P574" s="49">
        <f t="shared" si="173"/>
        <v>-10.0746058369458</v>
      </c>
      <c r="Q574" s="54">
        <f t="shared" si="175"/>
        <v>3731.4729249510001</v>
      </c>
      <c r="R574" s="55">
        <f t="shared" si="174"/>
        <v>76.289284500082701</v>
      </c>
    </row>
    <row r="575" ht="12.800000000000001">
      <c r="A575" s="1">
        <v>571</v>
      </c>
      <c r="B575" s="44">
        <v>44116</v>
      </c>
      <c r="C575" s="45">
        <f t="shared" si="160"/>
        <v>22.544708976569101</v>
      </c>
      <c r="D575" s="3">
        <f t="shared" si="161"/>
        <v>12.861547865627299</v>
      </c>
      <c r="E575" s="46">
        <f t="shared" si="162"/>
        <v>0</v>
      </c>
      <c r="F575" s="46">
        <f t="shared" si="163"/>
        <v>12.861547865627299</v>
      </c>
      <c r="G575" s="46">
        <f t="shared" si="164"/>
        <v>100</v>
      </c>
      <c r="H575" s="46">
        <f t="shared" si="165"/>
        <v>100</v>
      </c>
      <c r="I575" s="47">
        <f t="shared" si="166"/>
        <v>0</v>
      </c>
      <c r="J575" s="47">
        <f t="shared" si="167"/>
        <v>14.133569083106901</v>
      </c>
      <c r="K575" s="48">
        <f t="shared" si="168"/>
        <v>0</v>
      </c>
      <c r="L575" s="7">
        <f t="shared" si="169"/>
        <v>12.861547865627299</v>
      </c>
      <c r="M575" s="7">
        <f t="shared" si="170"/>
        <v>9.6831611109418105</v>
      </c>
      <c r="N575" s="7">
        <f t="shared" si="171"/>
        <v>10.640836385650299</v>
      </c>
      <c r="O575" s="7">
        <f t="shared" si="172"/>
        <v>22.544708976569101</v>
      </c>
      <c r="P575" s="49">
        <f t="shared" si="173"/>
        <v>-10.640836385650299</v>
      </c>
      <c r="Q575" s="54">
        <f t="shared" si="175"/>
        <v>3721.3983191140601</v>
      </c>
      <c r="R575" s="55">
        <f t="shared" si="174"/>
        <v>76.191307040565704</v>
      </c>
    </row>
    <row r="576" ht="12.800000000000001">
      <c r="A576" s="1">
        <v>572</v>
      </c>
      <c r="B576" s="44">
        <v>44117</v>
      </c>
      <c r="C576" s="45">
        <f t="shared" si="160"/>
        <v>22.799757194146999</v>
      </c>
      <c r="D576" s="3">
        <f t="shared" si="161"/>
        <v>12.6051100878196</v>
      </c>
      <c r="E576" s="46">
        <f t="shared" si="162"/>
        <v>0</v>
      </c>
      <c r="F576" s="46">
        <f t="shared" si="163"/>
        <v>12.6051100878196</v>
      </c>
      <c r="G576" s="46">
        <f t="shared" si="164"/>
        <v>100</v>
      </c>
      <c r="H576" s="46">
        <f t="shared" si="165"/>
        <v>100</v>
      </c>
      <c r="I576" s="47">
        <f t="shared" si="166"/>
        <v>0</v>
      </c>
      <c r="J576" s="47">
        <f t="shared" si="167"/>
        <v>13.851769327274299</v>
      </c>
      <c r="K576" s="48">
        <f t="shared" si="168"/>
        <v>0</v>
      </c>
      <c r="L576" s="7">
        <f t="shared" si="169"/>
        <v>12.6051100878196</v>
      </c>
      <c r="M576" s="7">
        <f t="shared" si="170"/>
        <v>10.1946471063274</v>
      </c>
      <c r="N576" s="7">
        <f t="shared" si="171"/>
        <v>11.2029089080521</v>
      </c>
      <c r="O576" s="7">
        <f t="shared" si="172"/>
        <v>22.799757194146999</v>
      </c>
      <c r="P576" s="49">
        <f t="shared" si="173"/>
        <v>-11.2029089080521</v>
      </c>
      <c r="Q576" s="54">
        <f t="shared" si="175"/>
        <v>3710.7574827284102</v>
      </c>
      <c r="R576" s="55">
        <f t="shared" si="174"/>
        <v>76.087822881177701</v>
      </c>
    </row>
    <row r="577" ht="12.800000000000001">
      <c r="A577" s="1">
        <v>573</v>
      </c>
      <c r="B577" s="44">
        <v>44118</v>
      </c>
      <c r="C577" s="45">
        <f t="shared" si="160"/>
        <v>23.052843073219101</v>
      </c>
      <c r="D577" s="3">
        <f t="shared" si="161"/>
        <v>12.350645339780799</v>
      </c>
      <c r="E577" s="46">
        <f t="shared" si="162"/>
        <v>0</v>
      </c>
      <c r="F577" s="46">
        <f t="shared" si="163"/>
        <v>12.350645339780799</v>
      </c>
      <c r="G577" s="46">
        <f t="shared" si="164"/>
        <v>100</v>
      </c>
      <c r="H577" s="46">
        <f t="shared" si="165"/>
        <v>100</v>
      </c>
      <c r="I577" s="47">
        <f t="shared" si="166"/>
        <v>0</v>
      </c>
      <c r="J577" s="47">
        <f t="shared" si="167"/>
        <v>13.5721377360228</v>
      </c>
      <c r="K577" s="48">
        <f t="shared" si="168"/>
        <v>0</v>
      </c>
      <c r="L577" s="7">
        <f t="shared" si="169"/>
        <v>12.350645339780799</v>
      </c>
      <c r="M577" s="7">
        <f t="shared" si="170"/>
        <v>10.7021977334384</v>
      </c>
      <c r="N577" s="7">
        <f t="shared" si="171"/>
        <v>11.7606568499323</v>
      </c>
      <c r="O577" s="7">
        <f t="shared" si="172"/>
        <v>23.052843073219101</v>
      </c>
      <c r="P577" s="49">
        <f t="shared" si="173"/>
        <v>-11.7606568499323</v>
      </c>
      <c r="Q577" s="54">
        <f t="shared" si="175"/>
        <v>3699.55457382035</v>
      </c>
      <c r="R577" s="55">
        <f t="shared" si="174"/>
        <v>75.978872459515898</v>
      </c>
    </row>
    <row r="578" ht="12.800000000000001">
      <c r="A578" s="1">
        <v>574</v>
      </c>
      <c r="B578" s="44">
        <v>44119</v>
      </c>
      <c r="C578" s="45">
        <f t="shared" si="160"/>
        <v>23.3038916189773</v>
      </c>
      <c r="D578" s="3">
        <f t="shared" si="161"/>
        <v>12.098229024907299</v>
      </c>
      <c r="E578" s="46">
        <f t="shared" si="162"/>
        <v>0</v>
      </c>
      <c r="F578" s="46">
        <f t="shared" si="163"/>
        <v>12.098229024907299</v>
      </c>
      <c r="G578" s="46">
        <f t="shared" si="164"/>
        <v>100</v>
      </c>
      <c r="H578" s="46">
        <f t="shared" si="165"/>
        <v>100</v>
      </c>
      <c r="I578" s="47">
        <f t="shared" si="166"/>
        <v>0</v>
      </c>
      <c r="J578" s="47">
        <f t="shared" si="167"/>
        <v>13.2947571702278</v>
      </c>
      <c r="K578" s="48">
        <f t="shared" si="168"/>
        <v>0</v>
      </c>
      <c r="L578" s="7">
        <f t="shared" si="169"/>
        <v>12.098229024907299</v>
      </c>
      <c r="M578" s="7">
        <f t="shared" si="170"/>
        <v>11.2056625940701</v>
      </c>
      <c r="N578" s="7">
        <f t="shared" si="171"/>
        <v>12.313914938538501</v>
      </c>
      <c r="O578" s="7">
        <f t="shared" si="172"/>
        <v>23.3038916189773</v>
      </c>
      <c r="P578" s="49">
        <f t="shared" si="173"/>
        <v>-12.313914938538501</v>
      </c>
      <c r="Q578" s="54">
        <f t="shared" si="175"/>
        <v>3687.79391697042</v>
      </c>
      <c r="R578" s="55">
        <f t="shared" si="174"/>
        <v>75.864497832949198</v>
      </c>
    </row>
    <row r="579" ht="12.800000000000001">
      <c r="A579" s="1">
        <v>575</v>
      </c>
      <c r="B579" s="44">
        <v>44120</v>
      </c>
      <c r="C579" s="45">
        <f t="shared" si="160"/>
        <v>23.552828440319502</v>
      </c>
      <c r="D579" s="3">
        <f t="shared" si="161"/>
        <v>11.8479359396009</v>
      </c>
      <c r="E579" s="46">
        <f t="shared" si="162"/>
        <v>0</v>
      </c>
      <c r="F579" s="46">
        <f t="shared" si="163"/>
        <v>11.8479359396009</v>
      </c>
      <c r="G579" s="46">
        <f t="shared" si="164"/>
        <v>100</v>
      </c>
      <c r="H579" s="46">
        <f t="shared" si="165"/>
        <v>100</v>
      </c>
      <c r="I579" s="47">
        <f t="shared" si="166"/>
        <v>0</v>
      </c>
      <c r="J579" s="47">
        <f t="shared" si="167"/>
        <v>13.019709823737299</v>
      </c>
      <c r="K579" s="48">
        <f t="shared" si="168"/>
        <v>0</v>
      </c>
      <c r="L579" s="7">
        <f t="shared" si="169"/>
        <v>11.8479359396009</v>
      </c>
      <c r="M579" s="7">
        <f t="shared" si="170"/>
        <v>11.704892500718501</v>
      </c>
      <c r="N579" s="7">
        <f t="shared" si="171"/>
        <v>12.8625192315588</v>
      </c>
      <c r="O579" s="7">
        <f t="shared" si="172"/>
        <v>23.552828440319502</v>
      </c>
      <c r="P579" s="49">
        <f t="shared" si="173"/>
        <v>-12.8625192315588</v>
      </c>
      <c r="Q579" s="54">
        <f t="shared" si="175"/>
        <v>3675.4800020318798</v>
      </c>
      <c r="R579" s="55">
        <f t="shared" si="174"/>
        <v>75.744742666155304</v>
      </c>
    </row>
    <row r="580" ht="12.800000000000001">
      <c r="A580" s="1">
        <v>576</v>
      </c>
      <c r="B580" s="44">
        <v>44121</v>
      </c>
      <c r="C580" s="45">
        <f t="shared" si="160"/>
        <v>23.799579771892901</v>
      </c>
      <c r="D580" s="3">
        <f t="shared" si="161"/>
        <v>11.5998402511047</v>
      </c>
      <c r="E580" s="46">
        <f t="shared" si="162"/>
        <v>0</v>
      </c>
      <c r="F580" s="46">
        <f t="shared" si="163"/>
        <v>11.5998402511047</v>
      </c>
      <c r="G580" s="46">
        <f t="shared" si="164"/>
        <v>100</v>
      </c>
      <c r="H580" s="46">
        <f t="shared" si="165"/>
        <v>100</v>
      </c>
      <c r="I580" s="47">
        <f t="shared" si="166"/>
        <v>0</v>
      </c>
      <c r="J580" s="47">
        <f t="shared" si="167"/>
        <v>12.7470771990161</v>
      </c>
      <c r="K580" s="48">
        <f t="shared" si="168"/>
        <v>0</v>
      </c>
      <c r="L580" s="7">
        <f t="shared" si="169"/>
        <v>11.5998402511047</v>
      </c>
      <c r="M580" s="7">
        <f t="shared" si="170"/>
        <v>12.199739520788199</v>
      </c>
      <c r="N580" s="7">
        <f t="shared" si="171"/>
        <v>13.406307165701399</v>
      </c>
      <c r="O580" s="7">
        <f t="shared" si="172"/>
        <v>23.799579771892901</v>
      </c>
      <c r="P580" s="49">
        <f t="shared" si="173"/>
        <v>-13.406307165701399</v>
      </c>
      <c r="Q580" s="54">
        <f t="shared" si="175"/>
        <v>3662.61748280032</v>
      </c>
      <c r="R580" s="55">
        <f t="shared" si="174"/>
        <v>75.619652218182196</v>
      </c>
    </row>
    <row r="581" ht="12.800000000000001">
      <c r="A581" s="1">
        <v>577</v>
      </c>
      <c r="B581" s="44">
        <v>44122</v>
      </c>
      <c r="C581" s="45">
        <f t="shared" si="160"/>
        <v>24.044072495952701</v>
      </c>
      <c r="D581" s="3">
        <f t="shared" si="161"/>
        <v>11.3540154755252</v>
      </c>
      <c r="E581" s="46">
        <f t="shared" si="162"/>
        <v>0</v>
      </c>
      <c r="F581" s="46">
        <f t="shared" si="163"/>
        <v>11.3540154755252</v>
      </c>
      <c r="G581" s="46">
        <f t="shared" si="164"/>
        <v>100</v>
      </c>
      <c r="H581" s="46">
        <f t="shared" si="165"/>
        <v>100</v>
      </c>
      <c r="I581" s="47">
        <f t="shared" si="166"/>
        <v>0</v>
      </c>
      <c r="J581" s="47">
        <f t="shared" si="167"/>
        <v>12.476940082994799</v>
      </c>
      <c r="K581" s="48">
        <f t="shared" si="168"/>
        <v>0</v>
      </c>
      <c r="L581" s="7">
        <f t="shared" si="169"/>
        <v>11.3540154755252</v>
      </c>
      <c r="M581" s="7">
        <f t="shared" si="170"/>
        <v>12.690057020427499</v>
      </c>
      <c r="N581" s="7">
        <f t="shared" si="171"/>
        <v>13.9451176048654</v>
      </c>
      <c r="O581" s="7">
        <f t="shared" si="172"/>
        <v>24.044072495952701</v>
      </c>
      <c r="P581" s="49">
        <f t="shared" si="173"/>
        <v>-13.9451176048654</v>
      </c>
      <c r="Q581" s="54">
        <f t="shared" si="175"/>
        <v>3649.2111756346198</v>
      </c>
      <c r="R581" s="55">
        <f t="shared" si="174"/>
        <v>75.489273329036607</v>
      </c>
    </row>
    <row r="582" ht="12.800000000000001">
      <c r="A582" s="1">
        <v>578</v>
      </c>
      <c r="B582" s="44">
        <v>44123</v>
      </c>
      <c r="C582" s="45">
        <f t="shared" si="160"/>
        <v>24.286234164028201</v>
      </c>
      <c r="D582" s="3">
        <f t="shared" si="161"/>
        <v>11.110534456049001</v>
      </c>
      <c r="E582" s="46">
        <f t="shared" si="162"/>
        <v>0</v>
      </c>
      <c r="F582" s="46">
        <f t="shared" si="163"/>
        <v>11.110534456049001</v>
      </c>
      <c r="G582" s="46">
        <f t="shared" si="164"/>
        <v>100</v>
      </c>
      <c r="H582" s="46">
        <f t="shared" si="165"/>
        <v>100</v>
      </c>
      <c r="I582" s="47">
        <f t="shared" si="166"/>
        <v>0</v>
      </c>
      <c r="J582" s="47">
        <f t="shared" si="167"/>
        <v>12.2093785231308</v>
      </c>
      <c r="K582" s="48">
        <f t="shared" si="168"/>
        <v>0</v>
      </c>
      <c r="L582" s="7">
        <f t="shared" si="169"/>
        <v>11.110534456049001</v>
      </c>
      <c r="M582" s="7">
        <f t="shared" si="170"/>
        <v>13.175699707979099</v>
      </c>
      <c r="N582" s="7">
        <f t="shared" si="171"/>
        <v>14.4787908878892</v>
      </c>
      <c r="O582" s="7">
        <f t="shared" si="172"/>
        <v>24.286234164028201</v>
      </c>
      <c r="P582" s="49">
        <f t="shared" si="173"/>
        <v>-14.4787908878892</v>
      </c>
      <c r="Q582" s="54">
        <f t="shared" si="175"/>
        <v>3635.2660580297602</v>
      </c>
      <c r="R582" s="55">
        <f t="shared" si="174"/>
        <v>75.353654405805003</v>
      </c>
    </row>
    <row r="583" ht="12.800000000000001">
      <c r="A583" s="1">
        <v>579</v>
      </c>
      <c r="B583" s="44">
        <v>44124</v>
      </c>
      <c r="C583" s="45">
        <f t="shared" si="160"/>
        <v>24.5259930183908</v>
      </c>
      <c r="D583" s="3">
        <f t="shared" si="161"/>
        <v>10.869469341356901</v>
      </c>
      <c r="E583" s="46">
        <f t="shared" si="162"/>
        <v>0</v>
      </c>
      <c r="F583" s="46">
        <f t="shared" si="163"/>
        <v>10.869469341356901</v>
      </c>
      <c r="G583" s="46">
        <f t="shared" si="164"/>
        <v>100</v>
      </c>
      <c r="H583" s="46">
        <f t="shared" si="165"/>
        <v>100</v>
      </c>
      <c r="I583" s="47">
        <f t="shared" si="166"/>
        <v>0</v>
      </c>
      <c r="J583" s="47">
        <f t="shared" si="167"/>
        <v>11.9444718036889</v>
      </c>
      <c r="K583" s="48">
        <f t="shared" si="168"/>
        <v>0</v>
      </c>
      <c r="L583" s="7">
        <f t="shared" si="169"/>
        <v>10.869469341356901</v>
      </c>
      <c r="M583" s="7">
        <f t="shared" si="170"/>
        <v>13.656523677033899</v>
      </c>
      <c r="N583" s="7">
        <f t="shared" si="171"/>
        <v>15.007168875861399</v>
      </c>
      <c r="O583" s="7">
        <f t="shared" si="172"/>
        <v>24.5259930183908</v>
      </c>
      <c r="P583" s="49">
        <f t="shared" si="173"/>
        <v>-15.007168875861399</v>
      </c>
      <c r="Q583" s="54">
        <f t="shared" si="175"/>
        <v>3620.78726714187</v>
      </c>
      <c r="R583" s="55">
        <f t="shared" si="174"/>
        <v>75.212845408308397</v>
      </c>
    </row>
    <row r="584" ht="12.800000000000001">
      <c r="A584" s="1">
        <v>580</v>
      </c>
      <c r="B584" s="44">
        <v>44125</v>
      </c>
      <c r="C584" s="45">
        <f t="shared" si="160"/>
        <v>24.763278013317599</v>
      </c>
      <c r="D584" s="3">
        <f t="shared" si="161"/>
        <v>10.6308915642449</v>
      </c>
      <c r="E584" s="46">
        <f t="shared" si="162"/>
        <v>0</v>
      </c>
      <c r="F584" s="46">
        <f t="shared" si="163"/>
        <v>10.6308915642449</v>
      </c>
      <c r="G584" s="46">
        <f t="shared" si="164"/>
        <v>100</v>
      </c>
      <c r="H584" s="46">
        <f t="shared" si="165"/>
        <v>100</v>
      </c>
      <c r="I584" s="47">
        <f t="shared" si="166"/>
        <v>0</v>
      </c>
      <c r="J584" s="47">
        <f t="shared" si="167"/>
        <v>11.6822984222472</v>
      </c>
      <c r="K584" s="48">
        <f t="shared" si="168"/>
        <v>0</v>
      </c>
      <c r="L584" s="7">
        <f t="shared" si="169"/>
        <v>10.6308915642449</v>
      </c>
      <c r="M584" s="7">
        <f t="shared" si="170"/>
        <v>14.132386449072699</v>
      </c>
      <c r="N584" s="7">
        <f t="shared" si="171"/>
        <v>15.530094998980999</v>
      </c>
      <c r="O584" s="7">
        <f t="shared" si="172"/>
        <v>24.763278013317599</v>
      </c>
      <c r="P584" s="49">
        <f t="shared" si="173"/>
        <v>-15.530094998980999</v>
      </c>
      <c r="Q584" s="54">
        <f t="shared" si="175"/>
        <v>3605.7800982660101</v>
      </c>
      <c r="R584" s="55">
        <f t="shared" si="174"/>
        <v>75.066897834299397</v>
      </c>
    </row>
    <row r="585" ht="12.800000000000001">
      <c r="A585" s="1">
        <v>581</v>
      </c>
      <c r="B585" s="44">
        <v>44126</v>
      </c>
      <c r="C585" s="45">
        <f t="shared" si="160"/>
        <v>24.998018836143601</v>
      </c>
      <c r="D585" s="3">
        <f t="shared" si="161"/>
        <v>10.3948718204574</v>
      </c>
      <c r="E585" s="46">
        <f t="shared" si="162"/>
        <v>0</v>
      </c>
      <c r="F585" s="46">
        <f t="shared" si="163"/>
        <v>10.3948718204574</v>
      </c>
      <c r="G585" s="46">
        <f t="shared" si="164"/>
        <v>100</v>
      </c>
      <c r="H585" s="46">
        <f t="shared" si="165"/>
        <v>100</v>
      </c>
      <c r="I585" s="47">
        <f t="shared" si="166"/>
        <v>0</v>
      </c>
      <c r="J585" s="47">
        <f t="shared" si="167"/>
        <v>11.4229360664367</v>
      </c>
      <c r="K585" s="48">
        <f t="shared" si="168"/>
        <v>0</v>
      </c>
      <c r="L585" s="7">
        <f t="shared" si="169"/>
        <v>10.3948718204574</v>
      </c>
      <c r="M585" s="7">
        <f t="shared" si="170"/>
        <v>14.603147015686201</v>
      </c>
      <c r="N585" s="7">
        <f t="shared" si="171"/>
        <v>16.0474143029519</v>
      </c>
      <c r="O585" s="7">
        <f t="shared" si="172"/>
        <v>24.998018836143601</v>
      </c>
      <c r="P585" s="49">
        <f t="shared" si="173"/>
        <v>-16.0474143029519</v>
      </c>
      <c r="Q585" s="54">
        <f t="shared" si="175"/>
        <v>3590.25000326703</v>
      </c>
      <c r="R585" s="55">
        <f t="shared" si="174"/>
        <v>74.915864704201397</v>
      </c>
    </row>
    <row r="586" ht="12.800000000000001">
      <c r="A586" s="1">
        <v>582</v>
      </c>
      <c r="B586" s="44">
        <v>44127</v>
      </c>
      <c r="C586" s="45">
        <f t="shared" si="160"/>
        <v>25.2301459280968</v>
      </c>
      <c r="D586" s="3">
        <f t="shared" si="161"/>
        <v>10.161480047738101</v>
      </c>
      <c r="E586" s="46">
        <f t="shared" si="162"/>
        <v>0</v>
      </c>
      <c r="F586" s="46">
        <f t="shared" si="163"/>
        <v>10.161480047738101</v>
      </c>
      <c r="G586" s="46">
        <f t="shared" si="164"/>
        <v>100</v>
      </c>
      <c r="H586" s="46">
        <f t="shared" si="165"/>
        <v>100</v>
      </c>
      <c r="I586" s="47">
        <f t="shared" si="166"/>
        <v>0</v>
      </c>
      <c r="J586" s="47">
        <f t="shared" si="167"/>
        <v>11.1664615909209</v>
      </c>
      <c r="K586" s="48">
        <f t="shared" si="168"/>
        <v>0</v>
      </c>
      <c r="L586" s="7">
        <f t="shared" si="169"/>
        <v>10.161480047738101</v>
      </c>
      <c r="M586" s="7">
        <f t="shared" si="170"/>
        <v>15.068665880358701</v>
      </c>
      <c r="N586" s="7">
        <f t="shared" si="171"/>
        <v>16.5589734948997</v>
      </c>
      <c r="O586" s="7">
        <f t="shared" si="172"/>
        <v>25.2301459280968</v>
      </c>
      <c r="P586" s="49">
        <f t="shared" si="173"/>
        <v>-16.5589734948997</v>
      </c>
      <c r="Q586" s="54">
        <f t="shared" si="175"/>
        <v>3574.2025889640699</v>
      </c>
      <c r="R586" s="55">
        <f t="shared" si="174"/>
        <v>74.759800545397894</v>
      </c>
    </row>
    <row r="587" ht="12.800000000000001">
      <c r="A587" s="1">
        <v>583</v>
      </c>
      <c r="B587" s="44">
        <v>44128</v>
      </c>
      <c r="C587" s="45">
        <f t="shared" si="160"/>
        <v>25.4595905049101</v>
      </c>
      <c r="D587" s="3">
        <f t="shared" si="161"/>
        <v>9.9307854051062598</v>
      </c>
      <c r="E587" s="46">
        <f t="shared" si="162"/>
        <v>0</v>
      </c>
      <c r="F587" s="46">
        <f t="shared" si="163"/>
        <v>9.9307854051062598</v>
      </c>
      <c r="G587" s="46">
        <f t="shared" si="164"/>
        <v>100</v>
      </c>
      <c r="H587" s="46">
        <f t="shared" si="165"/>
        <v>100</v>
      </c>
      <c r="I587" s="47">
        <f t="shared" si="166"/>
        <v>0</v>
      </c>
      <c r="J587" s="47">
        <f t="shared" si="167"/>
        <v>10.9129509946223</v>
      </c>
      <c r="K587" s="48">
        <f t="shared" si="168"/>
        <v>0</v>
      </c>
      <c r="L587" s="7">
        <f t="shared" si="169"/>
        <v>9.9307854051062598</v>
      </c>
      <c r="M587" s="7">
        <f t="shared" si="170"/>
        <v>15.5288050998039</v>
      </c>
      <c r="N587" s="7">
        <f t="shared" si="171"/>
        <v>17.0646209887955</v>
      </c>
      <c r="O587" s="7">
        <f t="shared" si="172"/>
        <v>25.4595905049101</v>
      </c>
      <c r="P587" s="49">
        <f t="shared" si="173"/>
        <v>-17.0646209887955</v>
      </c>
      <c r="Q587" s="54">
        <f t="shared" si="175"/>
        <v>3557.6436154691701</v>
      </c>
      <c r="R587" s="55">
        <f t="shared" si="174"/>
        <v>74.598761376074805</v>
      </c>
    </row>
    <row r="588" ht="12.800000000000001">
      <c r="A588" s="1">
        <v>584</v>
      </c>
      <c r="B588" s="44">
        <v>44129</v>
      </c>
      <c r="C588" s="45">
        <f t="shared" si="160"/>
        <v>25.686284577203701</v>
      </c>
      <c r="D588" s="3">
        <f t="shared" si="161"/>
        <v>9.7028562523633504</v>
      </c>
      <c r="E588" s="46">
        <f t="shared" si="162"/>
        <v>0</v>
      </c>
      <c r="F588" s="46">
        <f t="shared" si="163"/>
        <v>9.7028562523633504</v>
      </c>
      <c r="G588" s="46">
        <f t="shared" si="164"/>
        <v>100</v>
      </c>
      <c r="H588" s="46">
        <f t="shared" si="165"/>
        <v>100</v>
      </c>
      <c r="I588" s="47">
        <f t="shared" si="166"/>
        <v>0</v>
      </c>
      <c r="J588" s="47">
        <f t="shared" si="167"/>
        <v>10.6624793982015</v>
      </c>
      <c r="K588" s="48">
        <f t="shared" si="168"/>
        <v>0</v>
      </c>
      <c r="L588" s="7">
        <f t="shared" si="169"/>
        <v>9.7028562523633504</v>
      </c>
      <c r="M588" s="7">
        <f t="shared" si="170"/>
        <v>15.9834283248404</v>
      </c>
      <c r="N588" s="7">
        <f t="shared" si="171"/>
        <v>17.5642069503741</v>
      </c>
      <c r="O588" s="7">
        <f t="shared" si="172"/>
        <v>25.686284577203701</v>
      </c>
      <c r="P588" s="49">
        <f t="shared" si="173"/>
        <v>-17.5642069503741</v>
      </c>
      <c r="Q588" s="54">
        <f t="shared" si="175"/>
        <v>3540.5789944803801</v>
      </c>
      <c r="R588" s="55">
        <f t="shared" si="174"/>
        <v>74.432804688621005</v>
      </c>
    </row>
    <row r="589" ht="12.800000000000001">
      <c r="A589" s="1">
        <v>585</v>
      </c>
      <c r="B589" s="44">
        <v>44130</v>
      </c>
      <c r="C589" s="45">
        <f t="shared" si="160"/>
        <v>25.910160970631502</v>
      </c>
      <c r="D589" s="3">
        <f t="shared" si="161"/>
        <v>9.4777601298364509</v>
      </c>
      <c r="E589" s="46">
        <f t="shared" si="162"/>
        <v>0</v>
      </c>
      <c r="F589" s="46">
        <f t="shared" si="163"/>
        <v>9.4777601298364509</v>
      </c>
      <c r="G589" s="46">
        <f t="shared" si="164"/>
        <v>100</v>
      </c>
      <c r="H589" s="46">
        <f t="shared" si="165"/>
        <v>100</v>
      </c>
      <c r="I589" s="47">
        <f t="shared" si="166"/>
        <v>0</v>
      </c>
      <c r="J589" s="47">
        <f t="shared" si="167"/>
        <v>10.415121021798299</v>
      </c>
      <c r="K589" s="48">
        <f t="shared" si="168"/>
        <v>0</v>
      </c>
      <c r="L589" s="7">
        <f t="shared" si="169"/>
        <v>9.4777601298364509</v>
      </c>
      <c r="M589" s="7">
        <f t="shared" si="170"/>
        <v>16.432400840795001</v>
      </c>
      <c r="N589" s="7">
        <f t="shared" si="171"/>
        <v>18.057583341533</v>
      </c>
      <c r="O589" s="7">
        <f t="shared" si="172"/>
        <v>25.910160970631502</v>
      </c>
      <c r="P589" s="49">
        <f t="shared" si="173"/>
        <v>-18.057583341533</v>
      </c>
      <c r="Q589" s="54">
        <f t="shared" si="175"/>
        <v>3523.0147875299999</v>
      </c>
      <c r="R589" s="55">
        <f t="shared" si="174"/>
        <v>74.261989432592102</v>
      </c>
    </row>
    <row r="590" ht="12.800000000000001">
      <c r="A590" s="1">
        <v>586</v>
      </c>
      <c r="B590" s="44">
        <v>44131</v>
      </c>
      <c r="C590" s="45">
        <f t="shared" si="160"/>
        <v>26.131153345786402</v>
      </c>
      <c r="D590" s="3">
        <f t="shared" si="161"/>
        <v>9.2555637383646108</v>
      </c>
      <c r="E590" s="46">
        <f t="shared" si="162"/>
        <v>0</v>
      </c>
      <c r="F590" s="46">
        <f t="shared" si="163"/>
        <v>9.2555637383646108</v>
      </c>
      <c r="G590" s="46">
        <f t="shared" si="164"/>
        <v>100</v>
      </c>
      <c r="H590" s="46">
        <f t="shared" si="165"/>
        <v>100</v>
      </c>
      <c r="I590" s="47">
        <f t="shared" si="166"/>
        <v>0</v>
      </c>
      <c r="J590" s="47">
        <f t="shared" si="167"/>
        <v>10.170949163037999</v>
      </c>
      <c r="K590" s="48">
        <f t="shared" si="168"/>
        <v>0</v>
      </c>
      <c r="L590" s="7">
        <f t="shared" si="169"/>
        <v>9.2555637383646108</v>
      </c>
      <c r="M590" s="7">
        <f t="shared" si="170"/>
        <v>16.875589607421801</v>
      </c>
      <c r="N590" s="7">
        <f t="shared" si="171"/>
        <v>18.544603964199698</v>
      </c>
      <c r="O590" s="7">
        <f t="shared" si="172"/>
        <v>26.131153345786402</v>
      </c>
      <c r="P590" s="49">
        <f t="shared" si="173"/>
        <v>-18.544603964199698</v>
      </c>
      <c r="Q590" s="54">
        <f t="shared" si="175"/>
        <v>3504.9572041884699</v>
      </c>
      <c r="R590" s="55">
        <f t="shared" si="174"/>
        <v>74.086375997242399</v>
      </c>
    </row>
    <row r="591" ht="12.800000000000001">
      <c r="A591" s="1">
        <v>587</v>
      </c>
      <c r="B591" s="44">
        <v>44132</v>
      </c>
      <c r="C591" s="45">
        <f t="shared" si="160"/>
        <v>26.3491962178582</v>
      </c>
      <c r="D591" s="3">
        <f t="shared" si="161"/>
        <v>9.0363329195339901</v>
      </c>
      <c r="E591" s="46">
        <f t="shared" si="162"/>
        <v>0</v>
      </c>
      <c r="F591" s="46">
        <f t="shared" si="163"/>
        <v>9.0363329195339901</v>
      </c>
      <c r="G591" s="46">
        <f t="shared" si="164"/>
        <v>100</v>
      </c>
      <c r="H591" s="46">
        <f t="shared" si="165"/>
        <v>100</v>
      </c>
      <c r="I591" s="47">
        <f t="shared" si="166"/>
        <v>0</v>
      </c>
      <c r="J591" s="47">
        <f t="shared" si="167"/>
        <v>9.9300361753120807</v>
      </c>
      <c r="K591" s="48">
        <f t="shared" si="168"/>
        <v>0</v>
      </c>
      <c r="L591" s="7">
        <f t="shared" si="169"/>
        <v>9.0363329195339901</v>
      </c>
      <c r="M591" s="7">
        <f t="shared" si="170"/>
        <v>17.312863298324299</v>
      </c>
      <c r="N591" s="7">
        <f t="shared" si="171"/>
        <v>19.025124503653</v>
      </c>
      <c r="O591" s="7">
        <f t="shared" si="172"/>
        <v>26.3491962178582</v>
      </c>
      <c r="P591" s="49">
        <f t="shared" si="173"/>
        <v>-19.025124503653</v>
      </c>
      <c r="Q591" s="54">
        <f t="shared" si="175"/>
        <v>3486.4126002242701</v>
      </c>
      <c r="R591" s="55">
        <f t="shared" si="174"/>
        <v>73.906026193630495</v>
      </c>
    </row>
    <row r="592" ht="12.800000000000001">
      <c r="A592" s="1">
        <v>588</v>
      </c>
      <c r="B592" s="44">
        <v>44133</v>
      </c>
      <c r="C592" s="45">
        <f t="shared" si="160"/>
        <v>26.5642249760383</v>
      </c>
      <c r="D592" s="3">
        <f t="shared" si="161"/>
        <v>8.8201326361676493</v>
      </c>
      <c r="E592" s="46">
        <f t="shared" si="162"/>
        <v>0</v>
      </c>
      <c r="F592" s="46">
        <f t="shared" si="163"/>
        <v>8.8201326361676493</v>
      </c>
      <c r="G592" s="46">
        <f t="shared" si="164"/>
        <v>100</v>
      </c>
      <c r="H592" s="46">
        <f t="shared" si="165"/>
        <v>100</v>
      </c>
      <c r="I592" s="47">
        <f t="shared" si="166"/>
        <v>0</v>
      </c>
      <c r="J592" s="47">
        <f t="shared" si="167"/>
        <v>9.6924534463380798</v>
      </c>
      <c r="K592" s="48">
        <f t="shared" si="168"/>
        <v>0</v>
      </c>
      <c r="L592" s="7">
        <f t="shared" si="169"/>
        <v>8.8201326361676493</v>
      </c>
      <c r="M592" s="7">
        <f t="shared" si="170"/>
        <v>17.744092339870701</v>
      </c>
      <c r="N592" s="7">
        <f t="shared" si="171"/>
        <v>19.4990025712865</v>
      </c>
      <c r="O592" s="7">
        <f t="shared" si="172"/>
        <v>26.5642249760383</v>
      </c>
      <c r="P592" s="49">
        <f t="shared" si="173"/>
        <v>-19.4990025712865</v>
      </c>
      <c r="Q592" s="54">
        <f t="shared" si="175"/>
        <v>3467.3874757206199</v>
      </c>
      <c r="R592" s="55">
        <f t="shared" si="174"/>
        <v>73.721003236302806</v>
      </c>
    </row>
    <row r="593" ht="12.800000000000001">
      <c r="A593" s="1">
        <v>589</v>
      </c>
      <c r="B593" s="44">
        <v>44134</v>
      </c>
      <c r="C593" s="45">
        <f t="shared" si="160"/>
        <v>26.7761759026649</v>
      </c>
      <c r="D593" s="3">
        <f t="shared" si="161"/>
        <v>8.6070269530755201</v>
      </c>
      <c r="E593" s="46">
        <f t="shared" si="162"/>
        <v>0</v>
      </c>
      <c r="F593" s="46">
        <f t="shared" si="163"/>
        <v>8.6070269530755201</v>
      </c>
      <c r="G593" s="46">
        <f t="shared" si="164"/>
        <v>100</v>
      </c>
      <c r="H593" s="46">
        <f t="shared" si="165"/>
        <v>100</v>
      </c>
      <c r="I593" s="47">
        <f t="shared" si="166"/>
        <v>0</v>
      </c>
      <c r="J593" s="47">
        <f t="shared" si="167"/>
        <v>9.45827137700606</v>
      </c>
      <c r="K593" s="48">
        <f t="shared" si="168"/>
        <v>0</v>
      </c>
      <c r="L593" s="7">
        <f t="shared" si="169"/>
        <v>8.6070269530755201</v>
      </c>
      <c r="M593" s="7">
        <f t="shared" si="170"/>
        <v>18.169148949589399</v>
      </c>
      <c r="N593" s="7">
        <f t="shared" si="171"/>
        <v>19.966097746801498</v>
      </c>
      <c r="O593" s="7">
        <f t="shared" si="172"/>
        <v>26.7761759026649</v>
      </c>
      <c r="P593" s="49">
        <f t="shared" si="173"/>
        <v>-19.966097746801498</v>
      </c>
      <c r="Q593" s="54">
        <f t="shared" si="175"/>
        <v>3447.8884731493299</v>
      </c>
      <c r="R593" s="55">
        <f t="shared" si="174"/>
        <v>73.531371724562305</v>
      </c>
    </row>
    <row r="594" ht="12.800000000000001">
      <c r="A594" s="1">
        <v>590</v>
      </c>
      <c r="B594" s="44">
        <v>44135</v>
      </c>
      <c r="C594" s="45">
        <f t="shared" si="160"/>
        <v>26.984986192104099</v>
      </c>
      <c r="D594" s="3">
        <f t="shared" si="161"/>
        <v>8.3970790180706807</v>
      </c>
      <c r="E594" s="46">
        <f t="shared" si="162"/>
        <v>0</v>
      </c>
      <c r="F594" s="46">
        <f t="shared" si="163"/>
        <v>8.3970790180706807</v>
      </c>
      <c r="G594" s="46">
        <f t="shared" si="164"/>
        <v>100</v>
      </c>
      <c r="H594" s="46">
        <f t="shared" si="165"/>
        <v>100</v>
      </c>
      <c r="I594" s="47">
        <f t="shared" si="166"/>
        <v>0</v>
      </c>
      <c r="J594" s="47">
        <f t="shared" si="167"/>
        <v>9.2275593605172297</v>
      </c>
      <c r="K594" s="48">
        <f t="shared" si="168"/>
        <v>0</v>
      </c>
      <c r="L594" s="7">
        <f t="shared" si="169"/>
        <v>8.3970790180706807</v>
      </c>
      <c r="M594" s="7">
        <f t="shared" si="170"/>
        <v>18.587907174033401</v>
      </c>
      <c r="N594" s="7">
        <f t="shared" si="171"/>
        <v>20.426271619817001</v>
      </c>
      <c r="O594" s="7">
        <f t="shared" si="172"/>
        <v>26.984986192104099</v>
      </c>
      <c r="P594" s="49">
        <f t="shared" si="173"/>
        <v>-20.426271619817001</v>
      </c>
      <c r="Q594" s="54">
        <f t="shared" si="175"/>
        <v>3427.9223754025302</v>
      </c>
      <c r="R594" s="55">
        <f t="shared" si="174"/>
        <v>73.337197623326006</v>
      </c>
    </row>
    <row r="595" ht="12.800000000000001">
      <c r="A595" s="1">
        <v>591</v>
      </c>
      <c r="B595" s="44">
        <v>44136</v>
      </c>
      <c r="C595" s="45">
        <f t="shared" si="160"/>
        <v>27.190593969360702</v>
      </c>
      <c r="D595" s="3">
        <f t="shared" si="161"/>
        <v>8.1903510432572997</v>
      </c>
      <c r="E595" s="46">
        <f t="shared" si="162"/>
        <v>0</v>
      </c>
      <c r="F595" s="46">
        <f t="shared" si="163"/>
        <v>8.1903510432572997</v>
      </c>
      <c r="G595" s="46">
        <f t="shared" si="164"/>
        <v>100</v>
      </c>
      <c r="H595" s="46">
        <f t="shared" si="165"/>
        <v>100</v>
      </c>
      <c r="I595" s="47">
        <f t="shared" si="166"/>
        <v>0</v>
      </c>
      <c r="J595" s="47">
        <f t="shared" si="167"/>
        <v>9.0003857618212102</v>
      </c>
      <c r="K595" s="48">
        <f t="shared" si="168"/>
        <v>0</v>
      </c>
      <c r="L595" s="7">
        <f t="shared" si="169"/>
        <v>8.1903510432572997</v>
      </c>
      <c r="M595" s="7">
        <f t="shared" si="170"/>
        <v>19.0002429261034</v>
      </c>
      <c r="N595" s="7">
        <f t="shared" si="171"/>
        <v>20.879387830882902</v>
      </c>
      <c r="O595" s="7">
        <f t="shared" si="172"/>
        <v>27.190593969360702</v>
      </c>
      <c r="P595" s="49">
        <f t="shared" si="173"/>
        <v>-20.879387830882902</v>
      </c>
      <c r="Q595" s="54">
        <f t="shared" si="175"/>
        <v>3407.4961037827102</v>
      </c>
      <c r="R595" s="55">
        <f t="shared" si="174"/>
        <v>73.1385482435781</v>
      </c>
    </row>
    <row r="596" ht="12.800000000000001">
      <c r="A596" s="1">
        <v>592</v>
      </c>
      <c r="B596" s="44">
        <v>44137</v>
      </c>
      <c r="C596" s="45">
        <f t="shared" si="160"/>
        <v>27.392938308412901</v>
      </c>
      <c r="D596" s="3">
        <f t="shared" si="161"/>
        <v>7.9869042865959301</v>
      </c>
      <c r="E596" s="46">
        <f t="shared" si="162"/>
        <v>0</v>
      </c>
      <c r="F596" s="46">
        <f t="shared" si="163"/>
        <v>7.9869042865959301</v>
      </c>
      <c r="G596" s="46">
        <f t="shared" si="164"/>
        <v>100</v>
      </c>
      <c r="H596" s="46">
        <f t="shared" si="165"/>
        <v>100</v>
      </c>
      <c r="I596" s="47">
        <f t="shared" si="166"/>
        <v>0</v>
      </c>
      <c r="J596" s="47">
        <f t="shared" si="167"/>
        <v>8.7768178973581694</v>
      </c>
      <c r="K596" s="48">
        <f t="shared" si="168"/>
        <v>0</v>
      </c>
      <c r="L596" s="7">
        <f t="shared" si="169"/>
        <v>7.9869042865959301</v>
      </c>
      <c r="M596" s="7">
        <f t="shared" si="170"/>
        <v>19.406034021817</v>
      </c>
      <c r="N596" s="7">
        <f t="shared" si="171"/>
        <v>21.325312111886799</v>
      </c>
      <c r="O596" s="7">
        <f t="shared" si="172"/>
        <v>27.392938308412901</v>
      </c>
      <c r="P596" s="49">
        <f t="shared" si="173"/>
        <v>-21.325312111886799</v>
      </c>
      <c r="Q596" s="54">
        <f t="shared" si="175"/>
        <v>3386.61671595183</v>
      </c>
      <c r="R596" s="55">
        <f t="shared" si="174"/>
        <v>72.9354922224246</v>
      </c>
    </row>
    <row r="597" ht="12.800000000000001">
      <c r="A597" s="1">
        <v>593</v>
      </c>
      <c r="B597" s="44">
        <v>44138</v>
      </c>
      <c r="C597" s="45">
        <f t="shared" si="160"/>
        <v>27.5919592502661</v>
      </c>
      <c r="D597" s="3">
        <f t="shared" si="161"/>
        <v>7.7867990337512802</v>
      </c>
      <c r="E597" s="46">
        <f t="shared" si="162"/>
        <v>0</v>
      </c>
      <c r="F597" s="46">
        <f t="shared" si="163"/>
        <v>7.7867990337512802</v>
      </c>
      <c r="G597" s="46">
        <f t="shared" si="164"/>
        <v>100</v>
      </c>
      <c r="H597" s="46">
        <f t="shared" si="165"/>
        <v>100</v>
      </c>
      <c r="I597" s="47">
        <f t="shared" si="166"/>
        <v>0</v>
      </c>
      <c r="J597" s="47">
        <f t="shared" si="167"/>
        <v>8.5569220151113008</v>
      </c>
      <c r="K597" s="48">
        <f t="shared" si="168"/>
        <v>0</v>
      </c>
      <c r="L597" s="7">
        <f t="shared" si="169"/>
        <v>7.7867990337512802</v>
      </c>
      <c r="M597" s="7">
        <f t="shared" si="170"/>
        <v>19.805160216514899</v>
      </c>
      <c r="N597" s="7">
        <f t="shared" si="171"/>
        <v>21.763912325840501</v>
      </c>
      <c r="O597" s="7">
        <f t="shared" si="172"/>
        <v>27.5919592502661</v>
      </c>
      <c r="P597" s="49">
        <f t="shared" si="173"/>
        <v>-21.763912325840501</v>
      </c>
      <c r="Q597" s="54">
        <f t="shared" si="175"/>
        <v>3365.2914038399399</v>
      </c>
      <c r="R597" s="55">
        <f t="shared" si="174"/>
        <v>72.728099502754404</v>
      </c>
    </row>
    <row r="598" ht="12.800000000000001">
      <c r="A598" s="1">
        <v>594</v>
      </c>
      <c r="B598" s="44">
        <v>44139</v>
      </c>
      <c r="C598" s="45">
        <f t="shared" si="160"/>
        <v>27.787597820720102</v>
      </c>
      <c r="D598" s="3">
        <f t="shared" si="161"/>
        <v>7.5900945802283699</v>
      </c>
      <c r="E598" s="46">
        <f t="shared" si="162"/>
        <v>0</v>
      </c>
      <c r="F598" s="46">
        <f t="shared" si="163"/>
        <v>7.5900945802283699</v>
      </c>
      <c r="G598" s="46">
        <f t="shared" si="164"/>
        <v>100</v>
      </c>
      <c r="H598" s="46">
        <f t="shared" si="165"/>
        <v>100</v>
      </c>
      <c r="I598" s="47">
        <f t="shared" si="166"/>
        <v>0</v>
      </c>
      <c r="J598" s="47">
        <f t="shared" si="167"/>
        <v>8.3407632749762293</v>
      </c>
      <c r="K598" s="48">
        <f t="shared" si="168"/>
        <v>0</v>
      </c>
      <c r="L598" s="7">
        <f t="shared" si="169"/>
        <v>7.5900945802283699</v>
      </c>
      <c r="M598" s="7">
        <f t="shared" si="170"/>
        <v>20.197503240491699</v>
      </c>
      <c r="N598" s="7">
        <f t="shared" si="171"/>
        <v>22.195058506034801</v>
      </c>
      <c r="O598" s="7">
        <f t="shared" si="172"/>
        <v>27.787597820720102</v>
      </c>
      <c r="P598" s="49">
        <f t="shared" si="173"/>
        <v>-22.195058506034801</v>
      </c>
      <c r="Q598" s="54">
        <f t="shared" si="175"/>
        <v>3343.5274915140999</v>
      </c>
      <c r="R598" s="55">
        <f t="shared" si="174"/>
        <v>72.516441312513706</v>
      </c>
    </row>
    <row r="599" ht="12.800000000000001">
      <c r="A599" s="1">
        <v>595</v>
      </c>
      <c r="B599" s="44">
        <v>44140</v>
      </c>
      <c r="C599" s="45">
        <f t="shared" si="160"/>
        <v>27.979796047844001</v>
      </c>
      <c r="D599" s="3">
        <f t="shared" si="161"/>
        <v>7.3968492138020503</v>
      </c>
      <c r="E599" s="46">
        <f t="shared" si="162"/>
        <v>0</v>
      </c>
      <c r="F599" s="46">
        <f t="shared" si="163"/>
        <v>7.3968492138020503</v>
      </c>
      <c r="G599" s="46">
        <f t="shared" si="164"/>
        <v>100</v>
      </c>
      <c r="H599" s="46">
        <f t="shared" si="165"/>
        <v>100</v>
      </c>
      <c r="I599" s="47">
        <f t="shared" si="166"/>
        <v>0</v>
      </c>
      <c r="J599" s="47">
        <f t="shared" si="167"/>
        <v>8.12840572945281</v>
      </c>
      <c r="K599" s="48">
        <f t="shared" si="168"/>
        <v>0</v>
      </c>
      <c r="L599" s="7">
        <f t="shared" si="169"/>
        <v>7.3968492138020503</v>
      </c>
      <c r="M599" s="7">
        <f t="shared" si="170"/>
        <v>20.582946834042001</v>
      </c>
      <c r="N599" s="7">
        <f t="shared" si="171"/>
        <v>22.618622894551599</v>
      </c>
      <c r="O599" s="7">
        <f t="shared" si="172"/>
        <v>27.979796047844001</v>
      </c>
      <c r="P599" s="49">
        <f t="shared" si="173"/>
        <v>-22.618622894551599</v>
      </c>
      <c r="Q599" s="54">
        <f t="shared" si="175"/>
        <v>3321.33243300807</v>
      </c>
      <c r="R599" s="55">
        <f t="shared" si="174"/>
        <v>72.300590143599706</v>
      </c>
    </row>
    <row r="600" ht="12.800000000000001">
      <c r="A600" s="1">
        <v>596</v>
      </c>
      <c r="B600" s="44">
        <v>44141</v>
      </c>
      <c r="C600" s="45">
        <f t="shared" si="160"/>
        <v>28.1684969791553</v>
      </c>
      <c r="D600" s="3">
        <f t="shared" si="161"/>
        <v>7.2071201972449499</v>
      </c>
      <c r="E600" s="46">
        <f t="shared" si="162"/>
        <v>0</v>
      </c>
      <c r="F600" s="46">
        <f t="shared" si="163"/>
        <v>7.2071201972449499</v>
      </c>
      <c r="G600" s="46">
        <f t="shared" si="164"/>
        <v>100</v>
      </c>
      <c r="H600" s="46">
        <f t="shared" si="165"/>
        <v>100</v>
      </c>
      <c r="I600" s="47">
        <f t="shared" si="166"/>
        <v>0</v>
      </c>
      <c r="J600" s="47">
        <f t="shared" si="167"/>
        <v>7.9199123046647797</v>
      </c>
      <c r="K600" s="48">
        <f t="shared" si="168"/>
        <v>0</v>
      </c>
      <c r="L600" s="7">
        <f t="shared" si="169"/>
        <v>7.2071201972449499</v>
      </c>
      <c r="M600" s="7">
        <f t="shared" si="170"/>
        <v>20.961376781910399</v>
      </c>
      <c r="N600" s="7">
        <f t="shared" si="171"/>
        <v>23.034479980121301</v>
      </c>
      <c r="O600" s="7">
        <f t="shared" si="172"/>
        <v>28.1684969791553</v>
      </c>
      <c r="P600" s="49">
        <f t="shared" si="173"/>
        <v>-23.034479980121301</v>
      </c>
      <c r="Q600" s="54">
        <f t="shared" si="175"/>
        <v>3298.7138101135201</v>
      </c>
      <c r="R600" s="55">
        <f t="shared" si="174"/>
        <v>72.080619730379794</v>
      </c>
    </row>
    <row r="601" ht="12.800000000000001">
      <c r="A601" s="1">
        <v>597</v>
      </c>
      <c r="B601" s="44">
        <v>44142</v>
      </c>
      <c r="C601" s="45">
        <f t="shared" si="160"/>
        <v>28.3536446984956</v>
      </c>
      <c r="D601" s="3">
        <f t="shared" si="161"/>
        <v>7.0209637513593499</v>
      </c>
      <c r="E601" s="46">
        <f t="shared" si="162"/>
        <v>0</v>
      </c>
      <c r="F601" s="46">
        <f t="shared" si="163"/>
        <v>7.0209637513593499</v>
      </c>
      <c r="G601" s="46">
        <f t="shared" si="164"/>
        <v>100</v>
      </c>
      <c r="H601" s="46">
        <f t="shared" si="165"/>
        <v>100</v>
      </c>
      <c r="I601" s="47">
        <f t="shared" si="166"/>
        <v>0</v>
      </c>
      <c r="J601" s="47">
        <f t="shared" si="167"/>
        <v>7.7153447817135703</v>
      </c>
      <c r="K601" s="48">
        <f t="shared" si="168"/>
        <v>0</v>
      </c>
      <c r="L601" s="7">
        <f t="shared" si="169"/>
        <v>7.0209637513593499</v>
      </c>
      <c r="M601" s="7">
        <f t="shared" si="170"/>
        <v>21.3326809471363</v>
      </c>
      <c r="N601" s="7">
        <f t="shared" si="171"/>
        <v>23.4425065353146</v>
      </c>
      <c r="O601" s="7">
        <f t="shared" si="172"/>
        <v>28.3536446984956</v>
      </c>
      <c r="P601" s="49">
        <f t="shared" si="173"/>
        <v>-23.4425065353146</v>
      </c>
      <c r="Q601" s="54">
        <f t="shared" si="175"/>
        <v>3275.6793301334001</v>
      </c>
      <c r="R601" s="55">
        <f t="shared" si="174"/>
        <v>71.856605027842207</v>
      </c>
    </row>
    <row r="602" ht="12.800000000000001">
      <c r="A602" s="1">
        <v>598</v>
      </c>
      <c r="B602" s="44">
        <v>44143</v>
      </c>
      <c r="C602" s="45">
        <f t="shared" si="160"/>
        <v>28.535184342599798</v>
      </c>
      <c r="D602" s="3">
        <f t="shared" si="161"/>
        <v>6.8384350383177797</v>
      </c>
      <c r="E602" s="46">
        <f t="shared" si="162"/>
        <v>0</v>
      </c>
      <c r="F602" s="46">
        <f t="shared" si="163"/>
        <v>6.8384350383177797</v>
      </c>
      <c r="G602" s="46">
        <f t="shared" si="164"/>
        <v>100</v>
      </c>
      <c r="H602" s="46">
        <f t="shared" si="165"/>
        <v>100</v>
      </c>
      <c r="I602" s="47">
        <f t="shared" si="166"/>
        <v>0</v>
      </c>
      <c r="J602" s="47">
        <f t="shared" si="167"/>
        <v>7.5147637783711803</v>
      </c>
      <c r="K602" s="48">
        <f t="shared" si="168"/>
        <v>0</v>
      </c>
      <c r="L602" s="7">
        <f t="shared" si="169"/>
        <v>6.8384350383177797</v>
      </c>
      <c r="M602" s="7">
        <f t="shared" si="170"/>
        <v>21.696749304282001</v>
      </c>
      <c r="N602" s="7">
        <f t="shared" si="171"/>
        <v>23.842581653057099</v>
      </c>
      <c r="O602" s="7">
        <f t="shared" si="172"/>
        <v>28.535184342599798</v>
      </c>
      <c r="P602" s="49">
        <f t="shared" si="173"/>
        <v>-23.842581653057099</v>
      </c>
      <c r="Q602" s="54">
        <f t="shared" si="175"/>
        <v>3252.2368235980798</v>
      </c>
      <c r="R602" s="55">
        <f t="shared" si="174"/>
        <v>71.628622189385396</v>
      </c>
    </row>
    <row r="603" ht="12.800000000000001">
      <c r="A603" s="1">
        <v>599</v>
      </c>
      <c r="B603" s="44">
        <v>44144</v>
      </c>
      <c r="C603" s="45">
        <f t="shared" si="160"/>
        <v>28.713062117353299</v>
      </c>
      <c r="D603" s="3">
        <f t="shared" si="161"/>
        <v>6.6595881453171799</v>
      </c>
      <c r="E603" s="46">
        <f t="shared" si="162"/>
        <v>0</v>
      </c>
      <c r="F603" s="46">
        <f t="shared" si="163"/>
        <v>6.6595881453171799</v>
      </c>
      <c r="G603" s="46">
        <f t="shared" si="164"/>
        <v>100</v>
      </c>
      <c r="H603" s="46">
        <f t="shared" si="165"/>
        <v>100</v>
      </c>
      <c r="I603" s="47">
        <f t="shared" si="166"/>
        <v>0</v>
      </c>
      <c r="J603" s="47">
        <f t="shared" si="167"/>
        <v>7.3182287311177801</v>
      </c>
      <c r="K603" s="48">
        <f t="shared" si="168"/>
        <v>0</v>
      </c>
      <c r="L603" s="7">
        <f t="shared" si="169"/>
        <v>6.6595881453171799</v>
      </c>
      <c r="M603" s="7">
        <f t="shared" si="170"/>
        <v>22.053473972036102</v>
      </c>
      <c r="N603" s="7">
        <f t="shared" si="171"/>
        <v>24.234586782457299</v>
      </c>
      <c r="O603" s="7">
        <f t="shared" si="172"/>
        <v>28.713062117353299</v>
      </c>
      <c r="P603" s="49">
        <f t="shared" si="173"/>
        <v>-24.234586782457299</v>
      </c>
      <c r="Q603" s="54">
        <f t="shared" si="175"/>
        <v>3228.39424194502</v>
      </c>
      <c r="R603" s="55">
        <f t="shared" si="174"/>
        <v>71.396748544252205</v>
      </c>
    </row>
    <row r="604" ht="12.800000000000001">
      <c r="A604" s="1">
        <v>600</v>
      </c>
      <c r="B604" s="44">
        <v>44145</v>
      </c>
      <c r="C604" s="45">
        <f t="shared" si="160"/>
        <v>28.8872253137326</v>
      </c>
      <c r="D604" s="3">
        <f t="shared" si="161"/>
        <v>6.4844760685517997</v>
      </c>
      <c r="E604" s="46">
        <f t="shared" si="162"/>
        <v>0</v>
      </c>
      <c r="F604" s="46">
        <f t="shared" si="163"/>
        <v>6.4844760685517997</v>
      </c>
      <c r="G604" s="46">
        <f t="shared" si="164"/>
        <v>100</v>
      </c>
      <c r="H604" s="46">
        <f t="shared" si="165"/>
        <v>100</v>
      </c>
      <c r="I604" s="47">
        <f t="shared" si="166"/>
        <v>0</v>
      </c>
      <c r="J604" s="47">
        <f t="shared" si="167"/>
        <v>7.1257978775294504</v>
      </c>
      <c r="K604" s="48">
        <f t="shared" si="168"/>
        <v>0</v>
      </c>
      <c r="L604" s="7">
        <f t="shared" si="169"/>
        <v>6.4844760685517997</v>
      </c>
      <c r="M604" s="7">
        <f t="shared" si="170"/>
        <v>22.4027492451808</v>
      </c>
      <c r="N604" s="7">
        <f t="shared" si="171"/>
        <v>24.618405763935002</v>
      </c>
      <c r="O604" s="7">
        <f t="shared" si="172"/>
        <v>28.8872253137326</v>
      </c>
      <c r="P604" s="49">
        <f t="shared" si="173"/>
        <v>-24.618405763935002</v>
      </c>
      <c r="Q604" s="54">
        <f t="shared" si="175"/>
        <v>3204.1596551625698</v>
      </c>
      <c r="R604" s="55">
        <f t="shared" si="174"/>
        <v>71.1610625746154</v>
      </c>
    </row>
    <row r="605" ht="12.800000000000001">
      <c r="A605" s="1">
        <v>601</v>
      </c>
      <c r="B605" s="44">
        <v>44146</v>
      </c>
      <c r="C605" s="45">
        <f t="shared" si="160"/>
        <v>29.0576223234239</v>
      </c>
      <c r="D605" s="3">
        <f t="shared" si="161"/>
        <v>6.3131506975091796</v>
      </c>
      <c r="E605" s="46">
        <f t="shared" si="162"/>
        <v>0</v>
      </c>
      <c r="F605" s="46">
        <f t="shared" si="163"/>
        <v>6.3131506975091796</v>
      </c>
      <c r="G605" s="46">
        <f t="shared" si="164"/>
        <v>100</v>
      </c>
      <c r="H605" s="46">
        <f t="shared" si="165"/>
        <v>100</v>
      </c>
      <c r="I605" s="47">
        <f t="shared" si="166"/>
        <v>0</v>
      </c>
      <c r="J605" s="47">
        <f t="shared" si="167"/>
        <v>6.9375282390210797</v>
      </c>
      <c r="K605" s="48">
        <f t="shared" si="168"/>
        <v>0</v>
      </c>
      <c r="L605" s="7">
        <f t="shared" si="169"/>
        <v>6.3131506975091796</v>
      </c>
      <c r="M605" s="7">
        <f t="shared" si="170"/>
        <v>22.744471625914699</v>
      </c>
      <c r="N605" s="7">
        <f t="shared" si="171"/>
        <v>24.993924863642601</v>
      </c>
      <c r="O605" s="7">
        <f t="shared" si="172"/>
        <v>29.0576223234239</v>
      </c>
      <c r="P605" s="49">
        <f t="shared" si="173"/>
        <v>-24.993924863642601</v>
      </c>
      <c r="Q605" s="54">
        <f t="shared" si="175"/>
        <v>3179.54124939863</v>
      </c>
      <c r="R605" s="55">
        <f t="shared" si="174"/>
        <v>70.921643892321796</v>
      </c>
    </row>
    <row r="606" ht="12.800000000000001">
      <c r="A606" s="1">
        <v>602</v>
      </c>
      <c r="B606" s="44">
        <v>44147</v>
      </c>
      <c r="C606" s="45">
        <f t="shared" si="160"/>
        <v>29.2242026541157</v>
      </c>
      <c r="D606" s="3">
        <f t="shared" si="161"/>
        <v>6.1456627995943096</v>
      </c>
      <c r="E606" s="46">
        <f t="shared" si="162"/>
        <v>0</v>
      </c>
      <c r="F606" s="46">
        <f t="shared" si="163"/>
        <v>6.1456627995943096</v>
      </c>
      <c r="G606" s="46">
        <f t="shared" si="164"/>
        <v>100</v>
      </c>
      <c r="H606" s="46">
        <f t="shared" si="165"/>
        <v>100</v>
      </c>
      <c r="I606" s="47">
        <f t="shared" si="166"/>
        <v>0</v>
      </c>
      <c r="J606" s="47">
        <f t="shared" si="167"/>
        <v>6.7534756039497896</v>
      </c>
      <c r="K606" s="48">
        <f t="shared" si="168"/>
        <v>0</v>
      </c>
      <c r="L606" s="7">
        <f t="shared" si="169"/>
        <v>6.1456627995943096</v>
      </c>
      <c r="M606" s="7">
        <f t="shared" si="170"/>
        <v>23.078539854521399</v>
      </c>
      <c r="N606" s="7">
        <f t="shared" si="171"/>
        <v>25.361032807166399</v>
      </c>
      <c r="O606" s="7">
        <f t="shared" si="172"/>
        <v>29.2242026541157</v>
      </c>
      <c r="P606" s="49">
        <f t="shared" si="173"/>
        <v>-25.361032807166399</v>
      </c>
      <c r="Q606" s="54">
        <f t="shared" si="175"/>
        <v>3154.5473245349899</v>
      </c>
      <c r="R606" s="55">
        <f t="shared" si="174"/>
        <v>70.678573215301597</v>
      </c>
    </row>
    <row r="607" ht="12.800000000000001">
      <c r="A607" s="1">
        <v>603</v>
      </c>
      <c r="B607" s="44">
        <v>44148</v>
      </c>
      <c r="C607" s="45">
        <f t="shared" si="160"/>
        <v>29.386916944460999</v>
      </c>
      <c r="D607" s="3">
        <f t="shared" si="161"/>
        <v>5.9820620050859903</v>
      </c>
      <c r="E607" s="46">
        <f t="shared" si="162"/>
        <v>0</v>
      </c>
      <c r="F607" s="46">
        <f t="shared" si="163"/>
        <v>5.9820620050859903</v>
      </c>
      <c r="G607" s="46">
        <f t="shared" si="164"/>
        <v>100</v>
      </c>
      <c r="H607" s="46">
        <f t="shared" si="165"/>
        <v>100</v>
      </c>
      <c r="I607" s="47">
        <f t="shared" si="166"/>
        <v>0</v>
      </c>
      <c r="J607" s="47">
        <f t="shared" si="167"/>
        <v>6.5736945110835103</v>
      </c>
      <c r="K607" s="48">
        <f t="shared" si="168"/>
        <v>0</v>
      </c>
      <c r="L607" s="7">
        <f t="shared" si="169"/>
        <v>5.9820620050859903</v>
      </c>
      <c r="M607" s="7">
        <f t="shared" si="170"/>
        <v>23.404854939374999</v>
      </c>
      <c r="N607" s="7">
        <f t="shared" si="171"/>
        <v>25.719620812500001</v>
      </c>
      <c r="O607" s="7">
        <f t="shared" si="172"/>
        <v>29.386916944460999</v>
      </c>
      <c r="P607" s="49">
        <f t="shared" si="173"/>
        <v>-25.719620812500001</v>
      </c>
      <c r="Q607" s="54">
        <f t="shared" si="175"/>
        <v>3129.1862917278199</v>
      </c>
      <c r="R607" s="55">
        <f t="shared" si="174"/>
        <v>70.431932343649706</v>
      </c>
    </row>
    <row r="608" ht="12.800000000000001">
      <c r="A608" s="1">
        <v>604</v>
      </c>
      <c r="B608" s="44">
        <v>44149</v>
      </c>
      <c r="C608" s="45">
        <f t="shared" si="160"/>
        <v>29.545716978703801</v>
      </c>
      <c r="D608" s="3">
        <f t="shared" si="161"/>
        <v>5.8223967924304398</v>
      </c>
      <c r="E608" s="46">
        <f t="shared" si="162"/>
        <v>0</v>
      </c>
      <c r="F608" s="46">
        <f t="shared" si="163"/>
        <v>5.8223967924304398</v>
      </c>
      <c r="G608" s="46">
        <f t="shared" si="164"/>
        <v>100</v>
      </c>
      <c r="H608" s="46">
        <f t="shared" si="165"/>
        <v>100</v>
      </c>
      <c r="I608" s="47">
        <f t="shared" si="166"/>
        <v>0</v>
      </c>
      <c r="J608" s="47">
        <f t="shared" si="167"/>
        <v>6.3982382334400398</v>
      </c>
      <c r="K608" s="48">
        <f t="shared" si="168"/>
        <v>0</v>
      </c>
      <c r="L608" s="7">
        <f t="shared" si="169"/>
        <v>5.8223967924304398</v>
      </c>
      <c r="M608" s="7">
        <f t="shared" si="170"/>
        <v>23.723320186273401</v>
      </c>
      <c r="N608" s="7">
        <f t="shared" si="171"/>
        <v>26.0695826222784</v>
      </c>
      <c r="O608" s="7">
        <f t="shared" si="172"/>
        <v>29.545716978703801</v>
      </c>
      <c r="P608" s="49">
        <f t="shared" si="173"/>
        <v>-26.0695826222784</v>
      </c>
      <c r="Q608" s="54">
        <f t="shared" si="175"/>
        <v>3103.4666709153198</v>
      </c>
      <c r="R608" s="55">
        <f t="shared" si="174"/>
        <v>70.181804135386997</v>
      </c>
    </row>
    <row r="609" ht="12.800000000000001">
      <c r="A609" s="1">
        <v>605</v>
      </c>
      <c r="B609" s="44">
        <v>44150</v>
      </c>
      <c r="C609" s="45">
        <f t="shared" si="160"/>
        <v>29.700555700966898</v>
      </c>
      <c r="D609" s="3">
        <f t="shared" si="161"/>
        <v>5.6667144738760298</v>
      </c>
      <c r="E609" s="46">
        <f t="shared" si="162"/>
        <v>0</v>
      </c>
      <c r="F609" s="46">
        <f t="shared" si="163"/>
        <v>5.6667144738760298</v>
      </c>
      <c r="G609" s="46">
        <f t="shared" si="164"/>
        <v>100</v>
      </c>
      <c r="H609" s="46">
        <f t="shared" si="165"/>
        <v>100</v>
      </c>
      <c r="I609" s="47">
        <f t="shared" si="166"/>
        <v>0</v>
      </c>
      <c r="J609" s="47">
        <f t="shared" si="167"/>
        <v>6.2271587625011398</v>
      </c>
      <c r="K609" s="48">
        <f t="shared" si="168"/>
        <v>0</v>
      </c>
      <c r="L609" s="7">
        <f t="shared" si="169"/>
        <v>5.6667144738760298</v>
      </c>
      <c r="M609" s="7">
        <f t="shared" si="170"/>
        <v>24.0338412270908</v>
      </c>
      <c r="N609" s="7">
        <f t="shared" si="171"/>
        <v>26.410814535264599</v>
      </c>
      <c r="O609" s="7">
        <f t="shared" si="172"/>
        <v>29.700555700966898</v>
      </c>
      <c r="P609" s="49">
        <f t="shared" si="173"/>
        <v>-26.410814535264599</v>
      </c>
      <c r="Q609" s="54">
        <f t="shared" si="175"/>
        <v>3077.3970882930398</v>
      </c>
      <c r="R609" s="55">
        <f t="shared" si="174"/>
        <v>69.928272481907101</v>
      </c>
    </row>
    <row r="610" ht="12.800000000000001">
      <c r="A610" s="1">
        <v>606</v>
      </c>
      <c r="B610" s="44">
        <v>44151</v>
      </c>
      <c r="C610" s="45">
        <f t="shared" si="160"/>
        <v>29.851387229195002</v>
      </c>
      <c r="D610" s="3">
        <f t="shared" si="161"/>
        <v>5.5150611814536603</v>
      </c>
      <c r="E610" s="46">
        <f t="shared" si="162"/>
        <v>0</v>
      </c>
      <c r="F610" s="46">
        <f t="shared" si="163"/>
        <v>5.5150611814536603</v>
      </c>
      <c r="G610" s="46">
        <f t="shared" si="164"/>
        <v>100</v>
      </c>
      <c r="H610" s="46">
        <f t="shared" si="165"/>
        <v>100</v>
      </c>
      <c r="I610" s="47">
        <f t="shared" si="166"/>
        <v>0</v>
      </c>
      <c r="J610" s="47">
        <f t="shared" si="167"/>
        <v>6.06050679280622</v>
      </c>
      <c r="K610" s="48">
        <f t="shared" si="168"/>
        <v>0</v>
      </c>
      <c r="L610" s="7">
        <f t="shared" si="169"/>
        <v>5.5150611814536603</v>
      </c>
      <c r="M610" s="7">
        <f t="shared" si="170"/>
        <v>24.336326047741299</v>
      </c>
      <c r="N610" s="7">
        <f t="shared" si="171"/>
        <v>26.743215437078401</v>
      </c>
      <c r="O610" s="7">
        <f t="shared" si="172"/>
        <v>29.851387229195002</v>
      </c>
      <c r="P610" s="49">
        <f t="shared" si="173"/>
        <v>-26.743215437078401</v>
      </c>
      <c r="Q610" s="54">
        <f t="shared" si="175"/>
        <v>3050.9862737577801</v>
      </c>
      <c r="R610" s="55">
        <f t="shared" si="174"/>
        <v>69.671422283118204</v>
      </c>
    </row>
    <row r="611" ht="12.800000000000001">
      <c r="A611" s="1">
        <v>607</v>
      </c>
      <c r="B611" s="44">
        <v>44152</v>
      </c>
      <c r="C611" s="45">
        <f t="shared" si="160"/>
        <v>29.998166868751301</v>
      </c>
      <c r="D611" s="3">
        <f t="shared" si="161"/>
        <v>5.3674818533067796</v>
      </c>
      <c r="E611" s="46">
        <f t="shared" si="162"/>
        <v>0</v>
      </c>
      <c r="F611" s="46">
        <f t="shared" si="163"/>
        <v>5.3674818533067796</v>
      </c>
      <c r="G611" s="46">
        <f t="shared" si="164"/>
        <v>100</v>
      </c>
      <c r="H611" s="46">
        <f t="shared" si="165"/>
        <v>100</v>
      </c>
      <c r="I611" s="47">
        <f t="shared" si="166"/>
        <v>0</v>
      </c>
      <c r="J611" s="47">
        <f t="shared" si="167"/>
        <v>5.8983317069305299</v>
      </c>
      <c r="K611" s="48">
        <f t="shared" si="168"/>
        <v>0</v>
      </c>
      <c r="L611" s="7">
        <f t="shared" si="169"/>
        <v>5.3674818533067796</v>
      </c>
      <c r="M611" s="7">
        <f t="shared" si="170"/>
        <v>24.630685015444499</v>
      </c>
      <c r="N611" s="7">
        <f t="shared" si="171"/>
        <v>27.066686830158801</v>
      </c>
      <c r="O611" s="7">
        <f t="shared" si="172"/>
        <v>29.998166868751301</v>
      </c>
      <c r="P611" s="49">
        <f t="shared" si="173"/>
        <v>-27.066686830158801</v>
      </c>
      <c r="Q611" s="54">
        <f t="shared" si="175"/>
        <v>3024.2430583207001</v>
      </c>
      <c r="R611" s="55">
        <f t="shared" si="174"/>
        <v>69.411339422284897</v>
      </c>
    </row>
    <row r="612" ht="12.800000000000001">
      <c r="A612" s="1">
        <v>608</v>
      </c>
      <c r="B612" s="44">
        <v>44153</v>
      </c>
      <c r="C612" s="45">
        <f t="shared" ref="C612:C675" si="176">V$30-V$30*SIN(2*PI()/365*A612)</f>
        <v>30.140851125660699</v>
      </c>
      <c r="D612" s="3">
        <f t="shared" ref="D612:D675" si="177">IF((E612+F612)&gt;C612,C612,E612+F612)</f>
        <v>5.2240202203753903</v>
      </c>
      <c r="E612" s="46">
        <f t="shared" ref="E612:E675" si="178">(V$27+V$28*SIN(2*PI()/365*A612))*V$29/100*V$9*V$10/100</f>
        <v>0</v>
      </c>
      <c r="F612" s="46">
        <f t="shared" ref="F612:F675" si="179">(V$27+V$28*SIN(2*PI()/365*A612))*V$29/100*V$11*(1-V$18/100)*(1-V$20/100)</f>
        <v>5.2240202203753903</v>
      </c>
      <c r="G612" s="46">
        <f t="shared" ref="G612:G675" si="180">IF(C612&gt;E612,100,C612/E612*100)</f>
        <v>100</v>
      </c>
      <c r="H612" s="46">
        <f t="shared" ref="H612:H675" si="181">L612/F612*100</f>
        <v>100</v>
      </c>
      <c r="I612" s="47">
        <f t="shared" ref="I612:I675" si="182">(V$27+V$28*SIN(2*PI()/365*A612))*V$29/100*V$9*V$10/100*(1-V$19/100)</f>
        <v>0</v>
      </c>
      <c r="J612" s="47">
        <f t="shared" ref="J612:J675" si="183">(V$27+V$28*SIN(2*PI()/365*A612))*V$29/100*V$11*(1-V$18/100)</f>
        <v>5.7406815608520798</v>
      </c>
      <c r="K612" s="48">
        <f t="shared" ref="K612:K675" si="184">IF(E612/C612*100&lt;100,E612/C612*100,100)</f>
        <v>0</v>
      </c>
      <c r="L612" s="7">
        <f t="shared" ref="L612:L675" si="185">IF(((C612-E612)&gt;0)*AND(F612&gt;(C612-E612)),(C612-E612),IF(C612&lt;E612,0,F612))</f>
        <v>5.2240202203753903</v>
      </c>
      <c r="M612" s="7">
        <f t="shared" ref="M612:M675" si="186">IF(C612&lt;(E612+F612),0,C612-E612-F612)</f>
        <v>24.916830905285298</v>
      </c>
      <c r="N612" s="7">
        <f t="shared" ref="N612:N675" si="187">IF(C612&lt;(E612+F612),0,(C612-E612-F612)/(1-V$20/100))</f>
        <v>27.3811328629508</v>
      </c>
      <c r="O612" s="7">
        <f t="shared" ref="O612:O675" si="188">L612+M612</f>
        <v>30.140851125660699</v>
      </c>
      <c r="P612" s="49">
        <f t="shared" ref="P612:P675" si="189">IF(N612=0,I612*(1-G612/100)+J612*(1-H612/100),-N612)</f>
        <v>-27.3811328629508</v>
      </c>
      <c r="Q612" s="54">
        <f t="shared" si="175"/>
        <v>2997.1763714905401</v>
      </c>
      <c r="R612" s="55">
        <f t="shared" ref="R612:R675" si="190">R$4+Q612/V$32</f>
        <v>69.148110740579497</v>
      </c>
    </row>
    <row r="613" ht="12.800000000000001">
      <c r="A613" s="1">
        <v>609</v>
      </c>
      <c r="B613" s="44">
        <v>44154</v>
      </c>
      <c r="C613" s="45">
        <f t="shared" si="176"/>
        <v>30.279397719498501</v>
      </c>
      <c r="D613" s="3">
        <f t="shared" si="177"/>
        <v>5.0847187934374602</v>
      </c>
      <c r="E613" s="46">
        <f t="shared" si="178"/>
        <v>0</v>
      </c>
      <c r="F613" s="46">
        <f t="shared" si="179"/>
        <v>5.0847187934374602</v>
      </c>
      <c r="G613" s="46">
        <f t="shared" si="180"/>
        <v>100</v>
      </c>
      <c r="H613" s="46">
        <f t="shared" si="181"/>
        <v>100</v>
      </c>
      <c r="I613" s="47">
        <f t="shared" si="182"/>
        <v>0</v>
      </c>
      <c r="J613" s="47">
        <f t="shared" si="183"/>
        <v>5.5876030697115002</v>
      </c>
      <c r="K613" s="48">
        <f t="shared" si="184"/>
        <v>0</v>
      </c>
      <c r="L613" s="7">
        <f t="shared" si="185"/>
        <v>5.0847187934374602</v>
      </c>
      <c r="M613" s="7">
        <f t="shared" si="186"/>
        <v>25.194678926060998</v>
      </c>
      <c r="N613" s="7">
        <f t="shared" si="187"/>
        <v>27.6864603583088</v>
      </c>
      <c r="O613" s="7">
        <f t="shared" si="188"/>
        <v>30.279397719498501</v>
      </c>
      <c r="P613" s="49">
        <f t="shared" si="189"/>
        <v>-27.6864603583088</v>
      </c>
      <c r="Q613" s="54">
        <f t="shared" ref="Q613:Q676" si="191">IF(P612&gt;0,Q612+P612*(1-V$24/100),Q612+P612)</f>
        <v>2969.7952386275902</v>
      </c>
      <c r="R613" s="55">
        <f t="shared" si="190"/>
        <v>68.881824011348698</v>
      </c>
    </row>
    <row r="614" ht="12.800000000000001">
      <c r="A614" s="1">
        <v>610</v>
      </c>
      <c r="B614" s="44">
        <v>44155</v>
      </c>
      <c r="C614" s="45">
        <f t="shared" si="176"/>
        <v>30.4137655959189</v>
      </c>
      <c r="D614" s="3">
        <f t="shared" si="177"/>
        <v>4.9496188505121701</v>
      </c>
      <c r="E614" s="46">
        <f t="shared" si="178"/>
        <v>0</v>
      </c>
      <c r="F614" s="46">
        <f t="shared" si="179"/>
        <v>4.9496188505121701</v>
      </c>
      <c r="G614" s="46">
        <f t="shared" si="180"/>
        <v>100</v>
      </c>
      <c r="H614" s="46">
        <f t="shared" si="181"/>
        <v>100</v>
      </c>
      <c r="I614" s="47">
        <f t="shared" si="182"/>
        <v>0</v>
      </c>
      <c r="J614" s="47">
        <f t="shared" si="183"/>
        <v>5.4391415939694099</v>
      </c>
      <c r="K614" s="48">
        <f t="shared" si="184"/>
        <v>0</v>
      </c>
      <c r="L614" s="7">
        <f t="shared" si="185"/>
        <v>4.9496188505121701</v>
      </c>
      <c r="M614" s="7">
        <f t="shared" si="186"/>
        <v>25.464146745406701</v>
      </c>
      <c r="N614" s="7">
        <f t="shared" si="187"/>
        <v>27.982578841106299</v>
      </c>
      <c r="O614" s="7">
        <f t="shared" si="188"/>
        <v>30.4137655959189</v>
      </c>
      <c r="P614" s="49">
        <f t="shared" si="189"/>
        <v>-27.982578841106299</v>
      </c>
      <c r="Q614" s="54">
        <f t="shared" si="191"/>
        <v>2942.1087782692798</v>
      </c>
      <c r="R614" s="55">
        <f t="shared" si="190"/>
        <v>68.612567914105</v>
      </c>
    </row>
    <row r="615" ht="12.800000000000001">
      <c r="A615" s="1">
        <v>611</v>
      </c>
      <c r="B615" s="44">
        <v>44156</v>
      </c>
      <c r="C615" s="45">
        <f t="shared" si="176"/>
        <v>30.543914938820201</v>
      </c>
      <c r="D615" s="3">
        <f t="shared" si="177"/>
        <v>4.8187604246282802</v>
      </c>
      <c r="E615" s="46">
        <f t="shared" si="178"/>
        <v>0</v>
      </c>
      <c r="F615" s="46">
        <f t="shared" si="179"/>
        <v>4.8187604246282802</v>
      </c>
      <c r="G615" s="46">
        <f t="shared" si="180"/>
        <v>100</v>
      </c>
      <c r="H615" s="46">
        <f t="shared" si="181"/>
        <v>100</v>
      </c>
      <c r="I615" s="47">
        <f t="shared" si="182"/>
        <v>0</v>
      </c>
      <c r="J615" s="47">
        <f t="shared" si="183"/>
        <v>5.2953411259651402</v>
      </c>
      <c r="K615" s="48">
        <f t="shared" si="184"/>
        <v>0</v>
      </c>
      <c r="L615" s="7">
        <f t="shared" si="185"/>
        <v>4.8187604246282802</v>
      </c>
      <c r="M615" s="7">
        <f t="shared" si="186"/>
        <v>25.725154514191999</v>
      </c>
      <c r="N615" s="7">
        <f t="shared" si="187"/>
        <v>28.269400565046102</v>
      </c>
      <c r="O615" s="7">
        <f t="shared" si="188"/>
        <v>30.543914938820201</v>
      </c>
      <c r="P615" s="49">
        <f t="shared" si="189"/>
        <v>-28.269400565046102</v>
      </c>
      <c r="Q615" s="54">
        <f t="shared" si="191"/>
        <v>2914.1261994281799</v>
      </c>
      <c r="R615" s="55">
        <f t="shared" si="190"/>
        <v>68.340432008248399</v>
      </c>
    </row>
    <row r="616" ht="12.800000000000001">
      <c r="A616" s="1">
        <v>612</v>
      </c>
      <c r="B616" s="44">
        <v>44157</v>
      </c>
      <c r="C616" s="45">
        <f t="shared" si="176"/>
        <v>30.669807182143298</v>
      </c>
      <c r="D616" s="3">
        <f t="shared" si="177"/>
        <v>4.6921822919615703</v>
      </c>
      <c r="E616" s="46">
        <f t="shared" si="178"/>
        <v>0</v>
      </c>
      <c r="F616" s="46">
        <f t="shared" si="179"/>
        <v>4.6921822919615703</v>
      </c>
      <c r="G616" s="46">
        <f t="shared" si="180"/>
        <v>100</v>
      </c>
      <c r="H616" s="46">
        <f t="shared" si="181"/>
        <v>100</v>
      </c>
      <c r="I616" s="47">
        <f t="shared" si="182"/>
        <v>0</v>
      </c>
      <c r="J616" s="47">
        <f t="shared" si="183"/>
        <v>5.1562442768808401</v>
      </c>
      <c r="K616" s="48">
        <f t="shared" si="184"/>
        <v>0</v>
      </c>
      <c r="L616" s="7">
        <f t="shared" si="185"/>
        <v>4.6921822919615703</v>
      </c>
      <c r="M616" s="7">
        <f t="shared" si="186"/>
        <v>25.977624890181801</v>
      </c>
      <c r="N616" s="7">
        <f t="shared" si="187"/>
        <v>28.5468405386613</v>
      </c>
      <c r="O616" s="7">
        <f t="shared" si="188"/>
        <v>30.669807182143298</v>
      </c>
      <c r="P616" s="49">
        <f t="shared" si="189"/>
        <v>-28.5468405386613</v>
      </c>
      <c r="Q616" s="54">
        <f t="shared" si="191"/>
        <v>2885.8567988631298</v>
      </c>
      <c r="R616" s="55">
        <f t="shared" si="190"/>
        <v>68.065506706528495</v>
      </c>
    </row>
    <row r="617" ht="12.800000000000001">
      <c r="A617" s="1">
        <v>613</v>
      </c>
      <c r="B617" s="44">
        <v>44158</v>
      </c>
      <c r="C617" s="45">
        <f t="shared" si="176"/>
        <v>30.7914050212995</v>
      </c>
      <c r="D617" s="3">
        <f t="shared" si="177"/>
        <v>4.5699219603445096</v>
      </c>
      <c r="E617" s="46">
        <f t="shared" si="178"/>
        <v>0</v>
      </c>
      <c r="F617" s="46">
        <f t="shared" si="179"/>
        <v>4.5699219603445096</v>
      </c>
      <c r="G617" s="46">
        <f t="shared" si="180"/>
        <v>100</v>
      </c>
      <c r="H617" s="46">
        <f t="shared" si="181"/>
        <v>100</v>
      </c>
      <c r="I617" s="47">
        <f t="shared" si="182"/>
        <v>0</v>
      </c>
      <c r="J617" s="47">
        <f t="shared" si="183"/>
        <v>5.0218922641148502</v>
      </c>
      <c r="K617" s="48">
        <f t="shared" si="184"/>
        <v>0</v>
      </c>
      <c r="L617" s="7">
        <f t="shared" si="185"/>
        <v>4.5699219603445096</v>
      </c>
      <c r="M617" s="7">
        <f t="shared" si="186"/>
        <v>26.221483060954998</v>
      </c>
      <c r="N617" s="7">
        <f t="shared" si="187"/>
        <v>28.814816550500002</v>
      </c>
      <c r="O617" s="7">
        <f t="shared" si="188"/>
        <v>30.7914050212995</v>
      </c>
      <c r="P617" s="49">
        <f t="shared" si="189"/>
        <v>-28.814816550500002</v>
      </c>
      <c r="Q617" s="54">
        <f t="shared" si="191"/>
        <v>2857.3099583244698</v>
      </c>
      <c r="R617" s="55">
        <f t="shared" si="190"/>
        <v>67.787883248253095</v>
      </c>
    </row>
    <row r="618" ht="12.800000000000001">
      <c r="A618" s="1">
        <v>614</v>
      </c>
      <c r="B618" s="44">
        <v>44159</v>
      </c>
      <c r="C618" s="45">
        <f t="shared" si="176"/>
        <v>30.9086724242248</v>
      </c>
      <c r="D618" s="3">
        <f t="shared" si="177"/>
        <v>4.4520156581519501</v>
      </c>
      <c r="E618" s="46">
        <f t="shared" si="178"/>
        <v>0</v>
      </c>
      <c r="F618" s="46">
        <f t="shared" si="179"/>
        <v>4.4520156581519501</v>
      </c>
      <c r="G618" s="46">
        <f t="shared" si="180"/>
        <v>100</v>
      </c>
      <c r="H618" s="46">
        <f t="shared" si="181"/>
        <v>100</v>
      </c>
      <c r="I618" s="47">
        <f t="shared" si="182"/>
        <v>0</v>
      </c>
      <c r="J618" s="47">
        <f t="shared" si="183"/>
        <v>4.8923248990680799</v>
      </c>
      <c r="K618" s="48">
        <f t="shared" si="184"/>
        <v>0</v>
      </c>
      <c r="L618" s="7">
        <f t="shared" si="185"/>
        <v>4.4520156581519501</v>
      </c>
      <c r="M618" s="7">
        <f t="shared" si="186"/>
        <v>26.4566567660728</v>
      </c>
      <c r="N618" s="7">
        <f t="shared" si="187"/>
        <v>29.0732491934866</v>
      </c>
      <c r="O618" s="7">
        <f t="shared" si="188"/>
        <v>30.9086724242248</v>
      </c>
      <c r="P618" s="49">
        <f t="shared" si="189"/>
        <v>-29.0732491934866</v>
      </c>
      <c r="Q618" s="54">
        <f t="shared" si="191"/>
        <v>2828.4951417739699</v>
      </c>
      <c r="R618" s="55">
        <f t="shared" si="190"/>
        <v>67.507653672252005</v>
      </c>
    </row>
    <row r="619" ht="12.800000000000001">
      <c r="A619" s="1">
        <v>615</v>
      </c>
      <c r="B619" s="44">
        <v>44160</v>
      </c>
      <c r="C619" s="45">
        <f t="shared" si="176"/>
        <v>31.021574642056699</v>
      </c>
      <c r="D619" s="3">
        <f t="shared" si="177"/>
        <v>4.3384983235658696</v>
      </c>
      <c r="E619" s="46">
        <f t="shared" si="178"/>
        <v>0</v>
      </c>
      <c r="F619" s="46">
        <f t="shared" si="179"/>
        <v>4.3384983235658696</v>
      </c>
      <c r="G619" s="46">
        <f t="shared" si="180"/>
        <v>100</v>
      </c>
      <c r="H619" s="46">
        <f t="shared" si="181"/>
        <v>100</v>
      </c>
      <c r="I619" s="47">
        <f t="shared" si="182"/>
        <v>0</v>
      </c>
      <c r="J619" s="47">
        <f t="shared" si="183"/>
        <v>4.7675805753471101</v>
      </c>
      <c r="K619" s="48">
        <f t="shared" si="184"/>
        <v>0</v>
      </c>
      <c r="L619" s="7">
        <f t="shared" si="185"/>
        <v>4.3384983235658696</v>
      </c>
      <c r="M619" s="7">
        <f t="shared" si="186"/>
        <v>26.683076318490901</v>
      </c>
      <c r="N619" s="7">
        <f t="shared" si="187"/>
        <v>29.322061888451501</v>
      </c>
      <c r="O619" s="7">
        <f t="shared" si="188"/>
        <v>31.021574642056699</v>
      </c>
      <c r="P619" s="49">
        <f t="shared" si="189"/>
        <v>-29.322061888451501</v>
      </c>
      <c r="Q619" s="54">
        <f t="shared" si="191"/>
        <v>2799.4218925804798</v>
      </c>
      <c r="R619" s="55">
        <f t="shared" si="190"/>
        <v>67.224910789603797</v>
      </c>
    </row>
    <row r="620" ht="12.800000000000001">
      <c r="A620" s="1">
        <v>616</v>
      </c>
      <c r="B620" s="44">
        <v>44161</v>
      </c>
      <c r="C620" s="45">
        <f t="shared" si="176"/>
        <v>31.130078219431599</v>
      </c>
      <c r="D620" s="3">
        <f t="shared" si="177"/>
        <v>4.2294035942224104</v>
      </c>
      <c r="E620" s="46">
        <f t="shared" si="178"/>
        <v>0</v>
      </c>
      <c r="F620" s="46">
        <f t="shared" si="179"/>
        <v>4.2294035942224104</v>
      </c>
      <c r="G620" s="46">
        <f t="shared" si="180"/>
        <v>100</v>
      </c>
      <c r="H620" s="46">
        <f t="shared" si="181"/>
        <v>100</v>
      </c>
      <c r="I620" s="47">
        <f t="shared" si="182"/>
        <v>0</v>
      </c>
      <c r="J620" s="47">
        <f t="shared" si="183"/>
        <v>4.6476962573872598</v>
      </c>
      <c r="K620" s="48">
        <f t="shared" si="184"/>
        <v>0</v>
      </c>
      <c r="L620" s="7">
        <f t="shared" si="185"/>
        <v>4.2294035942224104</v>
      </c>
      <c r="M620" s="7">
        <f t="shared" si="186"/>
        <v>26.900674625209199</v>
      </c>
      <c r="N620" s="7">
        <f t="shared" si="187"/>
        <v>29.561180906823299</v>
      </c>
      <c r="O620" s="7">
        <f t="shared" si="188"/>
        <v>31.130078219431599</v>
      </c>
      <c r="P620" s="49">
        <f t="shared" si="189"/>
        <v>-29.561180906823299</v>
      </c>
      <c r="Q620" s="54">
        <f t="shared" si="191"/>
        <v>2770.0998306920301</v>
      </c>
      <c r="R620" s="55">
        <f t="shared" si="190"/>
        <v>66.9397481561343</v>
      </c>
    </row>
    <row r="621" ht="12.800000000000001">
      <c r="A621" s="1">
        <v>617</v>
      </c>
      <c r="B621" s="44">
        <v>44162</v>
      </c>
      <c r="C621" s="45">
        <f t="shared" si="176"/>
        <v>31.234151004397798</v>
      </c>
      <c r="D621" s="3">
        <f t="shared" si="177"/>
        <v>4.1247637972443103</v>
      </c>
      <c r="E621" s="46">
        <f t="shared" si="178"/>
        <v>0</v>
      </c>
      <c r="F621" s="46">
        <f t="shared" si="179"/>
        <v>4.1247637972443103</v>
      </c>
      <c r="G621" s="46">
        <f t="shared" si="180"/>
        <v>100</v>
      </c>
      <c r="H621" s="46">
        <f t="shared" si="181"/>
        <v>100</v>
      </c>
      <c r="I621" s="47">
        <f t="shared" si="182"/>
        <v>0</v>
      </c>
      <c r="J621" s="47">
        <f t="shared" si="183"/>
        <v>4.5327074694992397</v>
      </c>
      <c r="K621" s="48">
        <f t="shared" si="184"/>
        <v>0</v>
      </c>
      <c r="L621" s="7">
        <f t="shared" si="185"/>
        <v>4.1247637972443103</v>
      </c>
      <c r="M621" s="7">
        <f t="shared" si="186"/>
        <v>27.1093872071535</v>
      </c>
      <c r="N621" s="7">
        <f t="shared" si="187"/>
        <v>29.7905353924764</v>
      </c>
      <c r="O621" s="7">
        <f t="shared" si="188"/>
        <v>31.234151004397798</v>
      </c>
      <c r="P621" s="49">
        <f t="shared" si="189"/>
        <v>-29.7905353924764</v>
      </c>
      <c r="Q621" s="54">
        <f t="shared" si="191"/>
        <v>2740.5386497852101</v>
      </c>
      <c r="R621" s="55">
        <f t="shared" si="190"/>
        <v>66.652260044693705</v>
      </c>
    </row>
    <row r="622" ht="12.800000000000001">
      <c r="A622" s="1">
        <v>618</v>
      </c>
      <c r="B622" s="44">
        <v>44163</v>
      </c>
      <c r="C622" s="45">
        <f t="shared" si="176"/>
        <v>31.333762157942999</v>
      </c>
      <c r="D622" s="3">
        <f t="shared" si="177"/>
        <v>4.0246099396617501</v>
      </c>
      <c r="E622" s="46">
        <f t="shared" si="178"/>
        <v>0</v>
      </c>
      <c r="F622" s="46">
        <f t="shared" si="179"/>
        <v>4.0246099396617501</v>
      </c>
      <c r="G622" s="46">
        <f t="shared" si="180"/>
        <v>100</v>
      </c>
      <c r="H622" s="46">
        <f t="shared" si="181"/>
        <v>100</v>
      </c>
      <c r="I622" s="47">
        <f t="shared" si="182"/>
        <v>0</v>
      </c>
      <c r="J622" s="47">
        <f t="shared" si="183"/>
        <v>4.4226482853425804</v>
      </c>
      <c r="K622" s="48">
        <f t="shared" si="184"/>
        <v>0</v>
      </c>
      <c r="L622" s="7">
        <f t="shared" si="185"/>
        <v>4.0246099396617501</v>
      </c>
      <c r="M622" s="7">
        <f t="shared" si="186"/>
        <v>27.309152218281302</v>
      </c>
      <c r="N622" s="7">
        <f t="shared" si="187"/>
        <v>30.0100573827267</v>
      </c>
      <c r="O622" s="7">
        <f t="shared" si="188"/>
        <v>31.333762157942999</v>
      </c>
      <c r="P622" s="49">
        <f t="shared" si="189"/>
        <v>-30.0100573827267</v>
      </c>
      <c r="Q622" s="54">
        <f t="shared" si="191"/>
        <v>2710.7481143927298</v>
      </c>
      <c r="R622" s="55">
        <f t="shared" si="190"/>
        <v>66.362541417221195</v>
      </c>
    </row>
    <row r="623" ht="12.800000000000001">
      <c r="A623" s="1">
        <v>619</v>
      </c>
      <c r="B623" s="44">
        <v>44164</v>
      </c>
      <c r="C623" s="45">
        <f t="shared" si="176"/>
        <v>31.428882163132698</v>
      </c>
      <c r="D623" s="3">
        <f t="shared" si="177"/>
        <v>3.9289716992242298</v>
      </c>
      <c r="E623" s="46">
        <f t="shared" si="178"/>
        <v>0</v>
      </c>
      <c r="F623" s="46">
        <f t="shared" si="179"/>
        <v>3.9289716992242298</v>
      </c>
      <c r="G623" s="46">
        <f t="shared" si="180"/>
        <v>100</v>
      </c>
      <c r="H623" s="46">
        <f t="shared" si="181"/>
        <v>100</v>
      </c>
      <c r="I623" s="47">
        <f t="shared" si="182"/>
        <v>0</v>
      </c>
      <c r="J623" s="47">
        <f t="shared" si="183"/>
        <v>4.3175513178288201</v>
      </c>
      <c r="K623" s="48">
        <f t="shared" si="184"/>
        <v>0</v>
      </c>
      <c r="L623" s="7">
        <f t="shared" si="185"/>
        <v>3.9289716992242298</v>
      </c>
      <c r="M623" s="7">
        <f t="shared" si="186"/>
        <v>27.499910463908499</v>
      </c>
      <c r="N623" s="7">
        <f t="shared" si="187"/>
        <v>30.219681828470801</v>
      </c>
      <c r="O623" s="7">
        <f t="shared" si="188"/>
        <v>31.428882163132698</v>
      </c>
      <c r="P623" s="49">
        <f t="shared" si="189"/>
        <v>-30.219681828470801</v>
      </c>
      <c r="Q623" s="54">
        <f t="shared" si="191"/>
        <v>2680.7380570099999</v>
      </c>
      <c r="R623" s="55">
        <f t="shared" si="190"/>
        <v>66.070687896606501</v>
      </c>
    </row>
    <row r="624" ht="12.800000000000001">
      <c r="A624" s="1">
        <v>620</v>
      </c>
      <c r="B624" s="44">
        <v>44165</v>
      </c>
      <c r="C624" s="45">
        <f t="shared" si="176"/>
        <v>31.519482833856401</v>
      </c>
      <c r="D624" s="3">
        <f t="shared" si="177"/>
        <v>3.8378774156064202</v>
      </c>
      <c r="E624" s="46">
        <f t="shared" si="178"/>
        <v>0</v>
      </c>
      <c r="F624" s="46">
        <f t="shared" si="179"/>
        <v>3.8378774156064202</v>
      </c>
      <c r="G624" s="46">
        <f t="shared" si="180"/>
        <v>100</v>
      </c>
      <c r="H624" s="46">
        <f t="shared" si="181"/>
        <v>100</v>
      </c>
      <c r="I624" s="47">
        <f t="shared" si="182"/>
        <v>0</v>
      </c>
      <c r="J624" s="47">
        <f t="shared" si="183"/>
        <v>4.2174477094576002</v>
      </c>
      <c r="K624" s="48">
        <f t="shared" si="184"/>
        <v>0</v>
      </c>
      <c r="L624" s="7">
        <f t="shared" si="185"/>
        <v>3.8378774156064202</v>
      </c>
      <c r="M624" s="7">
        <f t="shared" si="186"/>
        <v>27.681605418250001</v>
      </c>
      <c r="N624" s="7">
        <f t="shared" si="187"/>
        <v>30.419346613461499</v>
      </c>
      <c r="O624" s="7">
        <f t="shared" si="188"/>
        <v>31.519482833856401</v>
      </c>
      <c r="P624" s="49">
        <f t="shared" si="189"/>
        <v>-30.419346613461499</v>
      </c>
      <c r="Q624" s="54">
        <f t="shared" si="191"/>
        <v>2650.5183751815298</v>
      </c>
      <c r="R624" s="55">
        <f t="shared" si="190"/>
        <v>65.776795738353798</v>
      </c>
    </row>
    <row r="625" ht="12.800000000000001">
      <c r="A625" s="1">
        <v>621</v>
      </c>
      <c r="B625" s="44">
        <v>44166</v>
      </c>
      <c r="C625" s="45">
        <f t="shared" si="176"/>
        <v>31.605537323180101</v>
      </c>
      <c r="D625" s="3">
        <f t="shared" si="177"/>
        <v>3.75135408201053</v>
      </c>
      <c r="E625" s="46">
        <f t="shared" si="178"/>
        <v>0</v>
      </c>
      <c r="F625" s="46">
        <f t="shared" si="179"/>
        <v>3.75135408201053</v>
      </c>
      <c r="G625" s="46">
        <f t="shared" si="180"/>
        <v>100</v>
      </c>
      <c r="H625" s="46">
        <f t="shared" si="181"/>
        <v>100</v>
      </c>
      <c r="I625" s="47">
        <f t="shared" si="182"/>
        <v>0</v>
      </c>
      <c r="J625" s="47">
        <f t="shared" si="183"/>
        <v>4.1223671230884902</v>
      </c>
      <c r="K625" s="48">
        <f t="shared" si="184"/>
        <v>0</v>
      </c>
      <c r="L625" s="7">
        <f t="shared" si="185"/>
        <v>3.75135408201053</v>
      </c>
      <c r="M625" s="7">
        <f t="shared" si="186"/>
        <v>27.854183241169501</v>
      </c>
      <c r="N625" s="7">
        <f t="shared" si="187"/>
        <v>30.608992572713799</v>
      </c>
      <c r="O625" s="7">
        <f t="shared" si="188"/>
        <v>31.605537323180101</v>
      </c>
      <c r="P625" s="49">
        <f t="shared" si="189"/>
        <v>-30.608992572713799</v>
      </c>
      <c r="Q625" s="54">
        <f t="shared" si="191"/>
        <v>2620.09902856807</v>
      </c>
      <c r="R625" s="55">
        <f t="shared" si="190"/>
        <v>65.480961802059895</v>
      </c>
    </row>
    <row r="626" ht="12.800000000000001">
      <c r="A626" s="1">
        <v>622</v>
      </c>
      <c r="B626" s="44">
        <v>44167</v>
      </c>
      <c r="C626" s="45">
        <f t="shared" si="176"/>
        <v>31.687020131301299</v>
      </c>
      <c r="D626" s="3">
        <f t="shared" si="177"/>
        <v>3.6694273371676398</v>
      </c>
      <c r="E626" s="46">
        <f t="shared" si="178"/>
        <v>0</v>
      </c>
      <c r="F626" s="46">
        <f t="shared" si="179"/>
        <v>3.6694273371676398</v>
      </c>
      <c r="G626" s="46">
        <f t="shared" si="180"/>
        <v>100</v>
      </c>
      <c r="H626" s="46">
        <f t="shared" si="181"/>
        <v>100</v>
      </c>
      <c r="I626" s="47">
        <f t="shared" si="182"/>
        <v>0</v>
      </c>
      <c r="J626" s="47">
        <f t="shared" si="183"/>
        <v>4.0323377331512598</v>
      </c>
      <c r="K626" s="48">
        <f t="shared" si="184"/>
        <v>0</v>
      </c>
      <c r="L626" s="7">
        <f t="shared" si="185"/>
        <v>3.6694273371676398</v>
      </c>
      <c r="M626" s="7">
        <f t="shared" si="186"/>
        <v>28.017592794133702</v>
      </c>
      <c r="N626" s="7">
        <f t="shared" si="187"/>
        <v>30.788563510037001</v>
      </c>
      <c r="O626" s="7">
        <f t="shared" si="188"/>
        <v>31.687020131301299</v>
      </c>
      <c r="P626" s="49">
        <f t="shared" si="189"/>
        <v>-30.788563510037001</v>
      </c>
      <c r="Q626" s="54">
        <f t="shared" si="191"/>
        <v>2589.4900359953599</v>
      </c>
      <c r="R626" s="55">
        <f t="shared" si="190"/>
        <v>65.183283522712102</v>
      </c>
    </row>
    <row r="627" ht="12.800000000000001">
      <c r="A627" s="1">
        <v>623</v>
      </c>
      <c r="B627" s="44">
        <v>44168</v>
      </c>
      <c r="C627" s="45">
        <f t="shared" si="176"/>
        <v>31.763907113105599</v>
      </c>
      <c r="D627" s="3">
        <f t="shared" si="177"/>
        <v>3.5921214577403799</v>
      </c>
      <c r="E627" s="46">
        <f t="shared" si="178"/>
        <v>0</v>
      </c>
      <c r="F627" s="46">
        <f t="shared" si="179"/>
        <v>3.5921214577403799</v>
      </c>
      <c r="G627" s="46">
        <f t="shared" si="180"/>
        <v>100</v>
      </c>
      <c r="H627" s="46">
        <f t="shared" si="181"/>
        <v>100</v>
      </c>
      <c r="I627" s="47">
        <f t="shared" si="182"/>
        <v>0</v>
      </c>
      <c r="J627" s="47">
        <f t="shared" si="183"/>
        <v>3.9473862172971201</v>
      </c>
      <c r="K627" s="48">
        <f t="shared" si="184"/>
        <v>0</v>
      </c>
      <c r="L627" s="7">
        <f t="shared" si="185"/>
        <v>3.5921214577403799</v>
      </c>
      <c r="M627" s="7">
        <f t="shared" si="186"/>
        <v>28.171785655365198</v>
      </c>
      <c r="N627" s="7">
        <f t="shared" si="187"/>
        <v>30.958006214687099</v>
      </c>
      <c r="O627" s="7">
        <f t="shared" si="188"/>
        <v>31.763907113105599</v>
      </c>
      <c r="P627" s="49">
        <f t="shared" si="189"/>
        <v>-30.958006214687099</v>
      </c>
      <c r="Q627" s="54">
        <f t="shared" si="191"/>
        <v>2558.7014724853202</v>
      </c>
      <c r="R627" s="55">
        <f t="shared" si="190"/>
        <v>64.883858881816593</v>
      </c>
    </row>
    <row r="628" ht="12.800000000000001">
      <c r="A628" s="1">
        <v>624</v>
      </c>
      <c r="B628" s="44">
        <v>44169</v>
      </c>
      <c r="C628" s="45">
        <f t="shared" si="176"/>
        <v>31.836175485320801</v>
      </c>
      <c r="D628" s="3">
        <f t="shared" si="177"/>
        <v>3.5194593511291998</v>
      </c>
      <c r="E628" s="46">
        <f t="shared" si="178"/>
        <v>0</v>
      </c>
      <c r="F628" s="46">
        <f t="shared" si="179"/>
        <v>3.5194593511291998</v>
      </c>
      <c r="G628" s="46">
        <f t="shared" si="180"/>
        <v>100</v>
      </c>
      <c r="H628" s="46">
        <f t="shared" si="181"/>
        <v>100</v>
      </c>
      <c r="I628" s="47">
        <f t="shared" si="182"/>
        <v>0</v>
      </c>
      <c r="J628" s="47">
        <f t="shared" si="183"/>
        <v>3.86753774849362</v>
      </c>
      <c r="K628" s="48">
        <f t="shared" si="184"/>
        <v>0</v>
      </c>
      <c r="L628" s="7">
        <f t="shared" si="185"/>
        <v>3.5194593511291998</v>
      </c>
      <c r="M628" s="7">
        <f t="shared" si="186"/>
        <v>28.316716134191601</v>
      </c>
      <c r="N628" s="7">
        <f t="shared" si="187"/>
        <v>31.117270477133602</v>
      </c>
      <c r="O628" s="7">
        <f t="shared" si="188"/>
        <v>31.836175485320801</v>
      </c>
      <c r="P628" s="49">
        <f t="shared" si="189"/>
        <v>-31.117270477133602</v>
      </c>
      <c r="Q628" s="54">
        <f t="shared" si="191"/>
        <v>2527.7434662706301</v>
      </c>
      <c r="R628" s="55">
        <f t="shared" si="190"/>
        <v>64.582786378364204</v>
      </c>
    </row>
    <row r="629" ht="12.800000000000001">
      <c r="A629" s="1">
        <v>625</v>
      </c>
      <c r="B629" s="44">
        <v>44170</v>
      </c>
      <c r="C629" s="45">
        <f t="shared" si="176"/>
        <v>31.903803833268601</v>
      </c>
      <c r="D629" s="3">
        <f t="shared" si="177"/>
        <v>3.4514625486844799</v>
      </c>
      <c r="E629" s="46">
        <f t="shared" si="178"/>
        <v>0</v>
      </c>
      <c r="F629" s="46">
        <f t="shared" si="179"/>
        <v>3.4514625486844799</v>
      </c>
      <c r="G629" s="46">
        <f t="shared" si="180"/>
        <v>100</v>
      </c>
      <c r="H629" s="46">
        <f t="shared" si="181"/>
        <v>100</v>
      </c>
      <c r="I629" s="47">
        <f t="shared" si="182"/>
        <v>0</v>
      </c>
      <c r="J629" s="47">
        <f t="shared" si="183"/>
        <v>3.7928159875653602</v>
      </c>
      <c r="K629" s="48">
        <f t="shared" si="184"/>
        <v>0</v>
      </c>
      <c r="L629" s="7">
        <f t="shared" si="185"/>
        <v>3.4514625486844799</v>
      </c>
      <c r="M629" s="7">
        <f t="shared" si="186"/>
        <v>28.452341284584101</v>
      </c>
      <c r="N629" s="7">
        <f t="shared" si="187"/>
        <v>31.2663091039386</v>
      </c>
      <c r="O629" s="7">
        <f t="shared" si="188"/>
        <v>31.903803833268601</v>
      </c>
      <c r="P629" s="49">
        <f t="shared" si="189"/>
        <v>-31.2663091039386</v>
      </c>
      <c r="Q629" s="54">
        <f t="shared" si="191"/>
        <v>2496.6261957934998</v>
      </c>
      <c r="R629" s="55">
        <f t="shared" si="190"/>
        <v>64.280164999642594</v>
      </c>
    </row>
    <row r="630" ht="12.800000000000001">
      <c r="A630" s="1">
        <v>626</v>
      </c>
      <c r="B630" s="44">
        <v>44171</v>
      </c>
      <c r="C630" s="45">
        <f t="shared" si="176"/>
        <v>31.966772117209899</v>
      </c>
      <c r="D630" s="3">
        <f t="shared" si="177"/>
        <v>3.3881511993262698</v>
      </c>
      <c r="E630" s="46">
        <f t="shared" si="178"/>
        <v>0</v>
      </c>
      <c r="F630" s="46">
        <f t="shared" si="179"/>
        <v>3.3881511993262698</v>
      </c>
      <c r="G630" s="46">
        <f t="shared" si="180"/>
        <v>100</v>
      </c>
      <c r="H630" s="46">
        <f t="shared" si="181"/>
        <v>100</v>
      </c>
      <c r="I630" s="47">
        <f t="shared" si="182"/>
        <v>0</v>
      </c>
      <c r="J630" s="47">
        <f t="shared" si="183"/>
        <v>3.7232430761827202</v>
      </c>
      <c r="K630" s="48">
        <f t="shared" si="184"/>
        <v>0</v>
      </c>
      <c r="L630" s="7">
        <f t="shared" si="185"/>
        <v>3.3881511993262698</v>
      </c>
      <c r="M630" s="7">
        <f t="shared" si="186"/>
        <v>28.578620917883601</v>
      </c>
      <c r="N630" s="7">
        <f t="shared" si="187"/>
        <v>31.405077931740198</v>
      </c>
      <c r="O630" s="7">
        <f t="shared" si="188"/>
        <v>31.966772117209899</v>
      </c>
      <c r="P630" s="49">
        <f t="shared" si="189"/>
        <v>-31.405077931740198</v>
      </c>
      <c r="Q630" s="54">
        <f t="shared" si="191"/>
        <v>2465.35988668956</v>
      </c>
      <c r="R630" s="55">
        <f t="shared" si="190"/>
        <v>63.976094191905197</v>
      </c>
    </row>
    <row r="631" ht="12.800000000000001">
      <c r="A631" s="1">
        <v>627</v>
      </c>
      <c r="B631" s="44">
        <v>44172</v>
      </c>
      <c r="C631" s="45">
        <f t="shared" si="176"/>
        <v>32.025061678283201</v>
      </c>
      <c r="D631" s="3">
        <f t="shared" si="177"/>
        <v>3.3295440635737599</v>
      </c>
      <c r="E631" s="46">
        <f t="shared" si="178"/>
        <v>0</v>
      </c>
      <c r="F631" s="46">
        <f t="shared" si="179"/>
        <v>3.3295440635737599</v>
      </c>
      <c r="G631" s="46">
        <f t="shared" si="180"/>
        <v>100</v>
      </c>
      <c r="H631" s="46">
        <f t="shared" si="181"/>
        <v>100</v>
      </c>
      <c r="I631" s="47">
        <f t="shared" si="182"/>
        <v>0</v>
      </c>
      <c r="J631" s="47">
        <f t="shared" si="183"/>
        <v>3.6588396303008301</v>
      </c>
      <c r="K631" s="48">
        <f t="shared" si="184"/>
        <v>0</v>
      </c>
      <c r="L631" s="7">
        <f t="shared" si="185"/>
        <v>3.3295440635737599</v>
      </c>
      <c r="M631" s="7">
        <f t="shared" si="186"/>
        <v>28.695517614709502</v>
      </c>
      <c r="N631" s="7">
        <f t="shared" si="187"/>
        <v>31.5335358403401</v>
      </c>
      <c r="O631" s="7">
        <f t="shared" si="188"/>
        <v>32.025061678283201</v>
      </c>
      <c r="P631" s="49">
        <f t="shared" si="189"/>
        <v>-31.5335358403401</v>
      </c>
      <c r="Q631" s="54">
        <f t="shared" si="191"/>
        <v>2433.95480875782</v>
      </c>
      <c r="R631" s="55">
        <f t="shared" si="190"/>
        <v>63.670673830901997</v>
      </c>
    </row>
    <row r="632" ht="12.800000000000001">
      <c r="A632" s="1">
        <v>628</v>
      </c>
      <c r="B632" s="44">
        <v>44173</v>
      </c>
      <c r="C632" s="45">
        <f t="shared" si="176"/>
        <v>32.078655244033598</v>
      </c>
      <c r="D632" s="3">
        <f t="shared" si="177"/>
        <v>3.2756585079861198</v>
      </c>
      <c r="E632" s="46">
        <f t="shared" si="178"/>
        <v>0</v>
      </c>
      <c r="F632" s="46">
        <f t="shared" si="179"/>
        <v>3.2756585079861198</v>
      </c>
      <c r="G632" s="46">
        <f t="shared" si="180"/>
        <v>100</v>
      </c>
      <c r="H632" s="46">
        <f t="shared" si="181"/>
        <v>100</v>
      </c>
      <c r="I632" s="47">
        <f t="shared" si="182"/>
        <v>0</v>
      </c>
      <c r="J632" s="47">
        <f t="shared" si="183"/>
        <v>3.5996247340506802</v>
      </c>
      <c r="K632" s="48">
        <f t="shared" si="184"/>
        <v>0</v>
      </c>
      <c r="L632" s="7">
        <f t="shared" si="185"/>
        <v>3.2756585079861198</v>
      </c>
      <c r="M632" s="7">
        <f t="shared" si="186"/>
        <v>28.802996736047501</v>
      </c>
      <c r="N632" s="7">
        <f t="shared" si="187"/>
        <v>31.651644764887401</v>
      </c>
      <c r="O632" s="7">
        <f t="shared" si="188"/>
        <v>32.078655244033598</v>
      </c>
      <c r="P632" s="49">
        <f t="shared" si="189"/>
        <v>-31.651644764887401</v>
      </c>
      <c r="Q632" s="54">
        <f t="shared" si="191"/>
        <v>2402.4212729174801</v>
      </c>
      <c r="R632" s="55">
        <f t="shared" si="190"/>
        <v>63.364004192285002</v>
      </c>
    </row>
    <row r="633" ht="12.800000000000001">
      <c r="A633" s="1">
        <v>629</v>
      </c>
      <c r="B633" s="44">
        <v>44174</v>
      </c>
      <c r="C633" s="45">
        <f t="shared" si="176"/>
        <v>32.127536933530997</v>
      </c>
      <c r="D633" s="3">
        <f t="shared" si="177"/>
        <v>3.2265105000164098</v>
      </c>
      <c r="E633" s="46">
        <f t="shared" si="178"/>
        <v>0</v>
      </c>
      <c r="F633" s="46">
        <f t="shared" si="179"/>
        <v>3.2265105000164098</v>
      </c>
      <c r="G633" s="46">
        <f t="shared" si="180"/>
        <v>100</v>
      </c>
      <c r="H633" s="46">
        <f t="shared" si="181"/>
        <v>100</v>
      </c>
      <c r="I633" s="47">
        <f t="shared" si="182"/>
        <v>0</v>
      </c>
      <c r="J633" s="47">
        <f t="shared" si="183"/>
        <v>3.5456159340839601</v>
      </c>
      <c r="K633" s="48">
        <f t="shared" si="184"/>
        <v>0</v>
      </c>
      <c r="L633" s="7">
        <f t="shared" si="185"/>
        <v>3.2265105000164098</v>
      </c>
      <c r="M633" s="7">
        <f t="shared" si="186"/>
        <v>28.901026433514598</v>
      </c>
      <c r="N633" s="7">
        <f t="shared" si="187"/>
        <v>31.7593697071589</v>
      </c>
      <c r="O633" s="7">
        <f t="shared" si="188"/>
        <v>32.127536933530997</v>
      </c>
      <c r="P633" s="49">
        <f t="shared" si="189"/>
        <v>-31.7593697071589</v>
      </c>
      <c r="Q633" s="54">
        <f t="shared" si="191"/>
        <v>2370.76962815259</v>
      </c>
      <c r="R633" s="55">
        <f t="shared" si="190"/>
        <v>63.056185921894198</v>
      </c>
    </row>
    <row r="634" ht="12.800000000000001">
      <c r="A634" s="1">
        <v>630</v>
      </c>
      <c r="B634" s="44">
        <v>44175</v>
      </c>
      <c r="C634" s="45">
        <f t="shared" si="176"/>
        <v>32.171692262075702</v>
      </c>
      <c r="D634" s="3">
        <f t="shared" si="177"/>
        <v>3.1821146032800902</v>
      </c>
      <c r="E634" s="46">
        <f t="shared" si="178"/>
        <v>0</v>
      </c>
      <c r="F634" s="46">
        <f t="shared" si="179"/>
        <v>3.1821146032800902</v>
      </c>
      <c r="G634" s="46">
        <f t="shared" si="180"/>
        <v>100</v>
      </c>
      <c r="H634" s="46">
        <f t="shared" si="181"/>
        <v>100</v>
      </c>
      <c r="I634" s="47">
        <f t="shared" si="182"/>
        <v>0</v>
      </c>
      <c r="J634" s="47">
        <f t="shared" si="183"/>
        <v>3.4968292343737302</v>
      </c>
      <c r="K634" s="48">
        <f t="shared" si="184"/>
        <v>0</v>
      </c>
      <c r="L634" s="7">
        <f t="shared" si="185"/>
        <v>3.1821146032800902</v>
      </c>
      <c r="M634" s="7">
        <f t="shared" si="186"/>
        <v>28.9895776587956</v>
      </c>
      <c r="N634" s="7">
        <f t="shared" si="187"/>
        <v>31.856678745929202</v>
      </c>
      <c r="O634" s="7">
        <f t="shared" si="188"/>
        <v>32.171692262075702</v>
      </c>
      <c r="P634" s="49">
        <f t="shared" si="189"/>
        <v>-31.856678745929202</v>
      </c>
      <c r="Q634" s="54">
        <f t="shared" si="191"/>
        <v>2339.0102584454398</v>
      </c>
      <c r="R634" s="55">
        <f t="shared" si="190"/>
        <v>62.747320005933801</v>
      </c>
    </row>
    <row r="635" ht="12.800000000000001">
      <c r="A635" s="1">
        <v>631</v>
      </c>
      <c r="B635" s="44">
        <v>44176</v>
      </c>
      <c r="C635" s="45">
        <f t="shared" si="176"/>
        <v>32.211108145491004</v>
      </c>
      <c r="D635" s="3">
        <f t="shared" si="177"/>
        <v>3.1424839732395098</v>
      </c>
      <c r="E635" s="46">
        <f t="shared" si="178"/>
        <v>0</v>
      </c>
      <c r="F635" s="46">
        <f t="shared" si="179"/>
        <v>3.1424839732395098</v>
      </c>
      <c r="G635" s="46">
        <f t="shared" si="180"/>
        <v>100</v>
      </c>
      <c r="H635" s="46">
        <f t="shared" si="181"/>
        <v>100</v>
      </c>
      <c r="I635" s="47">
        <f t="shared" si="182"/>
        <v>0</v>
      </c>
      <c r="J635" s="47">
        <f t="shared" si="183"/>
        <v>3.4532790914719902</v>
      </c>
      <c r="K635" s="48">
        <f t="shared" si="184"/>
        <v>0</v>
      </c>
      <c r="L635" s="7">
        <f t="shared" si="185"/>
        <v>3.1424839732395098</v>
      </c>
      <c r="M635" s="7">
        <f t="shared" si="186"/>
        <v>29.0686241722515</v>
      </c>
      <c r="N635" s="7">
        <f t="shared" si="187"/>
        <v>31.9435430464302</v>
      </c>
      <c r="O635" s="7">
        <f t="shared" si="188"/>
        <v>32.211108145491004</v>
      </c>
      <c r="P635" s="49">
        <f t="shared" si="189"/>
        <v>-31.9435430464302</v>
      </c>
      <c r="Q635" s="54">
        <f t="shared" si="191"/>
        <v>2307.1535796995099</v>
      </c>
      <c r="R635" s="55">
        <f t="shared" si="190"/>
        <v>62.437507741048101</v>
      </c>
    </row>
    <row r="636" ht="12.800000000000001">
      <c r="A636" s="1">
        <v>632</v>
      </c>
      <c r="B636" s="44">
        <v>44177</v>
      </c>
      <c r="C636" s="45">
        <f t="shared" si="176"/>
        <v>32.245772903999899</v>
      </c>
      <c r="D636" s="3">
        <f t="shared" si="177"/>
        <v>3.1076303533056602</v>
      </c>
      <c r="E636" s="46">
        <f t="shared" si="178"/>
        <v>0</v>
      </c>
      <c r="F636" s="46">
        <f t="shared" si="179"/>
        <v>3.1076303533056602</v>
      </c>
      <c r="G636" s="46">
        <f t="shared" si="180"/>
        <v>100</v>
      </c>
      <c r="H636" s="46">
        <f t="shared" si="181"/>
        <v>100</v>
      </c>
      <c r="I636" s="47">
        <f t="shared" si="182"/>
        <v>0</v>
      </c>
      <c r="J636" s="47">
        <f t="shared" si="183"/>
        <v>3.4149784102259999</v>
      </c>
      <c r="K636" s="48">
        <f t="shared" si="184"/>
        <v>0</v>
      </c>
      <c r="L636" s="7">
        <f t="shared" si="185"/>
        <v>3.1076303533056602</v>
      </c>
      <c r="M636" s="7">
        <f t="shared" si="186"/>
        <v>29.138142550694301</v>
      </c>
      <c r="N636" s="7">
        <f t="shared" si="187"/>
        <v>32.019936868894803</v>
      </c>
      <c r="O636" s="7">
        <f t="shared" si="188"/>
        <v>32.245772903999899</v>
      </c>
      <c r="P636" s="49">
        <f t="shared" si="189"/>
        <v>-32.019936868894803</v>
      </c>
      <c r="Q636" s="54">
        <f t="shared" si="191"/>
        <v>2275.2100366530799</v>
      </c>
      <c r="R636" s="55">
        <f t="shared" si="190"/>
        <v>62.126850704304999</v>
      </c>
    </row>
    <row r="637" ht="12.800000000000001">
      <c r="A637" s="1">
        <v>633</v>
      </c>
      <c r="B637" s="44">
        <v>44178</v>
      </c>
      <c r="C637" s="45">
        <f t="shared" si="176"/>
        <v>32.2756762656864</v>
      </c>
      <c r="D637" s="3">
        <f t="shared" si="177"/>
        <v>3.0775640713583101</v>
      </c>
      <c r="E637" s="46">
        <f t="shared" si="178"/>
        <v>0</v>
      </c>
      <c r="F637" s="46">
        <f t="shared" si="179"/>
        <v>3.0775640713583101</v>
      </c>
      <c r="G637" s="46">
        <f t="shared" si="180"/>
        <v>100</v>
      </c>
      <c r="H637" s="46">
        <f t="shared" si="181"/>
        <v>100</v>
      </c>
      <c r="I637" s="47">
        <f t="shared" si="182"/>
        <v>0</v>
      </c>
      <c r="J637" s="47">
        <f t="shared" si="183"/>
        <v>3.3819385399541901</v>
      </c>
      <c r="K637" s="48">
        <f t="shared" si="184"/>
        <v>0</v>
      </c>
      <c r="L637" s="7">
        <f t="shared" si="185"/>
        <v>3.0775640713583101</v>
      </c>
      <c r="M637" s="7">
        <f t="shared" si="186"/>
        <v>29.1981121943281</v>
      </c>
      <c r="N637" s="7">
        <f t="shared" si="187"/>
        <v>32.085837576184701</v>
      </c>
      <c r="O637" s="7">
        <f t="shared" si="188"/>
        <v>32.2756762656864</v>
      </c>
      <c r="P637" s="49">
        <f t="shared" si="189"/>
        <v>-32.085837576184701</v>
      </c>
      <c r="Q637" s="54">
        <f t="shared" si="191"/>
        <v>2243.1900997841799</v>
      </c>
      <c r="R637" s="55">
        <f t="shared" si="190"/>
        <v>61.815450723096397</v>
      </c>
    </row>
    <row r="638" ht="12.800000000000001">
      <c r="A638" s="1">
        <v>634</v>
      </c>
      <c r="B638" s="44">
        <v>44179</v>
      </c>
      <c r="C638" s="45">
        <f t="shared" si="176"/>
        <v>32.300809369539103</v>
      </c>
      <c r="D638" s="3">
        <f t="shared" si="177"/>
        <v>3.0522940366857001</v>
      </c>
      <c r="E638" s="46">
        <f t="shared" si="178"/>
        <v>0</v>
      </c>
      <c r="F638" s="46">
        <f t="shared" si="179"/>
        <v>3.0522940366857001</v>
      </c>
      <c r="G638" s="46">
        <f t="shared" si="180"/>
        <v>100</v>
      </c>
      <c r="H638" s="46">
        <f t="shared" si="181"/>
        <v>100</v>
      </c>
      <c r="I638" s="47">
        <f t="shared" si="182"/>
        <v>0</v>
      </c>
      <c r="J638" s="47">
        <f t="shared" si="183"/>
        <v>3.3541692710831801</v>
      </c>
      <c r="K638" s="48">
        <f t="shared" si="184"/>
        <v>0</v>
      </c>
      <c r="L638" s="7">
        <f t="shared" si="185"/>
        <v>3.0522940366857001</v>
      </c>
      <c r="M638" s="7">
        <f t="shared" si="186"/>
        <v>29.248515332853401</v>
      </c>
      <c r="N638" s="7">
        <f t="shared" si="187"/>
        <v>32.141225640498199</v>
      </c>
      <c r="O638" s="7">
        <f t="shared" si="188"/>
        <v>32.300809369539103</v>
      </c>
      <c r="P638" s="49">
        <f t="shared" si="189"/>
        <v>-32.141225640498199</v>
      </c>
      <c r="Q638" s="54">
        <f t="shared" si="191"/>
        <v>2211.1042622079999</v>
      </c>
      <c r="R638" s="55">
        <f t="shared" si="190"/>
        <v>61.503409844964899</v>
      </c>
    </row>
    <row r="639" ht="12.800000000000001">
      <c r="A639" s="1">
        <v>635</v>
      </c>
      <c r="B639" s="44">
        <v>44180</v>
      </c>
      <c r="C639" s="45">
        <f t="shared" si="176"/>
        <v>32.321164768076798</v>
      </c>
      <c r="D639" s="3">
        <f t="shared" si="177"/>
        <v>3.0318277373444702</v>
      </c>
      <c r="E639" s="46">
        <f t="shared" si="178"/>
        <v>0</v>
      </c>
      <c r="F639" s="46">
        <f t="shared" si="179"/>
        <v>3.0318277373444702</v>
      </c>
      <c r="G639" s="46">
        <f t="shared" si="180"/>
        <v>100</v>
      </c>
      <c r="H639" s="46">
        <f t="shared" si="181"/>
        <v>100</v>
      </c>
      <c r="I639" s="47">
        <f t="shared" si="182"/>
        <v>0</v>
      </c>
      <c r="J639" s="47">
        <f t="shared" si="183"/>
        <v>3.3316788322466699</v>
      </c>
      <c r="K639" s="48">
        <f t="shared" si="184"/>
        <v>0</v>
      </c>
      <c r="L639" s="7">
        <f t="shared" si="185"/>
        <v>3.0318277373444702</v>
      </c>
      <c r="M639" s="7">
        <f t="shared" si="186"/>
        <v>29.289337030732302</v>
      </c>
      <c r="N639" s="7">
        <f t="shared" si="187"/>
        <v>32.186084649156399</v>
      </c>
      <c r="O639" s="7">
        <f t="shared" si="188"/>
        <v>32.321164768076798</v>
      </c>
      <c r="P639" s="49">
        <f t="shared" si="189"/>
        <v>-32.186084649156399</v>
      </c>
      <c r="Q639" s="54">
        <f t="shared" si="191"/>
        <v>2178.9630365674998</v>
      </c>
      <c r="R639" s="55">
        <f t="shared" si="190"/>
        <v>61.1908303073646</v>
      </c>
    </row>
    <row r="640" ht="12.800000000000001">
      <c r="A640" s="1">
        <v>636</v>
      </c>
      <c r="B640" s="44">
        <v>44181</v>
      </c>
      <c r="C640" s="45">
        <f t="shared" si="176"/>
        <v>32.3367364295557</v>
      </c>
      <c r="D640" s="3">
        <f t="shared" si="177"/>
        <v>3.0161712379407999</v>
      </c>
      <c r="E640" s="46">
        <f t="shared" si="178"/>
        <v>0</v>
      </c>
      <c r="F640" s="46">
        <f t="shared" si="179"/>
        <v>3.0161712379407999</v>
      </c>
      <c r="G640" s="46">
        <f t="shared" si="180"/>
        <v>100</v>
      </c>
      <c r="H640" s="46">
        <f t="shared" si="181"/>
        <v>100</v>
      </c>
      <c r="I640" s="47">
        <f t="shared" si="182"/>
        <v>0</v>
      </c>
      <c r="J640" s="47">
        <f t="shared" si="183"/>
        <v>3.3144738878470399</v>
      </c>
      <c r="K640" s="48">
        <f t="shared" si="184"/>
        <v>0</v>
      </c>
      <c r="L640" s="7">
        <f t="shared" si="185"/>
        <v>3.0161712379407999</v>
      </c>
      <c r="M640" s="7">
        <f t="shared" si="186"/>
        <v>29.3205651916149</v>
      </c>
      <c r="N640" s="7">
        <f t="shared" si="187"/>
        <v>32.220401309466901</v>
      </c>
      <c r="O640" s="7">
        <f t="shared" si="188"/>
        <v>32.3367364295557</v>
      </c>
      <c r="P640" s="49">
        <f t="shared" si="189"/>
        <v>-32.220401309466901</v>
      </c>
      <c r="Q640" s="54">
        <f t="shared" si="191"/>
        <v>2146.7769519183398</v>
      </c>
      <c r="R640" s="55">
        <f t="shared" si="190"/>
        <v>60.877814507365898</v>
      </c>
    </row>
    <row r="641" ht="12.800000000000001">
      <c r="A641" s="1">
        <v>637</v>
      </c>
      <c r="B641" s="44">
        <v>44182</v>
      </c>
      <c r="C641" s="45">
        <f t="shared" si="176"/>
        <v>32.347519739756301</v>
      </c>
      <c r="D641" s="3">
        <f t="shared" si="177"/>
        <v>3.0053291778333802</v>
      </c>
      <c r="E641" s="46">
        <f t="shared" si="178"/>
        <v>0</v>
      </c>
      <c r="F641" s="46">
        <f t="shared" si="179"/>
        <v>3.0053291778333802</v>
      </c>
      <c r="G641" s="46">
        <f t="shared" si="180"/>
        <v>100</v>
      </c>
      <c r="H641" s="46">
        <f t="shared" si="181"/>
        <v>100</v>
      </c>
      <c r="I641" s="47">
        <f t="shared" si="182"/>
        <v>0</v>
      </c>
      <c r="J641" s="47">
        <f t="shared" si="183"/>
        <v>3.3025595360806399</v>
      </c>
      <c r="K641" s="48">
        <f t="shared" si="184"/>
        <v>0</v>
      </c>
      <c r="L641" s="7">
        <f t="shared" si="185"/>
        <v>3.0053291778333802</v>
      </c>
      <c r="M641" s="7">
        <f t="shared" si="186"/>
        <v>29.342190561922902</v>
      </c>
      <c r="N641" s="7">
        <f t="shared" si="187"/>
        <v>32.2441654526626</v>
      </c>
      <c r="O641" s="7">
        <f t="shared" si="188"/>
        <v>32.347519739756301</v>
      </c>
      <c r="P641" s="49">
        <f t="shared" si="189"/>
        <v>-32.2441654526626</v>
      </c>
      <c r="Q641" s="54">
        <f t="shared" si="191"/>
        <v>2114.5565506088801</v>
      </c>
      <c r="R641" s="55">
        <f t="shared" si="190"/>
        <v>60.564464971313299</v>
      </c>
    </row>
    <row r="642" ht="12.800000000000001">
      <c r="A642" s="1">
        <v>638</v>
      </c>
      <c r="B642" s="44">
        <v>44183</v>
      </c>
      <c r="C642" s="45">
        <f t="shared" si="176"/>
        <v>32.353511503351299</v>
      </c>
      <c r="D642" s="3">
        <f t="shared" si="177"/>
        <v>2.9993047697586102</v>
      </c>
      <c r="E642" s="46">
        <f t="shared" si="178"/>
        <v>0</v>
      </c>
      <c r="F642" s="46">
        <f t="shared" si="179"/>
        <v>2.9993047697586102</v>
      </c>
      <c r="G642" s="46">
        <f t="shared" si="180"/>
        <v>100</v>
      </c>
      <c r="H642" s="46">
        <f t="shared" si="181"/>
        <v>100</v>
      </c>
      <c r="I642" s="47">
        <f t="shared" si="182"/>
        <v>0</v>
      </c>
      <c r="J642" s="47">
        <f t="shared" si="183"/>
        <v>3.29593930742704</v>
      </c>
      <c r="K642" s="48">
        <f t="shared" si="184"/>
        <v>0</v>
      </c>
      <c r="L642" s="7">
        <f t="shared" si="185"/>
        <v>2.9993047697586102</v>
      </c>
      <c r="M642" s="7">
        <f t="shared" si="186"/>
        <v>29.354206733592701</v>
      </c>
      <c r="N642" s="7">
        <f t="shared" si="187"/>
        <v>32.257370036914999</v>
      </c>
      <c r="O642" s="7">
        <f t="shared" si="188"/>
        <v>32.353511503351299</v>
      </c>
      <c r="P642" s="49">
        <f t="shared" si="189"/>
        <v>-32.257370036914999</v>
      </c>
      <c r="Q642" s="54">
        <f t="shared" si="191"/>
        <v>2082.31238515621</v>
      </c>
      <c r="R642" s="55">
        <f t="shared" si="190"/>
        <v>60.250884324444598</v>
      </c>
    </row>
    <row r="643" ht="12.800000000000001">
      <c r="A643" s="1">
        <v>639</v>
      </c>
      <c r="B643" s="44">
        <v>44184</v>
      </c>
      <c r="C643" s="45">
        <f t="shared" si="176"/>
        <v>32.354709944851599</v>
      </c>
      <c r="D643" s="3">
        <f t="shared" si="177"/>
        <v>2.9980997988786</v>
      </c>
      <c r="E643" s="46">
        <f t="shared" si="178"/>
        <v>0</v>
      </c>
      <c r="F643" s="46">
        <f t="shared" si="179"/>
        <v>2.9980997988786</v>
      </c>
      <c r="G643" s="46">
        <f t="shared" si="180"/>
        <v>100</v>
      </c>
      <c r="H643" s="46">
        <f t="shared" si="181"/>
        <v>100</v>
      </c>
      <c r="I643" s="47">
        <f t="shared" si="182"/>
        <v>0</v>
      </c>
      <c r="J643" s="47">
        <f t="shared" si="183"/>
        <v>3.29461516360286</v>
      </c>
      <c r="K643" s="48">
        <f t="shared" si="184"/>
        <v>0</v>
      </c>
      <c r="L643" s="7">
        <f t="shared" si="185"/>
        <v>2.9980997988786</v>
      </c>
      <c r="M643" s="7">
        <f t="shared" si="186"/>
        <v>29.356610145973001</v>
      </c>
      <c r="N643" s="7">
        <f t="shared" si="187"/>
        <v>32.260011149420897</v>
      </c>
      <c r="O643" s="7">
        <f t="shared" si="188"/>
        <v>32.354709944851599</v>
      </c>
      <c r="P643" s="49">
        <f t="shared" si="189"/>
        <v>-32.260011149420897</v>
      </c>
      <c r="Q643" s="54">
        <f t="shared" si="191"/>
        <v>2050.0550151193002</v>
      </c>
      <c r="R643" s="55">
        <f t="shared" si="190"/>
        <v>59.937175260480402</v>
      </c>
    </row>
    <row r="644" ht="12.800000000000001">
      <c r="A644" s="1">
        <v>640</v>
      </c>
      <c r="B644" s="44">
        <v>44185</v>
      </c>
      <c r="C644" s="45">
        <f t="shared" si="176"/>
        <v>32.351114709133299</v>
      </c>
      <c r="D644" s="3">
        <f t="shared" si="177"/>
        <v>3.0017146222522499</v>
      </c>
      <c r="E644" s="46">
        <f t="shared" si="178"/>
        <v>0</v>
      </c>
      <c r="F644" s="46">
        <f t="shared" si="179"/>
        <v>3.0017146222522499</v>
      </c>
      <c r="G644" s="46">
        <f t="shared" si="180"/>
        <v>100</v>
      </c>
      <c r="H644" s="46">
        <f t="shared" si="181"/>
        <v>100</v>
      </c>
      <c r="I644" s="47">
        <f t="shared" si="182"/>
        <v>0</v>
      </c>
      <c r="J644" s="47">
        <f t="shared" si="183"/>
        <v>3.29858749698049</v>
      </c>
      <c r="K644" s="48">
        <f t="shared" si="184"/>
        <v>0</v>
      </c>
      <c r="L644" s="7">
        <f t="shared" si="185"/>
        <v>3.0017146222522499</v>
      </c>
      <c r="M644" s="7">
        <f t="shared" si="186"/>
        <v>29.349400086881001</v>
      </c>
      <c r="N644" s="7">
        <f t="shared" si="187"/>
        <v>32.252088007561603</v>
      </c>
      <c r="O644" s="7">
        <f t="shared" si="188"/>
        <v>32.351114709133299</v>
      </c>
      <c r="P644" s="49">
        <f t="shared" si="189"/>
        <v>-32.252088007561603</v>
      </c>
      <c r="Q644" s="54">
        <f t="shared" si="191"/>
        <v>2017.7950039698801</v>
      </c>
      <c r="R644" s="55">
        <f t="shared" si="190"/>
        <v>59.623440511194303</v>
      </c>
    </row>
    <row r="645" ht="12.800000000000001">
      <c r="A645" s="1">
        <v>641</v>
      </c>
      <c r="B645" s="44">
        <v>44186</v>
      </c>
      <c r="C645" s="45">
        <f t="shared" si="176"/>
        <v>32.342726861542197</v>
      </c>
      <c r="D645" s="3">
        <f t="shared" si="177"/>
        <v>3.0101481687293599</v>
      </c>
      <c r="E645" s="46">
        <f t="shared" si="178"/>
        <v>0</v>
      </c>
      <c r="F645" s="46">
        <f t="shared" si="179"/>
        <v>3.0101481687293599</v>
      </c>
      <c r="G645" s="46">
        <f t="shared" si="180"/>
        <v>100</v>
      </c>
      <c r="H645" s="46">
        <f t="shared" si="181"/>
        <v>100</v>
      </c>
      <c r="I645" s="47">
        <f t="shared" si="182"/>
        <v>0</v>
      </c>
      <c r="J645" s="47">
        <f t="shared" si="183"/>
        <v>3.30785513047182</v>
      </c>
      <c r="K645" s="48">
        <f t="shared" si="184"/>
        <v>0</v>
      </c>
      <c r="L645" s="7">
        <f t="shared" si="185"/>
        <v>3.0101481687293599</v>
      </c>
      <c r="M645" s="7">
        <f t="shared" si="186"/>
        <v>29.332578692812799</v>
      </c>
      <c r="N645" s="7">
        <f t="shared" si="187"/>
        <v>32.233602959134998</v>
      </c>
      <c r="O645" s="7">
        <f t="shared" si="188"/>
        <v>32.342726861542197</v>
      </c>
      <c r="P645" s="49">
        <f t="shared" si="189"/>
        <v>-32.233602959134998</v>
      </c>
      <c r="Q645" s="54">
        <f t="shared" si="191"/>
        <v>1985.54291596232</v>
      </c>
      <c r="R645" s="55">
        <f t="shared" si="190"/>
        <v>59.309782815971097</v>
      </c>
    </row>
    <row r="646" ht="12.800000000000001">
      <c r="A646" s="1">
        <v>642</v>
      </c>
      <c r="B646" s="44">
        <v>44187</v>
      </c>
      <c r="C646" s="45">
        <f t="shared" si="176"/>
        <v>32.329548887578603</v>
      </c>
      <c r="D646" s="3">
        <f t="shared" si="177"/>
        <v>3.0233979392681101</v>
      </c>
      <c r="E646" s="46">
        <f t="shared" si="178"/>
        <v>0</v>
      </c>
      <c r="F646" s="46">
        <f t="shared" si="179"/>
        <v>3.0233979392681101</v>
      </c>
      <c r="G646" s="46">
        <f t="shared" si="180"/>
        <v>100</v>
      </c>
      <c r="H646" s="46">
        <f t="shared" si="181"/>
        <v>100</v>
      </c>
      <c r="I646" s="47">
        <f t="shared" si="182"/>
        <v>0</v>
      </c>
      <c r="J646" s="47">
        <f t="shared" si="183"/>
        <v>3.3224153178770401</v>
      </c>
      <c r="K646" s="48">
        <f t="shared" si="184"/>
        <v>0</v>
      </c>
      <c r="L646" s="7">
        <f t="shared" si="185"/>
        <v>3.0233979392681101</v>
      </c>
      <c r="M646" s="7">
        <f t="shared" si="186"/>
        <v>29.306150948310499</v>
      </c>
      <c r="N646" s="7">
        <f t="shared" si="187"/>
        <v>32.204561481659901</v>
      </c>
      <c r="O646" s="7">
        <f t="shared" si="188"/>
        <v>32.329548887578603</v>
      </c>
      <c r="P646" s="49">
        <f t="shared" si="189"/>
        <v>-32.204561481659901</v>
      </c>
      <c r="Q646" s="54">
        <f t="shared" si="191"/>
        <v>1953.30931300318</v>
      </c>
      <c r="R646" s="55">
        <f t="shared" si="190"/>
        <v>58.996304891362499</v>
      </c>
    </row>
    <row r="647" ht="12.800000000000001">
      <c r="A647" s="1">
        <v>643</v>
      </c>
      <c r="B647" s="44">
        <v>44188</v>
      </c>
      <c r="C647" s="45">
        <f t="shared" si="176"/>
        <v>32.311584692160601</v>
      </c>
      <c r="D647" s="3">
        <f t="shared" si="177"/>
        <v>3.0414600076755298</v>
      </c>
      <c r="E647" s="46">
        <f t="shared" si="178"/>
        <v>0</v>
      </c>
      <c r="F647" s="46">
        <f t="shared" si="179"/>
        <v>3.0414600076755298</v>
      </c>
      <c r="G647" s="46">
        <f t="shared" si="180"/>
        <v>100</v>
      </c>
      <c r="H647" s="46">
        <f t="shared" si="181"/>
        <v>100</v>
      </c>
      <c r="I647" s="47">
        <f t="shared" si="182"/>
        <v>0</v>
      </c>
      <c r="J647" s="47">
        <f t="shared" si="183"/>
        <v>3.3422637446983798</v>
      </c>
      <c r="K647" s="48">
        <f t="shared" si="184"/>
        <v>0</v>
      </c>
      <c r="L647" s="7">
        <f t="shared" si="185"/>
        <v>3.0414600076755298</v>
      </c>
      <c r="M647" s="7">
        <f t="shared" si="186"/>
        <v>29.270124684485101</v>
      </c>
      <c r="N647" s="7">
        <f t="shared" si="187"/>
        <v>32.164972180752898</v>
      </c>
      <c r="O647" s="7">
        <f t="shared" si="188"/>
        <v>32.311584692160601</v>
      </c>
      <c r="P647" s="49">
        <f t="shared" si="189"/>
        <v>-32.164972180752898</v>
      </c>
      <c r="Q647" s="54">
        <f t="shared" si="191"/>
        <v>1921.10475152152</v>
      </c>
      <c r="R647" s="55">
        <f t="shared" si="190"/>
        <v>58.683109400650601</v>
      </c>
    </row>
    <row r="648" ht="12.800000000000001">
      <c r="A648" s="1">
        <v>644</v>
      </c>
      <c r="B648" s="44">
        <v>44189</v>
      </c>
      <c r="C648" s="45">
        <f t="shared" si="176"/>
        <v>32.288839598467099</v>
      </c>
      <c r="D648" s="3">
        <f t="shared" si="177"/>
        <v>3.06432902177094</v>
      </c>
      <c r="E648" s="46">
        <f t="shared" si="178"/>
        <v>0</v>
      </c>
      <c r="F648" s="46">
        <f t="shared" si="179"/>
        <v>3.06432902177094</v>
      </c>
      <c r="G648" s="46">
        <f t="shared" si="180"/>
        <v>100</v>
      </c>
      <c r="H648" s="46">
        <f t="shared" si="181"/>
        <v>100</v>
      </c>
      <c r="I648" s="47">
        <f t="shared" si="182"/>
        <v>0</v>
      </c>
      <c r="J648" s="47">
        <f t="shared" si="183"/>
        <v>3.3673945294186201</v>
      </c>
      <c r="K648" s="48">
        <f t="shared" si="184"/>
        <v>0</v>
      </c>
      <c r="L648" s="7">
        <f t="shared" si="185"/>
        <v>3.06432902177094</v>
      </c>
      <c r="M648" s="7">
        <f t="shared" si="186"/>
        <v>29.224510576696101</v>
      </c>
      <c r="N648" s="7">
        <f t="shared" si="187"/>
        <v>32.114846787578202</v>
      </c>
      <c r="O648" s="7">
        <f t="shared" si="188"/>
        <v>32.288839598467099</v>
      </c>
      <c r="P648" s="49">
        <f t="shared" si="189"/>
        <v>-32.114846787578202</v>
      </c>
      <c r="Q648" s="54">
        <f t="shared" si="191"/>
        <v>1888.93977934077</v>
      </c>
      <c r="R648" s="55">
        <f t="shared" si="190"/>
        <v>58.370298923425999</v>
      </c>
    </row>
    <row r="649" ht="12.800000000000001">
      <c r="A649" s="1">
        <v>645</v>
      </c>
      <c r="B649" s="44">
        <v>44190</v>
      </c>
      <c r="C649" s="45">
        <f t="shared" si="176"/>
        <v>32.261320346360101</v>
      </c>
      <c r="D649" s="3">
        <f t="shared" si="177"/>
        <v>3.0919982049719201</v>
      </c>
      <c r="E649" s="46">
        <f t="shared" si="178"/>
        <v>0</v>
      </c>
      <c r="F649" s="46">
        <f t="shared" si="179"/>
        <v>3.0919982049719201</v>
      </c>
      <c r="G649" s="46">
        <f t="shared" si="180"/>
        <v>100</v>
      </c>
      <c r="H649" s="46">
        <f t="shared" si="181"/>
        <v>100</v>
      </c>
      <c r="I649" s="47">
        <f t="shared" si="182"/>
        <v>0</v>
      </c>
      <c r="J649" s="47">
        <f t="shared" si="183"/>
        <v>3.3978002252438699</v>
      </c>
      <c r="K649" s="48">
        <f t="shared" si="184"/>
        <v>0</v>
      </c>
      <c r="L649" s="7">
        <f t="shared" si="185"/>
        <v>3.0919982049719201</v>
      </c>
      <c r="M649" s="7">
        <f t="shared" si="186"/>
        <v>29.1693221413882</v>
      </c>
      <c r="N649" s="7">
        <f t="shared" si="187"/>
        <v>32.054200155371603</v>
      </c>
      <c r="O649" s="7">
        <f t="shared" si="188"/>
        <v>32.261320346360101</v>
      </c>
      <c r="P649" s="49">
        <f t="shared" si="189"/>
        <v>-32.054200155371603</v>
      </c>
      <c r="Q649" s="54">
        <f t="shared" si="191"/>
        <v>1856.8249325531899</v>
      </c>
      <c r="R649" s="55">
        <f t="shared" si="190"/>
        <v>58.057975925191599</v>
      </c>
    </row>
    <row r="650" ht="12.800000000000001">
      <c r="A650" s="1">
        <v>646</v>
      </c>
      <c r="B650" s="44">
        <v>44191</v>
      </c>
      <c r="C650" s="45">
        <f t="shared" si="176"/>
        <v>32.229035090388003</v>
      </c>
      <c r="D650" s="3">
        <f t="shared" si="177"/>
        <v>3.1244593583023299</v>
      </c>
      <c r="E650" s="46">
        <f t="shared" si="178"/>
        <v>0</v>
      </c>
      <c r="F650" s="46">
        <f t="shared" si="179"/>
        <v>3.1244593583023299</v>
      </c>
      <c r="G650" s="46">
        <f t="shared" si="180"/>
        <v>100</v>
      </c>
      <c r="H650" s="46">
        <f t="shared" si="181"/>
        <v>100</v>
      </c>
      <c r="I650" s="47">
        <f t="shared" si="182"/>
        <v>0</v>
      </c>
      <c r="J650" s="47">
        <f t="shared" si="183"/>
        <v>3.4334718223102501</v>
      </c>
      <c r="K650" s="48">
        <f t="shared" si="184"/>
        <v>0</v>
      </c>
      <c r="L650" s="7">
        <f t="shared" si="185"/>
        <v>3.1244593583023299</v>
      </c>
      <c r="M650" s="7">
        <f t="shared" si="186"/>
        <v>29.1045757320856</v>
      </c>
      <c r="N650" s="7">
        <f t="shared" si="187"/>
        <v>31.9830502550391</v>
      </c>
      <c r="O650" s="7">
        <f t="shared" si="188"/>
        <v>32.229035090388003</v>
      </c>
      <c r="P650" s="49">
        <f t="shared" si="189"/>
        <v>-31.9830502550391</v>
      </c>
      <c r="Q650" s="54">
        <f t="shared" si="191"/>
        <v>1824.77073239782</v>
      </c>
      <c r="R650" s="55">
        <f t="shared" si="190"/>
        <v>57.746242726999903</v>
      </c>
    </row>
    <row r="651" ht="12.800000000000001">
      <c r="A651" s="1">
        <v>647</v>
      </c>
      <c r="B651" s="44">
        <v>44192</v>
      </c>
      <c r="C651" s="45">
        <f t="shared" si="176"/>
        <v>32.191993397368798</v>
      </c>
      <c r="D651" s="3">
        <f t="shared" si="177"/>
        <v>3.16170286282187</v>
      </c>
      <c r="E651" s="46">
        <f t="shared" si="178"/>
        <v>0</v>
      </c>
      <c r="F651" s="46">
        <f t="shared" si="179"/>
        <v>3.16170286282187</v>
      </c>
      <c r="G651" s="46">
        <f t="shared" si="180"/>
        <v>100</v>
      </c>
      <c r="H651" s="46">
        <f t="shared" si="181"/>
        <v>100</v>
      </c>
      <c r="I651" s="47">
        <f t="shared" si="182"/>
        <v>0</v>
      </c>
      <c r="J651" s="47">
        <f t="shared" si="183"/>
        <v>3.4743987503536999</v>
      </c>
      <c r="K651" s="48">
        <f t="shared" si="184"/>
        <v>0</v>
      </c>
      <c r="L651" s="7">
        <f t="shared" si="185"/>
        <v>3.16170286282187</v>
      </c>
      <c r="M651" s="7">
        <f t="shared" si="186"/>
        <v>29.0302905345469</v>
      </c>
      <c r="N651" s="7">
        <f t="shared" si="187"/>
        <v>31.9014181698318</v>
      </c>
      <c r="O651" s="7">
        <f t="shared" si="188"/>
        <v>32.191993397368798</v>
      </c>
      <c r="P651" s="49">
        <f t="shared" si="189"/>
        <v>-31.9014181698318</v>
      </c>
      <c r="Q651" s="54">
        <f t="shared" si="191"/>
        <v>1792.7876821427801</v>
      </c>
      <c r="R651" s="55">
        <f t="shared" si="190"/>
        <v>57.435201475132601</v>
      </c>
    </row>
    <row r="652" ht="12.800000000000001">
      <c r="A652" s="1">
        <v>648</v>
      </c>
      <c r="B652" s="44">
        <v>44193</v>
      </c>
      <c r="C652" s="45">
        <f t="shared" si="176"/>
        <v>32.150206243555701</v>
      </c>
      <c r="D652" s="3">
        <f t="shared" si="177"/>
        <v>3.20371768247636</v>
      </c>
      <c r="E652" s="46">
        <f t="shared" si="178"/>
        <v>0</v>
      </c>
      <c r="F652" s="46">
        <f t="shared" si="179"/>
        <v>3.20371768247636</v>
      </c>
      <c r="G652" s="46">
        <f t="shared" si="180"/>
        <v>100</v>
      </c>
      <c r="H652" s="46">
        <f t="shared" si="181"/>
        <v>100</v>
      </c>
      <c r="I652" s="47">
        <f t="shared" si="182"/>
        <v>0</v>
      </c>
      <c r="J652" s="47">
        <f t="shared" si="183"/>
        <v>3.5205688818421499</v>
      </c>
      <c r="K652" s="48">
        <f t="shared" si="184"/>
        <v>0</v>
      </c>
      <c r="L652" s="7">
        <f t="shared" si="185"/>
        <v>3.20371768247636</v>
      </c>
      <c r="M652" s="7">
        <f t="shared" si="186"/>
        <v>28.946488561079299</v>
      </c>
      <c r="N652" s="7">
        <f t="shared" si="187"/>
        <v>31.809328089098202</v>
      </c>
      <c r="O652" s="7">
        <f t="shared" si="188"/>
        <v>32.150206243555701</v>
      </c>
      <c r="P652" s="49">
        <f t="shared" si="189"/>
        <v>-31.809328089098202</v>
      </c>
      <c r="Q652" s="54">
        <f t="shared" si="191"/>
        <v>1760.88626397295</v>
      </c>
      <c r="R652" s="55">
        <f t="shared" si="190"/>
        <v>57.124954110833102</v>
      </c>
    </row>
    <row r="653" ht="12.800000000000001">
      <c r="A653" s="1">
        <v>649</v>
      </c>
      <c r="B653" s="44">
        <v>44194</v>
      </c>
      <c r="C653" s="45">
        <f t="shared" si="176"/>
        <v>32.103686011384099</v>
      </c>
      <c r="D653" s="3">
        <f t="shared" si="177"/>
        <v>3.25049136736799</v>
      </c>
      <c r="E653" s="46">
        <f t="shared" si="178"/>
        <v>0</v>
      </c>
      <c r="F653" s="46">
        <f t="shared" si="179"/>
        <v>3.25049136736799</v>
      </c>
      <c r="G653" s="46">
        <f t="shared" si="180"/>
        <v>100</v>
      </c>
      <c r="H653" s="46">
        <f t="shared" si="181"/>
        <v>100</v>
      </c>
      <c r="I653" s="47">
        <f t="shared" si="182"/>
        <v>0</v>
      </c>
      <c r="J653" s="47">
        <f t="shared" si="183"/>
        <v>3.5719685355692201</v>
      </c>
      <c r="K653" s="48">
        <f t="shared" si="184"/>
        <v>0</v>
      </c>
      <c r="L653" s="7">
        <f t="shared" si="185"/>
        <v>3.25049136736799</v>
      </c>
      <c r="M653" s="7">
        <f t="shared" si="186"/>
        <v>28.853194644016199</v>
      </c>
      <c r="N653" s="7">
        <f t="shared" si="187"/>
        <v>31.706807301116701</v>
      </c>
      <c r="O653" s="7">
        <f t="shared" si="188"/>
        <v>32.103686011384099</v>
      </c>
      <c r="P653" s="49">
        <f t="shared" si="189"/>
        <v>-31.706807301116701</v>
      </c>
      <c r="Q653" s="54">
        <f t="shared" si="191"/>
        <v>1729.07693588385</v>
      </c>
      <c r="R653" s="55">
        <f t="shared" si="190"/>
        <v>56.815602340098501</v>
      </c>
    </row>
    <row r="654" ht="12.800000000000001">
      <c r="A654" s="1">
        <v>650</v>
      </c>
      <c r="B654" s="44">
        <v>44195</v>
      </c>
      <c r="C654" s="45">
        <f t="shared" si="176"/>
        <v>32.052446485802903</v>
      </c>
      <c r="D654" s="3">
        <f t="shared" si="177"/>
        <v>3.30201005744448</v>
      </c>
      <c r="E654" s="46">
        <f t="shared" si="178"/>
        <v>0</v>
      </c>
      <c r="F654" s="46">
        <f t="shared" si="179"/>
        <v>3.30201005744448</v>
      </c>
      <c r="G654" s="46">
        <f t="shared" si="180"/>
        <v>100</v>
      </c>
      <c r="H654" s="46">
        <f t="shared" si="181"/>
        <v>100</v>
      </c>
      <c r="I654" s="47">
        <f t="shared" si="182"/>
        <v>0</v>
      </c>
      <c r="J654" s="47">
        <f t="shared" si="183"/>
        <v>3.6285824807082201</v>
      </c>
      <c r="K654" s="48">
        <f t="shared" si="184"/>
        <v>0</v>
      </c>
      <c r="L654" s="7">
        <f t="shared" si="185"/>
        <v>3.30201005744448</v>
      </c>
      <c r="M654" s="7">
        <f t="shared" si="186"/>
        <v>28.750436428358501</v>
      </c>
      <c r="N654" s="7">
        <f t="shared" si="187"/>
        <v>31.5938861850093</v>
      </c>
      <c r="O654" s="7">
        <f t="shared" si="188"/>
        <v>32.052446485802903</v>
      </c>
      <c r="P654" s="49">
        <f t="shared" si="189"/>
        <v>-31.5938861850093</v>
      </c>
      <c r="Q654" s="54">
        <f t="shared" si="191"/>
        <v>1697.3701285827301</v>
      </c>
      <c r="R654" s="55">
        <f t="shared" si="190"/>
        <v>56.507247603542403</v>
      </c>
    </row>
    <row r="655" ht="12.800000000000001">
      <c r="A655" s="1">
        <v>651</v>
      </c>
      <c r="B655" s="44">
        <v>44196</v>
      </c>
      <c r="C655" s="45">
        <f t="shared" si="176"/>
        <v>31.996502850189401</v>
      </c>
      <c r="D655" s="3">
        <f t="shared" si="177"/>
        <v>3.3582584866060801</v>
      </c>
      <c r="E655" s="46">
        <f t="shared" si="178"/>
        <v>0</v>
      </c>
      <c r="F655" s="46">
        <f t="shared" si="179"/>
        <v>3.3582584866060801</v>
      </c>
      <c r="G655" s="46">
        <f t="shared" si="180"/>
        <v>100</v>
      </c>
      <c r="H655" s="46">
        <f t="shared" si="181"/>
        <v>100</v>
      </c>
      <c r="I655" s="47">
        <f t="shared" si="182"/>
        <v>0</v>
      </c>
      <c r="J655" s="47">
        <f t="shared" si="183"/>
        <v>3.6903939413253699</v>
      </c>
      <c r="K655" s="48">
        <f t="shared" si="184"/>
        <v>0</v>
      </c>
      <c r="L655" s="7">
        <f t="shared" si="185"/>
        <v>3.3582584866060801</v>
      </c>
      <c r="M655" s="7">
        <f t="shared" si="186"/>
        <v>28.638244363583301</v>
      </c>
      <c r="N655" s="7">
        <f t="shared" si="187"/>
        <v>31.4705982017399</v>
      </c>
      <c r="O655" s="7">
        <f t="shared" si="188"/>
        <v>31.996502850189401</v>
      </c>
      <c r="P655" s="49">
        <f t="shared" si="189"/>
        <v>-31.4705982017399</v>
      </c>
      <c r="Q655" s="54">
        <f t="shared" si="191"/>
        <v>1665.7762423977199</v>
      </c>
      <c r="R655" s="55">
        <f t="shared" si="190"/>
        <v>56.199991046335498</v>
      </c>
    </row>
    <row r="656" ht="12.800000000000001">
      <c r="A656" s="1">
        <v>652</v>
      </c>
      <c r="B656" s="44">
        <v>44197</v>
      </c>
      <c r="C656" s="45">
        <f t="shared" si="176"/>
        <v>31.935871681849999</v>
      </c>
      <c r="D656" s="3">
        <f t="shared" si="177"/>
        <v>3.4192199872293001</v>
      </c>
      <c r="E656" s="46">
        <f t="shared" si="178"/>
        <v>0</v>
      </c>
      <c r="F656" s="46">
        <f t="shared" si="179"/>
        <v>3.4192199872293001</v>
      </c>
      <c r="G656" s="46">
        <f t="shared" si="180"/>
        <v>100</v>
      </c>
      <c r="H656" s="46">
        <f t="shared" si="181"/>
        <v>100</v>
      </c>
      <c r="I656" s="47">
        <f t="shared" si="182"/>
        <v>0</v>
      </c>
      <c r="J656" s="47">
        <f t="shared" si="183"/>
        <v>3.7573846013508798</v>
      </c>
      <c r="K656" s="48">
        <f t="shared" si="184"/>
        <v>0</v>
      </c>
      <c r="L656" s="7">
        <f t="shared" si="185"/>
        <v>3.4192199872293001</v>
      </c>
      <c r="M656" s="7">
        <f t="shared" si="186"/>
        <v>28.516651694620698</v>
      </c>
      <c r="N656" s="7">
        <f t="shared" si="187"/>
        <v>31.336979884198598</v>
      </c>
      <c r="O656" s="7">
        <f t="shared" si="188"/>
        <v>31.935871681849999</v>
      </c>
      <c r="P656" s="49">
        <f t="shared" si="189"/>
        <v>-31.336979884198598</v>
      </c>
      <c r="Q656" s="54">
        <f t="shared" si="191"/>
        <v>1634.30564419598</v>
      </c>
      <c r="R656" s="55">
        <f t="shared" si="190"/>
        <v>55.893933488234502</v>
      </c>
    </row>
    <row r="657" ht="12.800000000000001">
      <c r="A657" s="1">
        <v>653</v>
      </c>
      <c r="B657" s="44">
        <v>44198</v>
      </c>
      <c r="C657" s="45">
        <f t="shared" si="176"/>
        <v>31.870570947108501</v>
      </c>
      <c r="D657" s="3">
        <f t="shared" si="177"/>
        <v>3.48487649510583</v>
      </c>
      <c r="E657" s="46">
        <f t="shared" si="178"/>
        <v>0</v>
      </c>
      <c r="F657" s="46">
        <f t="shared" si="179"/>
        <v>3.48487649510583</v>
      </c>
      <c r="G657" s="46">
        <f t="shared" si="180"/>
        <v>100</v>
      </c>
      <c r="H657" s="46">
        <f t="shared" si="181"/>
        <v>100</v>
      </c>
      <c r="I657" s="47">
        <f t="shared" si="182"/>
        <v>0</v>
      </c>
      <c r="J657" s="47">
        <f t="shared" si="183"/>
        <v>3.82953461000641</v>
      </c>
      <c r="K657" s="48">
        <f t="shared" si="184"/>
        <v>0</v>
      </c>
      <c r="L657" s="7">
        <f t="shared" si="185"/>
        <v>3.48487649510583</v>
      </c>
      <c r="M657" s="7">
        <f t="shared" si="186"/>
        <v>28.385694452002699</v>
      </c>
      <c r="N657" s="7">
        <f t="shared" si="187"/>
        <v>31.193070826376601</v>
      </c>
      <c r="O657" s="7">
        <f t="shared" si="188"/>
        <v>31.870570947108501</v>
      </c>
      <c r="P657" s="49">
        <f t="shared" si="189"/>
        <v>-31.193070826376601</v>
      </c>
      <c r="Q657" s="54">
        <f t="shared" si="191"/>
        <v>1602.96866431178</v>
      </c>
      <c r="R657" s="55">
        <f t="shared" si="190"/>
        <v>55.589175393706398</v>
      </c>
    </row>
    <row r="658" ht="12.800000000000001">
      <c r="A658" s="1">
        <v>654</v>
      </c>
      <c r="B658" s="44">
        <v>44199</v>
      </c>
      <c r="C658" s="45">
        <f t="shared" si="176"/>
        <v>31.800619995982</v>
      </c>
      <c r="D658" s="3">
        <f t="shared" si="177"/>
        <v>3.55520855479543</v>
      </c>
      <c r="E658" s="46">
        <f t="shared" si="178"/>
        <v>0</v>
      </c>
      <c r="F658" s="46">
        <f t="shared" si="179"/>
        <v>3.55520855479543</v>
      </c>
      <c r="G658" s="46">
        <f t="shared" si="180"/>
        <v>100</v>
      </c>
      <c r="H658" s="46">
        <f t="shared" si="181"/>
        <v>100</v>
      </c>
      <c r="I658" s="47">
        <f t="shared" si="182"/>
        <v>0</v>
      </c>
      <c r="J658" s="47">
        <f t="shared" si="183"/>
        <v>3.90682258768729</v>
      </c>
      <c r="K658" s="48">
        <f t="shared" si="184"/>
        <v>0</v>
      </c>
      <c r="L658" s="7">
        <f t="shared" si="185"/>
        <v>3.55520855479543</v>
      </c>
      <c r="M658" s="7">
        <f t="shared" si="186"/>
        <v>28.245411441186601</v>
      </c>
      <c r="N658" s="7">
        <f t="shared" si="187"/>
        <v>31.038913671633601</v>
      </c>
      <c r="O658" s="7">
        <f t="shared" si="188"/>
        <v>31.800619995982</v>
      </c>
      <c r="P658" s="49">
        <f t="shared" si="189"/>
        <v>-31.038913671633601</v>
      </c>
      <c r="Q658" s="54">
        <f t="shared" si="191"/>
        <v>1571.7755934854099</v>
      </c>
      <c r="R658" s="55">
        <f t="shared" si="190"/>
        <v>55.285816842159498</v>
      </c>
    </row>
    <row r="659" ht="12.800000000000001">
      <c r="A659" s="1">
        <v>655</v>
      </c>
      <c r="B659" s="44">
        <v>44200</v>
      </c>
      <c r="C659" s="45">
        <f t="shared" si="176"/>
        <v>31.726039556446899</v>
      </c>
      <c r="D659" s="3">
        <f t="shared" si="177"/>
        <v>3.6301953253909001</v>
      </c>
      <c r="E659" s="46">
        <f t="shared" si="178"/>
        <v>0</v>
      </c>
      <c r="F659" s="46">
        <f t="shared" si="179"/>
        <v>3.6301953253909001</v>
      </c>
      <c r="G659" s="46">
        <f t="shared" si="180"/>
        <v>100</v>
      </c>
      <c r="H659" s="46">
        <f t="shared" si="181"/>
        <v>100</v>
      </c>
      <c r="I659" s="47">
        <f t="shared" si="182"/>
        <v>0</v>
      </c>
      <c r="J659" s="47">
        <f t="shared" si="183"/>
        <v>3.9892256322977002</v>
      </c>
      <c r="K659" s="48">
        <f t="shared" si="184"/>
        <v>0</v>
      </c>
      <c r="L659" s="7">
        <f t="shared" si="185"/>
        <v>3.6301953253909001</v>
      </c>
      <c r="M659" s="7">
        <f t="shared" si="186"/>
        <v>28.095844231055999</v>
      </c>
      <c r="N659" s="7">
        <f t="shared" si="187"/>
        <v>30.874554100061498</v>
      </c>
      <c r="O659" s="7">
        <f t="shared" si="188"/>
        <v>31.726039556446899</v>
      </c>
      <c r="P659" s="49">
        <f t="shared" si="189"/>
        <v>-30.874554100061498</v>
      </c>
      <c r="Q659" s="54">
        <f t="shared" si="191"/>
        <v>1540.73667981377</v>
      </c>
      <c r="R659" s="55">
        <f t="shared" si="190"/>
        <v>54.983957498287097</v>
      </c>
    </row>
    <row r="660" ht="12.800000000000001">
      <c r="A660" s="1">
        <v>656</v>
      </c>
      <c r="B660" s="44">
        <v>44201</v>
      </c>
      <c r="C660" s="45">
        <f t="shared" si="176"/>
        <v>31.646851728297001</v>
      </c>
      <c r="D660" s="3">
        <f t="shared" si="177"/>
        <v>3.7098145866937799</v>
      </c>
      <c r="E660" s="46">
        <f t="shared" si="178"/>
        <v>0</v>
      </c>
      <c r="F660" s="46">
        <f t="shared" si="179"/>
        <v>3.7098145866937799</v>
      </c>
      <c r="G660" s="46">
        <f t="shared" si="180"/>
        <v>100</v>
      </c>
      <c r="H660" s="46">
        <f t="shared" si="181"/>
        <v>100</v>
      </c>
      <c r="I660" s="47">
        <f t="shared" si="182"/>
        <v>0</v>
      </c>
      <c r="J660" s="47">
        <f t="shared" si="183"/>
        <v>4.0767193260371197</v>
      </c>
      <c r="K660" s="48">
        <f t="shared" si="184"/>
        <v>0</v>
      </c>
      <c r="L660" s="7">
        <f t="shared" si="185"/>
        <v>3.7098145866937799</v>
      </c>
      <c r="M660" s="7">
        <f t="shared" si="186"/>
        <v>27.937037141603199</v>
      </c>
      <c r="N660" s="7">
        <f t="shared" si="187"/>
        <v>30.700040814948601</v>
      </c>
      <c r="O660" s="7">
        <f t="shared" si="188"/>
        <v>31.646851728297001</v>
      </c>
      <c r="P660" s="49">
        <f t="shared" si="189"/>
        <v>-30.700040814948601</v>
      </c>
      <c r="Q660" s="54">
        <f t="shared" si="191"/>
        <v>1509.8621257137099</v>
      </c>
      <c r="R660" s="55">
        <f t="shared" si="190"/>
        <v>54.6836965825349</v>
      </c>
    </row>
    <row r="661" ht="12.800000000000001">
      <c r="A661" s="1">
        <v>657</v>
      </c>
      <c r="B661" s="44">
        <v>44202</v>
      </c>
      <c r="C661" s="45">
        <f t="shared" si="176"/>
        <v>31.5630799765948</v>
      </c>
      <c r="D661" s="3">
        <f t="shared" si="177"/>
        <v>3.7940427457986199</v>
      </c>
      <c r="E661" s="46">
        <f t="shared" si="178"/>
        <v>0</v>
      </c>
      <c r="F661" s="46">
        <f t="shared" si="179"/>
        <v>3.7940427457986199</v>
      </c>
      <c r="G661" s="46">
        <f t="shared" si="180"/>
        <v>100</v>
      </c>
      <c r="H661" s="46">
        <f t="shared" si="181"/>
        <v>100</v>
      </c>
      <c r="I661" s="47">
        <f t="shared" si="182"/>
        <v>0</v>
      </c>
      <c r="J661" s="47">
        <f t="shared" si="183"/>
        <v>4.1692777426358401</v>
      </c>
      <c r="K661" s="48">
        <f t="shared" si="184"/>
        <v>0</v>
      </c>
      <c r="L661" s="7">
        <f t="shared" si="185"/>
        <v>3.7940427457986199</v>
      </c>
      <c r="M661" s="7">
        <f t="shared" si="186"/>
        <v>27.769037230796201</v>
      </c>
      <c r="N661" s="7">
        <f t="shared" si="187"/>
        <v>30.5154255283474</v>
      </c>
      <c r="O661" s="7">
        <f t="shared" si="188"/>
        <v>31.5630799765948</v>
      </c>
      <c r="P661" s="49">
        <f t="shared" si="189"/>
        <v>-30.5154255283474</v>
      </c>
      <c r="Q661" s="54">
        <f t="shared" si="191"/>
        <v>1479.16208489876</v>
      </c>
      <c r="R661" s="55">
        <f t="shared" si="190"/>
        <v>54.3851328416999</v>
      </c>
    </row>
    <row r="662" ht="12.800000000000001">
      <c r="A662" s="1">
        <v>658</v>
      </c>
      <c r="B662" s="44">
        <v>44203</v>
      </c>
      <c r="C662" s="45">
        <f t="shared" si="176"/>
        <v>31.474749124718301</v>
      </c>
      <c r="D662" s="3">
        <f t="shared" si="177"/>
        <v>3.8828548440840698</v>
      </c>
      <c r="E662" s="46">
        <f t="shared" si="178"/>
        <v>0</v>
      </c>
      <c r="F662" s="46">
        <f t="shared" si="179"/>
        <v>3.8828548440840698</v>
      </c>
      <c r="G662" s="46">
        <f t="shared" si="180"/>
        <v>100</v>
      </c>
      <c r="H662" s="46">
        <f t="shared" si="181"/>
        <v>100</v>
      </c>
      <c r="I662" s="47">
        <f t="shared" si="182"/>
        <v>0</v>
      </c>
      <c r="J662" s="47">
        <f t="shared" si="183"/>
        <v>4.2668734550374401</v>
      </c>
      <c r="K662" s="48">
        <f t="shared" si="184"/>
        <v>0</v>
      </c>
      <c r="L662" s="7">
        <f t="shared" si="185"/>
        <v>3.8828548440840698</v>
      </c>
      <c r="M662" s="7">
        <f t="shared" si="186"/>
        <v>27.5918942806342</v>
      </c>
      <c r="N662" s="7">
        <f t="shared" si="187"/>
        <v>30.320762945751898</v>
      </c>
      <c r="O662" s="7">
        <f t="shared" si="188"/>
        <v>31.474749124718301</v>
      </c>
      <c r="P662" s="49">
        <f t="shared" si="189"/>
        <v>-30.320762945751898</v>
      </c>
      <c r="Q662" s="54">
        <f t="shared" si="191"/>
        <v>1448.6466593704199</v>
      </c>
      <c r="R662" s="55">
        <f t="shared" si="190"/>
        <v>54.088364519669597</v>
      </c>
    </row>
    <row r="663" ht="12.800000000000001">
      <c r="A663" s="1">
        <v>659</v>
      </c>
      <c r="B663" s="44">
        <v>44204</v>
      </c>
      <c r="C663" s="45">
        <f t="shared" si="176"/>
        <v>31.381885347005198</v>
      </c>
      <c r="D663" s="3">
        <f t="shared" si="177"/>
        <v>3.9762245646087</v>
      </c>
      <c r="E663" s="46">
        <f t="shared" si="178"/>
        <v>0</v>
      </c>
      <c r="F663" s="46">
        <f t="shared" si="179"/>
        <v>3.9762245646087</v>
      </c>
      <c r="G663" s="46">
        <f t="shared" si="180"/>
        <v>100</v>
      </c>
      <c r="H663" s="46">
        <f t="shared" si="181"/>
        <v>100</v>
      </c>
      <c r="I663" s="47">
        <f t="shared" si="182"/>
        <v>0</v>
      </c>
      <c r="J663" s="47">
        <f t="shared" si="183"/>
        <v>4.36947754352604</v>
      </c>
      <c r="K663" s="48">
        <f t="shared" si="184"/>
        <v>0</v>
      </c>
      <c r="L663" s="7">
        <f t="shared" si="185"/>
        <v>3.9762245646087</v>
      </c>
      <c r="M663" s="7">
        <f t="shared" si="186"/>
        <v>27.405660782396499</v>
      </c>
      <c r="N663" s="7">
        <f t="shared" si="187"/>
        <v>30.1161107498863</v>
      </c>
      <c r="O663" s="7">
        <f t="shared" si="188"/>
        <v>31.381885347005198</v>
      </c>
      <c r="P663" s="49">
        <f t="shared" si="189"/>
        <v>-30.1161107498863</v>
      </c>
      <c r="Q663" s="54">
        <f t="shared" si="191"/>
        <v>1418.32589642466</v>
      </c>
      <c r="R663" s="55">
        <f t="shared" si="190"/>
        <v>53.793489328310002</v>
      </c>
    </row>
    <row r="664" ht="12.800000000000001">
      <c r="A664" s="1">
        <v>660</v>
      </c>
      <c r="B664" s="44">
        <v>44205</v>
      </c>
      <c r="C664" s="45">
        <f t="shared" si="176"/>
        <v>31.2845161609971</v>
      </c>
      <c r="D664" s="3">
        <f t="shared" si="177"/>
        <v>4.0741242399092403</v>
      </c>
      <c r="E664" s="46">
        <f t="shared" si="178"/>
        <v>0</v>
      </c>
      <c r="F664" s="46">
        <f t="shared" si="179"/>
        <v>4.0741242399092403</v>
      </c>
      <c r="G664" s="46">
        <f t="shared" si="180"/>
        <v>100</v>
      </c>
      <c r="H664" s="46">
        <f t="shared" si="181"/>
        <v>100</v>
      </c>
      <c r="I664" s="47">
        <f t="shared" si="182"/>
        <v>0</v>
      </c>
      <c r="J664" s="47">
        <f t="shared" si="183"/>
        <v>4.4770596042958601</v>
      </c>
      <c r="K664" s="48">
        <f t="shared" si="184"/>
        <v>0</v>
      </c>
      <c r="L664" s="7">
        <f t="shared" si="185"/>
        <v>4.0741242399092403</v>
      </c>
      <c r="M664" s="7">
        <f t="shared" si="186"/>
        <v>27.210391921087901</v>
      </c>
      <c r="N664" s="7">
        <f t="shared" si="187"/>
        <v>29.901529583613002</v>
      </c>
      <c r="O664" s="7">
        <f t="shared" si="188"/>
        <v>31.2845161609971</v>
      </c>
      <c r="P664" s="49">
        <f t="shared" si="189"/>
        <v>-29.901529583613002</v>
      </c>
      <c r="Q664" s="54">
        <f t="shared" si="191"/>
        <v>1388.2097856747801</v>
      </c>
      <c r="R664" s="55">
        <f t="shared" si="190"/>
        <v>53.500604418511898</v>
      </c>
    </row>
    <row r="665" ht="12.800000000000001">
      <c r="A665" s="1">
        <v>661</v>
      </c>
      <c r="B665" s="44">
        <v>44206</v>
      </c>
      <c r="C665" s="45">
        <f t="shared" si="176"/>
        <v>31.182670419285099</v>
      </c>
      <c r="D665" s="3">
        <f t="shared" si="177"/>
        <v>4.1765248601990299</v>
      </c>
      <c r="E665" s="46">
        <f t="shared" si="178"/>
        <v>0</v>
      </c>
      <c r="F665" s="46">
        <f t="shared" si="179"/>
        <v>4.1765248601990299</v>
      </c>
      <c r="G665" s="46">
        <f t="shared" si="180"/>
        <v>100</v>
      </c>
      <c r="H665" s="46">
        <f t="shared" si="181"/>
        <v>100</v>
      </c>
      <c r="I665" s="47">
        <f t="shared" si="182"/>
        <v>0</v>
      </c>
      <c r="J665" s="47">
        <f t="shared" si="183"/>
        <v>4.5895877584604703</v>
      </c>
      <c r="K665" s="48">
        <f t="shared" si="184"/>
        <v>0</v>
      </c>
      <c r="L665" s="7">
        <f t="shared" si="185"/>
        <v>4.1765248601990299</v>
      </c>
      <c r="M665" s="7">
        <f t="shared" si="186"/>
        <v>27.0061455590861</v>
      </c>
      <c r="N665" s="7">
        <f t="shared" si="187"/>
        <v>29.677083031962699</v>
      </c>
      <c r="O665" s="7">
        <f t="shared" si="188"/>
        <v>31.182670419285099</v>
      </c>
      <c r="P665" s="49">
        <f t="shared" si="189"/>
        <v>-29.677083031962699</v>
      </c>
      <c r="Q665" s="54">
        <f t="shared" si="191"/>
        <v>1358.3082560911701</v>
      </c>
      <c r="R665" s="55">
        <f t="shared" si="190"/>
        <v>53.2098063514023</v>
      </c>
    </row>
    <row r="666" ht="12.800000000000001">
      <c r="A666" s="1">
        <v>662</v>
      </c>
      <c r="B666" s="44">
        <v>44207</v>
      </c>
      <c r="C666" s="45">
        <f t="shared" si="176"/>
        <v>31.076378300960599</v>
      </c>
      <c r="D666" s="3">
        <f t="shared" si="177"/>
        <v>4.2833960819643</v>
      </c>
      <c r="E666" s="46">
        <f t="shared" si="178"/>
        <v>0</v>
      </c>
      <c r="F666" s="46">
        <f t="shared" si="179"/>
        <v>4.2833960819643</v>
      </c>
      <c r="G666" s="46">
        <f t="shared" si="180"/>
        <v>100</v>
      </c>
      <c r="H666" s="46">
        <f t="shared" si="181"/>
        <v>100</v>
      </c>
      <c r="I666" s="47">
        <f t="shared" si="182"/>
        <v>0</v>
      </c>
      <c r="J666" s="47">
        <f t="shared" si="183"/>
        <v>4.7070286614992396</v>
      </c>
      <c r="K666" s="48">
        <f t="shared" si="184"/>
        <v>0</v>
      </c>
      <c r="L666" s="7">
        <f t="shared" si="185"/>
        <v>4.2833960819643</v>
      </c>
      <c r="M666" s="7">
        <f t="shared" si="186"/>
        <v>26.792982218996301</v>
      </c>
      <c r="N666" s="7">
        <f t="shared" si="187"/>
        <v>29.442837603292599</v>
      </c>
      <c r="O666" s="7">
        <f t="shared" si="188"/>
        <v>31.076378300960599</v>
      </c>
      <c r="P666" s="49">
        <f t="shared" si="189"/>
        <v>-29.442837603292599</v>
      </c>
      <c r="Q666" s="54">
        <f t="shared" si="191"/>
        <v>1328.6311730591999</v>
      </c>
      <c r="R666" s="55">
        <f t="shared" si="190"/>
        <v>52.921191069732103</v>
      </c>
    </row>
    <row r="667" ht="12.800000000000001">
      <c r="A667" s="1">
        <v>663</v>
      </c>
      <c r="B667" s="44">
        <v>44208</v>
      </c>
      <c r="C667" s="45">
        <f t="shared" si="176"/>
        <v>30.965671302672099</v>
      </c>
      <c r="D667" s="3">
        <f t="shared" si="177"/>
        <v>4.3947062369555798</v>
      </c>
      <c r="E667" s="46">
        <f t="shared" si="178"/>
        <v>0</v>
      </c>
      <c r="F667" s="46">
        <f t="shared" si="179"/>
        <v>4.3947062369555798</v>
      </c>
      <c r="G667" s="46">
        <f t="shared" si="180"/>
        <v>100</v>
      </c>
      <c r="H667" s="46">
        <f t="shared" si="181"/>
        <v>100</v>
      </c>
      <c r="I667" s="47">
        <f t="shared" si="182"/>
        <v>0</v>
      </c>
      <c r="J667" s="47">
        <f t="shared" si="183"/>
        <v>4.8293475131379999</v>
      </c>
      <c r="K667" s="48">
        <f t="shared" si="184"/>
        <v>0</v>
      </c>
      <c r="L667" s="7">
        <f t="shared" si="185"/>
        <v>4.3947062369555798</v>
      </c>
      <c r="M667" s="7">
        <f t="shared" si="186"/>
        <v>26.5709650657165</v>
      </c>
      <c r="N667" s="7">
        <f t="shared" si="187"/>
        <v>29.198862709578599</v>
      </c>
      <c r="O667" s="7">
        <f t="shared" si="188"/>
        <v>30.965671302672099</v>
      </c>
      <c r="P667" s="49">
        <f t="shared" si="189"/>
        <v>-29.198862709578599</v>
      </c>
      <c r="Q667" s="54">
        <f t="shared" si="191"/>
        <v>1299.18833545591</v>
      </c>
      <c r="R667" s="55">
        <f t="shared" si="190"/>
        <v>52.6348538694455</v>
      </c>
    </row>
    <row r="668" ht="12.800000000000001">
      <c r="A668" s="1">
        <v>664</v>
      </c>
      <c r="B668" s="44">
        <v>44209</v>
      </c>
      <c r="C668" s="45">
        <f t="shared" si="176"/>
        <v>30.850582229292499</v>
      </c>
      <c r="D668" s="3">
        <f t="shared" si="177"/>
        <v>4.5104223415716902</v>
      </c>
      <c r="E668" s="46">
        <f t="shared" si="178"/>
        <v>0</v>
      </c>
      <c r="F668" s="46">
        <f t="shared" si="179"/>
        <v>4.5104223415716902</v>
      </c>
      <c r="G668" s="46">
        <f t="shared" si="180"/>
        <v>100</v>
      </c>
      <c r="H668" s="46">
        <f t="shared" si="181"/>
        <v>100</v>
      </c>
      <c r="I668" s="47">
        <f t="shared" si="182"/>
        <v>0</v>
      </c>
      <c r="J668" s="47">
        <f t="shared" si="183"/>
        <v>4.9565080676611997</v>
      </c>
      <c r="K668" s="48">
        <f t="shared" si="184"/>
        <v>0</v>
      </c>
      <c r="L668" s="7">
        <f t="shared" si="185"/>
        <v>4.5104223415716902</v>
      </c>
      <c r="M668" s="7">
        <f t="shared" si="186"/>
        <v>26.340159887720802</v>
      </c>
      <c r="N668" s="7">
        <f t="shared" si="187"/>
        <v>28.945230645847001</v>
      </c>
      <c r="O668" s="7">
        <f t="shared" si="188"/>
        <v>30.850582229292499</v>
      </c>
      <c r="P668" s="49">
        <f t="shared" si="189"/>
        <v>-28.945230645847001</v>
      </c>
      <c r="Q668" s="54">
        <f t="shared" si="191"/>
        <v>1269.98947274633</v>
      </c>
      <c r="R668" s="55">
        <f t="shared" si="190"/>
        <v>52.3508893714422</v>
      </c>
    </row>
    <row r="669" ht="12.800000000000001">
      <c r="A669" s="1">
        <v>665</v>
      </c>
      <c r="B669" s="44">
        <v>44210</v>
      </c>
      <c r="C669" s="45">
        <f t="shared" si="176"/>
        <v>30.731145184198098</v>
      </c>
      <c r="D669" s="3">
        <f t="shared" si="177"/>
        <v>4.6305101066334302</v>
      </c>
      <c r="E669" s="46">
        <f t="shared" si="178"/>
        <v>0</v>
      </c>
      <c r="F669" s="46">
        <f t="shared" si="179"/>
        <v>4.6305101066334302</v>
      </c>
      <c r="G669" s="46">
        <f t="shared" si="180"/>
        <v>100</v>
      </c>
      <c r="H669" s="46">
        <f t="shared" si="181"/>
        <v>100</v>
      </c>
      <c r="I669" s="47">
        <f t="shared" si="182"/>
        <v>0</v>
      </c>
      <c r="J669" s="47">
        <f t="shared" si="183"/>
        <v>5.0884726446521196</v>
      </c>
      <c r="K669" s="48">
        <f t="shared" si="184"/>
        <v>0</v>
      </c>
      <c r="L669" s="7">
        <f t="shared" si="185"/>
        <v>4.6305101066334302</v>
      </c>
      <c r="M669" s="7">
        <f t="shared" si="186"/>
        <v>26.100635077564601</v>
      </c>
      <c r="N669" s="7">
        <f t="shared" si="187"/>
        <v>28.682016568752299</v>
      </c>
      <c r="O669" s="7">
        <f t="shared" si="188"/>
        <v>30.731145184198098</v>
      </c>
      <c r="P669" s="49">
        <f t="shared" si="189"/>
        <v>-28.682016568752299</v>
      </c>
      <c r="Q669" s="54">
        <f t="shared" si="191"/>
        <v>1241.04424210048</v>
      </c>
      <c r="R669" s="55">
        <f t="shared" si="190"/>
        <v>52.069391493538802</v>
      </c>
    </row>
    <row r="670" ht="12.800000000000001">
      <c r="A670" s="1">
        <v>666</v>
      </c>
      <c r="B670" s="44">
        <v>44211</v>
      </c>
      <c r="C670" s="45">
        <f t="shared" si="176"/>
        <v>30.607395559162999</v>
      </c>
      <c r="D670" s="3">
        <f t="shared" si="177"/>
        <v>4.7549339475443402</v>
      </c>
      <c r="E670" s="46">
        <f t="shared" si="178"/>
        <v>0</v>
      </c>
      <c r="F670" s="46">
        <f t="shared" si="179"/>
        <v>4.7549339475443402</v>
      </c>
      <c r="G670" s="46">
        <f t="shared" si="180"/>
        <v>100</v>
      </c>
      <c r="H670" s="46">
        <f t="shared" si="181"/>
        <v>100</v>
      </c>
      <c r="I670" s="47">
        <f t="shared" si="182"/>
        <v>0</v>
      </c>
      <c r="J670" s="47">
        <f t="shared" si="183"/>
        <v>5.2252021401586202</v>
      </c>
      <c r="K670" s="48">
        <f t="shared" si="184"/>
        <v>0</v>
      </c>
      <c r="L670" s="7">
        <f t="shared" si="185"/>
        <v>4.7549339475443402</v>
      </c>
      <c r="M670" s="7">
        <f t="shared" si="186"/>
        <v>25.852461611618601</v>
      </c>
      <c r="N670" s="7">
        <f t="shared" si="187"/>
        <v>28.409298474306201</v>
      </c>
      <c r="O670" s="7">
        <f t="shared" si="188"/>
        <v>30.607395559162999</v>
      </c>
      <c r="P670" s="49">
        <f t="shared" si="189"/>
        <v>-28.409298474306201</v>
      </c>
      <c r="Q670" s="54">
        <f t="shared" si="191"/>
        <v>1212.36222553173</v>
      </c>
      <c r="R670" s="55">
        <f t="shared" si="190"/>
        <v>51.790453422639303</v>
      </c>
    </row>
    <row r="671" ht="12.800000000000001">
      <c r="A671" s="1">
        <v>667</v>
      </c>
      <c r="B671" s="44">
        <v>44212</v>
      </c>
      <c r="C671" s="45">
        <f t="shared" si="176"/>
        <v>30.479370023871802</v>
      </c>
      <c r="D671" s="3">
        <f t="shared" si="177"/>
        <v>4.8836569948350803</v>
      </c>
      <c r="E671" s="46">
        <f t="shared" si="178"/>
        <v>0</v>
      </c>
      <c r="F671" s="46">
        <f t="shared" si="179"/>
        <v>4.8836569948350803</v>
      </c>
      <c r="G671" s="46">
        <f t="shared" si="180"/>
        <v>100</v>
      </c>
      <c r="H671" s="46">
        <f t="shared" si="181"/>
        <v>100</v>
      </c>
      <c r="I671" s="47">
        <f t="shared" si="182"/>
        <v>0</v>
      </c>
      <c r="J671" s="47">
        <f t="shared" si="183"/>
        <v>5.3666560382802997</v>
      </c>
      <c r="K671" s="48">
        <f t="shared" si="184"/>
        <v>0</v>
      </c>
      <c r="L671" s="7">
        <f t="shared" si="185"/>
        <v>4.8836569948350803</v>
      </c>
      <c r="M671" s="7">
        <f t="shared" si="186"/>
        <v>25.595713029036698</v>
      </c>
      <c r="N671" s="7">
        <f t="shared" si="187"/>
        <v>28.1271571747656</v>
      </c>
      <c r="O671" s="7">
        <f t="shared" si="188"/>
        <v>30.479370023871802</v>
      </c>
      <c r="P671" s="49">
        <f t="shared" si="189"/>
        <v>-28.1271571747656</v>
      </c>
      <c r="Q671" s="54">
        <f t="shared" si="191"/>
        <v>1183.9529270574301</v>
      </c>
      <c r="R671" s="55">
        <f t="shared" si="190"/>
        <v>51.514167587121598</v>
      </c>
    </row>
    <row r="672" ht="12.800000000000001">
      <c r="A672" s="1">
        <v>668</v>
      </c>
      <c r="B672" s="44">
        <v>44213</v>
      </c>
      <c r="C672" s="45">
        <f t="shared" si="176"/>
        <v>30.3471065150536</v>
      </c>
      <c r="D672" s="3">
        <f t="shared" si="177"/>
        <v>5.0166411050886301</v>
      </c>
      <c r="E672" s="46">
        <f t="shared" si="178"/>
        <v>0</v>
      </c>
      <c r="F672" s="46">
        <f t="shared" si="179"/>
        <v>5.0166411050886301</v>
      </c>
      <c r="G672" s="46">
        <f t="shared" si="180"/>
        <v>100</v>
      </c>
      <c r="H672" s="46">
        <f t="shared" si="181"/>
        <v>100</v>
      </c>
      <c r="I672" s="47">
        <f t="shared" si="182"/>
        <v>0</v>
      </c>
      <c r="J672" s="47">
        <f t="shared" si="183"/>
        <v>5.5127924231743197</v>
      </c>
      <c r="K672" s="48">
        <f t="shared" si="184"/>
        <v>0</v>
      </c>
      <c r="L672" s="7">
        <f t="shared" si="185"/>
        <v>5.0166411050886301</v>
      </c>
      <c r="M672" s="7">
        <f t="shared" si="186"/>
        <v>25.330465409965001</v>
      </c>
      <c r="N672" s="7">
        <f t="shared" si="187"/>
        <v>27.835676274686801</v>
      </c>
      <c r="O672" s="7">
        <f t="shared" si="188"/>
        <v>30.3471065150536</v>
      </c>
      <c r="P672" s="49">
        <f t="shared" si="189"/>
        <v>-27.835676274686801</v>
      </c>
      <c r="Q672" s="54">
        <f t="shared" si="191"/>
        <v>1155.8257698826601</v>
      </c>
      <c r="R672" s="55">
        <f t="shared" si="190"/>
        <v>51.2406256294489</v>
      </c>
    </row>
    <row r="673" ht="12.800000000000001">
      <c r="A673" s="1">
        <v>669</v>
      </c>
      <c r="B673" s="44">
        <v>44214</v>
      </c>
      <c r="C673" s="45">
        <f t="shared" si="176"/>
        <v>30.210644225240699</v>
      </c>
      <c r="D673" s="3">
        <f t="shared" si="177"/>
        <v>5.1538468722431103</v>
      </c>
      <c r="E673" s="46">
        <f t="shared" si="178"/>
        <v>0</v>
      </c>
      <c r="F673" s="46">
        <f t="shared" si="179"/>
        <v>5.1538468722431103</v>
      </c>
      <c r="G673" s="46">
        <f t="shared" si="180"/>
        <v>100</v>
      </c>
      <c r="H673" s="46">
        <f t="shared" si="181"/>
        <v>100</v>
      </c>
      <c r="I673" s="47">
        <f t="shared" si="182"/>
        <v>0</v>
      </c>
      <c r="J673" s="47">
        <f t="shared" si="183"/>
        <v>5.66356799147594</v>
      </c>
      <c r="K673" s="48">
        <f t="shared" si="184"/>
        <v>0</v>
      </c>
      <c r="L673" s="7">
        <f t="shared" si="185"/>
        <v>5.1538468722431103</v>
      </c>
      <c r="M673" s="7">
        <f t="shared" si="186"/>
        <v>25.056797352997599</v>
      </c>
      <c r="N673" s="7">
        <f t="shared" si="187"/>
        <v>27.534942146151199</v>
      </c>
      <c r="O673" s="7">
        <f t="shared" si="188"/>
        <v>30.210644225240699</v>
      </c>
      <c r="P673" s="49">
        <f t="shared" si="189"/>
        <v>-27.534942146151199</v>
      </c>
      <c r="Q673" s="54">
        <f t="shared" si="191"/>
        <v>1127.99009360797</v>
      </c>
      <c r="R673" s="55">
        <f t="shared" si="190"/>
        <v>50.969918379014402</v>
      </c>
    </row>
    <row r="674" ht="12.800000000000001">
      <c r="A674" s="1">
        <v>670</v>
      </c>
      <c r="B674" s="44">
        <v>44215</v>
      </c>
      <c r="C674" s="45">
        <f t="shared" si="176"/>
        <v>30.070023591154499</v>
      </c>
      <c r="D674" s="3">
        <f t="shared" si="177"/>
        <v>5.2952336392685799</v>
      </c>
      <c r="E674" s="46">
        <f t="shared" si="178"/>
        <v>0</v>
      </c>
      <c r="F674" s="46">
        <f t="shared" si="179"/>
        <v>5.2952336392685799</v>
      </c>
      <c r="G674" s="46">
        <f t="shared" si="180"/>
        <v>100</v>
      </c>
      <c r="H674" s="46">
        <f t="shared" si="181"/>
        <v>100</v>
      </c>
      <c r="I674" s="47">
        <f t="shared" si="182"/>
        <v>0</v>
      </c>
      <c r="J674" s="47">
        <f t="shared" si="183"/>
        <v>5.8189380651303102</v>
      </c>
      <c r="K674" s="48">
        <f t="shared" si="184"/>
        <v>0</v>
      </c>
      <c r="L674" s="7">
        <f t="shared" si="185"/>
        <v>5.2952336392685799</v>
      </c>
      <c r="M674" s="7">
        <f t="shared" si="186"/>
        <v>24.774789951886</v>
      </c>
      <c r="N674" s="7">
        <f t="shared" si="187"/>
        <v>27.2250439031714</v>
      </c>
      <c r="O674" s="7">
        <f t="shared" si="188"/>
        <v>30.070023591154499</v>
      </c>
      <c r="P674" s="49">
        <f t="shared" si="189"/>
        <v>-27.2250439031714</v>
      </c>
      <c r="Q674" s="54">
        <f t="shared" si="191"/>
        <v>1100.4551514618199</v>
      </c>
      <c r="R674" s="55">
        <f t="shared" si="190"/>
        <v>50.7021358252262</v>
      </c>
    </row>
    <row r="675" ht="12.800000000000001">
      <c r="A675" s="1">
        <v>671</v>
      </c>
      <c r="B675" s="44">
        <v>44216</v>
      </c>
      <c r="C675" s="45">
        <f t="shared" si="176"/>
        <v>29.925286281723899</v>
      </c>
      <c r="D675" s="3">
        <f t="shared" si="177"/>
        <v>5.44075951021457</v>
      </c>
      <c r="E675" s="46">
        <f t="shared" si="178"/>
        <v>0</v>
      </c>
      <c r="F675" s="46">
        <f t="shared" si="179"/>
        <v>5.44075951021457</v>
      </c>
      <c r="G675" s="46">
        <f t="shared" si="180"/>
        <v>100</v>
      </c>
      <c r="H675" s="46">
        <f t="shared" si="181"/>
        <v>100</v>
      </c>
      <c r="I675" s="47">
        <f t="shared" si="182"/>
        <v>0</v>
      </c>
      <c r="J675" s="47">
        <f t="shared" si="183"/>
        <v>5.9788566046313996</v>
      </c>
      <c r="K675" s="48">
        <f t="shared" si="184"/>
        <v>0</v>
      </c>
      <c r="L675" s="7">
        <f t="shared" si="185"/>
        <v>5.44075951021457</v>
      </c>
      <c r="M675" s="7">
        <f t="shared" si="186"/>
        <v>24.484526771509302</v>
      </c>
      <c r="N675" s="7">
        <f t="shared" si="187"/>
        <v>26.906073375284901</v>
      </c>
      <c r="O675" s="7">
        <f t="shared" si="188"/>
        <v>29.925286281723899</v>
      </c>
      <c r="P675" s="49">
        <f t="shared" si="189"/>
        <v>-26.906073375284901</v>
      </c>
      <c r="Q675" s="54">
        <f t="shared" si="191"/>
        <v>1073.2301075586499</v>
      </c>
      <c r="R675" s="55">
        <f t="shared" si="190"/>
        <v>50.437367090841697</v>
      </c>
    </row>
    <row r="676" ht="12.800000000000001">
      <c r="A676" s="1">
        <v>672</v>
      </c>
      <c r="B676" s="44">
        <v>44217</v>
      </c>
      <c r="C676" s="45">
        <f t="shared" ref="C676:C735" si="192">V$30-V$30*SIN(2*PI()/365*A676)</f>
        <v>29.776475185737201</v>
      </c>
      <c r="D676" s="3">
        <f t="shared" ref="D676:D735" si="193">IF((E676+F676)&gt;C676,C676,E676+F676)</f>
        <v>5.5903813626248304</v>
      </c>
      <c r="E676" s="46">
        <f t="shared" ref="E676:E735" si="194">(V$27+V$28*SIN(2*PI()/365*A676))*V$29/100*V$9*V$10/100</f>
        <v>0</v>
      </c>
      <c r="F676" s="46">
        <f t="shared" ref="F676:F735" si="195">(V$27+V$28*SIN(2*PI()/365*A676))*V$29/100*V$11*(1-V$18/100)*(1-V$20/100)</f>
        <v>5.5903813626248304</v>
      </c>
      <c r="G676" s="46">
        <f t="shared" ref="G676:G735" si="196">IF(C676&gt;E676,100,C676/E676*100)</f>
        <v>100</v>
      </c>
      <c r="H676" s="46">
        <f t="shared" ref="H676:H735" si="197">L676/F676*100</f>
        <v>100</v>
      </c>
      <c r="I676" s="47">
        <f t="shared" ref="I676:I735" si="198">(V$27+V$28*SIN(2*PI()/365*A676))*V$29/100*V$9*V$10/100*(1-V$19/100)</f>
        <v>0</v>
      </c>
      <c r="J676" s="47">
        <f t="shared" ref="J676:J735" si="199">(V$27+V$28*SIN(2*PI()/365*A676))*V$29/100*V$11*(1-V$18/100)</f>
        <v>6.1432762226646496</v>
      </c>
      <c r="K676" s="48">
        <f t="shared" ref="K676:K735" si="200">IF(E676/C676*100&lt;100,E676/C676*100,100)</f>
        <v>0</v>
      </c>
      <c r="L676" s="7">
        <f t="shared" ref="L676:L735" si="201">IF(((C676-E676)&gt;0)*AND(F676&gt;(C676-E676)),(C676-E676),IF(C676&lt;E676,0,F676))</f>
        <v>5.5903813626248304</v>
      </c>
      <c r="M676" s="7">
        <f t="shared" ref="M676:M735" si="202">IF(C676&lt;(E676+F676),0,C676-E676-F676)</f>
        <v>24.186093823112301</v>
      </c>
      <c r="N676" s="7">
        <f t="shared" ref="N676:N735" si="203">IF(C676&lt;(E676+F676),0,(C676-E676-F676)/(1-V$20/100))</f>
        <v>26.578125080343199</v>
      </c>
      <c r="O676" s="7">
        <f t="shared" ref="O676:O735" si="204">L676+M676</f>
        <v>29.776475185737201</v>
      </c>
      <c r="P676" s="49">
        <f t="shared" ref="P676:P735" si="205">IF(N676=0,I676*(1-G676/100)+J676*(1-H676/100),-N676)</f>
        <v>-26.578125080343199</v>
      </c>
      <c r="Q676" s="54">
        <f t="shared" si="191"/>
        <v>1046.32403418337</v>
      </c>
      <c r="R676" s="55">
        <f t="shared" ref="R676:R735" si="206">R$4+Q676/V$32</f>
        <v>50.175700405558501</v>
      </c>
    </row>
    <row r="677" ht="12.800000000000001">
      <c r="A677" s="1">
        <v>673</v>
      </c>
      <c r="B677" s="44">
        <v>44218</v>
      </c>
      <c r="C677" s="45">
        <f t="shared" si="192"/>
        <v>29.623634399133799</v>
      </c>
      <c r="D677" s="3">
        <f t="shared" si="193"/>
        <v>5.74405486031538</v>
      </c>
      <c r="E677" s="46">
        <f t="shared" si="194"/>
        <v>0</v>
      </c>
      <c r="F677" s="46">
        <f t="shared" si="195"/>
        <v>5.74405486031538</v>
      </c>
      <c r="G677" s="46">
        <f t="shared" si="196"/>
        <v>100</v>
      </c>
      <c r="H677" s="46">
        <f t="shared" si="197"/>
        <v>100</v>
      </c>
      <c r="I677" s="47">
        <f t="shared" si="198"/>
        <v>0</v>
      </c>
      <c r="J677" s="47">
        <f t="shared" si="199"/>
        <v>6.3121481981487699</v>
      </c>
      <c r="K677" s="48">
        <f t="shared" si="200"/>
        <v>0</v>
      </c>
      <c r="L677" s="7">
        <f t="shared" si="201"/>
        <v>5.74405486031538</v>
      </c>
      <c r="M677" s="7">
        <f t="shared" si="202"/>
        <v>23.879579538818401</v>
      </c>
      <c r="N677" s="7">
        <f t="shared" si="203"/>
        <v>26.241296196503701</v>
      </c>
      <c r="O677" s="7">
        <f t="shared" si="204"/>
        <v>29.623634399133799</v>
      </c>
      <c r="P677" s="49">
        <f t="shared" si="205"/>
        <v>-26.241296196503701</v>
      </c>
      <c r="Q677" s="54">
        <f t="shared" ref="Q677:Q735" si="207">IF(P676&gt;0,Q676+P676*(1-V$24/100),Q676+P676)</f>
        <v>1019.74590910302</v>
      </c>
      <c r="R677" s="55">
        <f t="shared" si="206"/>
        <v>49.917223079870297</v>
      </c>
    </row>
    <row r="678" ht="12.800000000000001">
      <c r="A678" s="1">
        <v>674</v>
      </c>
      <c r="B678" s="44">
        <v>44219</v>
      </c>
      <c r="C678" s="45">
        <f t="shared" si="192"/>
        <v>29.466809211937299</v>
      </c>
      <c r="D678" s="3">
        <f t="shared" si="193"/>
        <v>5.9017344665123304</v>
      </c>
      <c r="E678" s="46">
        <f t="shared" si="194"/>
        <v>0</v>
      </c>
      <c r="F678" s="46">
        <f t="shared" si="195"/>
        <v>5.9017344665123304</v>
      </c>
      <c r="G678" s="46">
        <f t="shared" si="196"/>
        <v>100</v>
      </c>
      <c r="H678" s="46">
        <f t="shared" si="197"/>
        <v>100</v>
      </c>
      <c r="I678" s="47">
        <f t="shared" si="198"/>
        <v>0</v>
      </c>
      <c r="J678" s="47">
        <f t="shared" si="199"/>
        <v>6.4854224906728897</v>
      </c>
      <c r="K678" s="48">
        <f t="shared" si="200"/>
        <v>0</v>
      </c>
      <c r="L678" s="7">
        <f t="shared" si="201"/>
        <v>5.9017344665123304</v>
      </c>
      <c r="M678" s="7">
        <f t="shared" si="202"/>
        <v>23.565074745425001</v>
      </c>
      <c r="N678" s="7">
        <f t="shared" si="203"/>
        <v>25.895686533433999</v>
      </c>
      <c r="O678" s="7">
        <f t="shared" si="204"/>
        <v>29.466809211937299</v>
      </c>
      <c r="P678" s="49">
        <f t="shared" si="205"/>
        <v>-25.895686533433999</v>
      </c>
      <c r="Q678" s="54">
        <f t="shared" si="207"/>
        <v>993.50461290651901</v>
      </c>
      <c r="R678" s="55">
        <f t="shared" si="206"/>
        <v>49.6620214791945</v>
      </c>
    </row>
    <row r="679" ht="12.800000000000001">
      <c r="A679" s="1">
        <v>675</v>
      </c>
      <c r="B679" s="44">
        <v>44220</v>
      </c>
      <c r="C679" s="45">
        <f t="shared" si="192"/>
        <v>29.306046094835299</v>
      </c>
      <c r="D679" s="3">
        <f t="shared" si="193"/>
        <v>6.0633734573453202</v>
      </c>
      <c r="E679" s="46">
        <f t="shared" si="194"/>
        <v>0</v>
      </c>
      <c r="F679" s="46">
        <f t="shared" si="195"/>
        <v>6.0633734573453202</v>
      </c>
      <c r="G679" s="46">
        <f t="shared" si="196"/>
        <v>100</v>
      </c>
      <c r="H679" s="46">
        <f t="shared" si="197"/>
        <v>100</v>
      </c>
      <c r="I679" s="47">
        <f t="shared" si="198"/>
        <v>0</v>
      </c>
      <c r="J679" s="47">
        <f t="shared" si="199"/>
        <v>6.66304775532452</v>
      </c>
      <c r="K679" s="48">
        <f t="shared" si="200"/>
        <v>0</v>
      </c>
      <c r="L679" s="7">
        <f t="shared" si="201"/>
        <v>6.0633734573453202</v>
      </c>
      <c r="M679" s="7">
        <f t="shared" si="202"/>
        <v>23.242672637489999</v>
      </c>
      <c r="N679" s="7">
        <f t="shared" si="203"/>
        <v>25.5413985027363</v>
      </c>
      <c r="O679" s="7">
        <f t="shared" si="204"/>
        <v>29.306046094835299</v>
      </c>
      <c r="P679" s="49">
        <f t="shared" si="205"/>
        <v>-25.5413985027363</v>
      </c>
      <c r="Q679" s="54">
        <f t="shared" si="207"/>
        <v>967.60892637308496</v>
      </c>
      <c r="R679" s="55">
        <f t="shared" si="206"/>
        <v>49.410180998280602</v>
      </c>
    </row>
    <row r="680" ht="12.800000000000001">
      <c r="A680" s="1">
        <v>676</v>
      </c>
      <c r="B680" s="44">
        <v>44221</v>
      </c>
      <c r="C680" s="45">
        <f t="shared" si="192"/>
        <v>29.141392685408999</v>
      </c>
      <c r="D680" s="3">
        <f t="shared" si="193"/>
        <v>6.2289239356929302</v>
      </c>
      <c r="E680" s="46">
        <f t="shared" si="194"/>
        <v>0</v>
      </c>
      <c r="F680" s="46">
        <f t="shared" si="195"/>
        <v>6.2289239356929302</v>
      </c>
      <c r="G680" s="46">
        <f t="shared" si="196"/>
        <v>100</v>
      </c>
      <c r="H680" s="46">
        <f t="shared" si="197"/>
        <v>100</v>
      </c>
      <c r="I680" s="47">
        <f t="shared" si="198"/>
        <v>0</v>
      </c>
      <c r="J680" s="47">
        <f t="shared" si="199"/>
        <v>6.8449713579043197</v>
      </c>
      <c r="K680" s="48">
        <f t="shared" si="200"/>
        <v>0</v>
      </c>
      <c r="L680" s="7">
        <f t="shared" si="201"/>
        <v>6.2289239356929302</v>
      </c>
      <c r="M680" s="7">
        <f t="shared" si="202"/>
        <v>22.912468749716101</v>
      </c>
      <c r="N680" s="7">
        <f t="shared" si="203"/>
        <v>25.178537087600098</v>
      </c>
      <c r="O680" s="7">
        <f t="shared" si="204"/>
        <v>29.141392685408999</v>
      </c>
      <c r="P680" s="49">
        <f t="shared" si="205"/>
        <v>-25.178537087600098</v>
      </c>
      <c r="Q680" s="54">
        <f t="shared" si="207"/>
        <v>942.06752787034895</v>
      </c>
      <c r="R680" s="55">
        <f t="shared" si="206"/>
        <v>49.161786035905799</v>
      </c>
    </row>
    <row r="681" ht="12.800000000000001">
      <c r="A681" s="1">
        <v>677</v>
      </c>
      <c r="B681" s="44">
        <v>44222</v>
      </c>
      <c r="C681" s="45">
        <f t="shared" si="192"/>
        <v>28.972897774017</v>
      </c>
      <c r="D681" s="3">
        <f t="shared" si="193"/>
        <v>6.3983368453755798</v>
      </c>
      <c r="E681" s="46">
        <f t="shared" si="194"/>
        <v>0</v>
      </c>
      <c r="F681" s="46">
        <f t="shared" si="195"/>
        <v>6.3983368453755798</v>
      </c>
      <c r="G681" s="46">
        <f t="shared" si="196"/>
        <v>100</v>
      </c>
      <c r="H681" s="46">
        <f t="shared" si="197"/>
        <v>100</v>
      </c>
      <c r="I681" s="47">
        <f t="shared" si="198"/>
        <v>0</v>
      </c>
      <c r="J681" s="47">
        <f t="shared" si="199"/>
        <v>7.0311393905226103</v>
      </c>
      <c r="K681" s="48">
        <f t="shared" si="200"/>
        <v>0</v>
      </c>
      <c r="L681" s="7">
        <f t="shared" si="201"/>
        <v>6.3983368453755798</v>
      </c>
      <c r="M681" s="7">
        <f t="shared" si="202"/>
        <v>22.5745609286414</v>
      </c>
      <c r="N681" s="7">
        <f t="shared" si="203"/>
        <v>24.807209811693902</v>
      </c>
      <c r="O681" s="7">
        <f t="shared" si="204"/>
        <v>28.972897774017</v>
      </c>
      <c r="P681" s="49">
        <f t="shared" si="205"/>
        <v>-24.807209811693902</v>
      </c>
      <c r="Q681" s="54">
        <f t="shared" si="207"/>
        <v>916.88899078274903</v>
      </c>
      <c r="R681" s="55">
        <f t="shared" si="206"/>
        <v>48.916919969865702</v>
      </c>
    </row>
    <row r="682" ht="12.800000000000001">
      <c r="A682" s="1">
        <v>678</v>
      </c>
      <c r="B682" s="44">
        <v>44223</v>
      </c>
      <c r="C682" s="45">
        <f t="shared" si="192"/>
        <v>28.8006112893381</v>
      </c>
      <c r="D682" s="3">
        <f t="shared" si="193"/>
        <v>6.5715619856918499</v>
      </c>
      <c r="E682" s="46">
        <f t="shared" si="194"/>
        <v>0</v>
      </c>
      <c r="F682" s="46">
        <f t="shared" si="195"/>
        <v>6.5715619856918499</v>
      </c>
      <c r="G682" s="46">
        <f t="shared" si="196"/>
        <v>100</v>
      </c>
      <c r="H682" s="46">
        <f t="shared" si="197"/>
        <v>100</v>
      </c>
      <c r="I682" s="47">
        <f t="shared" si="198"/>
        <v>0</v>
      </c>
      <c r="J682" s="47">
        <f t="shared" si="199"/>
        <v>7.2214966875734596</v>
      </c>
      <c r="K682" s="48">
        <f t="shared" si="200"/>
        <v>0</v>
      </c>
      <c r="L682" s="7">
        <f t="shared" si="201"/>
        <v>6.5715619856918499</v>
      </c>
      <c r="M682" s="7">
        <f t="shared" si="202"/>
        <v>22.2290493036462</v>
      </c>
      <c r="N682" s="7">
        <f t="shared" si="203"/>
        <v>24.4275267073035</v>
      </c>
      <c r="O682" s="7">
        <f t="shared" si="204"/>
        <v>28.8006112893381</v>
      </c>
      <c r="P682" s="49">
        <f t="shared" si="205"/>
        <v>-24.4275267073035</v>
      </c>
      <c r="Q682" s="54">
        <f t="shared" si="207"/>
        <v>892.08178097105497</v>
      </c>
      <c r="R682" s="55">
        <f t="shared" si="206"/>
        <v>48.675665132267902</v>
      </c>
    </row>
    <row r="683" ht="12.800000000000001">
      <c r="A683" s="1">
        <v>679</v>
      </c>
      <c r="B683" s="44">
        <v>44224</v>
      </c>
      <c r="C683" s="45">
        <f t="shared" si="192"/>
        <v>28.6245842835758</v>
      </c>
      <c r="D683" s="3">
        <f t="shared" si="193"/>
        <v>6.7485480262941904</v>
      </c>
      <c r="E683" s="46">
        <f t="shared" si="194"/>
        <v>0</v>
      </c>
      <c r="F683" s="46">
        <f t="shared" si="195"/>
        <v>6.7485480262941904</v>
      </c>
      <c r="G683" s="46">
        <f t="shared" si="196"/>
        <v>100</v>
      </c>
      <c r="H683" s="46">
        <f t="shared" si="197"/>
        <v>100</v>
      </c>
      <c r="I683" s="47">
        <f t="shared" si="198"/>
        <v>0</v>
      </c>
      <c r="J683" s="47">
        <f t="shared" si="199"/>
        <v>7.41598684208153</v>
      </c>
      <c r="K683" s="48">
        <f t="shared" si="200"/>
        <v>0</v>
      </c>
      <c r="L683" s="7">
        <f t="shared" si="201"/>
        <v>6.7485480262941904</v>
      </c>
      <c r="M683" s="7">
        <f t="shared" si="202"/>
        <v>21.876036257281601</v>
      </c>
      <c r="N683" s="7">
        <f t="shared" si="203"/>
        <v>24.039600282727001</v>
      </c>
      <c r="O683" s="7">
        <f t="shared" si="204"/>
        <v>28.6245842835758</v>
      </c>
      <c r="P683" s="49">
        <f t="shared" si="205"/>
        <v>-24.039600282727001</v>
      </c>
      <c r="Q683" s="54">
        <f t="shared" si="207"/>
        <v>867.65425426375202</v>
      </c>
      <c r="R683" s="55">
        <f t="shared" si="206"/>
        <v>48.438102785134902</v>
      </c>
    </row>
    <row r="684" ht="12.800000000000001">
      <c r="A684" s="1">
        <v>680</v>
      </c>
      <c r="B684" s="44">
        <v>44225</v>
      </c>
      <c r="C684" s="45">
        <f t="shared" si="192"/>
        <v>28.444868917331</v>
      </c>
      <c r="D684" s="3">
        <f t="shared" si="193"/>
        <v>6.9292425223991101</v>
      </c>
      <c r="E684" s="46">
        <f t="shared" si="194"/>
        <v>0</v>
      </c>
      <c r="F684" s="46">
        <f t="shared" si="195"/>
        <v>6.9292425223991101</v>
      </c>
      <c r="G684" s="46">
        <f t="shared" si="196"/>
        <v>100</v>
      </c>
      <c r="H684" s="46">
        <f t="shared" si="197"/>
        <v>100</v>
      </c>
      <c r="I684" s="47">
        <f t="shared" si="198"/>
        <v>0</v>
      </c>
      <c r="J684" s="47">
        <f t="shared" si="199"/>
        <v>7.6145522224166102</v>
      </c>
      <c r="K684" s="48">
        <f t="shared" si="200"/>
        <v>0</v>
      </c>
      <c r="L684" s="7">
        <f t="shared" si="201"/>
        <v>6.9292425223991101</v>
      </c>
      <c r="M684" s="7">
        <f t="shared" si="202"/>
        <v>21.5156263949318</v>
      </c>
      <c r="N684" s="7">
        <f t="shared" si="203"/>
        <v>23.643545488936098</v>
      </c>
      <c r="O684" s="7">
        <f t="shared" si="204"/>
        <v>28.444868917331</v>
      </c>
      <c r="P684" s="49">
        <f t="shared" si="205"/>
        <v>-23.643545488936098</v>
      </c>
      <c r="Q684" s="54">
        <f t="shared" si="207"/>
        <v>843.61465398102405</v>
      </c>
      <c r="R684" s="55">
        <f t="shared" si="206"/>
        <v>48.204313096324597</v>
      </c>
    </row>
    <row r="685" ht="12.800000000000001">
      <c r="A685" s="1">
        <v>681</v>
      </c>
      <c r="B685" s="44">
        <v>44226</v>
      </c>
      <c r="C685" s="45">
        <f t="shared" si="192"/>
        <v>28.261518444145199</v>
      </c>
      <c r="D685" s="3">
        <f t="shared" si="193"/>
        <v>7.1135919303276802</v>
      </c>
      <c r="E685" s="46">
        <f t="shared" si="194"/>
        <v>0</v>
      </c>
      <c r="F685" s="46">
        <f t="shared" si="195"/>
        <v>7.1135919303276802</v>
      </c>
      <c r="G685" s="46">
        <f t="shared" si="196"/>
        <v>100</v>
      </c>
      <c r="H685" s="46">
        <f t="shared" si="197"/>
        <v>100</v>
      </c>
      <c r="I685" s="47">
        <f t="shared" si="198"/>
        <v>0</v>
      </c>
      <c r="J685" s="47">
        <f t="shared" si="199"/>
        <v>7.8171339893710696</v>
      </c>
      <c r="K685" s="48">
        <f t="shared" si="200"/>
        <v>0</v>
      </c>
      <c r="L685" s="7">
        <f t="shared" si="201"/>
        <v>7.1135919303276802</v>
      </c>
      <c r="M685" s="7">
        <f t="shared" si="202"/>
        <v>21.147926513817499</v>
      </c>
      <c r="N685" s="7">
        <f t="shared" si="203"/>
        <v>23.2394796855138</v>
      </c>
      <c r="O685" s="7">
        <f t="shared" si="204"/>
        <v>28.261518444145199</v>
      </c>
      <c r="P685" s="49">
        <f t="shared" si="205"/>
        <v>-23.2394796855138</v>
      </c>
      <c r="Q685" s="54">
        <f t="shared" si="207"/>
        <v>819.97110849208798</v>
      </c>
      <c r="R685" s="55">
        <f t="shared" si="206"/>
        <v>47.974375115774997</v>
      </c>
    </row>
    <row r="686" ht="12.800000000000001">
      <c r="A686" s="1">
        <v>682</v>
      </c>
      <c r="B686" s="44">
        <v>44227</v>
      </c>
      <c r="C686" s="45">
        <f t="shared" si="192"/>
        <v>28.074587194720699</v>
      </c>
      <c r="D686" s="3">
        <f t="shared" si="193"/>
        <v>7.3015416233717501</v>
      </c>
      <c r="E686" s="46">
        <f t="shared" si="194"/>
        <v>0</v>
      </c>
      <c r="F686" s="46">
        <f t="shared" si="195"/>
        <v>7.3015416233717501</v>
      </c>
      <c r="G686" s="46">
        <f t="shared" si="196"/>
        <v>100</v>
      </c>
      <c r="H686" s="46">
        <f t="shared" si="197"/>
        <v>100</v>
      </c>
      <c r="I686" s="47">
        <f t="shared" si="198"/>
        <v>0</v>
      </c>
      <c r="J686" s="47">
        <f t="shared" si="199"/>
        <v>8.0236721135953299</v>
      </c>
      <c r="K686" s="48">
        <f t="shared" si="200"/>
        <v>0</v>
      </c>
      <c r="L686" s="7">
        <f t="shared" si="201"/>
        <v>7.3015416233717501</v>
      </c>
      <c r="M686" s="7">
        <f t="shared" si="202"/>
        <v>20.773045571349002</v>
      </c>
      <c r="N686" s="7">
        <f t="shared" si="203"/>
        <v>22.827522605877999</v>
      </c>
      <c r="O686" s="7">
        <f t="shared" si="204"/>
        <v>28.074587194720699</v>
      </c>
      <c r="P686" s="49">
        <f t="shared" si="205"/>
        <v>-22.827522605877999</v>
      </c>
      <c r="Q686" s="54">
        <f t="shared" si="207"/>
        <v>796.73162880657503</v>
      </c>
      <c r="R686" s="55">
        <f t="shared" si="206"/>
        <v>47.748366752079697</v>
      </c>
    </row>
    <row r="687" ht="12.800000000000001">
      <c r="A687" s="1">
        <v>683</v>
      </c>
      <c r="B687" s="44">
        <v>44228</v>
      </c>
      <c r="C687" s="45">
        <f t="shared" si="192"/>
        <v>27.884130560820999</v>
      </c>
      <c r="D687" s="3">
        <f t="shared" si="193"/>
        <v>7.4930359079809898</v>
      </c>
      <c r="E687" s="46">
        <f t="shared" si="194"/>
        <v>0</v>
      </c>
      <c r="F687" s="46">
        <f t="shared" si="195"/>
        <v>7.4930359079809898</v>
      </c>
      <c r="G687" s="46">
        <f t="shared" si="196"/>
        <v>100</v>
      </c>
      <c r="H687" s="46">
        <f t="shared" si="197"/>
        <v>100</v>
      </c>
      <c r="I687" s="47">
        <f t="shared" si="198"/>
        <v>0</v>
      </c>
      <c r="J687" s="47">
        <f t="shared" si="199"/>
        <v>8.2341053933857005</v>
      </c>
      <c r="K687" s="48">
        <f t="shared" si="200"/>
        <v>0</v>
      </c>
      <c r="L687" s="7">
        <f t="shared" si="201"/>
        <v>7.4930359079809898</v>
      </c>
      <c r="M687" s="7">
        <f t="shared" si="202"/>
        <v>20.391094652840099</v>
      </c>
      <c r="N687" s="7">
        <f t="shared" si="203"/>
        <v>22.407796321802302</v>
      </c>
      <c r="O687" s="7">
        <f t="shared" si="204"/>
        <v>27.884130560820999</v>
      </c>
      <c r="P687" s="49">
        <f t="shared" si="205"/>
        <v>-22.407796321802302</v>
      </c>
      <c r="Q687" s="54">
        <f t="shared" si="207"/>
        <v>773.90410620069702</v>
      </c>
      <c r="R687" s="55">
        <f t="shared" si="206"/>
        <v>47.526364749401999</v>
      </c>
    </row>
    <row r="688" ht="12.800000000000001">
      <c r="A688" s="1">
        <v>684</v>
      </c>
      <c r="B688" s="44">
        <v>44229</v>
      </c>
      <c r="C688" s="45">
        <f t="shared" si="192"/>
        <v>27.690204978857199</v>
      </c>
      <c r="D688" s="3">
        <f t="shared" si="193"/>
        <v>7.68801804026611</v>
      </c>
      <c r="E688" s="46">
        <f t="shared" si="194"/>
        <v>0</v>
      </c>
      <c r="F688" s="46">
        <f t="shared" si="195"/>
        <v>7.68801804026611</v>
      </c>
      <c r="G688" s="46">
        <f t="shared" si="196"/>
        <v>100</v>
      </c>
      <c r="H688" s="46">
        <f t="shared" si="197"/>
        <v>100</v>
      </c>
      <c r="I688" s="47">
        <f t="shared" si="198"/>
        <v>0</v>
      </c>
      <c r="J688" s="47">
        <f t="shared" si="199"/>
        <v>8.4483714728199004</v>
      </c>
      <c r="K688" s="48">
        <f t="shared" si="200"/>
        <v>0</v>
      </c>
      <c r="L688" s="7">
        <f t="shared" si="201"/>
        <v>7.68801804026611</v>
      </c>
      <c r="M688" s="7">
        <f t="shared" si="202"/>
        <v>20.002186938591102</v>
      </c>
      <c r="N688" s="7">
        <f t="shared" si="203"/>
        <v>21.980425207242899</v>
      </c>
      <c r="O688" s="7">
        <f t="shared" si="204"/>
        <v>27.690204978857199</v>
      </c>
      <c r="P688" s="49">
        <f t="shared" si="205"/>
        <v>-21.980425207242899</v>
      </c>
      <c r="Q688" s="54">
        <f t="shared" si="207"/>
        <v>751.49630987889395</v>
      </c>
      <c r="R688" s="55">
        <f t="shared" si="206"/>
        <v>47.308444664733997</v>
      </c>
    </row>
    <row r="689" ht="12.800000000000001">
      <c r="A689" s="1">
        <v>685</v>
      </c>
      <c r="B689" s="44">
        <v>44230</v>
      </c>
      <c r="C689" s="45">
        <f t="shared" si="192"/>
        <v>27.4928679131643</v>
      </c>
      <c r="D689" s="3">
        <f t="shared" si="193"/>
        <v>7.8864302428131996</v>
      </c>
      <c r="E689" s="46">
        <f t="shared" si="194"/>
        <v>0</v>
      </c>
      <c r="F689" s="46">
        <f t="shared" si="195"/>
        <v>7.8864302428131996</v>
      </c>
      <c r="G689" s="46">
        <f t="shared" si="196"/>
        <v>100</v>
      </c>
      <c r="H689" s="46">
        <f t="shared" si="197"/>
        <v>100</v>
      </c>
      <c r="I689" s="47">
        <f t="shared" si="198"/>
        <v>0</v>
      </c>
      <c r="J689" s="47">
        <f t="shared" si="199"/>
        <v>8.6664068602342894</v>
      </c>
      <c r="K689" s="48">
        <f t="shared" si="200"/>
        <v>0</v>
      </c>
      <c r="L689" s="7">
        <f t="shared" si="201"/>
        <v>7.8864302428131996</v>
      </c>
      <c r="M689" s="7">
        <f t="shared" si="202"/>
        <v>19.606437670351099</v>
      </c>
      <c r="N689" s="7">
        <f t="shared" si="203"/>
        <v>21.545535901484701</v>
      </c>
      <c r="O689" s="7">
        <f t="shared" si="204"/>
        <v>27.4928679131643</v>
      </c>
      <c r="P689" s="49">
        <f t="shared" si="205"/>
        <v>-21.545535901484701</v>
      </c>
      <c r="Q689" s="54">
        <f t="shared" si="207"/>
        <v>729.51588467165095</v>
      </c>
      <c r="R689" s="55">
        <f t="shared" si="206"/>
        <v>47.094680845507298</v>
      </c>
    </row>
    <row r="690" ht="12.800000000000001">
      <c r="A690" s="1">
        <v>686</v>
      </c>
      <c r="B690" s="44">
        <v>44231</v>
      </c>
      <c r="C690" s="45">
        <f t="shared" si="192"/>
        <v>27.292177838973899</v>
      </c>
      <c r="D690" s="3">
        <f t="shared" si="193"/>
        <v>8.0882137218045997</v>
      </c>
      <c r="E690" s="46">
        <f t="shared" si="194"/>
        <v>0</v>
      </c>
      <c r="F690" s="46">
        <f t="shared" si="195"/>
        <v>8.0882137218045997</v>
      </c>
      <c r="G690" s="46">
        <f t="shared" si="196"/>
        <v>100</v>
      </c>
      <c r="H690" s="46">
        <f t="shared" si="197"/>
        <v>100</v>
      </c>
      <c r="I690" s="47">
        <f t="shared" si="198"/>
        <v>0</v>
      </c>
      <c r="J690" s="47">
        <f t="shared" si="199"/>
        <v>8.8881469470380203</v>
      </c>
      <c r="K690" s="48">
        <f t="shared" si="200"/>
        <v>0</v>
      </c>
      <c r="L690" s="7">
        <f t="shared" si="201"/>
        <v>8.0882137218045997</v>
      </c>
      <c r="M690" s="7">
        <f t="shared" si="202"/>
        <v>19.203964117169299</v>
      </c>
      <c r="N690" s="7">
        <f t="shared" si="203"/>
        <v>21.103257271614599</v>
      </c>
      <c r="O690" s="7">
        <f t="shared" si="204"/>
        <v>27.292177838973899</v>
      </c>
      <c r="P690" s="49">
        <f t="shared" si="205"/>
        <v>-21.103257271614599</v>
      </c>
      <c r="Q690" s="54">
        <f t="shared" si="207"/>
        <v>707.97034877016699</v>
      </c>
      <c r="R690" s="55">
        <f t="shared" si="206"/>
        <v>46.885146407562601</v>
      </c>
    </row>
    <row r="691" ht="12.800000000000001">
      <c r="A691" s="1">
        <v>687</v>
      </c>
      <c r="B691" s="44">
        <v>44232</v>
      </c>
      <c r="C691" s="45">
        <f t="shared" si="192"/>
        <v>27.088194225086099</v>
      </c>
      <c r="D691" s="3">
        <f t="shared" si="193"/>
        <v>8.2933086844406496</v>
      </c>
      <c r="E691" s="46">
        <f t="shared" si="194"/>
        <v>0</v>
      </c>
      <c r="F691" s="46">
        <f t="shared" si="195"/>
        <v>8.2933086844406496</v>
      </c>
      <c r="G691" s="46">
        <f t="shared" si="196"/>
        <v>100</v>
      </c>
      <c r="H691" s="46">
        <f t="shared" si="197"/>
        <v>100</v>
      </c>
      <c r="I691" s="47">
        <f t="shared" si="198"/>
        <v>0</v>
      </c>
      <c r="J691" s="47">
        <f t="shared" si="199"/>
        <v>9.1135260268578495</v>
      </c>
      <c r="K691" s="48">
        <f t="shared" si="200"/>
        <v>0</v>
      </c>
      <c r="L691" s="7">
        <f t="shared" si="201"/>
        <v>8.2933086844406496</v>
      </c>
      <c r="M691" s="7">
        <f t="shared" si="202"/>
        <v>18.794885540645499</v>
      </c>
      <c r="N691" s="7">
        <f t="shared" si="203"/>
        <v>20.653720374335698</v>
      </c>
      <c r="O691" s="7">
        <f t="shared" si="204"/>
        <v>27.088194225086099</v>
      </c>
      <c r="P691" s="49">
        <f t="shared" si="205"/>
        <v>-20.653720374335698</v>
      </c>
      <c r="Q691" s="54">
        <f t="shared" si="207"/>
        <v>686.86709149855199</v>
      </c>
      <c r="R691" s="55">
        <f t="shared" si="206"/>
        <v>46.679913213483303</v>
      </c>
    </row>
    <row r="692" ht="12.800000000000001">
      <c r="A692" s="1">
        <v>688</v>
      </c>
      <c r="B692" s="44">
        <v>44233</v>
      </c>
      <c r="C692" s="45">
        <f t="shared" si="192"/>
        <v>26.880977516248201</v>
      </c>
      <c r="D692" s="3">
        <f t="shared" si="193"/>
        <v>8.5016543566575606</v>
      </c>
      <c r="E692" s="46">
        <f t="shared" si="194"/>
        <v>0</v>
      </c>
      <c r="F692" s="46">
        <f t="shared" si="195"/>
        <v>8.5016543566575606</v>
      </c>
      <c r="G692" s="46">
        <f t="shared" si="196"/>
        <v>100</v>
      </c>
      <c r="H692" s="46">
        <f t="shared" si="197"/>
        <v>100</v>
      </c>
      <c r="I692" s="47">
        <f t="shared" si="198"/>
        <v>0</v>
      </c>
      <c r="J692" s="47">
        <f t="shared" si="199"/>
        <v>9.3424773150083098</v>
      </c>
      <c r="K692" s="48">
        <f t="shared" si="200"/>
        <v>0</v>
      </c>
      <c r="L692" s="7">
        <f t="shared" si="201"/>
        <v>8.5016543566575606</v>
      </c>
      <c r="M692" s="7">
        <f t="shared" si="202"/>
        <v>18.379323159590701</v>
      </c>
      <c r="N692" s="7">
        <f t="shared" si="203"/>
        <v>20.197058417132599</v>
      </c>
      <c r="O692" s="7">
        <f t="shared" si="204"/>
        <v>26.880977516248201</v>
      </c>
      <c r="P692" s="49">
        <f t="shared" si="205"/>
        <v>-20.197058417132599</v>
      </c>
      <c r="Q692" s="54">
        <f t="shared" si="207"/>
        <v>666.213371124216</v>
      </c>
      <c r="R692" s="55">
        <f t="shared" si="206"/>
        <v>46.479051851301698</v>
      </c>
    </row>
    <row r="693" ht="12.800000000000001">
      <c r="A693" s="1">
        <v>689</v>
      </c>
      <c r="B693" s="44">
        <v>44234</v>
      </c>
      <c r="C693" s="45">
        <f t="shared" si="192"/>
        <v>26.670589115243001</v>
      </c>
      <c r="D693" s="3">
        <f t="shared" si="193"/>
        <v>8.7131890011362199</v>
      </c>
      <c r="E693" s="46">
        <f t="shared" si="194"/>
        <v>0</v>
      </c>
      <c r="F693" s="46">
        <f t="shared" si="195"/>
        <v>8.7131890011362199</v>
      </c>
      <c r="G693" s="46">
        <f t="shared" si="196"/>
        <v>100</v>
      </c>
      <c r="H693" s="46">
        <f t="shared" si="197"/>
        <v>100</v>
      </c>
      <c r="I693" s="47">
        <f t="shared" si="198"/>
        <v>0</v>
      </c>
      <c r="J693" s="47">
        <f t="shared" si="199"/>
        <v>9.5749329682815603</v>
      </c>
      <c r="K693" s="48">
        <f t="shared" si="200"/>
        <v>0</v>
      </c>
      <c r="L693" s="7">
        <f t="shared" si="201"/>
        <v>8.7131890011362199</v>
      </c>
      <c r="M693" s="7">
        <f t="shared" si="202"/>
        <v>17.9574001141068</v>
      </c>
      <c r="N693" s="7">
        <f t="shared" si="203"/>
        <v>19.733406718798701</v>
      </c>
      <c r="O693" s="7">
        <f t="shared" si="204"/>
        <v>26.670589115243001</v>
      </c>
      <c r="P693" s="49">
        <f t="shared" si="205"/>
        <v>-19.733406718798701</v>
      </c>
      <c r="Q693" s="54">
        <f t="shared" si="207"/>
        <v>646.01631270708401</v>
      </c>
      <c r="R693" s="55">
        <f t="shared" si="206"/>
        <v>46.282631613581799</v>
      </c>
    </row>
    <row r="694" ht="12.800000000000001">
      <c r="A694" s="1">
        <v>690</v>
      </c>
      <c r="B694" s="44">
        <v>44235</v>
      </c>
      <c r="C694" s="45">
        <f t="shared" si="192"/>
        <v>26.4570913646943</v>
      </c>
      <c r="D694" s="3">
        <f t="shared" si="193"/>
        <v>8.9278499355961998</v>
      </c>
      <c r="E694" s="46">
        <f t="shared" si="194"/>
        <v>0</v>
      </c>
      <c r="F694" s="46">
        <f t="shared" si="195"/>
        <v>8.9278499355961998</v>
      </c>
      <c r="G694" s="46">
        <f t="shared" si="196"/>
        <v>100</v>
      </c>
      <c r="H694" s="46">
        <f t="shared" si="197"/>
        <v>100</v>
      </c>
      <c r="I694" s="47">
        <f t="shared" si="198"/>
        <v>0</v>
      </c>
      <c r="J694" s="47">
        <f t="shared" si="199"/>
        <v>9.8108241050507701</v>
      </c>
      <c r="K694" s="48">
        <f t="shared" si="200"/>
        <v>0</v>
      </c>
      <c r="L694" s="7">
        <f t="shared" si="201"/>
        <v>8.9278499355961998</v>
      </c>
      <c r="M694" s="7">
        <f t="shared" si="202"/>
        <v>17.5292414290981</v>
      </c>
      <c r="N694" s="7">
        <f t="shared" si="203"/>
        <v>19.262902669338601</v>
      </c>
      <c r="O694" s="7">
        <f t="shared" si="204"/>
        <v>26.4570913646943</v>
      </c>
      <c r="P694" s="49">
        <f t="shared" si="205"/>
        <v>-19.262902669338601</v>
      </c>
      <c r="Q694" s="54">
        <f t="shared" si="207"/>
        <v>626.28290598828505</v>
      </c>
      <c r="R694" s="55">
        <f t="shared" si="206"/>
        <v>46.090720476886702</v>
      </c>
    </row>
    <row r="695" ht="12.800000000000001">
      <c r="A695" s="1">
        <v>691</v>
      </c>
      <c r="B695" s="44">
        <v>44236</v>
      </c>
      <c r="C695" s="45">
        <f t="shared" si="192"/>
        <v>26.2405475285933</v>
      </c>
      <c r="D695" s="3">
        <f t="shared" si="193"/>
        <v>9.1455735513698002</v>
      </c>
      <c r="E695" s="46">
        <f t="shared" si="194"/>
        <v>0</v>
      </c>
      <c r="F695" s="46">
        <f t="shared" si="195"/>
        <v>9.1455735513698002</v>
      </c>
      <c r="G695" s="46">
        <f t="shared" si="196"/>
        <v>100</v>
      </c>
      <c r="H695" s="46">
        <f t="shared" si="197"/>
        <v>100</v>
      </c>
      <c r="I695" s="47">
        <f t="shared" si="198"/>
        <v>0</v>
      </c>
      <c r="J695" s="47">
        <f t="shared" si="199"/>
        <v>10.0500808256811</v>
      </c>
      <c r="K695" s="48">
        <f t="shared" si="200"/>
        <v>0</v>
      </c>
      <c r="L695" s="7">
        <f t="shared" si="201"/>
        <v>9.1455735513698002</v>
      </c>
      <c r="M695" s="7">
        <f t="shared" si="202"/>
        <v>17.0949739772235</v>
      </c>
      <c r="N695" s="7">
        <f t="shared" si="203"/>
        <v>18.785685689256599</v>
      </c>
      <c r="O695" s="7">
        <f t="shared" si="204"/>
        <v>26.2405475285933</v>
      </c>
      <c r="P695" s="49">
        <f t="shared" si="205"/>
        <v>-18.785685689256599</v>
      </c>
      <c r="Q695" s="54">
        <f t="shared" si="207"/>
        <v>607.02000331894601</v>
      </c>
      <c r="R695" s="55">
        <f t="shared" si="206"/>
        <v>45.903385081635498</v>
      </c>
    </row>
    <row r="696" ht="12.800000000000001">
      <c r="A696" s="1">
        <v>692</v>
      </c>
      <c r="B696" s="44">
        <v>44237</v>
      </c>
      <c r="C696" s="45">
        <f t="shared" si="192"/>
        <v>26.021021773552</v>
      </c>
      <c r="D696" s="3">
        <f t="shared" si="193"/>
        <v>9.3662953322508393</v>
      </c>
      <c r="E696" s="46">
        <f t="shared" si="194"/>
        <v>0</v>
      </c>
      <c r="F696" s="46">
        <f t="shared" si="195"/>
        <v>9.3662953322508393</v>
      </c>
      <c r="G696" s="46">
        <f t="shared" si="196"/>
        <v>100</v>
      </c>
      <c r="H696" s="46">
        <f t="shared" si="197"/>
        <v>100</v>
      </c>
      <c r="I696" s="47">
        <f t="shared" si="198"/>
        <v>0</v>
      </c>
      <c r="J696" s="47">
        <f t="shared" si="199"/>
        <v>10.292632233242699</v>
      </c>
      <c r="K696" s="48">
        <f t="shared" si="200"/>
        <v>0</v>
      </c>
      <c r="L696" s="7">
        <f t="shared" si="201"/>
        <v>9.3662953322508393</v>
      </c>
      <c r="M696" s="7">
        <f t="shared" si="202"/>
        <v>16.654726441301101</v>
      </c>
      <c r="N696" s="7">
        <f t="shared" si="203"/>
        <v>18.301897188243</v>
      </c>
      <c r="O696" s="7">
        <f t="shared" si="204"/>
        <v>26.021021773552</v>
      </c>
      <c r="P696" s="49">
        <f t="shared" si="205"/>
        <v>-18.301897188243</v>
      </c>
      <c r="Q696" s="54">
        <f t="shared" si="207"/>
        <v>588.23431762969005</v>
      </c>
      <c r="R696" s="55">
        <f t="shared" si="206"/>
        <v>45.720690712356202</v>
      </c>
    </row>
    <row r="697" ht="12.800000000000001">
      <c r="A697" s="1">
        <v>693</v>
      </c>
      <c r="B697" s="44">
        <v>44238</v>
      </c>
      <c r="C697" s="45">
        <f t="shared" si="192"/>
        <v>25.798579149789301</v>
      </c>
      <c r="D697" s="3">
        <f t="shared" si="193"/>
        <v>9.5899498736120705</v>
      </c>
      <c r="E697" s="46">
        <f t="shared" si="194"/>
        <v>0</v>
      </c>
      <c r="F697" s="46">
        <f t="shared" si="195"/>
        <v>9.5899498736120705</v>
      </c>
      <c r="G697" s="46">
        <f t="shared" si="196"/>
        <v>100</v>
      </c>
      <c r="H697" s="46">
        <f t="shared" si="197"/>
        <v>100</v>
      </c>
      <c r="I697" s="47">
        <f t="shared" si="198"/>
        <v>0</v>
      </c>
      <c r="J697" s="47">
        <f t="shared" si="199"/>
        <v>10.5384064545188</v>
      </c>
      <c r="K697" s="48">
        <f t="shared" si="200"/>
        <v>0</v>
      </c>
      <c r="L697" s="7">
        <f t="shared" si="201"/>
        <v>9.5899498736120705</v>
      </c>
      <c r="M697" s="7">
        <f t="shared" si="202"/>
        <v>16.208629276177199</v>
      </c>
      <c r="N697" s="7">
        <f t="shared" si="203"/>
        <v>17.811680523271701</v>
      </c>
      <c r="O697" s="7">
        <f t="shared" si="204"/>
        <v>25.798579149789301</v>
      </c>
      <c r="P697" s="49">
        <f t="shared" si="205"/>
        <v>-17.811680523271701</v>
      </c>
      <c r="Q697" s="54">
        <f t="shared" si="207"/>
        <v>569.93242044144699</v>
      </c>
      <c r="R697" s="55">
        <f t="shared" si="206"/>
        <v>45.5427012783409</v>
      </c>
    </row>
    <row r="698" ht="12.800000000000001">
      <c r="A698" s="1">
        <v>694</v>
      </c>
      <c r="B698" s="44">
        <v>44239</v>
      </c>
      <c r="C698" s="45">
        <f t="shared" si="192"/>
        <v>25.573285571855401</v>
      </c>
      <c r="D698" s="3">
        <f t="shared" si="193"/>
        <v>9.8164709017860599</v>
      </c>
      <c r="E698" s="46">
        <f t="shared" si="194"/>
        <v>0</v>
      </c>
      <c r="F698" s="46">
        <f t="shared" si="195"/>
        <v>9.8164709017860599</v>
      </c>
      <c r="G698" s="46">
        <f t="shared" si="196"/>
        <v>100</v>
      </c>
      <c r="H698" s="46">
        <f t="shared" si="197"/>
        <v>100</v>
      </c>
      <c r="I698" s="47">
        <f t="shared" si="198"/>
        <v>0</v>
      </c>
      <c r="J698" s="47">
        <f t="shared" si="199"/>
        <v>10.7873306613034</v>
      </c>
      <c r="K698" s="48">
        <f t="shared" si="200"/>
        <v>0</v>
      </c>
      <c r="L698" s="7">
        <f t="shared" si="201"/>
        <v>9.8164709017860599</v>
      </c>
      <c r="M698" s="7">
        <f t="shared" si="202"/>
        <v>15.7568146700693</v>
      </c>
      <c r="N698" s="7">
        <f t="shared" si="203"/>
        <v>17.315180956120098</v>
      </c>
      <c r="O698" s="7">
        <f t="shared" si="204"/>
        <v>25.573285571855401</v>
      </c>
      <c r="P698" s="49">
        <f t="shared" si="205"/>
        <v>-17.315180956120098</v>
      </c>
      <c r="Q698" s="54">
        <f t="shared" si="207"/>
        <v>552.12073991817499</v>
      </c>
      <c r="R698" s="55">
        <f t="shared" si="206"/>
        <v>45.369479294707702</v>
      </c>
    </row>
    <row r="699" ht="12.800000000000001">
      <c r="A699" s="1">
        <v>695</v>
      </c>
      <c r="B699" s="44">
        <v>44240</v>
      </c>
      <c r="C699" s="45">
        <f t="shared" si="192"/>
        <v>25.345207799099601</v>
      </c>
      <c r="D699" s="3">
        <f t="shared" si="193"/>
        <v>10.045791293703401</v>
      </c>
      <c r="E699" s="46">
        <f t="shared" si="194"/>
        <v>0</v>
      </c>
      <c r="F699" s="46">
        <f t="shared" si="195"/>
        <v>10.045791293703401</v>
      </c>
      <c r="G699" s="46">
        <f t="shared" si="196"/>
        <v>100</v>
      </c>
      <c r="H699" s="46">
        <f t="shared" si="197"/>
        <v>100</v>
      </c>
      <c r="I699" s="47">
        <f t="shared" si="198"/>
        <v>0</v>
      </c>
      <c r="J699" s="47">
        <f t="shared" si="199"/>
        <v>11.039331091981699</v>
      </c>
      <c r="K699" s="48">
        <f t="shared" si="200"/>
        <v>0</v>
      </c>
      <c r="L699" s="7">
        <f t="shared" si="201"/>
        <v>10.045791293703401</v>
      </c>
      <c r="M699" s="7">
        <f t="shared" si="202"/>
        <v>15.2994165053963</v>
      </c>
      <c r="N699" s="7">
        <f t="shared" si="203"/>
        <v>16.8125456103256</v>
      </c>
      <c r="O699" s="7">
        <f t="shared" si="204"/>
        <v>25.345207799099601</v>
      </c>
      <c r="P699" s="49">
        <f t="shared" si="205"/>
        <v>-16.8125456103256</v>
      </c>
      <c r="Q699" s="54">
        <f t="shared" si="207"/>
        <v>534.80555896205499</v>
      </c>
      <c r="R699" s="55">
        <f t="shared" si="206"/>
        <v>45.201085863876301</v>
      </c>
    </row>
    <row r="700" ht="12.800000000000001">
      <c r="A700" s="1">
        <v>696</v>
      </c>
      <c r="B700" s="44">
        <v>44241</v>
      </c>
      <c r="C700" s="45">
        <f t="shared" si="192"/>
        <v>25.1144134158885</v>
      </c>
      <c r="D700" s="3">
        <f t="shared" si="193"/>
        <v>10.277843096782799</v>
      </c>
      <c r="E700" s="46">
        <f t="shared" si="194"/>
        <v>0</v>
      </c>
      <c r="F700" s="46">
        <f t="shared" si="195"/>
        <v>10.277843096782799</v>
      </c>
      <c r="G700" s="46">
        <f t="shared" si="196"/>
        <v>100</v>
      </c>
      <c r="H700" s="46">
        <f t="shared" si="197"/>
        <v>100</v>
      </c>
      <c r="I700" s="47">
        <f t="shared" si="198"/>
        <v>0</v>
      </c>
      <c r="J700" s="47">
        <f t="shared" si="199"/>
        <v>11.294333073387699</v>
      </c>
      <c r="K700" s="48">
        <f t="shared" si="200"/>
        <v>0</v>
      </c>
      <c r="L700" s="7">
        <f t="shared" si="201"/>
        <v>10.277843096782799</v>
      </c>
      <c r="M700" s="7">
        <f t="shared" si="202"/>
        <v>14.8365703191057</v>
      </c>
      <c r="N700" s="7">
        <f t="shared" si="203"/>
        <v>16.3039234275886</v>
      </c>
      <c r="O700" s="7">
        <f t="shared" si="204"/>
        <v>25.1144134158885</v>
      </c>
      <c r="P700" s="49">
        <f t="shared" si="205"/>
        <v>-16.3039234275886</v>
      </c>
      <c r="Q700" s="54">
        <f t="shared" si="207"/>
        <v>517.99301335173004</v>
      </c>
      <c r="R700" s="55">
        <f t="shared" si="206"/>
        <v>45.037580657461902</v>
      </c>
    </row>
    <row r="701" ht="12.800000000000001">
      <c r="A701" s="1">
        <v>697</v>
      </c>
      <c r="B701" s="44">
        <v>44242</v>
      </c>
      <c r="C701" s="45">
        <f t="shared" si="192"/>
        <v>24.8809708115785</v>
      </c>
      <c r="D701" s="3">
        <f t="shared" si="193"/>
        <v>10.512557549066999</v>
      </c>
      <c r="E701" s="46">
        <f t="shared" si="194"/>
        <v>0</v>
      </c>
      <c r="F701" s="46">
        <f t="shared" si="195"/>
        <v>10.512557549066999</v>
      </c>
      <c r="G701" s="46">
        <f t="shared" si="196"/>
        <v>100</v>
      </c>
      <c r="H701" s="46">
        <f t="shared" si="197"/>
        <v>100</v>
      </c>
      <c r="I701" s="47">
        <f t="shared" si="198"/>
        <v>0</v>
      </c>
      <c r="J701" s="47">
        <f t="shared" si="199"/>
        <v>11.5522610429308</v>
      </c>
      <c r="K701" s="48">
        <f t="shared" si="200"/>
        <v>0</v>
      </c>
      <c r="L701" s="7">
        <f t="shared" si="201"/>
        <v>10.512557549066999</v>
      </c>
      <c r="M701" s="7">
        <f t="shared" si="202"/>
        <v>14.368413262511501</v>
      </c>
      <c r="N701" s="7">
        <f t="shared" si="203"/>
        <v>15.789465123638999</v>
      </c>
      <c r="O701" s="7">
        <f t="shared" si="204"/>
        <v>24.8809708115785</v>
      </c>
      <c r="P701" s="49">
        <f t="shared" si="205"/>
        <v>-15.789465123638999</v>
      </c>
      <c r="Q701" s="54">
        <f t="shared" si="207"/>
        <v>501.689089924141</v>
      </c>
      <c r="R701" s="55">
        <f t="shared" si="206"/>
        <v>44.8790218985935</v>
      </c>
    </row>
    <row r="702" ht="12.800000000000001">
      <c r="A702" s="1">
        <v>698</v>
      </c>
      <c r="B702" s="44">
        <v>44243</v>
      </c>
      <c r="C702" s="45">
        <f t="shared" si="192"/>
        <v>24.644949160251599</v>
      </c>
      <c r="D702" s="3">
        <f t="shared" si="193"/>
        <v>10.7498650995981</v>
      </c>
      <c r="E702" s="46">
        <f t="shared" si="194"/>
        <v>0</v>
      </c>
      <c r="F702" s="46">
        <f t="shared" si="195"/>
        <v>10.7498650995981</v>
      </c>
      <c r="G702" s="46">
        <f t="shared" si="196"/>
        <v>100</v>
      </c>
      <c r="H702" s="46">
        <f t="shared" si="197"/>
        <v>100</v>
      </c>
      <c r="I702" s="47">
        <f t="shared" si="198"/>
        <v>0</v>
      </c>
      <c r="J702" s="47">
        <f t="shared" si="199"/>
        <v>11.813038570987</v>
      </c>
      <c r="K702" s="48">
        <f t="shared" si="200"/>
        <v>0</v>
      </c>
      <c r="L702" s="7">
        <f t="shared" si="201"/>
        <v>10.7498650995981</v>
      </c>
      <c r="M702" s="7">
        <f t="shared" si="202"/>
        <v>13.895084060653399</v>
      </c>
      <c r="N702" s="7">
        <f t="shared" si="203"/>
        <v>15.2693231435752</v>
      </c>
      <c r="O702" s="7">
        <f t="shared" si="204"/>
        <v>24.644949160251599</v>
      </c>
      <c r="P702" s="49">
        <f t="shared" si="205"/>
        <v>-15.2693231435752</v>
      </c>
      <c r="Q702" s="54">
        <f t="shared" si="207"/>
        <v>485.89962480050201</v>
      </c>
      <c r="R702" s="55">
        <f t="shared" si="206"/>
        <v>44.725466344660802</v>
      </c>
    </row>
    <row r="703" ht="12.800000000000001">
      <c r="A703" s="1">
        <v>699</v>
      </c>
      <c r="B703" s="44">
        <v>44244</v>
      </c>
      <c r="C703" s="45">
        <f t="shared" si="192"/>
        <v>24.406418400216701</v>
      </c>
      <c r="D703" s="3">
        <f t="shared" si="193"/>
        <v>10.989695429027501</v>
      </c>
      <c r="E703" s="46">
        <f t="shared" si="194"/>
        <v>0</v>
      </c>
      <c r="F703" s="46">
        <f t="shared" si="195"/>
        <v>10.989695429027501</v>
      </c>
      <c r="G703" s="46">
        <f t="shared" si="196"/>
        <v>100</v>
      </c>
      <c r="H703" s="46">
        <f t="shared" si="197"/>
        <v>100</v>
      </c>
      <c r="I703" s="47">
        <f t="shared" si="198"/>
        <v>0</v>
      </c>
      <c r="J703" s="47">
        <f t="shared" si="199"/>
        <v>12.076588383546699</v>
      </c>
      <c r="K703" s="48">
        <f t="shared" si="200"/>
        <v>0</v>
      </c>
      <c r="L703" s="7">
        <f t="shared" si="201"/>
        <v>10.989695429027501</v>
      </c>
      <c r="M703" s="7">
        <f t="shared" si="202"/>
        <v>13.4167229711892</v>
      </c>
      <c r="N703" s="7">
        <f t="shared" si="203"/>
        <v>14.7436516166914</v>
      </c>
      <c r="O703" s="7">
        <f t="shared" si="204"/>
        <v>24.406418400216701</v>
      </c>
      <c r="P703" s="49">
        <f t="shared" si="205"/>
        <v>-14.7436516166914</v>
      </c>
      <c r="Q703" s="54">
        <f t="shared" si="207"/>
        <v>470.63030165692697</v>
      </c>
      <c r="R703" s="55">
        <f t="shared" si="206"/>
        <v>44.576969270495802</v>
      </c>
    </row>
    <row r="704" ht="12.800000000000001">
      <c r="A704" s="1">
        <v>700</v>
      </c>
      <c r="B704" s="44">
        <v>44245</v>
      </c>
      <c r="C704" s="45">
        <f t="shared" si="192"/>
        <v>24.165449213285999</v>
      </c>
      <c r="D704" s="3">
        <f t="shared" si="193"/>
        <v>11.2319774704526</v>
      </c>
      <c r="E704" s="46">
        <f t="shared" si="194"/>
        <v>0</v>
      </c>
      <c r="F704" s="46">
        <f t="shared" si="195"/>
        <v>11.2319774704526</v>
      </c>
      <c r="G704" s="46">
        <f t="shared" si="196"/>
        <v>100</v>
      </c>
      <c r="H704" s="46">
        <f t="shared" si="197"/>
        <v>100</v>
      </c>
      <c r="I704" s="47">
        <f t="shared" si="198"/>
        <v>0</v>
      </c>
      <c r="J704" s="47">
        <f t="shared" si="199"/>
        <v>12.3428323851128</v>
      </c>
      <c r="K704" s="48">
        <f t="shared" si="200"/>
        <v>0</v>
      </c>
      <c r="L704" s="7">
        <f t="shared" si="201"/>
        <v>11.2319774704526</v>
      </c>
      <c r="M704" s="7">
        <f t="shared" si="202"/>
        <v>12.933471742833399</v>
      </c>
      <c r="N704" s="7">
        <f t="shared" si="203"/>
        <v>14.212606310805899</v>
      </c>
      <c r="O704" s="7">
        <f t="shared" si="204"/>
        <v>24.165449213285999</v>
      </c>
      <c r="P704" s="49">
        <f t="shared" si="205"/>
        <v>-14.212606310805899</v>
      </c>
      <c r="Q704" s="54">
        <f t="shared" si="207"/>
        <v>455.886650040235</v>
      </c>
      <c r="R704" s="55">
        <f t="shared" si="206"/>
        <v>44.433584451994101</v>
      </c>
    </row>
    <row r="705" ht="12.800000000000001">
      <c r="A705" s="1">
        <v>701</v>
      </c>
      <c r="B705" s="44">
        <v>44246</v>
      </c>
      <c r="C705" s="45">
        <f t="shared" si="192"/>
        <v>23.922113003830098</v>
      </c>
      <c r="D705" s="3">
        <f t="shared" si="193"/>
        <v>11.476639430475601</v>
      </c>
      <c r="E705" s="46">
        <f t="shared" si="194"/>
        <v>0</v>
      </c>
      <c r="F705" s="46">
        <f t="shared" si="195"/>
        <v>11.476639430475601</v>
      </c>
      <c r="G705" s="46">
        <f t="shared" si="196"/>
        <v>100</v>
      </c>
      <c r="H705" s="46">
        <f t="shared" si="197"/>
        <v>100</v>
      </c>
      <c r="I705" s="47">
        <f t="shared" si="198"/>
        <v>0</v>
      </c>
      <c r="J705" s="47">
        <f t="shared" si="199"/>
        <v>12.6116916818414</v>
      </c>
      <c r="K705" s="48">
        <f t="shared" si="200"/>
        <v>0</v>
      </c>
      <c r="L705" s="7">
        <f t="shared" si="201"/>
        <v>11.476639430475601</v>
      </c>
      <c r="M705" s="7">
        <f t="shared" si="202"/>
        <v>12.4454735733545</v>
      </c>
      <c r="N705" s="7">
        <f t="shared" si="203"/>
        <v>13.6763445861038</v>
      </c>
      <c r="O705" s="7">
        <f t="shared" si="204"/>
        <v>23.922113003830098</v>
      </c>
      <c r="P705" s="49">
        <f t="shared" si="205"/>
        <v>-13.6763445861038</v>
      </c>
      <c r="Q705" s="54">
        <f t="shared" si="207"/>
        <v>441.674043729429</v>
      </c>
      <c r="R705" s="55">
        <f t="shared" si="206"/>
        <v>44.295364150179303</v>
      </c>
    </row>
    <row r="706" ht="12.800000000000001">
      <c r="A706" s="1">
        <v>702</v>
      </c>
      <c r="B706" s="44">
        <v>44247</v>
      </c>
      <c r="C706" s="45">
        <f t="shared" si="192"/>
        <v>23.676481877619501</v>
      </c>
      <c r="D706" s="3">
        <f t="shared" si="193"/>
        <v>11.7236088104776</v>
      </c>
      <c r="E706" s="46">
        <f t="shared" si="194"/>
        <v>0</v>
      </c>
      <c r="F706" s="46">
        <f t="shared" si="195"/>
        <v>11.7236088104776</v>
      </c>
      <c r="G706" s="46">
        <f t="shared" si="196"/>
        <v>100</v>
      </c>
      <c r="H706" s="46">
        <f t="shared" si="197"/>
        <v>100</v>
      </c>
      <c r="I706" s="47">
        <f t="shared" si="198"/>
        <v>0</v>
      </c>
      <c r="J706" s="47">
        <f t="shared" si="199"/>
        <v>12.8830866049204</v>
      </c>
      <c r="K706" s="48">
        <f t="shared" si="200"/>
        <v>0</v>
      </c>
      <c r="L706" s="7">
        <f t="shared" si="201"/>
        <v>11.7236088104776</v>
      </c>
      <c r="M706" s="7">
        <f t="shared" si="202"/>
        <v>11.952873067142001</v>
      </c>
      <c r="N706" s="7">
        <f t="shared" si="203"/>
        <v>13.1350253485076</v>
      </c>
      <c r="O706" s="7">
        <f t="shared" si="204"/>
        <v>23.676481877619501</v>
      </c>
      <c r="P706" s="49">
        <f t="shared" si="205"/>
        <v>-13.1350253485076</v>
      </c>
      <c r="Q706" s="54">
        <f t="shared" si="207"/>
        <v>427.99769914332597</v>
      </c>
      <c r="R706" s="55">
        <f t="shared" si="206"/>
        <v>44.162359095717399</v>
      </c>
    </row>
    <row r="707" ht="12.800000000000001">
      <c r="A707" s="1">
        <v>703</v>
      </c>
      <c r="B707" s="44">
        <v>44248</v>
      </c>
      <c r="C707" s="45">
        <f t="shared" si="192"/>
        <v>23.428628620458099</v>
      </c>
      <c r="D707" s="3">
        <f t="shared" si="193"/>
        <v>11.972812428101101</v>
      </c>
      <c r="E707" s="46">
        <f t="shared" si="194"/>
        <v>0</v>
      </c>
      <c r="F707" s="46">
        <f t="shared" si="195"/>
        <v>11.972812428101101</v>
      </c>
      <c r="G707" s="46">
        <f t="shared" si="196"/>
        <v>100</v>
      </c>
      <c r="H707" s="46">
        <f t="shared" si="197"/>
        <v>100</v>
      </c>
      <c r="I707" s="47">
        <f t="shared" si="198"/>
        <v>0</v>
      </c>
      <c r="J707" s="47">
        <f t="shared" si="199"/>
        <v>13.1569367341771</v>
      </c>
      <c r="K707" s="48">
        <f t="shared" si="200"/>
        <v>0</v>
      </c>
      <c r="L707" s="7">
        <f t="shared" si="201"/>
        <v>11.972812428101101</v>
      </c>
      <c r="M707" s="7">
        <f t="shared" si="202"/>
        <v>11.455816192356901</v>
      </c>
      <c r="N707" s="7">
        <f t="shared" si="203"/>
        <v>12.5888090025901</v>
      </c>
      <c r="O707" s="7">
        <f t="shared" si="204"/>
        <v>23.428628620458099</v>
      </c>
      <c r="P707" s="49">
        <f t="shared" si="205"/>
        <v>-12.5888090025901</v>
      </c>
      <c r="Q707" s="54">
        <f t="shared" si="207"/>
        <v>414.86267379481802</v>
      </c>
      <c r="R707" s="55">
        <f t="shared" si="206"/>
        <v>44.034618473884002</v>
      </c>
    </row>
    <row r="708" ht="12.800000000000001">
      <c r="A708" s="1">
        <v>704</v>
      </c>
      <c r="B708" s="44">
        <v>44249</v>
      </c>
      <c r="C708" s="45">
        <f t="shared" si="192"/>
        <v>23.178626676614901</v>
      </c>
      <c r="D708" s="3">
        <f t="shared" si="193"/>
        <v>12.2241764389361</v>
      </c>
      <c r="E708" s="46">
        <f t="shared" si="194"/>
        <v>0</v>
      </c>
      <c r="F708" s="46">
        <f t="shared" si="195"/>
        <v>12.2241764389361</v>
      </c>
      <c r="G708" s="46">
        <f t="shared" si="196"/>
        <v>100</v>
      </c>
      <c r="H708" s="46">
        <f t="shared" si="197"/>
        <v>100</v>
      </c>
      <c r="I708" s="47">
        <f t="shared" si="198"/>
        <v>0</v>
      </c>
      <c r="J708" s="47">
        <f t="shared" si="199"/>
        <v>13.4331609219079</v>
      </c>
      <c r="K708" s="48">
        <f t="shared" si="200"/>
        <v>0</v>
      </c>
      <c r="L708" s="7">
        <f t="shared" si="201"/>
        <v>12.2241764389361</v>
      </c>
      <c r="M708" s="7">
        <f t="shared" si="202"/>
        <v>10.954450237678801</v>
      </c>
      <c r="N708" s="7">
        <f t="shared" si="203"/>
        <v>12.037857404042599</v>
      </c>
      <c r="O708" s="7">
        <f t="shared" si="204"/>
        <v>23.178626676614901</v>
      </c>
      <c r="P708" s="49">
        <f t="shared" si="205"/>
        <v>-12.037857404042599</v>
      </c>
      <c r="Q708" s="54">
        <f t="shared" si="207"/>
        <v>402.27386479222798</v>
      </c>
      <c r="R708" s="55">
        <f t="shared" si="206"/>
        <v>43.912189909989699</v>
      </c>
    </row>
    <row r="709" ht="12.800000000000001">
      <c r="A709" s="1">
        <v>705</v>
      </c>
      <c r="B709" s="44">
        <v>44250</v>
      </c>
      <c r="C709" s="45">
        <f t="shared" si="192"/>
        <v>22.926550127061599</v>
      </c>
      <c r="D709" s="3">
        <f t="shared" si="193"/>
        <v>12.477626358401301</v>
      </c>
      <c r="E709" s="46">
        <f t="shared" si="194"/>
        <v>0</v>
      </c>
      <c r="F709" s="46">
        <f t="shared" si="195"/>
        <v>12.477626358401301</v>
      </c>
      <c r="G709" s="46">
        <f t="shared" si="196"/>
        <v>100</v>
      </c>
      <c r="H709" s="46">
        <f t="shared" si="197"/>
        <v>100</v>
      </c>
      <c r="I709" s="47">
        <f t="shared" si="198"/>
        <v>0</v>
      </c>
      <c r="J709" s="47">
        <f t="shared" si="199"/>
        <v>13.711677316924501</v>
      </c>
      <c r="K709" s="48">
        <f t="shared" si="200"/>
        <v>0</v>
      </c>
      <c r="L709" s="7">
        <f t="shared" si="201"/>
        <v>12.477626358401301</v>
      </c>
      <c r="M709" s="7">
        <f t="shared" si="202"/>
        <v>10.4489237686603</v>
      </c>
      <c r="N709" s="7">
        <f t="shared" si="203"/>
        <v>11.4823338117147</v>
      </c>
      <c r="O709" s="7">
        <f t="shared" si="204"/>
        <v>22.926550127061599</v>
      </c>
      <c r="P709" s="49">
        <f t="shared" si="205"/>
        <v>-11.4823338117147</v>
      </c>
      <c r="Q709" s="54">
        <f t="shared" si="207"/>
        <v>390.23600738818499</v>
      </c>
      <c r="R709" s="55">
        <f t="shared" si="206"/>
        <v>43.795119455267702</v>
      </c>
    </row>
    <row r="710" ht="12.800000000000001">
      <c r="A710" s="1">
        <v>706</v>
      </c>
      <c r="B710" s="44">
        <v>44251</v>
      </c>
      <c r="C710" s="45">
        <f t="shared" si="192"/>
        <v>22.672473667519998</v>
      </c>
      <c r="D710" s="3">
        <f t="shared" si="193"/>
        <v>12.733087083815599</v>
      </c>
      <c r="E710" s="46">
        <f t="shared" si="194"/>
        <v>0</v>
      </c>
      <c r="F710" s="46">
        <f t="shared" si="195"/>
        <v>12.733087083815599</v>
      </c>
      <c r="G710" s="46">
        <f t="shared" si="196"/>
        <v>100</v>
      </c>
      <c r="H710" s="46">
        <f t="shared" si="197"/>
        <v>100</v>
      </c>
      <c r="I710" s="47">
        <f t="shared" si="198"/>
        <v>0</v>
      </c>
      <c r="J710" s="47">
        <f t="shared" si="199"/>
        <v>13.992403388808301</v>
      </c>
      <c r="K710" s="48">
        <f t="shared" si="200"/>
        <v>0</v>
      </c>
      <c r="L710" s="7">
        <f t="shared" si="201"/>
        <v>12.733087083815599</v>
      </c>
      <c r="M710" s="7">
        <f t="shared" si="202"/>
        <v>9.9393865837044402</v>
      </c>
      <c r="N710" s="7">
        <f t="shared" si="203"/>
        <v>10.9224028392356</v>
      </c>
      <c r="O710" s="7">
        <f t="shared" si="204"/>
        <v>22.672473667519998</v>
      </c>
      <c r="P710" s="49">
        <f t="shared" si="205"/>
        <v>-10.9224028392356</v>
      </c>
      <c r="Q710" s="54">
        <f t="shared" si="207"/>
        <v>378.75367357647099</v>
      </c>
      <c r="R710" s="55">
        <f t="shared" si="206"/>
        <v>43.683451573227899</v>
      </c>
    </row>
    <row r="711" ht="12.800000000000001">
      <c r="A711" s="1">
        <v>707</v>
      </c>
      <c r="B711" s="44">
        <v>44252</v>
      </c>
      <c r="C711" s="45">
        <f t="shared" si="192"/>
        <v>22.4164725863284</v>
      </c>
      <c r="D711" s="3">
        <f t="shared" si="193"/>
        <v>12.9904829166528</v>
      </c>
      <c r="E711" s="46">
        <f t="shared" si="194"/>
        <v>0</v>
      </c>
      <c r="F711" s="46">
        <f t="shared" si="195"/>
        <v>12.9904829166528</v>
      </c>
      <c r="G711" s="46">
        <f t="shared" si="196"/>
        <v>100</v>
      </c>
      <c r="H711" s="46">
        <f t="shared" si="197"/>
        <v>100</v>
      </c>
      <c r="I711" s="47">
        <f t="shared" si="198"/>
        <v>0</v>
      </c>
      <c r="J711" s="47">
        <f t="shared" si="199"/>
        <v>14.275255952365701</v>
      </c>
      <c r="K711" s="48">
        <f t="shared" si="200"/>
        <v>0</v>
      </c>
      <c r="L711" s="7">
        <f t="shared" si="201"/>
        <v>12.9904829166528</v>
      </c>
      <c r="M711" s="7">
        <f t="shared" si="202"/>
        <v>9.4259896696756602</v>
      </c>
      <c r="N711" s="7">
        <f t="shared" si="203"/>
        <v>10.358230406237</v>
      </c>
      <c r="O711" s="7">
        <f t="shared" si="204"/>
        <v>22.4164725863284</v>
      </c>
      <c r="P711" s="49">
        <f t="shared" si="205"/>
        <v>-10.358230406237</v>
      </c>
      <c r="Q711" s="54">
        <f t="shared" si="207"/>
        <v>367.831270737235</v>
      </c>
      <c r="R711" s="55">
        <f t="shared" si="206"/>
        <v>43.5772291264811</v>
      </c>
    </row>
    <row r="712" ht="12.800000000000001">
      <c r="A712" s="1">
        <v>708</v>
      </c>
      <c r="B712" s="44">
        <v>44253</v>
      </c>
      <c r="C712" s="45">
        <f t="shared" si="192"/>
        <v>22.158622742132199</v>
      </c>
      <c r="D712" s="3">
        <f t="shared" si="193"/>
        <v>13.2497375849725</v>
      </c>
      <c r="E712" s="46">
        <f t="shared" si="194"/>
        <v>0</v>
      </c>
      <c r="F712" s="46">
        <f t="shared" si="195"/>
        <v>13.2497375849725</v>
      </c>
      <c r="G712" s="46">
        <f t="shared" si="196"/>
        <v>100</v>
      </c>
      <c r="H712" s="46">
        <f t="shared" si="197"/>
        <v>100</v>
      </c>
      <c r="I712" s="47">
        <f t="shared" si="198"/>
        <v>0</v>
      </c>
      <c r="J712" s="47">
        <f t="shared" si="199"/>
        <v>14.5601511922775</v>
      </c>
      <c r="K712" s="48">
        <f t="shared" si="200"/>
        <v>0</v>
      </c>
      <c r="L712" s="7">
        <f t="shared" si="201"/>
        <v>13.2497375849725</v>
      </c>
      <c r="M712" s="7">
        <f t="shared" si="202"/>
        <v>8.9088851571597498</v>
      </c>
      <c r="N712" s="7">
        <f t="shared" si="203"/>
        <v>9.7899836891865402</v>
      </c>
      <c r="O712" s="7">
        <f t="shared" si="204"/>
        <v>22.158622742132199</v>
      </c>
      <c r="P712" s="49">
        <f t="shared" si="205"/>
        <v>-9.7899836891865402</v>
      </c>
      <c r="Q712" s="54">
        <f t="shared" si="207"/>
        <v>357.473040330998</v>
      </c>
      <c r="R712" s="55">
        <f t="shared" si="206"/>
        <v>43.476493364038397</v>
      </c>
    </row>
    <row r="713" ht="12.800000000000001">
      <c r="A713" s="1">
        <v>709</v>
      </c>
      <c r="B713" s="44">
        <v>44254</v>
      </c>
      <c r="C713" s="45">
        <f t="shared" si="192"/>
        <v>21.899000541405101</v>
      </c>
      <c r="D713" s="3">
        <f t="shared" si="193"/>
        <v>13.5107742660214</v>
      </c>
      <c r="E713" s="46">
        <f t="shared" si="194"/>
        <v>0</v>
      </c>
      <c r="F713" s="46">
        <f t="shared" si="195"/>
        <v>13.5107742660214</v>
      </c>
      <c r="G713" s="46">
        <f t="shared" si="196"/>
        <v>100</v>
      </c>
      <c r="H713" s="46">
        <f t="shared" si="197"/>
        <v>100</v>
      </c>
      <c r="I713" s="47">
        <f t="shared" si="198"/>
        <v>0</v>
      </c>
      <c r="J713" s="47">
        <f t="shared" si="199"/>
        <v>14.8470046879356</v>
      </c>
      <c r="K713" s="48">
        <f t="shared" si="200"/>
        <v>0</v>
      </c>
      <c r="L713" s="7">
        <f t="shared" si="201"/>
        <v>13.5107742660214</v>
      </c>
      <c r="M713" s="7">
        <f t="shared" si="202"/>
        <v>8.3882262753837509</v>
      </c>
      <c r="N713" s="7">
        <f t="shared" si="203"/>
        <v>9.2178310718502701</v>
      </c>
      <c r="O713" s="7">
        <f t="shared" si="204"/>
        <v>21.899000541405101</v>
      </c>
      <c r="P713" s="49">
        <f t="shared" si="205"/>
        <v>-9.2178310718502701</v>
      </c>
      <c r="Q713" s="54">
        <f t="shared" si="207"/>
        <v>347.68305664181099</v>
      </c>
      <c r="R713" s="55">
        <f t="shared" si="206"/>
        <v>43.381283909087699</v>
      </c>
    </row>
    <row r="714" ht="12.800000000000001">
      <c r="A714" s="1">
        <v>710</v>
      </c>
      <c r="B714" s="44">
        <v>44255</v>
      </c>
      <c r="C714" s="45">
        <f t="shared" si="192"/>
        <v>21.637682915808199</v>
      </c>
      <c r="D714" s="3">
        <f t="shared" si="193"/>
        <v>13.773515608997201</v>
      </c>
      <c r="E714" s="46">
        <f t="shared" si="194"/>
        <v>0</v>
      </c>
      <c r="F714" s="46">
        <f t="shared" si="195"/>
        <v>13.773515608997201</v>
      </c>
      <c r="G714" s="46">
        <f t="shared" si="196"/>
        <v>100</v>
      </c>
      <c r="H714" s="46">
        <f t="shared" si="197"/>
        <v>100</v>
      </c>
      <c r="I714" s="47">
        <f t="shared" si="198"/>
        <v>0</v>
      </c>
      <c r="J714" s="47">
        <f t="shared" si="199"/>
        <v>15.1357314384585</v>
      </c>
      <c r="K714" s="48">
        <f t="shared" si="200"/>
        <v>0</v>
      </c>
      <c r="L714" s="7">
        <f t="shared" si="201"/>
        <v>13.773515608997201</v>
      </c>
      <c r="M714" s="7">
        <f t="shared" si="202"/>
        <v>7.8641673068109998</v>
      </c>
      <c r="N714" s="7">
        <f t="shared" si="203"/>
        <v>8.6419420953967006</v>
      </c>
      <c r="O714" s="7">
        <f t="shared" si="204"/>
        <v>21.637682915808199</v>
      </c>
      <c r="P714" s="49">
        <f t="shared" si="205"/>
        <v>-8.6419420953967006</v>
      </c>
      <c r="Q714" s="54">
        <f t="shared" si="207"/>
        <v>338.46522556996098</v>
      </c>
      <c r="R714" s="55">
        <f t="shared" si="206"/>
        <v>43.291638747252698</v>
      </c>
    </row>
    <row r="715" ht="12.800000000000001">
      <c r="A715" s="1">
        <v>711</v>
      </c>
      <c r="B715" s="44">
        <v>44256</v>
      </c>
      <c r="C715" s="45">
        <f t="shared" si="192"/>
        <v>21.3747472993938</v>
      </c>
      <c r="D715" s="3">
        <f t="shared" si="193"/>
        <v>14.0378837579697</v>
      </c>
      <c r="E715" s="46">
        <f t="shared" si="194"/>
        <v>0</v>
      </c>
      <c r="F715" s="46">
        <f t="shared" si="195"/>
        <v>14.0378837579697</v>
      </c>
      <c r="G715" s="46">
        <f t="shared" si="196"/>
        <v>100</v>
      </c>
      <c r="H715" s="46">
        <f t="shared" si="197"/>
        <v>100</v>
      </c>
      <c r="I715" s="47">
        <f t="shared" si="198"/>
        <v>0</v>
      </c>
      <c r="J715" s="47">
        <f t="shared" si="199"/>
        <v>15.4262458878787</v>
      </c>
      <c r="K715" s="48">
        <f t="shared" si="200"/>
        <v>0</v>
      </c>
      <c r="L715" s="7">
        <f t="shared" si="201"/>
        <v>14.0378837579697</v>
      </c>
      <c r="M715" s="7">
        <f t="shared" si="202"/>
        <v>7.3368635414241199</v>
      </c>
      <c r="N715" s="7">
        <f t="shared" si="203"/>
        <v>8.0624874081583808</v>
      </c>
      <c r="O715" s="7">
        <f t="shared" si="204"/>
        <v>21.3747472993938</v>
      </c>
      <c r="P715" s="49">
        <f t="shared" si="205"/>
        <v>-8.0624874081583808</v>
      </c>
      <c r="Q715" s="54">
        <f t="shared" si="207"/>
        <v>329.82328347456399</v>
      </c>
      <c r="R715" s="55">
        <f t="shared" si="206"/>
        <v>43.207594215337103</v>
      </c>
    </row>
    <row r="716" ht="12.800000000000001">
      <c r="A716" s="1">
        <v>712</v>
      </c>
      <c r="B716" s="44">
        <v>44257</v>
      </c>
      <c r="C716" s="45">
        <f t="shared" si="192"/>
        <v>21.110271605659499</v>
      </c>
      <c r="D716" s="3">
        <f t="shared" si="193"/>
        <v>14.303800374950599</v>
      </c>
      <c r="E716" s="46">
        <f t="shared" si="194"/>
        <v>0</v>
      </c>
      <c r="F716" s="46">
        <f t="shared" si="195"/>
        <v>14.303800374950599</v>
      </c>
      <c r="G716" s="46">
        <f t="shared" si="196"/>
        <v>100</v>
      </c>
      <c r="H716" s="46">
        <f t="shared" si="197"/>
        <v>100</v>
      </c>
      <c r="I716" s="47">
        <f t="shared" si="198"/>
        <v>0</v>
      </c>
      <c r="J716" s="47">
        <f t="shared" si="199"/>
        <v>15.7184619504952</v>
      </c>
      <c r="K716" s="48">
        <f t="shared" si="200"/>
        <v>0</v>
      </c>
      <c r="L716" s="7">
        <f t="shared" si="201"/>
        <v>14.303800374950599</v>
      </c>
      <c r="M716" s="7">
        <f t="shared" si="202"/>
        <v>6.8064712307089001</v>
      </c>
      <c r="N716" s="7">
        <f t="shared" si="203"/>
        <v>7.4796387150647297</v>
      </c>
      <c r="O716" s="7">
        <f t="shared" si="204"/>
        <v>21.110271605659499</v>
      </c>
      <c r="P716" s="49">
        <f t="shared" si="205"/>
        <v>-7.4796387150647297</v>
      </c>
      <c r="Q716" s="54">
        <f t="shared" si="207"/>
        <v>321.76079606640599</v>
      </c>
      <c r="R716" s="55">
        <f t="shared" si="206"/>
        <v>43.1291849905571</v>
      </c>
    </row>
    <row r="717" ht="12.800000000000001">
      <c r="A717" s="1">
        <v>713</v>
      </c>
      <c r="B717" s="44">
        <v>44258</v>
      </c>
      <c r="C717" s="45">
        <f t="shared" si="192"/>
        <v>20.844334204461301</v>
      </c>
      <c r="D717" s="3">
        <f t="shared" si="193"/>
        <v>14.5711866631075</v>
      </c>
      <c r="E717" s="46">
        <f t="shared" si="194"/>
        <v>0</v>
      </c>
      <c r="F717" s="46">
        <f t="shared" si="195"/>
        <v>14.5711866631075</v>
      </c>
      <c r="G717" s="46">
        <f t="shared" si="196"/>
        <v>100</v>
      </c>
      <c r="H717" s="46">
        <f t="shared" si="197"/>
        <v>100</v>
      </c>
      <c r="I717" s="47">
        <f t="shared" si="198"/>
        <v>0</v>
      </c>
      <c r="J717" s="47">
        <f t="shared" si="199"/>
        <v>16.012293036381902</v>
      </c>
      <c r="K717" s="48">
        <f t="shared" si="200"/>
        <v>0</v>
      </c>
      <c r="L717" s="7">
        <f t="shared" si="201"/>
        <v>14.5711866631075</v>
      </c>
      <c r="M717" s="7">
        <f t="shared" si="202"/>
        <v>6.2731475413537998</v>
      </c>
      <c r="N717" s="7">
        <f t="shared" si="203"/>
        <v>6.8935687267624104</v>
      </c>
      <c r="O717" s="7">
        <f t="shared" si="204"/>
        <v>20.844334204461301</v>
      </c>
      <c r="P717" s="49">
        <f t="shared" si="205"/>
        <v>-6.8935687267624104</v>
      </c>
      <c r="Q717" s="54">
        <f t="shared" si="207"/>
        <v>314.28115735134099</v>
      </c>
      <c r="R717" s="55">
        <f t="shared" si="206"/>
        <v>43.056444080265699</v>
      </c>
    </row>
    <row r="718" ht="12.800000000000001">
      <c r="A718" s="1">
        <v>714</v>
      </c>
      <c r="B718" s="44">
        <v>44259</v>
      </c>
      <c r="C718" s="45">
        <f t="shared" si="192"/>
        <v>20.577013898790501</v>
      </c>
      <c r="D718" s="3">
        <f t="shared" si="193"/>
        <v>14.8399633901125</v>
      </c>
      <c r="E718" s="46">
        <f t="shared" si="194"/>
        <v>0</v>
      </c>
      <c r="F718" s="46">
        <f t="shared" si="195"/>
        <v>14.8399633901125</v>
      </c>
      <c r="G718" s="46">
        <f t="shared" si="196"/>
        <v>100</v>
      </c>
      <c r="H718" s="46">
        <f t="shared" si="197"/>
        <v>100</v>
      </c>
      <c r="I718" s="47">
        <f t="shared" si="198"/>
        <v>0</v>
      </c>
      <c r="J718" s="47">
        <f t="shared" si="199"/>
        <v>16.307652077046701</v>
      </c>
      <c r="K718" s="48">
        <f t="shared" si="200"/>
        <v>0</v>
      </c>
      <c r="L718" s="7">
        <f t="shared" si="201"/>
        <v>14.8399633901125</v>
      </c>
      <c r="M718" s="7">
        <f t="shared" si="202"/>
        <v>5.7370505086779797</v>
      </c>
      <c r="N718" s="7">
        <f t="shared" si="203"/>
        <v>6.3044511084373402</v>
      </c>
      <c r="O718" s="7">
        <f t="shared" si="204"/>
        <v>20.577013898790501</v>
      </c>
      <c r="P718" s="49">
        <f t="shared" si="205"/>
        <v>-6.3044511084373402</v>
      </c>
      <c r="Q718" s="54">
        <f t="shared" si="207"/>
        <v>307.387588624579</v>
      </c>
      <c r="R718" s="55">
        <f t="shared" si="206"/>
        <v>42.989402812171903</v>
      </c>
    </row>
    <row r="719" ht="12.800000000000001">
      <c r="A719" s="1">
        <v>715</v>
      </c>
      <c r="B719" s="44">
        <v>44260</v>
      </c>
      <c r="C719" s="45">
        <f t="shared" si="192"/>
        <v>20.308389901422998</v>
      </c>
      <c r="D719" s="3">
        <f t="shared" si="193"/>
        <v>15.1100509116207</v>
      </c>
      <c r="E719" s="46">
        <f t="shared" si="194"/>
        <v>0</v>
      </c>
      <c r="F719" s="46">
        <f t="shared" si="195"/>
        <v>15.1100509116207</v>
      </c>
      <c r="G719" s="46">
        <f t="shared" si="196"/>
        <v>100</v>
      </c>
      <c r="H719" s="46">
        <f t="shared" si="197"/>
        <v>100</v>
      </c>
      <c r="I719" s="47">
        <f t="shared" si="198"/>
        <v>0</v>
      </c>
      <c r="J719" s="47">
        <f t="shared" si="199"/>
        <v>16.604451551231602</v>
      </c>
      <c r="K719" s="48">
        <f t="shared" si="200"/>
        <v>0</v>
      </c>
      <c r="L719" s="7">
        <f t="shared" si="201"/>
        <v>15.1100509116207</v>
      </c>
      <c r="M719" s="7">
        <f t="shared" si="202"/>
        <v>5.19833898980227</v>
      </c>
      <c r="N719" s="7">
        <f t="shared" si="203"/>
        <v>5.7124604283541398</v>
      </c>
      <c r="O719" s="7">
        <f t="shared" si="204"/>
        <v>20.308389901422998</v>
      </c>
      <c r="P719" s="49">
        <f t="shared" si="205"/>
        <v>-5.7124604283541398</v>
      </c>
      <c r="Q719" s="54">
        <f t="shared" si="207"/>
        <v>301.08313751614202</v>
      </c>
      <c r="R719" s="55">
        <f t="shared" si="206"/>
        <v>42.928090825057801</v>
      </c>
    </row>
    <row r="720" ht="12.800000000000001">
      <c r="A720" s="1">
        <v>716</v>
      </c>
      <c r="B720" s="44">
        <v>44261</v>
      </c>
      <c r="C720" s="45">
        <f t="shared" si="192"/>
        <v>20.038541811446599</v>
      </c>
      <c r="D720" s="3">
        <f t="shared" si="193"/>
        <v>15.381369194870601</v>
      </c>
      <c r="E720" s="46">
        <f t="shared" si="194"/>
        <v>0</v>
      </c>
      <c r="F720" s="46">
        <f t="shared" si="195"/>
        <v>15.381369194870601</v>
      </c>
      <c r="G720" s="46">
        <f t="shared" si="196"/>
        <v>100</v>
      </c>
      <c r="H720" s="46">
        <f t="shared" si="197"/>
        <v>100</v>
      </c>
      <c r="I720" s="47">
        <f t="shared" si="198"/>
        <v>0</v>
      </c>
      <c r="J720" s="47">
        <f t="shared" si="199"/>
        <v>16.902603510846799</v>
      </c>
      <c r="K720" s="48">
        <f t="shared" si="200"/>
        <v>0</v>
      </c>
      <c r="L720" s="7">
        <f t="shared" si="201"/>
        <v>15.381369194870601</v>
      </c>
      <c r="M720" s="7">
        <f t="shared" si="202"/>
        <v>4.6571726165759904</v>
      </c>
      <c r="N720" s="7">
        <f t="shared" si="203"/>
        <v>5.1177721061274601</v>
      </c>
      <c r="O720" s="7">
        <f t="shared" si="204"/>
        <v>20.038541811446599</v>
      </c>
      <c r="P720" s="49">
        <f t="shared" si="205"/>
        <v>-5.1177721061274601</v>
      </c>
      <c r="Q720" s="54">
        <f t="shared" si="207"/>
        <v>295.37067708778699</v>
      </c>
      <c r="R720" s="55">
        <f t="shared" si="206"/>
        <v>42.872536059996101</v>
      </c>
    </row>
    <row r="721" ht="12.800000000000001">
      <c r="A721" s="1">
        <v>717</v>
      </c>
      <c r="B721" s="44">
        <v>44262</v>
      </c>
      <c r="C721" s="45">
        <f t="shared" si="192"/>
        <v>19.767549590674101</v>
      </c>
      <c r="D721" s="3">
        <f t="shared" si="193"/>
        <v>15.6538378423992</v>
      </c>
      <c r="E721" s="46">
        <f t="shared" si="194"/>
        <v>0</v>
      </c>
      <c r="F721" s="46">
        <f t="shared" si="195"/>
        <v>15.6538378423992</v>
      </c>
      <c r="G721" s="46">
        <f t="shared" si="196"/>
        <v>100</v>
      </c>
      <c r="H721" s="46">
        <f t="shared" si="197"/>
        <v>100</v>
      </c>
      <c r="I721" s="47">
        <f t="shared" si="198"/>
        <v>0</v>
      </c>
      <c r="J721" s="47">
        <f t="shared" si="199"/>
        <v>17.202019607032099</v>
      </c>
      <c r="K721" s="48">
        <f t="shared" si="200"/>
        <v>0</v>
      </c>
      <c r="L721" s="7">
        <f t="shared" si="201"/>
        <v>15.6538378423992</v>
      </c>
      <c r="M721" s="7">
        <f t="shared" si="202"/>
        <v>4.1137117482747998</v>
      </c>
      <c r="N721" s="7">
        <f t="shared" si="203"/>
        <v>4.5205623607415397</v>
      </c>
      <c r="O721" s="7">
        <f t="shared" si="204"/>
        <v>19.767549590674101</v>
      </c>
      <c r="P721" s="49">
        <f t="shared" si="205"/>
        <v>-4.5205623607415397</v>
      </c>
      <c r="Q721" s="54">
        <f t="shared" si="207"/>
        <v>290.25290498165998</v>
      </c>
      <c r="R721" s="55">
        <f t="shared" si="206"/>
        <v>42.822764752069901</v>
      </c>
    </row>
    <row r="722" ht="12.800000000000001">
      <c r="A722" s="1">
        <v>718</v>
      </c>
      <c r="B722" s="44">
        <v>44263</v>
      </c>
      <c r="C722" s="45">
        <f t="shared" si="192"/>
        <v>19.495493539948999</v>
      </c>
      <c r="D722" s="3">
        <f t="shared" si="193"/>
        <v>15.927376115866</v>
      </c>
      <c r="E722" s="46">
        <f t="shared" si="194"/>
        <v>0</v>
      </c>
      <c r="F722" s="46">
        <f t="shared" si="195"/>
        <v>15.927376115866</v>
      </c>
      <c r="G722" s="46">
        <f t="shared" si="196"/>
        <v>100</v>
      </c>
      <c r="H722" s="46">
        <f t="shared" si="197"/>
        <v>100</v>
      </c>
      <c r="I722" s="47">
        <f t="shared" si="198"/>
        <v>0</v>
      </c>
      <c r="J722" s="47">
        <f t="shared" si="199"/>
        <v>17.502611116336301</v>
      </c>
      <c r="K722" s="48">
        <f t="shared" si="200"/>
        <v>0</v>
      </c>
      <c r="L722" s="7">
        <f t="shared" si="201"/>
        <v>15.927376115866</v>
      </c>
      <c r="M722" s="7">
        <f t="shared" si="202"/>
        <v>3.5681174240829501</v>
      </c>
      <c r="N722" s="7">
        <f t="shared" si="203"/>
        <v>3.9210081583329099</v>
      </c>
      <c r="O722" s="7">
        <f t="shared" si="204"/>
        <v>19.495493539948999</v>
      </c>
      <c r="P722" s="49">
        <f t="shared" si="205"/>
        <v>-3.9210081583329099</v>
      </c>
      <c r="Q722" s="54">
        <f t="shared" si="207"/>
        <v>285.73234262091802</v>
      </c>
      <c r="R722" s="55">
        <f t="shared" si="206"/>
        <v>42.778801422599599</v>
      </c>
    </row>
    <row r="723" ht="12.800000000000001">
      <c r="A723" s="1">
        <v>719</v>
      </c>
      <c r="B723" s="44">
        <v>44264</v>
      </c>
      <c r="C723" s="45">
        <f t="shared" si="192"/>
        <v>19.2224542753506</v>
      </c>
      <c r="D723" s="3">
        <f t="shared" si="193"/>
        <v>16.201902959977101</v>
      </c>
      <c r="E723" s="46">
        <f t="shared" si="194"/>
        <v>0</v>
      </c>
      <c r="F723" s="46">
        <f t="shared" si="195"/>
        <v>16.201902959977101</v>
      </c>
      <c r="G723" s="46">
        <f t="shared" si="196"/>
        <v>100</v>
      </c>
      <c r="H723" s="46">
        <f t="shared" si="197"/>
        <v>100</v>
      </c>
      <c r="I723" s="47">
        <f t="shared" si="198"/>
        <v>0</v>
      </c>
      <c r="J723" s="47">
        <f t="shared" si="199"/>
        <v>17.8042889670078</v>
      </c>
      <c r="K723" s="48">
        <f t="shared" si="200"/>
        <v>0</v>
      </c>
      <c r="L723" s="7">
        <f t="shared" si="201"/>
        <v>16.201902959977101</v>
      </c>
      <c r="M723" s="7">
        <f t="shared" si="202"/>
        <v>3.02055131537352</v>
      </c>
      <c r="N723" s="7">
        <f t="shared" si="203"/>
        <v>3.31928715975112</v>
      </c>
      <c r="O723" s="7">
        <f t="shared" si="204"/>
        <v>19.2224542753506</v>
      </c>
      <c r="P723" s="49">
        <f t="shared" si="205"/>
        <v>-3.31928715975112</v>
      </c>
      <c r="Q723" s="54">
        <f t="shared" si="207"/>
        <v>281.81133446258502</v>
      </c>
      <c r="R723" s="55">
        <f t="shared" si="206"/>
        <v>42.740668871875798</v>
      </c>
    </row>
    <row r="724" ht="12.800000000000001">
      <c r="A724" s="1">
        <v>720</v>
      </c>
      <c r="B724" s="44">
        <v>44265</v>
      </c>
      <c r="C724" s="45">
        <f t="shared" si="192"/>
        <v>18.948512704305699</v>
      </c>
      <c r="D724" s="3">
        <f t="shared" si="193"/>
        <v>16.4773370265038</v>
      </c>
      <c r="E724" s="46">
        <f t="shared" si="194"/>
        <v>0</v>
      </c>
      <c r="F724" s="46">
        <f t="shared" si="195"/>
        <v>16.4773370265038</v>
      </c>
      <c r="G724" s="46">
        <f t="shared" si="196"/>
        <v>100</v>
      </c>
      <c r="H724" s="46">
        <f t="shared" si="197"/>
        <v>100</v>
      </c>
      <c r="I724" s="47">
        <f t="shared" si="198"/>
        <v>0</v>
      </c>
      <c r="J724" s="47">
        <f t="shared" si="199"/>
        <v>18.106963765388802</v>
      </c>
      <c r="K724" s="48">
        <f t="shared" si="200"/>
        <v>0</v>
      </c>
      <c r="L724" s="7">
        <f t="shared" si="201"/>
        <v>16.4773370265038</v>
      </c>
      <c r="M724" s="7">
        <f t="shared" si="202"/>
        <v>2.4711756778019098</v>
      </c>
      <c r="N724" s="7">
        <f t="shared" si="203"/>
        <v>2.7155776679141801</v>
      </c>
      <c r="O724" s="7">
        <f t="shared" si="204"/>
        <v>18.948512704305699</v>
      </c>
      <c r="P724" s="49">
        <f t="shared" si="205"/>
        <v>-2.7155776679141801</v>
      </c>
      <c r="Q724" s="54">
        <f t="shared" si="207"/>
        <v>278.49204730283401</v>
      </c>
      <c r="R724" s="55">
        <f t="shared" si="206"/>
        <v>42.708388172404</v>
      </c>
    </row>
    <row r="725" ht="12.800000000000001">
      <c r="A725" s="1">
        <v>721</v>
      </c>
      <c r="B725" s="44">
        <v>44266</v>
      </c>
      <c r="C725" s="45">
        <f t="shared" si="192"/>
        <v>18.673750001614</v>
      </c>
      <c r="D725" s="3">
        <f t="shared" si="193"/>
        <v>16.753596698387799</v>
      </c>
      <c r="E725" s="46">
        <f t="shared" si="194"/>
        <v>0</v>
      </c>
      <c r="F725" s="46">
        <f t="shared" si="195"/>
        <v>16.753596698387799</v>
      </c>
      <c r="G725" s="46">
        <f t="shared" si="196"/>
        <v>100</v>
      </c>
      <c r="H725" s="46">
        <f t="shared" si="197"/>
        <v>100</v>
      </c>
      <c r="I725" s="47">
        <f t="shared" si="198"/>
        <v>0</v>
      </c>
      <c r="J725" s="47">
        <f t="shared" si="199"/>
        <v>18.410545822404199</v>
      </c>
      <c r="K725" s="48">
        <f t="shared" si="200"/>
        <v>0</v>
      </c>
      <c r="L725" s="7">
        <f t="shared" si="201"/>
        <v>16.753596698387799</v>
      </c>
      <c r="M725" s="7">
        <f t="shared" si="202"/>
        <v>1.92015330322614</v>
      </c>
      <c r="N725" s="7">
        <f t="shared" si="203"/>
        <v>2.1100585749737801</v>
      </c>
      <c r="O725" s="7">
        <f t="shared" si="204"/>
        <v>18.673750001614</v>
      </c>
      <c r="P725" s="49">
        <f t="shared" si="205"/>
        <v>-2.1100585749737801</v>
      </c>
      <c r="Q725" s="54">
        <f t="shared" si="207"/>
        <v>275.77646963491998</v>
      </c>
      <c r="R725" s="55">
        <f t="shared" si="206"/>
        <v>42.681978662659503</v>
      </c>
    </row>
    <row r="726" ht="12.800000000000001">
      <c r="A726" s="1">
        <v>722</v>
      </c>
      <c r="B726" s="44">
        <v>44267</v>
      </c>
      <c r="C726" s="45">
        <f t="shared" si="192"/>
        <v>18.398247585394</v>
      </c>
      <c r="D726" s="3">
        <f t="shared" si="193"/>
        <v>17.030600113926202</v>
      </c>
      <c r="E726" s="46">
        <f t="shared" si="194"/>
        <v>0</v>
      </c>
      <c r="F726" s="46">
        <f t="shared" si="195"/>
        <v>17.030600113926202</v>
      </c>
      <c r="G726" s="46">
        <f t="shared" si="196"/>
        <v>100</v>
      </c>
      <c r="H726" s="46">
        <f t="shared" si="197"/>
        <v>100</v>
      </c>
      <c r="I726" s="47">
        <f t="shared" si="198"/>
        <v>0</v>
      </c>
      <c r="J726" s="47">
        <f t="shared" si="199"/>
        <v>18.714945180138699</v>
      </c>
      <c r="K726" s="48">
        <f t="shared" si="200"/>
        <v>0</v>
      </c>
      <c r="L726" s="7">
        <f t="shared" si="201"/>
        <v>17.030600113926202</v>
      </c>
      <c r="M726" s="7">
        <f t="shared" si="202"/>
        <v>1.36764747146778</v>
      </c>
      <c r="N726" s="7">
        <f t="shared" si="203"/>
        <v>1.5029093093052499</v>
      </c>
      <c r="O726" s="7">
        <f t="shared" si="204"/>
        <v>18.398247585394</v>
      </c>
      <c r="P726" s="49">
        <f t="shared" si="205"/>
        <v>-1.5029093093052499</v>
      </c>
      <c r="Q726" s="54">
        <f t="shared" si="207"/>
        <v>273.66641105994597</v>
      </c>
      <c r="R726" s="55">
        <f t="shared" si="206"/>
        <v>42.661457941357398</v>
      </c>
      <c r="S726" s="86" t="s">
        <v>1</v>
      </c>
    </row>
    <row r="727" ht="12.449999999999999" customHeight="1">
      <c r="A727" s="1">
        <v>723</v>
      </c>
      <c r="B727" s="44">
        <v>44268</v>
      </c>
      <c r="C727" s="45">
        <f t="shared" si="192"/>
        <v>18.122087092957599</v>
      </c>
      <c r="D727" s="3">
        <f t="shared" si="193"/>
        <v>17.308265191028799</v>
      </c>
      <c r="E727" s="46">
        <f t="shared" si="194"/>
        <v>0</v>
      </c>
      <c r="F727" s="46">
        <f t="shared" si="195"/>
        <v>17.308265191028799</v>
      </c>
      <c r="G727" s="46">
        <f t="shared" si="196"/>
        <v>100</v>
      </c>
      <c r="H727" s="46">
        <f t="shared" si="197"/>
        <v>100</v>
      </c>
      <c r="I727" s="47">
        <f t="shared" si="198"/>
        <v>0</v>
      </c>
      <c r="J727" s="47">
        <f t="shared" si="199"/>
        <v>19.020071638493199</v>
      </c>
      <c r="K727" s="48">
        <f t="shared" si="200"/>
        <v>0</v>
      </c>
      <c r="L727" s="7">
        <f t="shared" si="201"/>
        <v>17.308265191028799</v>
      </c>
      <c r="M727" s="7">
        <f t="shared" si="202"/>
        <v>0.81382190192883297</v>
      </c>
      <c r="N727" s="7">
        <f t="shared" si="203"/>
        <v>0.89430978233937697</v>
      </c>
      <c r="O727" s="7">
        <f t="shared" si="204"/>
        <v>18.122087092957599</v>
      </c>
      <c r="P727" s="49">
        <f t="shared" si="205"/>
        <v>-0.89430978233937697</v>
      </c>
      <c r="Q727" s="54">
        <f t="shared" si="207"/>
        <v>272.16350175064099</v>
      </c>
      <c r="R727" s="55">
        <f t="shared" si="206"/>
        <v>42.646841862237899</v>
      </c>
    </row>
    <row r="728" ht="12.800000000000001">
      <c r="A728" s="1">
        <v>724</v>
      </c>
      <c r="B728" s="44">
        <v>44269</v>
      </c>
      <c r="C728" s="45">
        <f t="shared" si="192"/>
        <v>17.845350356618699</v>
      </c>
      <c r="D728" s="3">
        <f t="shared" si="193"/>
        <v>17.586509651540599</v>
      </c>
      <c r="E728" s="46">
        <f t="shared" si="194"/>
        <v>0</v>
      </c>
      <c r="F728" s="46">
        <f t="shared" si="195"/>
        <v>17.586509651540599</v>
      </c>
      <c r="G728" s="46">
        <f t="shared" si="196"/>
        <v>100</v>
      </c>
      <c r="H728" s="46">
        <f t="shared" si="197"/>
        <v>100</v>
      </c>
      <c r="I728" s="47">
        <f t="shared" si="198"/>
        <v>0</v>
      </c>
      <c r="J728" s="47">
        <f t="shared" si="199"/>
        <v>19.3258347819128</v>
      </c>
      <c r="K728" s="48">
        <f t="shared" si="200"/>
        <v>0</v>
      </c>
      <c r="L728" s="7">
        <f t="shared" si="201"/>
        <v>17.586509651540599</v>
      </c>
      <c r="M728" s="7">
        <f t="shared" si="202"/>
        <v>0.25884070507802898</v>
      </c>
      <c r="N728" s="7">
        <f t="shared" si="203"/>
        <v>0.28444033525058099</v>
      </c>
      <c r="O728" s="7">
        <f t="shared" si="204"/>
        <v>17.845350356618699</v>
      </c>
      <c r="P728" s="49">
        <f t="shared" si="205"/>
        <v>-0.28444033525058099</v>
      </c>
      <c r="Q728" s="54">
        <f t="shared" si="207"/>
        <v>271.26919196830198</v>
      </c>
      <c r="R728" s="55">
        <f t="shared" si="206"/>
        <v>42.638144529368297</v>
      </c>
    </row>
    <row r="729" ht="12.800000000000001">
      <c r="A729" s="1">
        <v>725</v>
      </c>
      <c r="B729" s="44">
        <v>44270</v>
      </c>
      <c r="C729" s="45">
        <f t="shared" si="192"/>
        <v>17.568119379444699</v>
      </c>
      <c r="D729" s="3">
        <f t="shared" si="193"/>
        <v>17.568119379444699</v>
      </c>
      <c r="E729" s="46">
        <f t="shared" si="194"/>
        <v>0</v>
      </c>
      <c r="F729" s="46">
        <f t="shared" si="195"/>
        <v>17.865251045623101</v>
      </c>
      <c r="G729" s="46">
        <f t="shared" si="196"/>
        <v>100</v>
      </c>
      <c r="H729" s="46">
        <f t="shared" si="197"/>
        <v>98.336817851483801</v>
      </c>
      <c r="I729" s="47">
        <f t="shared" si="198"/>
        <v>0</v>
      </c>
      <c r="J729" s="47">
        <f t="shared" si="199"/>
        <v>19.6321440061792</v>
      </c>
      <c r="K729" s="48">
        <f t="shared" si="200"/>
        <v>0</v>
      </c>
      <c r="L729" s="7">
        <f t="shared" si="201"/>
        <v>17.568119379444699</v>
      </c>
      <c r="M729" s="7">
        <f t="shared" si="202"/>
        <v>0</v>
      </c>
      <c r="N729" s="7">
        <f t="shared" si="203"/>
        <v>0</v>
      </c>
      <c r="O729" s="7">
        <f t="shared" si="204"/>
        <v>17.568119379444699</v>
      </c>
      <c r="P729" s="49">
        <f t="shared" si="205"/>
        <v>0.32651831448177199</v>
      </c>
      <c r="Q729" s="54">
        <f t="shared" si="207"/>
        <v>270.98475163305102</v>
      </c>
      <c r="R729" s="55">
        <f t="shared" si="206"/>
        <v>42.635378292963303</v>
      </c>
    </row>
    <row r="730" ht="12.800000000000001">
      <c r="A730" s="1">
        <v>726</v>
      </c>
      <c r="B730" s="44">
        <v>44271</v>
      </c>
      <c r="C730" s="45">
        <f t="shared" si="192"/>
        <v>17.290476310957299</v>
      </c>
      <c r="D730" s="3">
        <f t="shared" si="193"/>
        <v>17.290476310957299</v>
      </c>
      <c r="E730" s="46">
        <f t="shared" si="194"/>
        <v>0</v>
      </c>
      <c r="F730" s="46">
        <f t="shared" si="195"/>
        <v>18.144406776185399</v>
      </c>
      <c r="G730" s="46">
        <f t="shared" si="196"/>
        <v>100</v>
      </c>
      <c r="H730" s="46">
        <f t="shared" si="197"/>
        <v>95.293698627012304</v>
      </c>
      <c r="I730" s="47">
        <f t="shared" si="198"/>
        <v>0</v>
      </c>
      <c r="J730" s="47">
        <f t="shared" si="199"/>
        <v>19.938908545258698</v>
      </c>
      <c r="K730" s="48">
        <f t="shared" si="200"/>
        <v>0</v>
      </c>
      <c r="L730" s="7">
        <f t="shared" si="201"/>
        <v>17.290476310957299</v>
      </c>
      <c r="M730" s="7">
        <f t="shared" si="202"/>
        <v>0</v>
      </c>
      <c r="N730" s="7">
        <f t="shared" si="203"/>
        <v>0</v>
      </c>
      <c r="O730" s="7">
        <f t="shared" si="204"/>
        <v>17.290476310957299</v>
      </c>
      <c r="P730" s="49">
        <f t="shared" si="205"/>
        <v>0.93838512662426199</v>
      </c>
      <c r="Q730" s="54">
        <f t="shared" si="207"/>
        <v>271.23617073520199</v>
      </c>
      <c r="R730" s="55">
        <f t="shared" si="206"/>
        <v>42.637823391590601</v>
      </c>
    </row>
    <row r="731" ht="12.800000000000001">
      <c r="A731" s="1">
        <v>727</v>
      </c>
      <c r="B731" s="44">
        <v>44272</v>
      </c>
      <c r="C731" s="45">
        <f t="shared" si="192"/>
        <v>17.012503422789798</v>
      </c>
      <c r="D731" s="3">
        <f t="shared" si="193"/>
        <v>17.012503422789798</v>
      </c>
      <c r="E731" s="46">
        <f t="shared" si="194"/>
        <v>0</v>
      </c>
      <c r="F731" s="46">
        <f t="shared" si="195"/>
        <v>18.423894123359901</v>
      </c>
      <c r="G731" s="46">
        <f t="shared" si="196"/>
        <v>100</v>
      </c>
      <c r="H731" s="46">
        <f t="shared" si="197"/>
        <v>92.3393464426142</v>
      </c>
      <c r="I731" s="47">
        <f t="shared" si="198"/>
        <v>0</v>
      </c>
      <c r="J731" s="47">
        <f t="shared" si="199"/>
        <v>20.246037498197701</v>
      </c>
      <c r="K731" s="48">
        <f t="shared" si="200"/>
        <v>0</v>
      </c>
      <c r="L731" s="7">
        <f t="shared" si="201"/>
        <v>17.012503422789798</v>
      </c>
      <c r="M731" s="7">
        <f t="shared" si="202"/>
        <v>0</v>
      </c>
      <c r="N731" s="7">
        <f t="shared" si="203"/>
        <v>0</v>
      </c>
      <c r="O731" s="7">
        <f t="shared" si="204"/>
        <v>17.012503422789798</v>
      </c>
      <c r="P731" s="49">
        <f t="shared" si="205"/>
        <v>1.5509787918353499</v>
      </c>
      <c r="Q731" s="54">
        <f t="shared" si="207"/>
        <v>271.95872728270302</v>
      </c>
      <c r="R731" s="55">
        <f t="shared" si="206"/>
        <v>42.644850391557398</v>
      </c>
    </row>
    <row r="732" ht="12.800000000000001">
      <c r="A732" s="1">
        <v>728</v>
      </c>
      <c r="B732" s="44">
        <v>44273</v>
      </c>
      <c r="C732" s="45">
        <f t="shared" si="192"/>
        <v>16.734283084308</v>
      </c>
      <c r="D732" s="3">
        <f t="shared" si="193"/>
        <v>16.734283084308</v>
      </c>
      <c r="E732" s="46">
        <f t="shared" si="194"/>
        <v>0</v>
      </c>
      <c r="F732" s="46">
        <f t="shared" si="195"/>
        <v>18.7036302690138</v>
      </c>
      <c r="G732" s="46">
        <f t="shared" si="196"/>
        <v>100</v>
      </c>
      <c r="H732" s="46">
        <f t="shared" si="197"/>
        <v>89.470775692307896</v>
      </c>
      <c r="I732" s="47">
        <f t="shared" si="198"/>
        <v>0</v>
      </c>
      <c r="J732" s="47">
        <f t="shared" si="199"/>
        <v>20.5534398560592</v>
      </c>
      <c r="K732" s="48">
        <f t="shared" si="200"/>
        <v>0</v>
      </c>
      <c r="L732" s="7">
        <f t="shared" si="201"/>
        <v>16.734283084308</v>
      </c>
      <c r="M732" s="7">
        <f t="shared" si="202"/>
        <v>0</v>
      </c>
      <c r="N732" s="7">
        <f t="shared" si="203"/>
        <v>0</v>
      </c>
      <c r="O732" s="7">
        <f t="shared" si="204"/>
        <v>16.734283084308</v>
      </c>
      <c r="P732" s="49">
        <f t="shared" si="205"/>
        <v>2.16411778539105</v>
      </c>
      <c r="Q732" s="54">
        <f t="shared" si="207"/>
        <v>273.15298095241599</v>
      </c>
      <c r="R732" s="55">
        <f t="shared" si="206"/>
        <v>42.656464735827598</v>
      </c>
    </row>
    <row r="733" ht="12.800000000000001">
      <c r="A733" s="1">
        <v>729</v>
      </c>
      <c r="B733" s="44">
        <v>44274</v>
      </c>
      <c r="C733" s="45">
        <f t="shared" si="192"/>
        <v>16.455897738202701</v>
      </c>
      <c r="D733" s="3">
        <f t="shared" si="193"/>
        <v>16.455897738202701</v>
      </c>
      <c r="E733" s="46">
        <f t="shared" si="194"/>
        <v>0</v>
      </c>
      <c r="F733" s="46">
        <f t="shared" si="195"/>
        <v>18.983532321289999</v>
      </c>
      <c r="G733" s="46">
        <f t="shared" si="196"/>
        <v>100</v>
      </c>
      <c r="H733" s="46">
        <f t="shared" si="197"/>
        <v>86.685119816966093</v>
      </c>
      <c r="I733" s="47">
        <f t="shared" si="198"/>
        <v>0</v>
      </c>
      <c r="J733" s="47">
        <f t="shared" si="199"/>
        <v>20.861024528890098</v>
      </c>
      <c r="K733" s="48">
        <f t="shared" si="200"/>
        <v>0</v>
      </c>
      <c r="L733" s="7">
        <f t="shared" si="201"/>
        <v>16.455897738202701</v>
      </c>
      <c r="M733" s="7">
        <f t="shared" si="202"/>
        <v>0</v>
      </c>
      <c r="N733" s="7">
        <f t="shared" si="203"/>
        <v>0</v>
      </c>
      <c r="O733" s="7">
        <f t="shared" si="204"/>
        <v>16.455897738202701</v>
      </c>
      <c r="P733" s="49">
        <f t="shared" si="205"/>
        <v>2.7776204209750199</v>
      </c>
      <c r="Q733" s="54">
        <f t="shared" si="207"/>
        <v>274.81935164716703</v>
      </c>
      <c r="R733" s="55">
        <f t="shared" si="206"/>
        <v>42.672670508036298</v>
      </c>
    </row>
    <row r="734" ht="12.800000000000001">
      <c r="A734" s="1">
        <v>730</v>
      </c>
      <c r="B734" s="44">
        <v>44275</v>
      </c>
      <c r="C734" s="45">
        <f t="shared" si="192"/>
        <v>16.17742987606</v>
      </c>
      <c r="D734" s="3">
        <f t="shared" si="193"/>
        <v>16.17742987606</v>
      </c>
      <c r="E734" s="46">
        <f t="shared" si="194"/>
        <v>0</v>
      </c>
      <c r="F734" s="46">
        <f t="shared" si="195"/>
        <v>19.2635173391695</v>
      </c>
      <c r="G734" s="46">
        <f t="shared" si="196"/>
        <v>100</v>
      </c>
      <c r="H734" s="46">
        <f t="shared" si="197"/>
        <v>83.9796263124056</v>
      </c>
      <c r="I734" s="47">
        <f t="shared" si="198"/>
        <v>0</v>
      </c>
      <c r="J734" s="47">
        <f t="shared" si="199"/>
        <v>21.168700372713701</v>
      </c>
      <c r="K734" s="48">
        <f t="shared" si="200"/>
        <v>0</v>
      </c>
      <c r="L734" s="7">
        <f t="shared" si="201"/>
        <v>16.17742987606</v>
      </c>
      <c r="M734" s="7">
        <f t="shared" si="202"/>
        <v>0</v>
      </c>
      <c r="N734" s="7">
        <f t="shared" si="203"/>
        <v>0</v>
      </c>
      <c r="O734" s="7">
        <f t="shared" si="204"/>
        <v>16.17742987606</v>
      </c>
      <c r="P734" s="49">
        <f t="shared" si="205"/>
        <v>3.3913049045159198</v>
      </c>
      <c r="Q734" s="54">
        <f t="shared" si="207"/>
        <v>276.95811937131799</v>
      </c>
      <c r="R734" s="55">
        <f t="shared" si="206"/>
        <v>42.693470431279003</v>
      </c>
    </row>
    <row r="735" ht="12.800000000000001">
      <c r="A735" s="1">
        <v>731</v>
      </c>
      <c r="B735" s="44">
        <v>44276</v>
      </c>
      <c r="C735" s="45">
        <f t="shared" si="192"/>
        <v>15.8989620139174</v>
      </c>
      <c r="D735" s="3">
        <f t="shared" si="193"/>
        <v>15.8989620139174</v>
      </c>
      <c r="E735" s="46">
        <f t="shared" si="194"/>
        <v>0</v>
      </c>
      <c r="F735" s="46">
        <f t="shared" si="195"/>
        <v>19.543502357049</v>
      </c>
      <c r="G735" s="46">
        <f t="shared" si="196"/>
        <v>100</v>
      </c>
      <c r="H735" s="46">
        <f t="shared" si="197"/>
        <v>81.351651937570296</v>
      </c>
      <c r="I735" s="47">
        <f t="shared" si="198"/>
        <v>0</v>
      </c>
      <c r="J735" s="47">
        <f t="shared" si="199"/>
        <v>21.4763762165374</v>
      </c>
      <c r="K735" s="48">
        <f t="shared" si="200"/>
        <v>0</v>
      </c>
      <c r="L735" s="7">
        <f t="shared" si="201"/>
        <v>15.8989620139174</v>
      </c>
      <c r="M735" s="7">
        <f t="shared" si="202"/>
        <v>0</v>
      </c>
      <c r="N735" s="7">
        <f t="shared" si="203"/>
        <v>0</v>
      </c>
      <c r="O735" s="7">
        <f t="shared" si="204"/>
        <v>15.8989620139174</v>
      </c>
      <c r="P735" s="49">
        <f t="shared" si="205"/>
        <v>4.0049893880567602</v>
      </c>
      <c r="Q735" s="54">
        <f t="shared" si="207"/>
        <v>279.56942414779502</v>
      </c>
      <c r="R735" s="55">
        <f t="shared" si="206"/>
        <v>42.718865867305396</v>
      </c>
      <c r="S735" s="87" t="s">
        <v>1</v>
      </c>
    </row>
    <row r="736" ht="12.800000000000001">
      <c r="A736" s="88" t="s">
        <v>97</v>
      </c>
      <c r="B736" s="89"/>
      <c r="C736" s="90">
        <f>SUM(C4:C734)/2</f>
        <v>5912.8506196999297</v>
      </c>
      <c r="D736" s="91">
        <f>SUM(D4:D734)/2</f>
        <v>2689.6813275565601</v>
      </c>
      <c r="E736" s="92">
        <f>SUM(E4:E734)/2</f>
        <v>0</v>
      </c>
      <c r="F736" s="92">
        <f>SUM(F4:F734)/2</f>
        <v>7040.8155874664599</v>
      </c>
      <c r="G736" s="92"/>
      <c r="H736" s="92"/>
      <c r="I736" s="93"/>
      <c r="J736" s="93"/>
      <c r="K736" s="89"/>
      <c r="L736" s="94"/>
      <c r="M736" s="94"/>
      <c r="N736" s="94"/>
      <c r="O736" s="95">
        <f>SUM(O4:O734)/2</f>
        <v>5912.8506196999297</v>
      </c>
      <c r="P736" s="96"/>
      <c r="Q736" s="96"/>
      <c r="R736" s="96"/>
      <c r="S736" s="89" t="s">
        <v>98</v>
      </c>
    </row>
    <row r="737" ht="12.800000000000001">
      <c r="C737" s="97" t="s">
        <v>99</v>
      </c>
      <c r="D737" s="91">
        <f>D736/C736*100</f>
        <v>45.488741396498398</v>
      </c>
      <c r="E737" s="98" t="s">
        <v>27</v>
      </c>
      <c r="S737" s="9"/>
    </row>
    <row r="739" ht="94.150000000000006" customHeight="1">
      <c r="A739" s="21" t="s">
        <v>3</v>
      </c>
      <c r="B739" s="21" t="s">
        <v>4</v>
      </c>
      <c r="C739" s="22" t="s">
        <v>5</v>
      </c>
      <c r="D739" s="23" t="s">
        <v>6</v>
      </c>
      <c r="E739" s="24" t="s">
        <v>7</v>
      </c>
      <c r="F739" s="24" t="s">
        <v>8</v>
      </c>
      <c r="G739" s="24" t="s">
        <v>9</v>
      </c>
      <c r="H739" s="24" t="s">
        <v>10</v>
      </c>
      <c r="I739" s="25" t="s">
        <v>11</v>
      </c>
      <c r="J739" s="25" t="s">
        <v>12</v>
      </c>
      <c r="K739" s="26" t="s">
        <v>13</v>
      </c>
      <c r="L739" s="27" t="s">
        <v>14</v>
      </c>
      <c r="M739" s="27" t="s">
        <v>15</v>
      </c>
      <c r="N739" s="27" t="s">
        <v>16</v>
      </c>
      <c r="O739" s="27" t="s">
        <v>17</v>
      </c>
      <c r="P739" s="28" t="s">
        <v>18</v>
      </c>
      <c r="Q739" s="29" t="s">
        <v>19</v>
      </c>
      <c r="R739" s="29" t="s">
        <v>20</v>
      </c>
      <c r="S739" s="30" t="s">
        <v>21</v>
      </c>
    </row>
    <row r="741" ht="12.800000000000001">
      <c r="T741" s="9"/>
    </row>
  </sheetData>
  <mergeCells count="1">
    <mergeCell ref="A1:E1"/>
  </mergeCells>
  <hyperlinks>
    <hyperlink r:id="rId1" ref="X5"/>
    <hyperlink r:id="rId2" ref="X7"/>
    <hyperlink r:id="rId3" ref="X12"/>
    <hyperlink r:id="rId3" ref="X13"/>
    <hyperlink r:id="rId4" ref="X14"/>
    <hyperlink r:id="rId5" ref="X15"/>
    <hyperlink r:id="rId6" ref="X19"/>
    <hyperlink r:id="rId7" ref="X25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64" zoomScale="150" workbookViewId="0">
      <selection activeCell="A1" activeCellId="0" sqref="A1"/>
    </sheetView>
  </sheetViews>
  <sheetFormatPr defaultColWidth="11.53515625" defaultRowHeight="12.75"/>
  <cols>
    <col customWidth="1" min="1" max="1" style="53" width="13.470000000000001"/>
    <col customWidth="1" min="2" max="2" style="1" width="15.970000000000001"/>
    <col customWidth="1" min="3" max="3" style="51" width="50.020000000000003"/>
    <col customWidth="0" min="4" max="4" style="99" width="11.529999999999999"/>
    <col customWidth="1" min="5" max="5" style="1" width="11.85"/>
    <col customWidth="1" min="6" max="6" style="53" width="7.4900000000000002"/>
    <col customWidth="1" min="7" max="7" style="53" width="107.87"/>
    <col customWidth="1" min="8" max="8" style="51" width="30.43"/>
    <col customWidth="0" min="9" max="10" style="53" width="11.52"/>
    <col bestFit="1" customWidth="0" min="11" max="11" style="53" width="13.8515625"/>
    <col customWidth="0" min="12" max="64" style="53" width="11.52"/>
  </cols>
  <sheetData>
    <row r="1" ht="29.850000000000001" customHeight="1">
      <c r="A1" s="100" t="s">
        <v>100</v>
      </c>
      <c r="B1" s="101"/>
      <c r="C1" s="100" t="s">
        <v>101</v>
      </c>
      <c r="D1" s="100" t="s">
        <v>102</v>
      </c>
      <c r="E1" s="100" t="s">
        <v>103</v>
      </c>
      <c r="F1" s="100" t="s">
        <v>104</v>
      </c>
      <c r="G1" s="102" t="s">
        <v>105</v>
      </c>
      <c r="H1" s="102" t="s">
        <v>105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</row>
    <row r="2" s="17" customFormat="1" ht="13.449999999999999" customHeight="1">
      <c r="A2" s="100" t="s">
        <v>1</v>
      </c>
      <c r="B2" s="101"/>
      <c r="C2" s="100" t="s">
        <v>1</v>
      </c>
      <c r="D2" s="103"/>
      <c r="E2" s="100"/>
      <c r="F2" s="100" t="s">
        <v>106</v>
      </c>
      <c r="G2" s="102" t="s">
        <v>107</v>
      </c>
      <c r="H2" s="104" t="s">
        <v>108</v>
      </c>
    </row>
    <row r="3" s="53" customFormat="1" ht="12.800000000000001">
      <c r="A3" s="14"/>
      <c r="B3" s="1" t="s">
        <v>1</v>
      </c>
      <c r="C3" s="61" t="s">
        <v>109</v>
      </c>
      <c r="D3" s="61" t="s">
        <v>110</v>
      </c>
      <c r="E3" s="105">
        <f>e!V4</f>
        <v>7518</v>
      </c>
      <c r="F3" s="106">
        <f>s!Q32/1000000</f>
        <v>8.11044795918367</v>
      </c>
      <c r="G3" s="107">
        <f>E3*D32</f>
        <v>44392000</v>
      </c>
      <c r="H3" s="108">
        <f>G3/1000000</f>
        <v>44.392000000000003</v>
      </c>
    </row>
    <row r="4" s="53" customFormat="1" ht="38.200000000000003" customHeight="1">
      <c r="A4" s="109" t="s">
        <v>111</v>
      </c>
      <c r="B4" s="109" t="s">
        <v>1</v>
      </c>
      <c r="C4" s="110" t="s">
        <v>112</v>
      </c>
      <c r="D4" s="111"/>
      <c r="E4" s="109"/>
      <c r="F4" s="109"/>
      <c r="G4" s="109"/>
      <c r="H4" s="110"/>
    </row>
    <row r="5" s="53" customFormat="1" ht="22.850000000000001">
      <c r="A5" s="112" t="s">
        <v>113</v>
      </c>
      <c r="B5" s="1"/>
      <c r="C5" s="113" t="s">
        <v>22</v>
      </c>
      <c r="D5" s="114" t="s">
        <v>23</v>
      </c>
      <c r="E5" s="114" t="s">
        <v>24</v>
      </c>
      <c r="F5" s="114" t="s">
        <v>114</v>
      </c>
      <c r="G5" s="113" t="s">
        <v>115</v>
      </c>
      <c r="H5" s="115" t="s">
        <v>116</v>
      </c>
    </row>
    <row r="6" ht="12.800000000000001">
      <c r="A6" s="14" t="s">
        <v>117</v>
      </c>
      <c r="B6" s="65" t="s">
        <v>118</v>
      </c>
      <c r="C6" s="59"/>
      <c r="D6" s="60" t="s">
        <v>119</v>
      </c>
      <c r="E6" s="61"/>
      <c r="F6" s="61"/>
      <c r="G6" s="59"/>
      <c r="K6" s="53" t="s">
        <v>120</v>
      </c>
      <c r="L6" s="53" t="s">
        <v>1</v>
      </c>
    </row>
    <row r="7" ht="12.800000000000001">
      <c r="A7" s="14" t="s">
        <v>1</v>
      </c>
      <c r="B7" s="61" t="s">
        <v>1</v>
      </c>
      <c r="C7" s="51" t="s">
        <v>31</v>
      </c>
      <c r="D7" s="116">
        <f>e!V4</f>
        <v>7518</v>
      </c>
      <c r="E7" s="1" t="s">
        <v>32</v>
      </c>
      <c r="F7" s="51" t="s">
        <v>1</v>
      </c>
      <c r="G7" s="51" t="s">
        <v>33</v>
      </c>
      <c r="K7" s="53" t="s">
        <v>120</v>
      </c>
      <c r="L7" s="53" t="s">
        <v>1</v>
      </c>
    </row>
    <row r="8" ht="12.800000000000001">
      <c r="A8" s="14"/>
      <c r="B8" s="61" t="s">
        <v>1</v>
      </c>
      <c r="C8" s="51" t="s">
        <v>34</v>
      </c>
      <c r="D8" s="116">
        <f>e!V5</f>
        <v>80</v>
      </c>
      <c r="E8" s="1" t="s">
        <v>35</v>
      </c>
      <c r="F8" s="51" t="s">
        <v>1</v>
      </c>
      <c r="G8" s="57" t="s">
        <v>36</v>
      </c>
      <c r="H8" s="51" t="s">
        <v>121</v>
      </c>
      <c r="K8" s="53" t="s">
        <v>120</v>
      </c>
      <c r="L8" s="53" t="s">
        <v>1</v>
      </c>
    </row>
    <row r="9" ht="13.699999999999999" customHeight="1">
      <c r="A9" s="14"/>
      <c r="B9" s="61" t="s">
        <v>1</v>
      </c>
      <c r="C9" s="59" t="s">
        <v>38</v>
      </c>
      <c r="D9" s="117">
        <f>e!V6</f>
        <v>46.5</v>
      </c>
      <c r="E9" s="61" t="s">
        <v>39</v>
      </c>
      <c r="F9" s="61"/>
      <c r="G9" s="51"/>
      <c r="H9" s="59" t="s">
        <v>1</v>
      </c>
      <c r="K9" s="53" t="s">
        <v>120</v>
      </c>
      <c r="L9" s="53" t="s">
        <v>1</v>
      </c>
    </row>
    <row r="10" ht="12.800000000000001">
      <c r="A10" s="14"/>
      <c r="B10" s="61" t="s">
        <v>1</v>
      </c>
      <c r="C10" s="51" t="s">
        <v>40</v>
      </c>
      <c r="D10" s="116">
        <f>e!V7</f>
        <v>37</v>
      </c>
      <c r="E10" s="1" t="s">
        <v>27</v>
      </c>
      <c r="F10" s="53" t="s">
        <v>1</v>
      </c>
      <c r="G10" s="53" t="s">
        <v>122</v>
      </c>
      <c r="K10" s="53" t="s">
        <v>120</v>
      </c>
      <c r="L10" s="53" t="s">
        <v>1</v>
      </c>
    </row>
    <row r="11" ht="12.800000000000001">
      <c r="A11" s="14"/>
      <c r="B11" s="61" t="s">
        <v>1</v>
      </c>
      <c r="C11" s="51" t="s">
        <v>42</v>
      </c>
      <c r="D11" s="117">
        <f>e!V8</f>
        <v>73.809523809523796</v>
      </c>
      <c r="E11" s="1" t="s">
        <v>43</v>
      </c>
      <c r="F11" s="51" t="s">
        <v>1</v>
      </c>
      <c r="G11" s="51" t="s">
        <v>44</v>
      </c>
      <c r="K11" s="53" t="s">
        <v>120</v>
      </c>
      <c r="L11" s="53" t="s">
        <v>1</v>
      </c>
    </row>
    <row r="12" ht="12.800000000000001">
      <c r="A12" s="14" t="s">
        <v>123</v>
      </c>
      <c r="B12" s="61" t="s">
        <v>1</v>
      </c>
      <c r="C12" s="51" t="s">
        <v>47</v>
      </c>
      <c r="D12" s="118">
        <f>e!V9</f>
        <v>0</v>
      </c>
      <c r="E12" s="48" t="s">
        <v>39</v>
      </c>
      <c r="F12" s="51" t="s">
        <v>1</v>
      </c>
      <c r="G12" s="53" t="s">
        <v>48</v>
      </c>
      <c r="H12" s="51" t="s">
        <v>1</v>
      </c>
      <c r="K12" s="53" t="s">
        <v>120</v>
      </c>
      <c r="L12" s="53" t="s">
        <v>1</v>
      </c>
    </row>
    <row r="13" ht="12.800000000000001">
      <c r="A13" s="14"/>
      <c r="B13" s="61" t="s">
        <v>1</v>
      </c>
      <c r="C13" s="51" t="s">
        <v>49</v>
      </c>
      <c r="D13" s="116">
        <f>e!V10</f>
        <v>80</v>
      </c>
      <c r="E13" s="48" t="s">
        <v>27</v>
      </c>
      <c r="F13" s="51" t="s">
        <v>1</v>
      </c>
      <c r="G13" s="51" t="s">
        <v>50</v>
      </c>
      <c r="K13" s="53" t="s">
        <v>120</v>
      </c>
      <c r="L13" s="53" t="s">
        <v>1</v>
      </c>
    </row>
    <row r="14" ht="12.800000000000001">
      <c r="A14" s="14"/>
      <c r="B14" s="61" t="s">
        <v>1</v>
      </c>
      <c r="C14" s="51" t="s">
        <v>124</v>
      </c>
      <c r="D14" s="117">
        <f>e!V11</f>
        <v>28</v>
      </c>
      <c r="E14" s="48" t="s">
        <v>39</v>
      </c>
      <c r="F14" s="51" t="s">
        <v>1</v>
      </c>
      <c r="G14" s="51" t="s">
        <v>53</v>
      </c>
      <c r="K14" s="53" t="s">
        <v>120</v>
      </c>
      <c r="L14" s="53" t="s">
        <v>1</v>
      </c>
    </row>
    <row r="15" ht="12.800000000000001">
      <c r="A15" s="14"/>
      <c r="B15" s="61" t="s">
        <v>1</v>
      </c>
      <c r="C15" s="53" t="s">
        <v>125</v>
      </c>
      <c r="D15" s="116">
        <f>e!V12</f>
        <v>13</v>
      </c>
      <c r="E15" s="1" t="s">
        <v>56</v>
      </c>
      <c r="F15" s="51" t="s">
        <v>1</v>
      </c>
      <c r="G15" s="51"/>
      <c r="K15" s="53" t="s">
        <v>120</v>
      </c>
      <c r="L15" s="53" t="s">
        <v>1</v>
      </c>
    </row>
    <row r="16" ht="12.800000000000001">
      <c r="A16" s="14"/>
      <c r="B16" s="61" t="s">
        <v>1</v>
      </c>
      <c r="C16" s="53" t="s">
        <v>126</v>
      </c>
      <c r="D16" s="116">
        <f>e!V13</f>
        <v>166</v>
      </c>
      <c r="E16" s="1" t="s">
        <v>56</v>
      </c>
      <c r="F16" s="51" t="s">
        <v>1</v>
      </c>
      <c r="G16" s="51"/>
      <c r="K16" s="53" t="s">
        <v>120</v>
      </c>
      <c r="L16" s="53" t="s">
        <v>1</v>
      </c>
    </row>
    <row r="17" ht="12.800000000000001">
      <c r="A17" s="119"/>
      <c r="B17" s="61" t="s">
        <v>1</v>
      </c>
      <c r="C17" s="70" t="s">
        <v>59</v>
      </c>
      <c r="D17" s="116">
        <f>e!V14</f>
        <v>529</v>
      </c>
      <c r="E17" s="1" t="s">
        <v>35</v>
      </c>
      <c r="F17" s="51" t="s">
        <v>1</v>
      </c>
      <c r="G17" s="71" t="s">
        <v>60</v>
      </c>
      <c r="K17" s="53" t="s">
        <v>120</v>
      </c>
      <c r="L17" s="53" t="s">
        <v>1</v>
      </c>
    </row>
    <row r="18" ht="12.800000000000001">
      <c r="A18" s="119"/>
      <c r="B18" s="61" t="s">
        <v>1</v>
      </c>
      <c r="C18" s="70" t="s">
        <v>62</v>
      </c>
      <c r="D18" s="116">
        <f>e!V15</f>
        <v>370</v>
      </c>
      <c r="E18" s="1" t="s">
        <v>35</v>
      </c>
      <c r="F18" s="1"/>
      <c r="G18" s="71" t="s">
        <v>63</v>
      </c>
      <c r="I18" s="51"/>
      <c r="K18" s="53" t="s">
        <v>120</v>
      </c>
      <c r="L18" s="53" t="s">
        <v>1</v>
      </c>
    </row>
    <row r="19" ht="12.800000000000001">
      <c r="A19" s="14"/>
      <c r="B19" s="61" t="s">
        <v>1</v>
      </c>
      <c r="C19" s="51" t="s">
        <v>64</v>
      </c>
      <c r="D19" s="116">
        <f>e!V16</f>
        <v>30</v>
      </c>
      <c r="E19" s="1" t="s">
        <v>27</v>
      </c>
      <c r="F19" s="1"/>
      <c r="G19" s="51" t="s">
        <v>65</v>
      </c>
      <c r="H19" s="53"/>
      <c r="I19" s="51"/>
      <c r="K19" s="53" t="s">
        <v>120</v>
      </c>
      <c r="L19" s="53" t="s">
        <v>1</v>
      </c>
    </row>
    <row r="20" ht="12.800000000000001">
      <c r="A20" s="14"/>
      <c r="B20" s="61" t="s">
        <v>1</v>
      </c>
      <c r="C20" s="51" t="s">
        <v>66</v>
      </c>
      <c r="D20" s="116">
        <f>e!V17</f>
        <v>85</v>
      </c>
      <c r="E20" s="1" t="s">
        <v>27</v>
      </c>
      <c r="F20" s="51" t="s">
        <v>1</v>
      </c>
      <c r="G20" s="51" t="s">
        <v>65</v>
      </c>
      <c r="K20" s="53" t="s">
        <v>120</v>
      </c>
      <c r="L20" s="53" t="s">
        <v>1</v>
      </c>
    </row>
    <row r="21" ht="12.800000000000001">
      <c r="A21" s="14"/>
      <c r="B21" s="61" t="s">
        <v>1</v>
      </c>
      <c r="C21" s="51" t="s">
        <v>67</v>
      </c>
      <c r="D21" s="116">
        <f>e!V18</f>
        <v>11</v>
      </c>
      <c r="E21" s="1" t="s">
        <v>27</v>
      </c>
      <c r="F21" s="1"/>
      <c r="G21" s="51" t="s">
        <v>68</v>
      </c>
      <c r="H21" s="51"/>
      <c r="I21" s="51"/>
      <c r="K21" s="53" t="s">
        <v>120</v>
      </c>
      <c r="L21" s="53" t="s">
        <v>1</v>
      </c>
      <c r="BM21" s="53"/>
    </row>
    <row r="22" ht="12.800000000000001">
      <c r="A22" s="14" t="s">
        <v>123</v>
      </c>
      <c r="B22" s="61" t="s">
        <v>1</v>
      </c>
      <c r="C22" s="51" t="s">
        <v>69</v>
      </c>
      <c r="D22" s="116">
        <f>e!V19</f>
        <v>20</v>
      </c>
      <c r="E22" s="1" t="s">
        <v>27</v>
      </c>
      <c r="F22" s="51" t="s">
        <v>1</v>
      </c>
      <c r="G22" s="71" t="s">
        <v>70</v>
      </c>
      <c r="K22" s="53" t="s">
        <v>120</v>
      </c>
      <c r="L22" s="53" t="s">
        <v>1</v>
      </c>
    </row>
    <row r="23" ht="12.800000000000001">
      <c r="A23" s="14"/>
      <c r="B23" s="61" t="s">
        <v>1</v>
      </c>
      <c r="C23" s="51" t="s">
        <v>72</v>
      </c>
      <c r="D23" s="116">
        <f>e!V20</f>
        <v>9</v>
      </c>
      <c r="E23" s="1" t="s">
        <v>27</v>
      </c>
      <c r="F23" s="51" t="s">
        <v>1</v>
      </c>
      <c r="G23" s="75" t="s">
        <v>73</v>
      </c>
      <c r="K23" s="53" t="s">
        <v>120</v>
      </c>
      <c r="L23" s="53" t="s">
        <v>1</v>
      </c>
    </row>
    <row r="24" ht="12.800000000000001">
      <c r="A24" s="14"/>
      <c r="B24" s="61" t="s">
        <v>1</v>
      </c>
      <c r="C24" s="51" t="s">
        <v>74</v>
      </c>
      <c r="D24" s="116">
        <f>e!V21</f>
        <v>40</v>
      </c>
      <c r="E24" s="1" t="s">
        <v>29</v>
      </c>
      <c r="F24" s="51" t="s">
        <v>1</v>
      </c>
      <c r="G24" s="51" t="s">
        <v>65</v>
      </c>
      <c r="K24" s="53" t="s">
        <v>120</v>
      </c>
      <c r="L24" s="53" t="s">
        <v>1</v>
      </c>
    </row>
    <row r="25" ht="12.800000000000001">
      <c r="A25" s="14"/>
      <c r="B25" s="61" t="s">
        <v>1</v>
      </c>
      <c r="C25" s="51" t="s">
        <v>76</v>
      </c>
      <c r="D25" s="116">
        <f>e!V22</f>
        <v>116</v>
      </c>
      <c r="E25" s="1" t="s">
        <v>77</v>
      </c>
      <c r="F25" s="51" t="s">
        <v>1</v>
      </c>
      <c r="G25" s="51" t="s">
        <v>127</v>
      </c>
      <c r="K25" s="53" t="s">
        <v>120</v>
      </c>
      <c r="L25" s="53" t="s">
        <v>1</v>
      </c>
    </row>
    <row r="26" ht="12.800000000000001">
      <c r="A26" s="14"/>
      <c r="B26" s="61" t="s">
        <v>1</v>
      </c>
      <c r="C26" s="51" t="s">
        <v>79</v>
      </c>
      <c r="D26" s="116">
        <f>e!V23</f>
        <v>117.84402428521901</v>
      </c>
      <c r="E26" s="48" t="s">
        <v>77</v>
      </c>
      <c r="F26" s="51" t="s">
        <v>1</v>
      </c>
      <c r="G26" s="51" t="s">
        <v>128</v>
      </c>
      <c r="K26" s="53" t="s">
        <v>120</v>
      </c>
      <c r="L26" s="53" t="s">
        <v>1</v>
      </c>
    </row>
    <row r="27" ht="12.800000000000001">
      <c r="A27" s="14"/>
      <c r="B27" s="61" t="s">
        <v>1</v>
      </c>
      <c r="C27" s="51" t="s">
        <v>129</v>
      </c>
      <c r="D27" s="116">
        <f>e!V24</f>
        <v>23</v>
      </c>
      <c r="E27" s="48" t="s">
        <v>27</v>
      </c>
      <c r="F27" s="51" t="s">
        <v>1</v>
      </c>
      <c r="G27" s="51" t="s">
        <v>130</v>
      </c>
      <c r="K27" s="53" t="s">
        <v>120</v>
      </c>
      <c r="L27" s="53" t="s">
        <v>1</v>
      </c>
    </row>
    <row r="28" ht="12.800000000000001">
      <c r="A28" s="14"/>
      <c r="B28" s="61" t="s">
        <v>1</v>
      </c>
      <c r="C28" s="51" t="s">
        <v>83</v>
      </c>
      <c r="D28" s="120">
        <f>e!V25</f>
        <v>0.61099999999999999</v>
      </c>
      <c r="E28" s="1" t="s">
        <v>84</v>
      </c>
      <c r="F28" s="51" t="s">
        <v>1</v>
      </c>
      <c r="G28" s="62" t="s">
        <v>131</v>
      </c>
      <c r="H28" s="51" t="s">
        <v>132</v>
      </c>
      <c r="K28" s="53" t="s">
        <v>120</v>
      </c>
      <c r="L28" s="53" t="s">
        <v>1</v>
      </c>
    </row>
    <row r="29" ht="12.800000000000001">
      <c r="A29" s="14"/>
      <c r="B29" s="61" t="s">
        <v>1</v>
      </c>
      <c r="C29" s="53" t="s">
        <v>96</v>
      </c>
      <c r="D29" s="116">
        <f>e!V33</f>
        <v>1086.36559139785</v>
      </c>
      <c r="E29" s="1" t="s">
        <v>35</v>
      </c>
      <c r="G29" s="59" t="s">
        <v>133</v>
      </c>
      <c r="K29" s="53" t="s">
        <v>120</v>
      </c>
      <c r="L29" s="53" t="s">
        <v>1</v>
      </c>
    </row>
    <row r="30" ht="12.800000000000001">
      <c r="A30" s="65" t="s">
        <v>134</v>
      </c>
      <c r="B30" s="1" t="s">
        <v>135</v>
      </c>
      <c r="C30" s="59"/>
      <c r="D30" s="121"/>
      <c r="E30" s="61"/>
      <c r="F30" s="61"/>
      <c r="G30" s="59" t="s">
        <v>1</v>
      </c>
      <c r="K30" s="53" t="s">
        <v>120</v>
      </c>
      <c r="L30" s="53" t="s">
        <v>1</v>
      </c>
    </row>
    <row r="31" ht="12.800000000000001">
      <c r="A31" s="14" t="s">
        <v>1</v>
      </c>
      <c r="B31" s="61" t="s">
        <v>1</v>
      </c>
      <c r="C31" s="51" t="s">
        <v>136</v>
      </c>
      <c r="D31" s="118">
        <f>s!Q32/1000000</f>
        <v>8.11044795918367</v>
      </c>
      <c r="E31" s="1" t="s">
        <v>106</v>
      </c>
      <c r="F31" s="51"/>
      <c r="G31" s="51" t="s">
        <v>137</v>
      </c>
      <c r="K31" s="53" t="s">
        <v>120</v>
      </c>
      <c r="L31" s="53" t="s">
        <v>1</v>
      </c>
    </row>
    <row r="32" ht="12.800000000000001">
      <c r="A32" s="14"/>
      <c r="B32" s="61" t="s">
        <v>1</v>
      </c>
      <c r="C32" s="51" t="s">
        <v>138</v>
      </c>
      <c r="D32" s="122">
        <f>D8*D11</f>
        <v>5904.7619047619</v>
      </c>
      <c r="E32" s="1" t="s">
        <v>139</v>
      </c>
      <c r="F32" s="1"/>
      <c r="G32" s="51"/>
      <c r="K32" s="53" t="s">
        <v>120</v>
      </c>
      <c r="L32" s="53" t="s">
        <v>1</v>
      </c>
    </row>
    <row r="33" ht="12.800000000000001">
      <c r="A33" s="14" t="s">
        <v>1</v>
      </c>
      <c r="B33" s="61" t="s">
        <v>1</v>
      </c>
      <c r="C33" s="51" t="s">
        <v>140</v>
      </c>
      <c r="D33" s="123">
        <v>10641</v>
      </c>
      <c r="E33" s="1" t="s">
        <v>139</v>
      </c>
      <c r="F33" s="1"/>
      <c r="G33" s="62" t="s">
        <v>141</v>
      </c>
      <c r="H33" s="51" t="s">
        <v>142</v>
      </c>
      <c r="K33" s="53" t="s">
        <v>120</v>
      </c>
      <c r="L33" s="53" t="s">
        <v>1</v>
      </c>
    </row>
    <row r="34" ht="12.800000000000001">
      <c r="A34" s="14"/>
      <c r="B34" s="61" t="s">
        <v>1</v>
      </c>
      <c r="C34" s="51" t="s">
        <v>143</v>
      </c>
      <c r="D34" s="124">
        <v>1437</v>
      </c>
      <c r="E34" s="1" t="s">
        <v>139</v>
      </c>
      <c r="G34" s="62" t="s">
        <v>144</v>
      </c>
      <c r="K34" s="53" t="s">
        <v>120</v>
      </c>
      <c r="L34" s="53" t="s">
        <v>1</v>
      </c>
    </row>
    <row r="35" ht="12.800000000000001">
      <c r="A35" s="14" t="s">
        <v>1</v>
      </c>
      <c r="B35" s="61" t="s">
        <v>1</v>
      </c>
      <c r="C35" s="51" t="s">
        <v>145</v>
      </c>
      <c r="D35" s="125">
        <f>e!D737</f>
        <v>45.488741396498398</v>
      </c>
      <c r="E35" s="1" t="s">
        <v>27</v>
      </c>
      <c r="F35" s="1"/>
      <c r="G35" s="51" t="s">
        <v>146</v>
      </c>
      <c r="K35" s="53" t="s">
        <v>120</v>
      </c>
      <c r="L35" s="53" t="s">
        <v>1</v>
      </c>
    </row>
    <row r="36" ht="12.800000000000001">
      <c r="A36" s="14" t="s">
        <v>1</v>
      </c>
      <c r="B36" s="61" t="s">
        <v>1</v>
      </c>
      <c r="C36" s="51" t="s">
        <v>147</v>
      </c>
      <c r="D36" s="125">
        <f>(D32-D34*6/12)/180/24*2</f>
        <v>2.4010471781305101</v>
      </c>
      <c r="E36" s="1" t="s">
        <v>148</v>
      </c>
      <c r="F36" s="1"/>
      <c r="G36" s="51"/>
      <c r="K36" s="53" t="s">
        <v>120</v>
      </c>
      <c r="L36" s="53" t="s">
        <v>1</v>
      </c>
    </row>
    <row r="37" ht="12.800000000000001">
      <c r="A37" s="14"/>
      <c r="B37" s="61" t="s">
        <v>1</v>
      </c>
      <c r="C37" s="51" t="s">
        <v>149</v>
      </c>
      <c r="D37" s="126">
        <v>20</v>
      </c>
      <c r="E37" s="1" t="s">
        <v>27</v>
      </c>
      <c r="F37" s="1"/>
      <c r="G37" s="71" t="s">
        <v>150</v>
      </c>
      <c r="K37" s="53" t="s">
        <v>120</v>
      </c>
      <c r="L37" s="53" t="s">
        <v>1</v>
      </c>
    </row>
    <row r="38" ht="12.949999999999999" customHeight="1">
      <c r="A38" s="14"/>
      <c r="B38" s="1"/>
      <c r="C38" s="51"/>
      <c r="D38" s="127"/>
      <c r="E38" s="1"/>
      <c r="F38" s="1"/>
      <c r="G38" s="53" t="s">
        <v>1</v>
      </c>
      <c r="I38" s="14"/>
      <c r="J38" s="14"/>
      <c r="K38" s="53" t="s">
        <v>120</v>
      </c>
      <c r="L38" s="53" t="s">
        <v>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</row>
    <row r="39" ht="13.6" customHeight="1">
      <c r="A39" s="14"/>
      <c r="B39" s="1" t="s">
        <v>151</v>
      </c>
      <c r="C39" s="51" t="s">
        <v>152</v>
      </c>
      <c r="D39" s="128">
        <v>1141</v>
      </c>
      <c r="E39" s="1" t="s">
        <v>56</v>
      </c>
      <c r="F39" s="51"/>
      <c r="G39" s="71" t="s">
        <v>153</v>
      </c>
      <c r="K39" s="53" t="s">
        <v>120</v>
      </c>
      <c r="L39" s="53" t="s">
        <v>1</v>
      </c>
    </row>
    <row r="40" ht="12.800000000000001">
      <c r="A40" s="14"/>
      <c r="B40" s="129" t="s">
        <v>151</v>
      </c>
      <c r="C40" s="51" t="s">
        <v>154</v>
      </c>
      <c r="D40" s="126">
        <v>7.5</v>
      </c>
      <c r="E40" s="1" t="s">
        <v>155</v>
      </c>
      <c r="F40" s="51" t="s">
        <v>1</v>
      </c>
      <c r="G40" s="71" t="s">
        <v>57</v>
      </c>
      <c r="H40" s="130" t="s">
        <v>156</v>
      </c>
      <c r="K40" s="53" t="s">
        <v>120</v>
      </c>
      <c r="L40" s="53" t="s">
        <v>1</v>
      </c>
    </row>
    <row r="41" ht="12.800000000000001">
      <c r="A41" s="119" t="s">
        <v>1</v>
      </c>
      <c r="B41" s="129" t="s">
        <v>151</v>
      </c>
      <c r="C41" s="70" t="s">
        <v>157</v>
      </c>
      <c r="D41" s="126">
        <v>360</v>
      </c>
      <c r="E41" s="1" t="s">
        <v>158</v>
      </c>
      <c r="F41" s="131">
        <v>25</v>
      </c>
      <c r="G41" s="71" t="s">
        <v>159</v>
      </c>
      <c r="H41" s="71" t="s">
        <v>160</v>
      </c>
      <c r="K41" s="53" t="s">
        <v>120</v>
      </c>
      <c r="L41" s="53" t="s">
        <v>1</v>
      </c>
    </row>
    <row r="42" ht="12.800000000000001">
      <c r="A42" s="119" t="s">
        <v>1</v>
      </c>
      <c r="B42" s="129" t="s">
        <v>151</v>
      </c>
      <c r="C42" s="70" t="s">
        <v>161</v>
      </c>
      <c r="D42" s="126">
        <v>124</v>
      </c>
      <c r="E42" s="1" t="s">
        <v>158</v>
      </c>
      <c r="F42" s="131">
        <v>25</v>
      </c>
      <c r="G42" s="71" t="s">
        <v>162</v>
      </c>
      <c r="H42" s="71" t="s">
        <v>163</v>
      </c>
      <c r="K42" s="53" t="s">
        <v>120</v>
      </c>
      <c r="L42" s="53" t="s">
        <v>1</v>
      </c>
    </row>
    <row r="43" ht="12.800000000000001">
      <c r="A43" s="14" t="s">
        <v>1</v>
      </c>
      <c r="B43" s="1"/>
      <c r="C43" s="51" t="s">
        <v>1</v>
      </c>
      <c r="D43" s="126" t="s">
        <v>1</v>
      </c>
      <c r="E43" s="1" t="s">
        <v>1</v>
      </c>
      <c r="F43" s="1"/>
      <c r="H43" s="51" t="s">
        <v>1</v>
      </c>
      <c r="K43" s="53" t="s">
        <v>120</v>
      </c>
      <c r="L43" s="53" t="s">
        <v>1</v>
      </c>
    </row>
    <row r="44" ht="12.800000000000001">
      <c r="A44" s="14" t="s">
        <v>1</v>
      </c>
      <c r="B44" s="129" t="s">
        <v>151</v>
      </c>
      <c r="C44" s="51" t="s">
        <v>164</v>
      </c>
      <c r="D44" s="126">
        <v>2.75</v>
      </c>
      <c r="E44" s="1"/>
      <c r="F44" s="1"/>
      <c r="G44" s="51" t="s">
        <v>165</v>
      </c>
      <c r="H44" s="51" t="s">
        <v>1</v>
      </c>
      <c r="K44" s="53" t="s">
        <v>120</v>
      </c>
      <c r="L44" s="53" t="s">
        <v>1</v>
      </c>
    </row>
    <row r="45" ht="12.800000000000001">
      <c r="A45" s="14"/>
      <c r="B45" s="129" t="s">
        <v>151</v>
      </c>
      <c r="C45" s="51" t="s">
        <v>166</v>
      </c>
      <c r="D45" s="126">
        <v>188</v>
      </c>
      <c r="E45" s="1" t="s">
        <v>158</v>
      </c>
      <c r="F45" s="131">
        <v>40</v>
      </c>
      <c r="G45" s="71" t="s">
        <v>167</v>
      </c>
      <c r="H45" s="51" t="s">
        <v>1</v>
      </c>
      <c r="K45" s="53" t="s">
        <v>120</v>
      </c>
      <c r="L45" s="53" t="s">
        <v>1</v>
      </c>
    </row>
    <row r="46" ht="12.800000000000001">
      <c r="A46" s="14"/>
      <c r="B46" s="129" t="s">
        <v>151</v>
      </c>
      <c r="C46" s="51" t="s">
        <v>168</v>
      </c>
      <c r="D46" s="126">
        <v>20</v>
      </c>
      <c r="E46" s="1" t="s">
        <v>27</v>
      </c>
      <c r="F46" s="1"/>
      <c r="G46" s="51" t="s">
        <v>169</v>
      </c>
      <c r="H46" s="51"/>
      <c r="K46" s="53" t="s">
        <v>120</v>
      </c>
      <c r="L46" s="53" t="s">
        <v>1</v>
      </c>
    </row>
    <row r="47" ht="12.800000000000001">
      <c r="A47" s="14" t="s">
        <v>1</v>
      </c>
      <c r="B47" s="129" t="s">
        <v>151</v>
      </c>
      <c r="C47" s="51" t="s">
        <v>170</v>
      </c>
      <c r="D47" s="132">
        <v>0.5</v>
      </c>
      <c r="E47" s="1" t="s">
        <v>158</v>
      </c>
      <c r="F47" s="1"/>
      <c r="G47" s="71" t="s">
        <v>171</v>
      </c>
      <c r="H47" s="51" t="s">
        <v>1</v>
      </c>
      <c r="K47" s="53" t="s">
        <v>120</v>
      </c>
      <c r="L47" s="53" t="s">
        <v>1</v>
      </c>
    </row>
    <row r="48" ht="12.800000000000001">
      <c r="A48" s="14" t="s">
        <v>1</v>
      </c>
      <c r="B48" s="129" t="s">
        <v>151</v>
      </c>
      <c r="C48" s="51" t="s">
        <v>172</v>
      </c>
      <c r="D48" s="122">
        <f>D40*D12*D13/100*D17/D39*D20/100*3600/4.2/40*18/24</f>
        <v>0</v>
      </c>
      <c r="E48" s="1" t="s">
        <v>173</v>
      </c>
      <c r="F48" s="1"/>
      <c r="G48" s="51"/>
      <c r="H48" s="51"/>
      <c r="K48" s="53" t="s">
        <v>120</v>
      </c>
      <c r="L48" s="53" t="s">
        <v>1</v>
      </c>
    </row>
    <row r="49" ht="12.800000000000001">
      <c r="A49" s="14"/>
      <c r="B49" s="129" t="s">
        <v>151</v>
      </c>
      <c r="C49" s="51" t="s">
        <v>174</v>
      </c>
      <c r="D49" s="126">
        <v>4.2000000000000002</v>
      </c>
      <c r="E49" s="1" t="s">
        <v>175</v>
      </c>
      <c r="F49" s="131">
        <v>25</v>
      </c>
      <c r="G49" s="71" t="s">
        <v>176</v>
      </c>
      <c r="H49" s="51"/>
      <c r="K49" s="53" t="s">
        <v>120</v>
      </c>
      <c r="L49" s="53" t="s">
        <v>1</v>
      </c>
    </row>
    <row r="50" ht="12.800000000000001">
      <c r="A50" s="14" t="s">
        <v>1</v>
      </c>
      <c r="B50" s="1"/>
      <c r="C50" s="51"/>
      <c r="D50" s="99"/>
      <c r="E50" s="1"/>
      <c r="F50" s="1"/>
      <c r="G50" s="51"/>
      <c r="H50" s="133" t="s">
        <v>1</v>
      </c>
      <c r="K50" s="53" t="s">
        <v>120</v>
      </c>
      <c r="L50" s="53" t="s">
        <v>1</v>
      </c>
    </row>
    <row r="51" ht="12.800000000000001">
      <c r="A51" s="14"/>
      <c r="B51" s="1" t="s">
        <v>177</v>
      </c>
      <c r="C51" s="51" t="s">
        <v>178</v>
      </c>
      <c r="D51" s="126">
        <v>2.7000000000000002</v>
      </c>
      <c r="E51" s="1" t="s">
        <v>179</v>
      </c>
      <c r="F51" s="1"/>
      <c r="G51" s="62" t="s">
        <v>85</v>
      </c>
      <c r="K51" s="53" t="s">
        <v>120</v>
      </c>
      <c r="L51" s="53" t="s">
        <v>1</v>
      </c>
    </row>
    <row r="52" ht="12.800000000000001">
      <c r="A52" s="14"/>
      <c r="B52" s="129" t="s">
        <v>177</v>
      </c>
      <c r="C52" s="51" t="s">
        <v>180</v>
      </c>
      <c r="D52" s="126">
        <v>0.40000000000000002</v>
      </c>
      <c r="E52" s="1" t="s">
        <v>179</v>
      </c>
      <c r="F52" s="1"/>
      <c r="G52" s="62" t="s">
        <v>85</v>
      </c>
      <c r="K52" s="53" t="s">
        <v>120</v>
      </c>
      <c r="L52" s="53" t="s">
        <v>1</v>
      </c>
    </row>
    <row r="53" ht="12.800000000000001">
      <c r="A53" s="14"/>
      <c r="B53" s="129" t="s">
        <v>177</v>
      </c>
      <c r="C53" s="51" t="s">
        <v>181</v>
      </c>
      <c r="D53" s="126">
        <v>0.050000000000000003</v>
      </c>
      <c r="E53" s="1" t="s">
        <v>182</v>
      </c>
      <c r="F53" s="1"/>
      <c r="G53" s="51" t="s">
        <v>183</v>
      </c>
      <c r="K53" s="53" t="s">
        <v>120</v>
      </c>
      <c r="L53" s="53" t="s">
        <v>1</v>
      </c>
    </row>
    <row r="54" ht="12.800000000000001">
      <c r="A54" s="14"/>
      <c r="B54" s="129" t="s">
        <v>177</v>
      </c>
      <c r="C54" s="51" t="s">
        <v>184</v>
      </c>
      <c r="D54" s="126">
        <v>0.0050000000000000001</v>
      </c>
      <c r="E54" s="1" t="s">
        <v>182</v>
      </c>
      <c r="F54" s="1"/>
      <c r="G54" s="51" t="s">
        <v>183</v>
      </c>
      <c r="K54" s="53" t="s">
        <v>120</v>
      </c>
      <c r="L54" s="53" t="s">
        <v>1</v>
      </c>
    </row>
    <row r="55" ht="12.800000000000001">
      <c r="A55" s="14"/>
      <c r="B55" s="129" t="s">
        <v>177</v>
      </c>
      <c r="C55" s="51" t="s">
        <v>185</v>
      </c>
      <c r="D55" s="126">
        <v>15</v>
      </c>
      <c r="E55" s="1" t="s">
        <v>27</v>
      </c>
      <c r="F55" s="1"/>
      <c r="G55" s="51" t="s">
        <v>183</v>
      </c>
      <c r="K55" s="53" t="s">
        <v>120</v>
      </c>
      <c r="L55" s="53" t="s">
        <v>1</v>
      </c>
    </row>
    <row r="56" ht="13.4">
      <c r="A56" s="14"/>
      <c r="B56" s="129" t="s">
        <v>177</v>
      </c>
      <c r="C56" s="51" t="s">
        <v>186</v>
      </c>
      <c r="D56" s="126">
        <v>0.0001</v>
      </c>
      <c r="E56" s="1" t="s">
        <v>187</v>
      </c>
      <c r="F56" s="1"/>
      <c r="G56" s="51" t="s">
        <v>188</v>
      </c>
      <c r="K56" s="53" t="s">
        <v>120</v>
      </c>
      <c r="L56" s="53" t="s">
        <v>1</v>
      </c>
    </row>
    <row r="57" ht="12.800000000000001">
      <c r="A57" s="14"/>
      <c r="B57" s="129" t="s">
        <v>177</v>
      </c>
      <c r="C57" s="51" t="s">
        <v>189</v>
      </c>
      <c r="D57" s="126">
        <v>0.56999999999999995</v>
      </c>
      <c r="E57" s="1" t="s">
        <v>190</v>
      </c>
      <c r="F57" s="1"/>
      <c r="G57" s="62" t="s">
        <v>191</v>
      </c>
      <c r="K57" s="53" t="s">
        <v>120</v>
      </c>
      <c r="L57" s="53" t="s">
        <v>1</v>
      </c>
    </row>
    <row r="58" ht="12.800000000000001">
      <c r="A58" s="14"/>
      <c r="B58" s="129" t="s">
        <v>177</v>
      </c>
      <c r="C58" s="51" t="s">
        <v>192</v>
      </c>
      <c r="D58" s="126">
        <v>9.7200000000000006</v>
      </c>
      <c r="E58" s="1" t="s">
        <v>29</v>
      </c>
      <c r="F58" s="1"/>
      <c r="G58" s="71" t="s">
        <v>193</v>
      </c>
      <c r="K58" s="53" t="s">
        <v>120</v>
      </c>
      <c r="L58" s="53" t="s">
        <v>1</v>
      </c>
    </row>
    <row r="59" ht="12.800000000000001">
      <c r="A59" s="14"/>
      <c r="B59" s="129" t="s">
        <v>177</v>
      </c>
      <c r="C59" s="51" t="s">
        <v>194</v>
      </c>
      <c r="D59" s="126">
        <v>12</v>
      </c>
      <c r="E59" s="1" t="s">
        <v>29</v>
      </c>
      <c r="F59" s="1"/>
      <c r="G59" s="51" t="s">
        <v>183</v>
      </c>
      <c r="K59" s="53" t="s">
        <v>120</v>
      </c>
      <c r="L59" s="53" t="s">
        <v>1</v>
      </c>
    </row>
    <row r="60" ht="12.800000000000001">
      <c r="A60" s="14"/>
      <c r="B60" s="129" t="s">
        <v>177</v>
      </c>
      <c r="C60" s="51" t="s">
        <v>195</v>
      </c>
      <c r="D60" s="126">
        <v>40</v>
      </c>
      <c r="E60" s="1" t="s">
        <v>196</v>
      </c>
      <c r="F60" s="1"/>
      <c r="G60" s="51" t="s">
        <v>183</v>
      </c>
      <c r="K60" s="53" t="s">
        <v>120</v>
      </c>
      <c r="L60" s="53" t="s">
        <v>1</v>
      </c>
    </row>
    <row r="61" ht="12.800000000000001">
      <c r="A61" s="14" t="s">
        <v>1</v>
      </c>
      <c r="B61" s="129" t="s">
        <v>177</v>
      </c>
      <c r="C61" s="51" t="s">
        <v>197</v>
      </c>
      <c r="D61" s="126">
        <v>60</v>
      </c>
      <c r="E61" s="1" t="s">
        <v>29</v>
      </c>
      <c r="F61" s="1"/>
      <c r="G61" s="51" t="s">
        <v>183</v>
      </c>
      <c r="K61" s="53" t="s">
        <v>120</v>
      </c>
      <c r="L61" s="53" t="s">
        <v>1</v>
      </c>
    </row>
    <row r="62" ht="12.800000000000001">
      <c r="A62" s="14"/>
      <c r="B62" s="129" t="s">
        <v>177</v>
      </c>
      <c r="C62" s="51" t="s">
        <v>198</v>
      </c>
      <c r="D62" s="126">
        <v>10</v>
      </c>
      <c r="E62" s="1" t="s">
        <v>77</v>
      </c>
      <c r="F62" s="1"/>
      <c r="G62" s="51" t="s">
        <v>183</v>
      </c>
      <c r="K62" s="53" t="s">
        <v>120</v>
      </c>
      <c r="L62" s="53" t="s">
        <v>1</v>
      </c>
    </row>
    <row r="63" ht="12.800000000000001">
      <c r="A63" s="14"/>
      <c r="B63" s="129" t="s">
        <v>177</v>
      </c>
      <c r="C63" s="51" t="s">
        <v>199</v>
      </c>
      <c r="D63" s="126">
        <v>2</v>
      </c>
      <c r="E63" s="1" t="s">
        <v>77</v>
      </c>
      <c r="F63" s="1"/>
      <c r="G63" s="51" t="s">
        <v>183</v>
      </c>
      <c r="H63" s="51" t="s">
        <v>1</v>
      </c>
      <c r="K63" s="53" t="s">
        <v>120</v>
      </c>
      <c r="L63" s="53" t="s">
        <v>1</v>
      </c>
    </row>
    <row r="64" ht="12.800000000000001">
      <c r="A64" s="14" t="s">
        <v>1</v>
      </c>
      <c r="B64" s="129" t="s">
        <v>177</v>
      </c>
      <c r="C64" s="51" t="s">
        <v>200</v>
      </c>
      <c r="D64" s="122">
        <f>D36*E3/(1-D159/100)/4.2/(55-28)/1000*3600/D66</f>
        <v>24.141627219736701</v>
      </c>
      <c r="E64" s="1" t="s">
        <v>201</v>
      </c>
      <c r="F64" s="1"/>
      <c r="G64" s="51" t="s">
        <v>202</v>
      </c>
      <c r="K64" s="53" t="s">
        <v>120</v>
      </c>
      <c r="L64" s="53" t="s">
        <v>1</v>
      </c>
    </row>
    <row r="65" ht="12.800000000000001">
      <c r="A65" s="14" t="s">
        <v>1</v>
      </c>
      <c r="B65" s="129" t="s">
        <v>177</v>
      </c>
      <c r="C65" s="51" t="s">
        <v>203</v>
      </c>
      <c r="D65" s="122">
        <f>D64*(D105*1.2)</f>
        <v>3360.5145089873399</v>
      </c>
      <c r="E65" s="1" t="s">
        <v>77</v>
      </c>
      <c r="F65" s="1" t="s">
        <v>1</v>
      </c>
      <c r="G65" s="53" t="s">
        <v>204</v>
      </c>
      <c r="K65" s="53" t="s">
        <v>120</v>
      </c>
      <c r="L65" s="53" t="s">
        <v>1</v>
      </c>
    </row>
    <row r="66" ht="12.800000000000001">
      <c r="A66" s="14"/>
      <c r="B66" s="129" t="s">
        <v>177</v>
      </c>
      <c r="C66" s="51" t="s">
        <v>205</v>
      </c>
      <c r="D66" s="126">
        <v>30</v>
      </c>
      <c r="E66" s="1" t="s">
        <v>206</v>
      </c>
      <c r="F66" s="1"/>
      <c r="G66" s="51" t="s">
        <v>207</v>
      </c>
      <c r="H66" s="51" t="s">
        <v>208</v>
      </c>
      <c r="K66" s="53" t="s">
        <v>120</v>
      </c>
      <c r="L66" s="53" t="s">
        <v>1</v>
      </c>
    </row>
    <row r="67" ht="12.800000000000001">
      <c r="A67" s="14"/>
      <c r="B67" s="129" t="s">
        <v>177</v>
      </c>
      <c r="C67" s="51" t="s">
        <v>209</v>
      </c>
      <c r="D67" s="126">
        <v>5.7000000000000002</v>
      </c>
      <c r="E67" s="1" t="s">
        <v>210</v>
      </c>
      <c r="F67" s="1"/>
      <c r="G67" s="71" t="s">
        <v>211</v>
      </c>
      <c r="K67" s="53" t="s">
        <v>120</v>
      </c>
      <c r="L67" s="53" t="s">
        <v>1</v>
      </c>
    </row>
    <row r="68" ht="12.800000000000001">
      <c r="A68" s="14"/>
      <c r="B68" s="129" t="s">
        <v>177</v>
      </c>
      <c r="C68" s="51" t="s">
        <v>212</v>
      </c>
      <c r="D68" s="126">
        <v>16</v>
      </c>
      <c r="E68" s="1" t="s">
        <v>158</v>
      </c>
      <c r="F68" s="131">
        <v>50</v>
      </c>
      <c r="G68" s="51" t="s">
        <v>213</v>
      </c>
      <c r="K68" s="53" t="s">
        <v>120</v>
      </c>
      <c r="L68" s="53" t="s">
        <v>1</v>
      </c>
    </row>
    <row r="69" ht="12.800000000000001">
      <c r="A69" s="14"/>
      <c r="B69" s="129" t="s">
        <v>177</v>
      </c>
      <c r="C69" s="51" t="s">
        <v>214</v>
      </c>
      <c r="D69" s="126">
        <v>80</v>
      </c>
      <c r="E69" s="1" t="s">
        <v>158</v>
      </c>
      <c r="F69" s="131">
        <v>50</v>
      </c>
      <c r="G69" s="51" t="s">
        <v>215</v>
      </c>
      <c r="H69" s="53" t="s">
        <v>216</v>
      </c>
      <c r="K69" s="53" t="s">
        <v>120</v>
      </c>
      <c r="L69" s="53" t="s">
        <v>1</v>
      </c>
    </row>
    <row r="70" ht="12.800000000000001">
      <c r="A70" s="14"/>
      <c r="B70" s="129" t="s">
        <v>177</v>
      </c>
      <c r="C70" s="51" t="s">
        <v>217</v>
      </c>
      <c r="D70" s="126">
        <v>300</v>
      </c>
      <c r="E70" s="1" t="s">
        <v>218</v>
      </c>
      <c r="F70" s="131">
        <v>50</v>
      </c>
      <c r="G70" s="71" t="s">
        <v>219</v>
      </c>
      <c r="H70" s="51" t="s">
        <v>220</v>
      </c>
      <c r="K70" s="53" t="s">
        <v>120</v>
      </c>
      <c r="L70" s="53" t="s">
        <v>1</v>
      </c>
    </row>
    <row r="71" ht="12.800000000000001">
      <c r="A71" s="14"/>
      <c r="B71" s="129" t="s">
        <v>177</v>
      </c>
      <c r="C71" s="51" t="s">
        <v>221</v>
      </c>
      <c r="D71" s="126">
        <v>40</v>
      </c>
      <c r="E71" s="1" t="s">
        <v>27</v>
      </c>
      <c r="F71" s="1"/>
      <c r="G71" s="51" t="s">
        <v>169</v>
      </c>
      <c r="K71" s="53" t="s">
        <v>120</v>
      </c>
      <c r="L71" s="53" t="s">
        <v>1</v>
      </c>
    </row>
    <row r="72" ht="12.800000000000001">
      <c r="A72" s="14"/>
      <c r="B72" s="129" t="s">
        <v>177</v>
      </c>
      <c r="C72" s="51" t="s">
        <v>222</v>
      </c>
      <c r="D72" s="126">
        <v>100</v>
      </c>
      <c r="E72" s="1" t="s">
        <v>210</v>
      </c>
      <c r="F72" s="131">
        <v>50</v>
      </c>
      <c r="G72" s="51" t="s">
        <v>223</v>
      </c>
      <c r="H72" s="71" t="s">
        <v>224</v>
      </c>
      <c r="K72" s="53" t="s">
        <v>120</v>
      </c>
      <c r="L72" s="53" t="s">
        <v>1</v>
      </c>
    </row>
    <row r="73" ht="12.800000000000001">
      <c r="A73" s="14"/>
      <c r="B73" s="129" t="s">
        <v>177</v>
      </c>
      <c r="C73" s="51" t="s">
        <v>225</v>
      </c>
      <c r="D73" s="134">
        <v>400000</v>
      </c>
      <c r="E73" s="1" t="s">
        <v>226</v>
      </c>
      <c r="F73" s="131">
        <v>50</v>
      </c>
      <c r="G73" s="51" t="s">
        <v>227</v>
      </c>
      <c r="K73" s="53" t="s">
        <v>120</v>
      </c>
      <c r="L73" s="53" t="s">
        <v>1</v>
      </c>
    </row>
    <row r="74" s="53" customFormat="1" ht="12.800000000000001">
      <c r="A74" s="14"/>
      <c r="B74" s="1"/>
      <c r="C74" s="51"/>
      <c r="D74" s="122"/>
      <c r="E74" s="1"/>
      <c r="F74" s="1"/>
      <c r="G74" s="51"/>
      <c r="H74" s="51"/>
      <c r="K74" s="53" t="s">
        <v>120</v>
      </c>
      <c r="L74" s="53" t="s">
        <v>1</v>
      </c>
    </row>
    <row r="75" ht="12.800000000000001">
      <c r="A75" s="14"/>
      <c r="B75" s="1" t="s">
        <v>228</v>
      </c>
      <c r="C75" s="51" t="s">
        <v>229</v>
      </c>
      <c r="D75" s="126">
        <v>500</v>
      </c>
      <c r="E75" s="1" t="s">
        <v>218</v>
      </c>
      <c r="F75" s="131">
        <v>25</v>
      </c>
      <c r="G75" s="62" t="s">
        <v>230</v>
      </c>
      <c r="H75" s="51" t="s">
        <v>1</v>
      </c>
      <c r="K75" s="53" t="s">
        <v>120</v>
      </c>
      <c r="L75" s="53" t="s">
        <v>1</v>
      </c>
    </row>
    <row r="76" ht="12.800000000000001">
      <c r="A76" s="14"/>
      <c r="B76" s="129" t="s">
        <v>228</v>
      </c>
      <c r="C76" s="51" t="s">
        <v>231</v>
      </c>
      <c r="D76" s="126">
        <v>222</v>
      </c>
      <c r="E76" s="1" t="s">
        <v>218</v>
      </c>
      <c r="F76" s="131">
        <v>25</v>
      </c>
      <c r="G76" s="62" t="s">
        <v>232</v>
      </c>
      <c r="H76" s="51" t="s">
        <v>233</v>
      </c>
      <c r="K76" s="53" t="s">
        <v>120</v>
      </c>
      <c r="L76" s="53" t="s">
        <v>1</v>
      </c>
    </row>
    <row r="77" ht="12.800000000000001">
      <c r="A77" s="14"/>
      <c r="B77" s="129" t="s">
        <v>228</v>
      </c>
      <c r="C77" s="51" t="s">
        <v>234</v>
      </c>
      <c r="D77" s="134">
        <v>3171</v>
      </c>
      <c r="E77" s="1" t="s">
        <v>226</v>
      </c>
      <c r="F77" s="131">
        <v>25</v>
      </c>
      <c r="G77" s="62" t="s">
        <v>232</v>
      </c>
      <c r="H77" s="51" t="s">
        <v>235</v>
      </c>
      <c r="K77" s="53" t="s">
        <v>120</v>
      </c>
      <c r="L77" s="53" t="s">
        <v>1</v>
      </c>
    </row>
    <row r="78" ht="12.800000000000001">
      <c r="A78" s="16" t="s">
        <v>1</v>
      </c>
      <c r="B78" s="129" t="s">
        <v>228</v>
      </c>
      <c r="C78" s="51" t="s">
        <v>236</v>
      </c>
      <c r="D78" s="126">
        <v>1</v>
      </c>
      <c r="E78" s="1" t="s">
        <v>237</v>
      </c>
      <c r="F78" s="131">
        <v>1</v>
      </c>
      <c r="G78" s="51" t="s">
        <v>238</v>
      </c>
      <c r="H78" s="51" t="s">
        <v>1</v>
      </c>
      <c r="K78" s="53" t="s">
        <v>120</v>
      </c>
      <c r="L78" s="53" t="s">
        <v>1</v>
      </c>
    </row>
    <row r="79" ht="12.800000000000001">
      <c r="A79" s="14" t="s">
        <v>1</v>
      </c>
      <c r="B79" s="129" t="s">
        <v>228</v>
      </c>
      <c r="C79" s="51" t="s">
        <v>239</v>
      </c>
      <c r="D79" s="126">
        <v>75</v>
      </c>
      <c r="E79" s="1" t="s">
        <v>27</v>
      </c>
      <c r="F79" s="1"/>
      <c r="G79" s="71" t="s">
        <v>240</v>
      </c>
      <c r="K79" s="53" t="s">
        <v>120</v>
      </c>
      <c r="L79" s="53" t="s">
        <v>1</v>
      </c>
    </row>
    <row r="80" ht="12.800000000000001">
      <c r="A80" s="14"/>
      <c r="B80" s="129" t="s">
        <v>228</v>
      </c>
      <c r="C80" s="51" t="s">
        <v>241</v>
      </c>
      <c r="D80" s="126">
        <v>216</v>
      </c>
      <c r="E80" s="1" t="s">
        <v>237</v>
      </c>
      <c r="F80" s="131">
        <v>20</v>
      </c>
      <c r="G80" s="71" t="s">
        <v>242</v>
      </c>
      <c r="H80" s="135" t="s">
        <v>243</v>
      </c>
      <c r="K80" s="53" t="s">
        <v>120</v>
      </c>
      <c r="L80" s="53" t="s">
        <v>1</v>
      </c>
    </row>
    <row r="81" ht="12.800000000000001">
      <c r="A81" s="136"/>
      <c r="B81" s="129" t="s">
        <v>228</v>
      </c>
      <c r="C81" s="51" t="s">
        <v>244</v>
      </c>
      <c r="D81" s="126">
        <v>585</v>
      </c>
      <c r="E81" s="1" t="s">
        <v>237</v>
      </c>
      <c r="F81" s="131">
        <v>30</v>
      </c>
      <c r="G81" s="71" t="s">
        <v>245</v>
      </c>
      <c r="H81" s="53" t="s">
        <v>246</v>
      </c>
      <c r="K81" s="53" t="s">
        <v>120</v>
      </c>
      <c r="L81" s="53" t="s">
        <v>1</v>
      </c>
    </row>
    <row r="82" s="53" customFormat="1" ht="12.800000000000001">
      <c r="A82" s="14" t="s">
        <v>247</v>
      </c>
      <c r="B82" s="1" t="s">
        <v>248</v>
      </c>
      <c r="C82" s="51"/>
      <c r="D82" s="99"/>
      <c r="E82" s="1"/>
      <c r="F82" s="1"/>
      <c r="H82" s="51"/>
      <c r="K82" s="53" t="s">
        <v>120</v>
      </c>
      <c r="L82" s="53" t="s">
        <v>1</v>
      </c>
    </row>
    <row r="83" ht="12.800000000000001">
      <c r="A83" s="137" t="s">
        <v>1</v>
      </c>
      <c r="B83" s="61" t="s">
        <v>1</v>
      </c>
      <c r="C83" s="138" t="s">
        <v>249</v>
      </c>
      <c r="D83" s="139">
        <f>D101</f>
        <v>14.4377662936063</v>
      </c>
      <c r="E83" s="1" t="s">
        <v>250</v>
      </c>
      <c r="F83" s="1"/>
      <c r="G83" s="53" t="s">
        <v>1</v>
      </c>
      <c r="K83" s="53" t="s">
        <v>120</v>
      </c>
      <c r="L83" s="53" t="s">
        <v>1</v>
      </c>
    </row>
    <row r="84" ht="12.800000000000001">
      <c r="A84" s="137" t="s">
        <v>1</v>
      </c>
      <c r="B84" s="61" t="s">
        <v>1</v>
      </c>
      <c r="C84" s="138" t="s">
        <v>251</v>
      </c>
      <c r="D84" s="134">
        <v>39</v>
      </c>
      <c r="E84" s="1" t="s">
        <v>27</v>
      </c>
      <c r="F84" s="1"/>
      <c r="G84" s="62" t="s">
        <v>252</v>
      </c>
      <c r="K84" s="53" t="s">
        <v>120</v>
      </c>
      <c r="L84" s="53" t="s">
        <v>1</v>
      </c>
    </row>
    <row r="85" ht="12.800000000000001">
      <c r="A85" s="140" t="s">
        <v>1</v>
      </c>
      <c r="B85" s="61" t="s">
        <v>1</v>
      </c>
      <c r="C85" s="138" t="s">
        <v>253</v>
      </c>
      <c r="D85" s="139">
        <f>D83/(100-D84)*D84</f>
        <v>9.23070304017455</v>
      </c>
      <c r="E85" s="1" t="s">
        <v>254</v>
      </c>
      <c r="F85" s="1"/>
      <c r="K85" s="53" t="s">
        <v>120</v>
      </c>
      <c r="L85" s="53" t="s">
        <v>1</v>
      </c>
    </row>
    <row r="86" ht="12.800000000000001">
      <c r="A86" s="140" t="s">
        <v>1</v>
      </c>
      <c r="B86" s="61" t="s">
        <v>1</v>
      </c>
      <c r="C86" s="138" t="s">
        <v>255</v>
      </c>
      <c r="D86" s="141">
        <f>D85*1000*D81/1000000</f>
        <v>5.3999612785021096</v>
      </c>
      <c r="E86" s="1" t="s">
        <v>256</v>
      </c>
      <c r="F86" s="1" t="s">
        <v>1</v>
      </c>
      <c r="G86" s="51" t="s">
        <v>1</v>
      </c>
      <c r="K86" s="53" t="s">
        <v>120</v>
      </c>
      <c r="L86" s="53" t="s">
        <v>1</v>
      </c>
    </row>
    <row r="87" ht="12.800000000000001">
      <c r="A87" s="14" t="s">
        <v>1</v>
      </c>
      <c r="B87" s="1"/>
      <c r="C87" s="51" t="s">
        <v>257</v>
      </c>
      <c r="D87" s="122">
        <f>D36*E3</f>
        <v>18051.072685185201</v>
      </c>
      <c r="E87" s="1" t="s">
        <v>258</v>
      </c>
      <c r="G87" s="51" t="s">
        <v>1</v>
      </c>
      <c r="K87" s="53" t="s">
        <v>120</v>
      </c>
      <c r="L87" s="53" t="s">
        <v>1</v>
      </c>
    </row>
    <row r="88" ht="12.75">
      <c r="B88" s="61" t="s">
        <v>259</v>
      </c>
      <c r="K88" s="53" t="s">
        <v>120</v>
      </c>
      <c r="L88" s="53" t="s">
        <v>1</v>
      </c>
    </row>
    <row r="89" ht="12.800000000000001">
      <c r="A89" s="14" t="s">
        <v>1</v>
      </c>
      <c r="B89" s="61" t="s">
        <v>1</v>
      </c>
      <c r="C89" s="51" t="s">
        <v>260</v>
      </c>
      <c r="D89" s="122">
        <f>D98/((D17*D19/100+D18*(1-D19/100))*(D20/100)*(1-D21/100)*(D29/D39))</f>
        <v>188544.656030118</v>
      </c>
      <c r="E89" s="1" t="s">
        <v>43</v>
      </c>
      <c r="G89" s="51"/>
      <c r="K89" s="53" t="s">
        <v>120</v>
      </c>
      <c r="L89" s="53" t="s">
        <v>1</v>
      </c>
    </row>
    <row r="90" ht="12.800000000000001">
      <c r="A90" s="14"/>
      <c r="B90" s="61" t="s">
        <v>1</v>
      </c>
      <c r="C90" s="51" t="s">
        <v>261</v>
      </c>
      <c r="D90" s="139">
        <f>D89/D7</f>
        <v>25.079097636355201</v>
      </c>
      <c r="E90" s="1" t="s">
        <v>39</v>
      </c>
      <c r="G90" s="51"/>
      <c r="K90" s="53" t="s">
        <v>120</v>
      </c>
      <c r="L90" s="53" t="s">
        <v>1</v>
      </c>
    </row>
    <row r="91" ht="12.800000000000001">
      <c r="A91" s="14" t="s">
        <v>1</v>
      </c>
      <c r="B91" s="61" t="s">
        <v>1</v>
      </c>
      <c r="C91" s="51" t="s">
        <v>262</v>
      </c>
      <c r="D91" s="139">
        <f>D12*D13/100</f>
        <v>0</v>
      </c>
      <c r="E91" s="1" t="s">
        <v>39</v>
      </c>
      <c r="G91" s="51"/>
      <c r="K91" s="53" t="s">
        <v>120</v>
      </c>
      <c r="L91" s="53" t="s">
        <v>1</v>
      </c>
    </row>
    <row r="92" ht="12.800000000000001">
      <c r="A92" s="14"/>
      <c r="B92" s="61" t="s">
        <v>1</v>
      </c>
      <c r="C92" s="51" t="s">
        <v>263</v>
      </c>
      <c r="D92" s="139">
        <f>D90-D91</f>
        <v>25.079097636355201</v>
      </c>
      <c r="E92" s="1" t="s">
        <v>39</v>
      </c>
      <c r="G92" s="51" t="s">
        <v>264</v>
      </c>
      <c r="K92" s="53" t="s">
        <v>120</v>
      </c>
      <c r="L92" s="53" t="s">
        <v>1</v>
      </c>
    </row>
    <row r="93" ht="12.800000000000001">
      <c r="A93" s="14"/>
      <c r="B93" s="61" t="s">
        <v>1</v>
      </c>
      <c r="C93" s="51" t="s">
        <v>265</v>
      </c>
      <c r="D93" s="141">
        <f>D92*E3*D44/1000000</f>
        <v>0.51849780408282498</v>
      </c>
      <c r="E93" s="1" t="s">
        <v>106</v>
      </c>
      <c r="G93" s="133" t="s">
        <v>1</v>
      </c>
      <c r="K93" s="53" t="s">
        <v>120</v>
      </c>
      <c r="L93" s="53" t="s">
        <v>1</v>
      </c>
    </row>
    <row r="94" ht="12.800000000000001">
      <c r="A94" s="14"/>
      <c r="B94" s="61" t="s">
        <v>1</v>
      </c>
      <c r="C94" s="51" t="s">
        <v>266</v>
      </c>
      <c r="D94" s="141">
        <f>D93^0.5</f>
        <v>0.720067916298751</v>
      </c>
      <c r="E94" s="1" t="s">
        <v>75</v>
      </c>
      <c r="G94" s="51"/>
      <c r="K94" s="53" t="s">
        <v>120</v>
      </c>
      <c r="L94" s="53" t="s">
        <v>1</v>
      </c>
    </row>
    <row r="95" ht="12.800000000000001">
      <c r="A95" s="14"/>
      <c r="B95" s="61" t="s">
        <v>1</v>
      </c>
      <c r="C95" s="51" t="s">
        <v>267</v>
      </c>
      <c r="D95" s="139">
        <f>D93/D31*100</f>
        <v>6.3929613591283401</v>
      </c>
      <c r="E95" s="1" t="s">
        <v>27</v>
      </c>
      <c r="G95" s="51"/>
      <c r="K95" s="53" t="s">
        <v>120</v>
      </c>
      <c r="L95" s="53" t="s">
        <v>1</v>
      </c>
    </row>
    <row r="96" ht="12.800000000000001">
      <c r="A96" s="14"/>
      <c r="B96" s="61" t="s">
        <v>1</v>
      </c>
      <c r="C96" s="51" t="s">
        <v>268</v>
      </c>
      <c r="D96" s="122">
        <f>D93*1000000/E3</f>
        <v>68.967518499976705</v>
      </c>
      <c r="E96" s="1" t="s">
        <v>39</v>
      </c>
      <c r="F96" s="142"/>
      <c r="G96" s="51" t="s">
        <v>1</v>
      </c>
      <c r="K96" s="53" t="s">
        <v>120</v>
      </c>
      <c r="L96" s="53" t="s">
        <v>1</v>
      </c>
    </row>
    <row r="97" ht="12.800000000000001">
      <c r="A97" s="14"/>
      <c r="B97" s="61" t="s">
        <v>269</v>
      </c>
      <c r="C97" s="51"/>
      <c r="D97" s="122"/>
      <c r="F97" s="142"/>
      <c r="G97" s="51"/>
      <c r="K97" s="53" t="s">
        <v>120</v>
      </c>
      <c r="L97" s="53" t="s">
        <v>1</v>
      </c>
    </row>
    <row r="98" ht="12.800000000000001">
      <c r="A98" s="14" t="s">
        <v>1</v>
      </c>
      <c r="B98" s="61" t="s">
        <v>1</v>
      </c>
      <c r="C98" s="51" t="s">
        <v>270</v>
      </c>
      <c r="D98" s="122">
        <f>E3*D32/(1-D23/100)*((1-D35/100)/(1-D27/100)+D35/100)</f>
        <v>56725455.5750411</v>
      </c>
      <c r="E98" s="1" t="s">
        <v>107</v>
      </c>
      <c r="F98" s="1"/>
      <c r="G98" s="51" t="s">
        <v>271</v>
      </c>
      <c r="K98" s="53" t="s">
        <v>120</v>
      </c>
      <c r="L98" s="53" t="s">
        <v>1</v>
      </c>
    </row>
    <row r="99" ht="12.800000000000001">
      <c r="A99" s="14"/>
      <c r="B99" s="61" t="s">
        <v>1</v>
      </c>
      <c r="C99" s="51" t="s">
        <v>272</v>
      </c>
      <c r="D99" s="122">
        <f>D98*(1-D35/100)</f>
        <v>30921759.782524999</v>
      </c>
      <c r="E99" s="1" t="s">
        <v>107</v>
      </c>
      <c r="K99" s="53" t="s">
        <v>120</v>
      </c>
      <c r="L99" s="53" t="s">
        <v>1</v>
      </c>
    </row>
    <row r="100" ht="12.800000000000001">
      <c r="A100" s="14"/>
      <c r="B100" s="61" t="s">
        <v>1</v>
      </c>
      <c r="C100" s="51" t="s">
        <v>273</v>
      </c>
      <c r="D100" s="122">
        <f>D33*E3/(1-D23/100)</f>
        <v>87911030.769230798</v>
      </c>
      <c r="E100" s="1" t="s">
        <v>107</v>
      </c>
      <c r="G100" s="51" t="s">
        <v>274</v>
      </c>
      <c r="K100" s="53" t="s">
        <v>120</v>
      </c>
      <c r="L100" s="53" t="s">
        <v>1</v>
      </c>
    </row>
    <row r="101" ht="12.800000000000001">
      <c r="A101" s="14" t="s">
        <v>1</v>
      </c>
      <c r="B101" s="61" t="s">
        <v>1</v>
      </c>
      <c r="C101" s="51" t="s">
        <v>275</v>
      </c>
      <c r="D101" s="122">
        <f>(D100-D98)/(180*24)/1000*2</f>
        <v>14.4377662936063</v>
      </c>
      <c r="E101" s="1" t="s">
        <v>250</v>
      </c>
      <c r="G101" s="51" t="s">
        <v>276</v>
      </c>
      <c r="K101" s="53" t="s">
        <v>120</v>
      </c>
      <c r="L101" s="53" t="s">
        <v>1</v>
      </c>
    </row>
    <row r="102" ht="12.800000000000001">
      <c r="A102" s="14"/>
      <c r="B102" s="1"/>
      <c r="C102" s="51"/>
      <c r="D102" s="122"/>
      <c r="G102" s="51"/>
      <c r="K102" s="53" t="s">
        <v>120</v>
      </c>
      <c r="L102" s="53" t="s">
        <v>1</v>
      </c>
    </row>
    <row r="103" ht="12.800000000000001">
      <c r="A103" s="14" t="s">
        <v>1</v>
      </c>
      <c r="B103" s="61" t="s">
        <v>1</v>
      </c>
      <c r="C103" s="51" t="s">
        <v>277</v>
      </c>
      <c r="D103" s="122">
        <f>D99/D28/D60</f>
        <v>1265211.12039791</v>
      </c>
      <c r="E103" s="1" t="s">
        <v>278</v>
      </c>
      <c r="G103" s="51" t="s">
        <v>279</v>
      </c>
      <c r="K103" s="53" t="s">
        <v>120</v>
      </c>
      <c r="L103" s="53" t="s">
        <v>1</v>
      </c>
    </row>
    <row r="104" ht="12.800000000000001">
      <c r="A104" s="143" t="s">
        <v>1</v>
      </c>
      <c r="B104" s="4" t="s">
        <v>280</v>
      </c>
      <c r="C104" s="144" t="s">
        <v>281</v>
      </c>
      <c r="D104" s="145">
        <f>(4*D103/3.14)^(1/3)</f>
        <v>117.245931457848</v>
      </c>
      <c r="E104" s="4" t="s">
        <v>77</v>
      </c>
      <c r="F104" s="4" t="s">
        <v>1</v>
      </c>
      <c r="G104" s="144" t="s">
        <v>282</v>
      </c>
      <c r="H104" s="144"/>
      <c r="K104" s="53" t="s">
        <v>120</v>
      </c>
      <c r="L104" s="53" t="s">
        <v>1</v>
      </c>
    </row>
    <row r="105" ht="12.800000000000001">
      <c r="A105" s="143" t="s">
        <v>1</v>
      </c>
      <c r="B105" s="61" t="s">
        <v>1</v>
      </c>
      <c r="C105" s="144" t="s">
        <v>283</v>
      </c>
      <c r="D105" s="145">
        <v>116</v>
      </c>
      <c r="E105" s="4" t="s">
        <v>77</v>
      </c>
      <c r="F105" s="4" t="s">
        <v>1</v>
      </c>
      <c r="G105" s="144" t="s">
        <v>284</v>
      </c>
      <c r="H105" s="144"/>
      <c r="K105" s="53" t="s">
        <v>120</v>
      </c>
      <c r="L105" s="53" t="s">
        <v>1</v>
      </c>
    </row>
    <row r="106" s="53" customFormat="1" ht="12.800000000000001">
      <c r="A106" s="14"/>
      <c r="B106" s="61" t="s">
        <v>1</v>
      </c>
      <c r="C106" s="51" t="s">
        <v>285</v>
      </c>
      <c r="D106" s="122">
        <f>(D103/D105*4/PI())^0.5</f>
        <v>117.84402428521901</v>
      </c>
      <c r="E106" s="1" t="s">
        <v>77</v>
      </c>
      <c r="F106" s="53"/>
      <c r="G106" s="51" t="s">
        <v>286</v>
      </c>
      <c r="H106" s="51"/>
      <c r="K106" s="53" t="s">
        <v>120</v>
      </c>
      <c r="L106" s="53" t="s">
        <v>1</v>
      </c>
    </row>
    <row r="107" ht="12.800000000000001">
      <c r="A107" s="14"/>
      <c r="B107" s="61" t="s">
        <v>1</v>
      </c>
      <c r="C107" s="51" t="s">
        <v>287</v>
      </c>
      <c r="D107" s="122">
        <f>D106^2*PI()/4</f>
        <v>10906.9924172234</v>
      </c>
      <c r="E107" s="1" t="s">
        <v>43</v>
      </c>
      <c r="G107" s="51"/>
      <c r="K107" s="53" t="s">
        <v>120</v>
      </c>
      <c r="L107" s="53" t="s">
        <v>1</v>
      </c>
    </row>
    <row r="108" ht="12.800000000000001">
      <c r="A108" s="14" t="s">
        <v>1</v>
      </c>
      <c r="B108" s="61" t="s">
        <v>1</v>
      </c>
      <c r="C108" s="51" t="s">
        <v>288</v>
      </c>
      <c r="D108" s="141">
        <f>D107/D31/1000000*100</f>
        <v>0.13448076446718499</v>
      </c>
      <c r="E108" s="1" t="s">
        <v>27</v>
      </c>
      <c r="G108" s="51"/>
      <c r="K108" s="53" t="s">
        <v>120</v>
      </c>
      <c r="L108" s="53" t="s">
        <v>1</v>
      </c>
    </row>
    <row r="109" ht="12.800000000000001">
      <c r="A109" s="146"/>
      <c r="B109" s="61" t="s">
        <v>1</v>
      </c>
      <c r="C109" s="138" t="s">
        <v>289</v>
      </c>
      <c r="D109" s="122">
        <f>D52/D63*PI()/4*D106^2*(D61-D58)*24*365/1000</f>
        <v>960803.06994896301</v>
      </c>
      <c r="E109" s="1" t="s">
        <v>107</v>
      </c>
      <c r="F109" s="53"/>
      <c r="G109" s="51" t="s">
        <v>290</v>
      </c>
      <c r="H109" s="51"/>
      <c r="K109" s="53" t="s">
        <v>120</v>
      </c>
      <c r="L109" s="53" t="s">
        <v>1</v>
      </c>
    </row>
    <row r="110" ht="12.800000000000001">
      <c r="A110" s="146"/>
      <c r="B110" s="61" t="s">
        <v>1</v>
      </c>
      <c r="C110" s="138" t="s">
        <v>291</v>
      </c>
      <c r="D110" s="122">
        <v>5000000</v>
      </c>
      <c r="E110" s="1" t="s">
        <v>107</v>
      </c>
      <c r="F110" s="53"/>
      <c r="G110" s="51" t="s">
        <v>290</v>
      </c>
      <c r="H110" s="51"/>
      <c r="K110" s="53" t="s">
        <v>120</v>
      </c>
      <c r="L110" s="53" t="s">
        <v>1</v>
      </c>
    </row>
    <row r="111" ht="12.800000000000001">
      <c r="A111" s="146"/>
      <c r="B111" s="61" t="s">
        <v>1</v>
      </c>
      <c r="C111" s="138" t="s">
        <v>292</v>
      </c>
      <c r="D111" s="122">
        <f>PI()*((D106/2+40)^2-(D106/2+D62)^2)*D57*1000*4.2*((D61/2+D59)/3-D58)/3600</f>
        <v>45023.828915394697</v>
      </c>
      <c r="E111" s="1" t="s">
        <v>107</v>
      </c>
      <c r="F111" s="53" t="s">
        <v>1</v>
      </c>
      <c r="G111" s="51" t="s">
        <v>290</v>
      </c>
      <c r="H111" s="51"/>
      <c r="K111" s="53" t="s">
        <v>120</v>
      </c>
      <c r="L111" s="53" t="s">
        <v>1</v>
      </c>
    </row>
    <row r="112" ht="12.800000000000001">
      <c r="A112" s="146"/>
      <c r="B112" s="61" t="s">
        <v>1</v>
      </c>
      <c r="C112" s="138" t="s">
        <v>293</v>
      </c>
      <c r="D112" s="122">
        <f>((D105+40)*(D106+80)-(D105*D106))*(D53+D54)/2*365*D55/100*1000*4.2*((D61+D59)/3-D59)/3600</f>
        <v>362422.989076083</v>
      </c>
      <c r="E112" s="1" t="s">
        <v>107</v>
      </c>
      <c r="F112" s="53"/>
      <c r="G112" s="51" t="s">
        <v>290</v>
      </c>
      <c r="H112" s="51"/>
      <c r="K112" s="53" t="s">
        <v>120</v>
      </c>
      <c r="L112" s="53" t="s">
        <v>1</v>
      </c>
    </row>
    <row r="113" ht="12.800000000000001">
      <c r="A113" s="146"/>
      <c r="B113" s="61" t="s">
        <v>1</v>
      </c>
      <c r="C113" s="138" t="s">
        <v>294</v>
      </c>
      <c r="D113" s="122">
        <f>-D56*D105/1000/30*((-0.0040125*23^2-0.028625*23+1000.3875)-(-0.0040125*D59^2-0.028625*D59+1000.3875))*PI()*((D106/2+30)^2-(D106/2)^2)*1000*D55/100 *4.2 *(23-D59) *24*365</f>
        <v>608259.56930148799</v>
      </c>
      <c r="E113" s="1" t="s">
        <v>107</v>
      </c>
      <c r="F113" s="53"/>
      <c r="G113" s="51" t="s">
        <v>290</v>
      </c>
      <c r="H113" s="51"/>
      <c r="K113" s="53" t="s">
        <v>120</v>
      </c>
      <c r="L113" s="53" t="s">
        <v>1</v>
      </c>
    </row>
    <row r="114" ht="12.800000000000001">
      <c r="A114" s="51"/>
      <c r="B114" s="61" t="s">
        <v>1</v>
      </c>
      <c r="C114" s="51" t="s">
        <v>295</v>
      </c>
      <c r="D114" s="122">
        <f>SUM(D109:D113)</f>
        <v>6976509.4572419301</v>
      </c>
      <c r="E114" s="1" t="s">
        <v>296</v>
      </c>
      <c r="F114" s="147">
        <f>D114/D99</f>
        <v>0.225618124786824</v>
      </c>
      <c r="G114" s="51"/>
      <c r="K114" s="53" t="s">
        <v>120</v>
      </c>
      <c r="L114" s="53" t="s">
        <v>1</v>
      </c>
    </row>
    <row r="115" ht="12.800000000000001">
      <c r="A115" s="14"/>
      <c r="B115" s="61" t="s">
        <v>1</v>
      </c>
      <c r="C115" s="51" t="s">
        <v>297</v>
      </c>
      <c r="D115" s="122">
        <f>((D40*(D17*D19/100+D18*(1-D19/100))/D39*D92*E3-D34/365*E3)*18/24*3600/4.2/55/1000)</f>
        <v>5704.7530392769004</v>
      </c>
      <c r="E115" s="1" t="s">
        <v>278</v>
      </c>
      <c r="G115" s="133" t="s">
        <v>1</v>
      </c>
      <c r="H115" s="133" t="s">
        <v>1</v>
      </c>
      <c r="K115" s="53" t="s">
        <v>120</v>
      </c>
      <c r="L115" s="53" t="s">
        <v>1</v>
      </c>
    </row>
    <row r="116" ht="12.800000000000001">
      <c r="A116" s="14" t="s">
        <v>1</v>
      </c>
      <c r="B116" s="1"/>
      <c r="D116" s="122"/>
      <c r="G116" s="133"/>
      <c r="H116" s="133"/>
      <c r="K116" s="53" t="s">
        <v>120</v>
      </c>
      <c r="L116" s="53" t="s">
        <v>1</v>
      </c>
    </row>
    <row r="117" ht="12.800000000000001">
      <c r="A117" s="137"/>
      <c r="B117" s="2" t="s">
        <v>228</v>
      </c>
      <c r="C117" s="138" t="s">
        <v>298</v>
      </c>
      <c r="D117" s="122">
        <f>s!I32</f>
        <v>1347</v>
      </c>
      <c r="E117" s="1" t="s">
        <v>299</v>
      </c>
      <c r="G117" s="133"/>
      <c r="H117" s="133"/>
      <c r="K117" s="53" t="s">
        <v>120</v>
      </c>
      <c r="L117" s="53" t="s">
        <v>1</v>
      </c>
    </row>
    <row r="118" ht="12.800000000000001">
      <c r="A118" s="137"/>
      <c r="B118" s="148" t="str">
        <f>B117</f>
        <v>Verteilung</v>
      </c>
      <c r="C118" s="138" t="s">
        <v>300</v>
      </c>
      <c r="D118" s="122">
        <f>D31*1000000/D117</f>
        <v>6021.1194945684301</v>
      </c>
      <c r="E118" s="1" t="s">
        <v>43</v>
      </c>
      <c r="G118" s="133"/>
      <c r="H118" s="133"/>
      <c r="K118" s="53" t="s">
        <v>120</v>
      </c>
      <c r="L118" s="53" t="s">
        <v>1</v>
      </c>
    </row>
    <row r="119" ht="12.800000000000001">
      <c r="A119" s="137"/>
      <c r="B119" s="148" t="str">
        <f>B118</f>
        <v>Verteilung</v>
      </c>
      <c r="C119" s="138" t="s">
        <v>301</v>
      </c>
      <c r="D119" s="149">
        <f>D118^0.5</f>
        <v>77.595872922265798</v>
      </c>
      <c r="E119" s="1" t="s">
        <v>77</v>
      </c>
      <c r="G119" s="133"/>
      <c r="H119" s="133"/>
      <c r="K119" s="53" t="s">
        <v>120</v>
      </c>
      <c r="L119" s="53" t="s">
        <v>1</v>
      </c>
    </row>
    <row r="120" ht="12.800000000000001">
      <c r="A120" s="137"/>
      <c r="B120" s="148" t="str">
        <f>B119</f>
        <v>Verteilung</v>
      </c>
      <c r="C120" s="138" t="s">
        <v>302</v>
      </c>
      <c r="D120" s="122">
        <f>s!O34</f>
        <v>500.67857142857201</v>
      </c>
      <c r="E120" s="1" t="s">
        <v>303</v>
      </c>
      <c r="G120" s="133"/>
      <c r="H120" s="133"/>
      <c r="K120" s="53" t="s">
        <v>120</v>
      </c>
      <c r="L120" s="53" t="s">
        <v>1</v>
      </c>
    </row>
    <row r="121" ht="12.800000000000001">
      <c r="A121" s="137"/>
      <c r="B121" s="148" t="str">
        <f>B120</f>
        <v>Verteilung</v>
      </c>
      <c r="C121" s="138" t="s">
        <v>304</v>
      </c>
      <c r="D121" s="139">
        <f>D120/D119</f>
        <v>6.4523866099185803</v>
      </c>
      <c r="E121" s="1" t="s">
        <v>305</v>
      </c>
      <c r="G121" s="133"/>
      <c r="H121" s="133"/>
      <c r="K121" s="53" t="s">
        <v>120</v>
      </c>
      <c r="L121" s="53" t="s">
        <v>1</v>
      </c>
    </row>
    <row r="122" ht="12.800000000000001">
      <c r="A122" s="137"/>
      <c r="B122" s="148" t="str">
        <f>B121</f>
        <v>Verteilung</v>
      </c>
      <c r="C122" s="138" t="s">
        <v>306</v>
      </c>
      <c r="D122" s="149">
        <f>D117/D121</f>
        <v>208.759964557827</v>
      </c>
      <c r="E122" s="1" t="s">
        <v>307</v>
      </c>
      <c r="G122" s="133"/>
      <c r="H122" s="133"/>
      <c r="K122" s="53" t="s">
        <v>120</v>
      </c>
      <c r="L122" s="53" t="s">
        <v>1</v>
      </c>
    </row>
    <row r="123" ht="12.800000000000001">
      <c r="A123" s="137"/>
      <c r="B123" s="148" t="str">
        <f>B122</f>
        <v>Verteilung</v>
      </c>
      <c r="C123" s="138" t="s">
        <v>308</v>
      </c>
      <c r="D123" s="150">
        <f>s!I35</f>
        <v>5.5812917594654801</v>
      </c>
      <c r="E123" s="1"/>
      <c r="G123" s="133"/>
      <c r="H123" s="133"/>
      <c r="K123" s="53" t="s">
        <v>120</v>
      </c>
      <c r="L123" s="53" t="s">
        <v>1</v>
      </c>
    </row>
    <row r="124" ht="12.800000000000001">
      <c r="A124" s="137"/>
      <c r="B124" s="148" t="str">
        <f>B123</f>
        <v>Verteilung</v>
      </c>
      <c r="C124" s="138" t="s">
        <v>309</v>
      </c>
      <c r="D124" s="151">
        <f>D36/2*D123</f>
        <v>6.7004724146938299</v>
      </c>
      <c r="E124" s="1" t="s">
        <v>310</v>
      </c>
      <c r="G124" s="133"/>
      <c r="H124" s="133"/>
      <c r="K124" s="53" t="s">
        <v>120</v>
      </c>
      <c r="L124" s="53" t="s">
        <v>1</v>
      </c>
    </row>
    <row r="125" ht="12.800000000000001">
      <c r="A125" s="137"/>
      <c r="B125" s="148" t="str">
        <f>B124</f>
        <v>Verteilung</v>
      </c>
      <c r="C125" s="138" t="s">
        <v>311</v>
      </c>
      <c r="D125" s="125">
        <f>D124*2</f>
        <v>13.400944829387701</v>
      </c>
      <c r="E125" s="1" t="s">
        <v>310</v>
      </c>
      <c r="G125" s="133"/>
      <c r="H125" s="133"/>
      <c r="K125" s="53" t="s">
        <v>120</v>
      </c>
      <c r="L125" s="53" t="s">
        <v>1</v>
      </c>
    </row>
    <row r="126" ht="12.800000000000001">
      <c r="A126" s="137"/>
      <c r="B126" s="2"/>
      <c r="C126" s="138"/>
      <c r="D126" s="99"/>
      <c r="E126" s="1"/>
      <c r="G126" s="133"/>
      <c r="H126" s="133"/>
      <c r="K126" s="53" t="s">
        <v>120</v>
      </c>
      <c r="L126" s="53" t="s">
        <v>1</v>
      </c>
    </row>
    <row r="127" ht="12.800000000000001">
      <c r="A127" s="137"/>
      <c r="B127" s="152" t="s">
        <v>312</v>
      </c>
      <c r="C127" s="138" t="s">
        <v>313</v>
      </c>
      <c r="D127" s="149">
        <f>D120*D122/1000</f>
        <v>104.521640826292</v>
      </c>
      <c r="E127" s="1" t="s">
        <v>75</v>
      </c>
      <c r="G127" s="133"/>
      <c r="H127" s="133"/>
      <c r="K127" s="53" t="s">
        <v>120</v>
      </c>
      <c r="L127" s="53" t="s">
        <v>1</v>
      </c>
    </row>
    <row r="128" ht="12.800000000000001">
      <c r="A128" s="137"/>
      <c r="B128" s="148" t="str">
        <f>B127</f>
        <v>Unterverteilung</v>
      </c>
      <c r="C128" s="138" t="s">
        <v>314</v>
      </c>
      <c r="D128" s="127">
        <f>D127*1000/D7</f>
        <v>13.902851932201701</v>
      </c>
      <c r="E128" s="1" t="s">
        <v>315</v>
      </c>
      <c r="G128" s="133"/>
      <c r="H128" s="133"/>
      <c r="K128" s="53" t="s">
        <v>120</v>
      </c>
      <c r="L128" s="53" t="s">
        <v>1</v>
      </c>
    </row>
    <row r="129" ht="12.800000000000001">
      <c r="A129" s="137"/>
      <c r="B129" s="148" t="str">
        <f>B128</f>
        <v>Unterverteilung</v>
      </c>
      <c r="C129" s="138" t="s">
        <v>316</v>
      </c>
      <c r="D129" s="141">
        <f>u!I25*D122</f>
        <v>79.447791152256897</v>
      </c>
      <c r="E129" s="1" t="s">
        <v>310</v>
      </c>
      <c r="G129" s="133"/>
      <c r="H129" s="133"/>
      <c r="K129" s="53" t="s">
        <v>120</v>
      </c>
      <c r="L129" s="53" t="s">
        <v>1</v>
      </c>
    </row>
    <row r="130" ht="12.800000000000001">
      <c r="A130" s="137"/>
      <c r="B130" s="148" t="str">
        <f>B129</f>
        <v>Unterverteilung</v>
      </c>
      <c r="C130" s="138" t="s">
        <v>317</v>
      </c>
      <c r="D130" s="127">
        <f>u!I18*D122</f>
        <v>276.65327736092001</v>
      </c>
      <c r="E130" s="1" t="s">
        <v>310</v>
      </c>
      <c r="G130" s="133"/>
      <c r="H130" s="133"/>
      <c r="K130" s="53" t="s">
        <v>120</v>
      </c>
      <c r="L130" s="53" t="s">
        <v>1</v>
      </c>
    </row>
    <row r="131" ht="12.800000000000001">
      <c r="A131" s="137"/>
      <c r="B131" s="148" t="str">
        <f>B130</f>
        <v>Unterverteilung</v>
      </c>
      <c r="C131" s="138" t="s">
        <v>318</v>
      </c>
      <c r="D131" s="122">
        <f>u!L25*D122</f>
        <v>2851506.75932736</v>
      </c>
      <c r="E131" s="1" t="s">
        <v>107</v>
      </c>
      <c r="G131" s="133"/>
      <c r="H131" s="133"/>
      <c r="K131" s="53" t="s">
        <v>120</v>
      </c>
      <c r="L131" s="53" t="s">
        <v>1</v>
      </c>
    </row>
    <row r="132" ht="12.800000000000001">
      <c r="A132" s="137"/>
      <c r="B132" s="2"/>
      <c r="C132" s="138"/>
      <c r="D132" s="99"/>
      <c r="E132" s="1"/>
      <c r="G132" s="133"/>
      <c r="H132" s="133"/>
      <c r="K132" s="53" t="s">
        <v>120</v>
      </c>
      <c r="L132" s="53" t="s">
        <v>1</v>
      </c>
    </row>
    <row r="133" ht="12.800000000000001">
      <c r="A133" s="137"/>
      <c r="B133" s="152" t="s">
        <v>319</v>
      </c>
      <c r="C133" s="138" t="s">
        <v>320</v>
      </c>
      <c r="D133" s="122">
        <f>h!E32/1000</f>
        <v>27.670000000000002</v>
      </c>
      <c r="E133" s="1" t="s">
        <v>75</v>
      </c>
      <c r="G133" s="133"/>
      <c r="H133" s="133"/>
      <c r="K133" s="53" t="s">
        <v>120</v>
      </c>
      <c r="L133" s="53" t="s">
        <v>1</v>
      </c>
    </row>
    <row r="134" ht="12.800000000000001">
      <c r="A134" s="137"/>
      <c r="B134" s="148" t="str">
        <f>B133</f>
        <v>Hauptverteilung</v>
      </c>
      <c r="C134" s="138" t="s">
        <v>321</v>
      </c>
      <c r="D134" s="127">
        <f>h!E32/D7</f>
        <v>3.6805001330141001</v>
      </c>
      <c r="E134" s="1" t="s">
        <v>315</v>
      </c>
      <c r="G134" s="133"/>
      <c r="H134" s="133"/>
      <c r="K134" s="53" t="s">
        <v>120</v>
      </c>
      <c r="L134" s="53" t="s">
        <v>1</v>
      </c>
    </row>
    <row r="135" ht="12.800000000000001">
      <c r="A135" s="137"/>
      <c r="B135" s="148" t="str">
        <f>B134</f>
        <v>Hauptverteilung</v>
      </c>
      <c r="C135" s="138" t="s">
        <v>322</v>
      </c>
      <c r="D135" s="127">
        <f>h!K32</f>
        <v>91.285266129403198</v>
      </c>
      <c r="E135" s="1" t="s">
        <v>310</v>
      </c>
      <c r="G135" s="133"/>
      <c r="H135" s="133"/>
      <c r="K135" s="53" t="s">
        <v>120</v>
      </c>
      <c r="L135" s="53" t="s">
        <v>1</v>
      </c>
    </row>
    <row r="136" ht="12.800000000000001">
      <c r="A136" s="137"/>
      <c r="B136" s="148" t="str">
        <f>B135</f>
        <v>Hauptverteilung</v>
      </c>
      <c r="C136" s="138" t="s">
        <v>323</v>
      </c>
      <c r="D136" s="127">
        <f>h!L32</f>
        <v>690.88899244082302</v>
      </c>
      <c r="E136" s="1" t="s">
        <v>310</v>
      </c>
      <c r="G136" s="133"/>
      <c r="H136" s="133"/>
      <c r="K136" s="53" t="s">
        <v>120</v>
      </c>
      <c r="L136" s="53" t="s">
        <v>1</v>
      </c>
    </row>
    <row r="137" ht="12.800000000000001">
      <c r="A137" s="137"/>
      <c r="B137" s="148" t="str">
        <f>B136</f>
        <v>Hauptverteilung</v>
      </c>
      <c r="C137" s="138" t="s">
        <v>324</v>
      </c>
      <c r="D137" s="122">
        <f>h!Q32</f>
        <v>2014358.5662972999</v>
      </c>
      <c r="E137" s="1" t="s">
        <v>107</v>
      </c>
      <c r="G137" s="133"/>
      <c r="H137" s="133"/>
      <c r="K137" s="53" t="s">
        <v>120</v>
      </c>
      <c r="L137" s="53" t="s">
        <v>1</v>
      </c>
    </row>
    <row r="138" ht="12.800000000000001">
      <c r="A138" s="137"/>
      <c r="B138" s="152"/>
      <c r="C138" s="138"/>
      <c r="D138" s="99"/>
      <c r="E138" s="1"/>
      <c r="G138" s="133"/>
      <c r="H138" s="133"/>
      <c r="K138" s="53" t="s">
        <v>120</v>
      </c>
      <c r="L138" s="53" t="s">
        <v>1</v>
      </c>
    </row>
    <row r="139" ht="12.800000000000001">
      <c r="A139" s="137"/>
      <c r="B139" s="152" t="s">
        <v>325</v>
      </c>
      <c r="C139" s="138" t="s">
        <v>326</v>
      </c>
      <c r="D139" s="122">
        <f t="shared" ref="D139:D140" si="208">D129+D135</f>
        <v>170.73305728166</v>
      </c>
      <c r="E139" s="1" t="s">
        <v>310</v>
      </c>
      <c r="G139" s="133"/>
      <c r="H139" s="133"/>
      <c r="K139" s="53" t="s">
        <v>120</v>
      </c>
      <c r="L139" s="53" t="s">
        <v>1</v>
      </c>
    </row>
    <row r="140" ht="12.800000000000001">
      <c r="A140" s="137"/>
      <c r="B140" s="148" t="str">
        <f>B139</f>
        <v xml:space="preserve">Verteilung gesamt</v>
      </c>
      <c r="C140" s="138" t="s">
        <v>327</v>
      </c>
      <c r="D140" s="122">
        <f t="shared" si="208"/>
        <v>967.54226980174406</v>
      </c>
      <c r="E140" s="1" t="s">
        <v>310</v>
      </c>
      <c r="G140" s="133"/>
      <c r="H140" s="133"/>
      <c r="K140" s="53" t="s">
        <v>120</v>
      </c>
      <c r="L140" s="53" t="s">
        <v>1</v>
      </c>
    </row>
    <row r="141" ht="12.800000000000001">
      <c r="A141" s="137"/>
      <c r="B141" s="148" t="str">
        <f>B140</f>
        <v xml:space="preserve">Verteilung gesamt</v>
      </c>
      <c r="C141" s="138" t="s">
        <v>328</v>
      </c>
      <c r="D141" s="122">
        <f>D139/D7*1000</f>
        <v>22.7099038682708</v>
      </c>
      <c r="E141" s="1" t="s">
        <v>329</v>
      </c>
      <c r="G141" s="133"/>
      <c r="H141" s="133"/>
      <c r="K141" s="53" t="s">
        <v>120</v>
      </c>
      <c r="L141" s="53" t="s">
        <v>1</v>
      </c>
    </row>
    <row r="142" ht="12.800000000000001">
      <c r="A142" s="137"/>
      <c r="B142" s="148" t="str">
        <f>B141</f>
        <v xml:space="preserve">Verteilung gesamt</v>
      </c>
      <c r="C142" s="138" t="s">
        <v>330</v>
      </c>
      <c r="D142" s="122">
        <f>D140/D7*1000</f>
        <v>128.69676374058801</v>
      </c>
      <c r="E142" s="1" t="s">
        <v>329</v>
      </c>
      <c r="G142" s="133"/>
      <c r="H142" s="133"/>
      <c r="K142" s="53" t="s">
        <v>120</v>
      </c>
      <c r="L142" s="53" t="s">
        <v>1</v>
      </c>
    </row>
    <row r="143" ht="12.800000000000001">
      <c r="A143" s="137"/>
      <c r="B143" s="148" t="str">
        <f>B142</f>
        <v xml:space="preserve">Verteilung gesamt</v>
      </c>
      <c r="C143" s="138" t="s">
        <v>331</v>
      </c>
      <c r="D143" s="122">
        <f>D139*24*180</f>
        <v>737566.80745677196</v>
      </c>
      <c r="E143" s="1" t="s">
        <v>107</v>
      </c>
      <c r="G143" s="133"/>
      <c r="H143" s="133"/>
      <c r="K143" s="53" t="s">
        <v>120</v>
      </c>
      <c r="L143" s="53" t="s">
        <v>1</v>
      </c>
    </row>
    <row r="144" ht="12.800000000000001">
      <c r="A144" s="137"/>
      <c r="B144" s="148" t="str">
        <f>B143</f>
        <v xml:space="preserve">Verteilung gesamt</v>
      </c>
      <c r="C144" s="138" t="s">
        <v>332</v>
      </c>
      <c r="D144" s="122">
        <f>D143/D7</f>
        <v>98.10678471093</v>
      </c>
      <c r="E144" s="1" t="s">
        <v>139</v>
      </c>
      <c r="G144" s="133"/>
      <c r="H144" s="133"/>
      <c r="K144" s="53" t="s">
        <v>120</v>
      </c>
      <c r="L144" s="53" t="s">
        <v>1</v>
      </c>
    </row>
    <row r="145" ht="12.800000000000001">
      <c r="A145" s="137"/>
      <c r="B145" s="148" t="str">
        <f>B144</f>
        <v xml:space="preserve">Verteilung gesamt</v>
      </c>
      <c r="C145" s="138" t="s">
        <v>333</v>
      </c>
      <c r="D145" s="122">
        <f>D131+D137</f>
        <v>4865865.3256246597</v>
      </c>
      <c r="E145" s="1" t="s">
        <v>107</v>
      </c>
      <c r="G145" s="133"/>
      <c r="H145" s="133"/>
      <c r="K145" s="53" t="s">
        <v>120</v>
      </c>
      <c r="L145" s="53" t="s">
        <v>1</v>
      </c>
    </row>
    <row r="146" ht="12.800000000000001">
      <c r="A146" s="137"/>
      <c r="B146" s="148" t="str">
        <f>B145</f>
        <v xml:space="preserve">Verteilung gesamt</v>
      </c>
      <c r="C146" s="138" t="s">
        <v>334</v>
      </c>
      <c r="D146" s="122">
        <f>D145/D7</f>
        <v>647.228694549701</v>
      </c>
      <c r="E146" s="1" t="s">
        <v>139</v>
      </c>
      <c r="G146" s="133"/>
      <c r="H146" s="133"/>
      <c r="K146" s="53" t="s">
        <v>120</v>
      </c>
      <c r="L146" s="53" t="s">
        <v>1</v>
      </c>
    </row>
    <row r="147" ht="12.800000000000001">
      <c r="A147" s="137"/>
      <c r="B147" s="148" t="str">
        <f>B146</f>
        <v xml:space="preserve">Verteilung gesamt</v>
      </c>
      <c r="C147" s="138" t="s">
        <v>335</v>
      </c>
      <c r="D147" s="139">
        <f>D145/(E3*D32/(1-D23/100))*100</f>
        <v>9.9746293168103204</v>
      </c>
      <c r="E147" s="1" t="s">
        <v>27</v>
      </c>
      <c r="G147" s="133" t="s">
        <v>336</v>
      </c>
      <c r="H147" s="133"/>
      <c r="K147" s="53" t="s">
        <v>120</v>
      </c>
      <c r="L147" s="53" t="s">
        <v>1</v>
      </c>
    </row>
    <row r="148" ht="12.800000000000001">
      <c r="A148" s="137"/>
      <c r="B148" s="148" t="str">
        <f>B147</f>
        <v xml:space="preserve">Verteilung gesamt</v>
      </c>
      <c r="C148" s="138"/>
      <c r="D148" s="99"/>
      <c r="E148" s="1"/>
      <c r="G148" s="133"/>
      <c r="H148" s="133"/>
      <c r="K148" s="53" t="s">
        <v>120</v>
      </c>
      <c r="L148" s="53" t="s">
        <v>1</v>
      </c>
    </row>
    <row r="149" ht="12.800000000000001">
      <c r="A149" s="137"/>
      <c r="B149" s="148" t="str">
        <f>B148</f>
        <v xml:space="preserve">Verteilung gesamt</v>
      </c>
      <c r="C149" s="138" t="s">
        <v>337</v>
      </c>
      <c r="D149" s="122">
        <f>D143*1.3</f>
        <v>958836.849693803</v>
      </c>
      <c r="E149" s="1" t="s">
        <v>107</v>
      </c>
      <c r="G149" s="133"/>
      <c r="H149" s="133"/>
      <c r="K149" s="53" t="s">
        <v>120</v>
      </c>
      <c r="L149" s="53" t="s">
        <v>1</v>
      </c>
    </row>
    <row r="150" ht="12.800000000000001">
      <c r="A150" s="137"/>
      <c r="B150" s="148" t="str">
        <f>B149</f>
        <v xml:space="preserve">Verteilung gesamt</v>
      </c>
      <c r="C150" s="138" t="s">
        <v>338</v>
      </c>
      <c r="D150" s="122">
        <f>D149/D7</f>
        <v>127.538820124209</v>
      </c>
      <c r="E150" s="1" t="s">
        <v>139</v>
      </c>
      <c r="G150" s="133"/>
      <c r="H150" s="133"/>
      <c r="K150" s="53" t="s">
        <v>120</v>
      </c>
      <c r="L150" s="53" t="s">
        <v>1</v>
      </c>
    </row>
    <row r="151" ht="12.800000000000001">
      <c r="A151" s="137"/>
      <c r="B151" s="148" t="str">
        <f>B150</f>
        <v xml:space="preserve">Verteilung gesamt</v>
      </c>
      <c r="C151" s="138" t="s">
        <v>339</v>
      </c>
      <c r="D151" s="139">
        <f>D149/D98*100</f>
        <v>1.6903114130575401</v>
      </c>
      <c r="E151" s="1" t="s">
        <v>27</v>
      </c>
      <c r="G151" s="133"/>
      <c r="H151" s="133"/>
      <c r="K151" s="53" t="s">
        <v>120</v>
      </c>
      <c r="L151" s="53" t="s">
        <v>1</v>
      </c>
    </row>
    <row r="152" ht="12.800000000000001">
      <c r="A152" s="14"/>
      <c r="B152" s="1" t="s">
        <v>340</v>
      </c>
      <c r="C152" s="51"/>
      <c r="D152" s="122"/>
      <c r="E152" s="1"/>
      <c r="F152" s="1"/>
      <c r="G152" s="51"/>
      <c r="K152" s="53" t="s">
        <v>120</v>
      </c>
      <c r="L152" s="53" t="s">
        <v>1</v>
      </c>
    </row>
    <row r="153" ht="12.800000000000001">
      <c r="A153" s="14"/>
      <c r="B153" s="1" t="s">
        <v>1</v>
      </c>
      <c r="C153" s="51" t="s">
        <v>341</v>
      </c>
      <c r="D153" s="122">
        <f>D114</f>
        <v>6976509.4572419301</v>
      </c>
      <c r="E153" s="1" t="s">
        <v>107</v>
      </c>
      <c r="F153" s="1"/>
      <c r="G153" s="51"/>
      <c r="K153" s="53" t="s">
        <v>120</v>
      </c>
      <c r="L153" s="53" t="s">
        <v>1</v>
      </c>
    </row>
    <row r="154" ht="12.800000000000001">
      <c r="A154" s="14"/>
      <c r="B154" s="1" t="s">
        <v>1</v>
      </c>
      <c r="C154" s="51" t="s">
        <v>333</v>
      </c>
      <c r="D154" s="122">
        <f>D145</f>
        <v>4865865.3256246597</v>
      </c>
      <c r="E154" s="1" t="s">
        <v>107</v>
      </c>
      <c r="F154" s="1"/>
      <c r="G154" s="51" t="s">
        <v>1</v>
      </c>
      <c r="K154" s="53" t="s">
        <v>120</v>
      </c>
      <c r="L154" s="53" t="s">
        <v>1</v>
      </c>
    </row>
    <row r="155" ht="12.800000000000001">
      <c r="A155" s="153"/>
      <c r="B155" s="154" t="s">
        <v>1</v>
      </c>
      <c r="C155" s="155" t="s">
        <v>342</v>
      </c>
      <c r="D155" s="156">
        <f>SUM(D153:D154)</f>
        <v>11842374.782866601</v>
      </c>
      <c r="E155" s="154" t="s">
        <v>107</v>
      </c>
      <c r="F155" s="154"/>
      <c r="G155" s="155"/>
      <c r="H155" s="155"/>
      <c r="K155" s="53" t="s">
        <v>120</v>
      </c>
      <c r="L155" s="53" t="s">
        <v>1</v>
      </c>
    </row>
    <row r="156" ht="12.800000000000001">
      <c r="A156" s="14"/>
      <c r="B156" s="1"/>
      <c r="C156" s="51"/>
      <c r="D156" s="122"/>
      <c r="E156" s="1"/>
      <c r="F156" s="1"/>
      <c r="G156" s="51"/>
      <c r="K156" s="53" t="s">
        <v>120</v>
      </c>
      <c r="L156" s="53" t="s">
        <v>1</v>
      </c>
    </row>
    <row r="157" ht="12.800000000000001">
      <c r="A157" s="14"/>
      <c r="B157" s="1" t="s">
        <v>1</v>
      </c>
      <c r="C157" s="51" t="s">
        <v>341</v>
      </c>
      <c r="D157" s="139">
        <f t="shared" ref="D157:D159" si="209">D153/D$98*100</f>
        <v>12.2987279458917</v>
      </c>
      <c r="E157" s="1" t="s">
        <v>27</v>
      </c>
      <c r="F157" s="1"/>
      <c r="G157" s="51"/>
      <c r="K157" s="53" t="s">
        <v>120</v>
      </c>
      <c r="L157" s="53" t="s">
        <v>1</v>
      </c>
    </row>
    <row r="158" ht="12.800000000000001">
      <c r="A158" s="14"/>
      <c r="B158" s="1" t="s">
        <v>1</v>
      </c>
      <c r="C158" s="51" t="s">
        <v>343</v>
      </c>
      <c r="D158" s="139">
        <f t="shared" si="209"/>
        <v>8.5779219863429592</v>
      </c>
      <c r="E158" s="1" t="s">
        <v>27</v>
      </c>
      <c r="F158" s="1"/>
      <c r="G158" s="51"/>
      <c r="K158" s="53" t="s">
        <v>120</v>
      </c>
      <c r="L158" s="53" t="s">
        <v>1</v>
      </c>
    </row>
    <row r="159" ht="12.800000000000001">
      <c r="A159" s="153" t="s">
        <v>1</v>
      </c>
      <c r="B159" s="154" t="s">
        <v>1</v>
      </c>
      <c r="C159" s="155" t="s">
        <v>344</v>
      </c>
      <c r="D159" s="157">
        <f t="shared" si="209"/>
        <v>20.876649932234599</v>
      </c>
      <c r="E159" s="154" t="s">
        <v>27</v>
      </c>
      <c r="F159" s="154"/>
      <c r="G159" s="155"/>
      <c r="H159" s="155"/>
      <c r="K159" s="53" t="s">
        <v>120</v>
      </c>
      <c r="L159" s="53" t="s">
        <v>1</v>
      </c>
    </row>
    <row r="160" s="53" customFormat="1" ht="12.800000000000001">
      <c r="A160" s="14" t="s">
        <v>345</v>
      </c>
      <c r="B160" s="1" t="s">
        <v>346</v>
      </c>
      <c r="C160" s="51"/>
      <c r="D160" s="125"/>
      <c r="E160" s="1"/>
      <c r="F160" s="1"/>
      <c r="G160" s="51"/>
      <c r="H160" s="51"/>
      <c r="K160" s="53" t="s">
        <v>120</v>
      </c>
      <c r="L160" s="53" t="s">
        <v>1</v>
      </c>
    </row>
    <row r="161" ht="12.800000000000001">
      <c r="A161" s="14"/>
      <c r="B161" s="1" t="s">
        <v>1</v>
      </c>
      <c r="C161" s="51" t="s">
        <v>347</v>
      </c>
      <c r="D161" s="158">
        <v>0.050000000000000003</v>
      </c>
      <c r="E161" s="1" t="s">
        <v>348</v>
      </c>
      <c r="G161" s="51"/>
      <c r="K161" s="53" t="s">
        <v>120</v>
      </c>
      <c r="L161" s="53" t="s">
        <v>1</v>
      </c>
    </row>
    <row r="162" ht="12.800000000000001">
      <c r="A162" s="16" t="s">
        <v>1</v>
      </c>
      <c r="B162" s="1" t="s">
        <v>1</v>
      </c>
      <c r="C162" s="51" t="s">
        <v>349</v>
      </c>
      <c r="D162" s="158">
        <v>0.22</v>
      </c>
      <c r="E162" s="1" t="s">
        <v>348</v>
      </c>
      <c r="F162" s="1"/>
      <c r="K162" s="53" t="s">
        <v>120</v>
      </c>
      <c r="L162" s="53" t="s">
        <v>1</v>
      </c>
    </row>
    <row r="163" ht="12.800000000000001">
      <c r="A163" s="16"/>
      <c r="B163" s="1" t="s">
        <v>1</v>
      </c>
      <c r="C163" s="51" t="s">
        <v>350</v>
      </c>
      <c r="D163" s="158">
        <v>0.050000000000000003</v>
      </c>
      <c r="E163" s="1" t="s">
        <v>348</v>
      </c>
      <c r="F163" s="1"/>
      <c r="K163" s="53" t="s">
        <v>120</v>
      </c>
      <c r="L163" s="53" t="s">
        <v>1</v>
      </c>
    </row>
    <row r="164" ht="12.800000000000001">
      <c r="A164" s="16"/>
      <c r="B164" s="1" t="s">
        <v>1</v>
      </c>
      <c r="C164" s="51" t="s">
        <v>351</v>
      </c>
      <c r="D164" s="126">
        <v>160</v>
      </c>
      <c r="E164" s="1" t="s">
        <v>352</v>
      </c>
      <c r="F164" s="1"/>
      <c r="G164" s="62" t="s">
        <v>353</v>
      </c>
      <c r="H164" s="51" t="s">
        <v>354</v>
      </c>
      <c r="K164" s="53" t="s">
        <v>120</v>
      </c>
      <c r="L164" s="53" t="s">
        <v>1</v>
      </c>
    </row>
    <row r="165" ht="12.800000000000001">
      <c r="A165" s="16"/>
      <c r="B165" s="1"/>
      <c r="D165" s="99"/>
      <c r="E165" s="1"/>
      <c r="F165" s="1"/>
      <c r="K165" s="53" t="s">
        <v>120</v>
      </c>
      <c r="L165" s="53" t="s">
        <v>1</v>
      </c>
    </row>
    <row r="166" ht="12.800000000000001">
      <c r="A166" s="16" t="s">
        <v>1</v>
      </c>
      <c r="B166" s="1" t="s">
        <v>355</v>
      </c>
      <c r="C166" s="51" t="s">
        <v>356</v>
      </c>
      <c r="D166" s="122">
        <f>PI()/4*(D106+D62*2)^2*(D68+D67*D63)</f>
        <v>408899.26644686703</v>
      </c>
      <c r="E166" s="1" t="s">
        <v>226</v>
      </c>
      <c r="G166" s="76" t="s">
        <v>1</v>
      </c>
      <c r="H166" s="133"/>
      <c r="K166" s="53" t="s">
        <v>120</v>
      </c>
      <c r="L166" s="53" t="s">
        <v>1</v>
      </c>
    </row>
    <row r="167" ht="12.800000000000001">
      <c r="A167" s="14"/>
      <c r="B167" s="159" t="str">
        <f>B166</f>
        <v>Investition</v>
      </c>
      <c r="C167" s="51" t="s">
        <v>357</v>
      </c>
      <c r="D167" s="122">
        <f>D65*D70*(1-D71/100)</f>
        <v>604892.61161772197</v>
      </c>
      <c r="E167" s="1" t="s">
        <v>226</v>
      </c>
      <c r="G167" s="76" t="s">
        <v>1</v>
      </c>
      <c r="H167" s="51"/>
      <c r="K167" s="53" t="s">
        <v>120</v>
      </c>
      <c r="L167" s="53" t="s">
        <v>1</v>
      </c>
    </row>
    <row r="168" ht="12.800000000000001">
      <c r="A168" s="14"/>
      <c r="B168" s="159" t="str">
        <f>B167</f>
        <v>Investition</v>
      </c>
      <c r="C168" s="51" t="s">
        <v>358</v>
      </c>
      <c r="D168" s="122">
        <f>PI()*D106*D105*D69</f>
        <v>3435622.3065450201</v>
      </c>
      <c r="E168" s="1" t="s">
        <v>226</v>
      </c>
      <c r="F168" s="1"/>
      <c r="G168" s="76" t="s">
        <v>1</v>
      </c>
      <c r="H168" s="51"/>
      <c r="K168" s="53" t="s">
        <v>120</v>
      </c>
      <c r="L168" s="53" t="s">
        <v>1</v>
      </c>
    </row>
    <row r="169" ht="12.800000000000001">
      <c r="A169" s="14"/>
      <c r="B169" s="159" t="str">
        <f>B168</f>
        <v>Investition</v>
      </c>
      <c r="C169" s="51" t="s">
        <v>359</v>
      </c>
      <c r="D169" s="122">
        <f>D72*D115*2</f>
        <v>1140950.60785538</v>
      </c>
      <c r="E169" s="1" t="s">
        <v>226</v>
      </c>
      <c r="F169" s="1"/>
      <c r="G169" s="76" t="s">
        <v>360</v>
      </c>
      <c r="H169" s="51"/>
      <c r="K169" s="53" t="s">
        <v>120</v>
      </c>
      <c r="L169" s="53" t="s">
        <v>1</v>
      </c>
    </row>
    <row r="170" ht="12.800000000000001">
      <c r="A170" s="14"/>
      <c r="B170" s="159" t="str">
        <f>B169</f>
        <v>Investition</v>
      </c>
      <c r="C170" s="51" t="s">
        <v>361</v>
      </c>
      <c r="D170" s="122">
        <f>D73</f>
        <v>400000</v>
      </c>
      <c r="E170" s="1" t="s">
        <v>226</v>
      </c>
      <c r="F170" s="1">
        <f>F73</f>
        <v>50</v>
      </c>
      <c r="G170" s="76" t="s">
        <v>1</v>
      </c>
      <c r="H170" s="51"/>
      <c r="K170" s="53" t="s">
        <v>120</v>
      </c>
      <c r="L170" s="53" t="s">
        <v>1</v>
      </c>
    </row>
    <row r="171" ht="12.800000000000001">
      <c r="A171" s="16"/>
      <c r="B171" s="159" t="str">
        <f>B170</f>
        <v>Investition</v>
      </c>
      <c r="C171" s="19" t="s">
        <v>362</v>
      </c>
      <c r="D171" s="160">
        <f>SUM(D166:D170)</f>
        <v>5990364.7924649799</v>
      </c>
      <c r="E171" s="1" t="s">
        <v>226</v>
      </c>
      <c r="F171" s="161">
        <v>50</v>
      </c>
      <c r="G171" s="51"/>
      <c r="H171" s="51"/>
      <c r="K171" s="53" t="s">
        <v>120</v>
      </c>
      <c r="L171" s="53" t="s">
        <v>1</v>
      </c>
    </row>
    <row r="172" ht="12.800000000000001">
      <c r="A172" s="14" t="s">
        <v>1</v>
      </c>
      <c r="B172" s="159" t="str">
        <f>B171</f>
        <v>Investition</v>
      </c>
      <c r="C172" s="51" t="s">
        <v>363</v>
      </c>
      <c r="D172" s="122">
        <f>D130*D80</f>
        <v>59757.107909958802</v>
      </c>
      <c r="E172" s="1" t="s">
        <v>226</v>
      </c>
      <c r="F172" s="1">
        <f>F80</f>
        <v>20</v>
      </c>
      <c r="G172" s="51"/>
      <c r="H172" s="51"/>
      <c r="K172" s="53" t="s">
        <v>120</v>
      </c>
      <c r="L172" s="53" t="s">
        <v>1</v>
      </c>
    </row>
    <row r="173" ht="12.800000000000001">
      <c r="A173" s="14"/>
      <c r="B173" s="159" t="str">
        <f>B172</f>
        <v>Investition</v>
      </c>
      <c r="C173" s="51" t="s">
        <v>364</v>
      </c>
      <c r="D173" s="122">
        <f>D136*D80</f>
        <v>149232.02236721801</v>
      </c>
      <c r="E173" s="1" t="s">
        <v>226</v>
      </c>
      <c r="F173" s="1">
        <f>F80</f>
        <v>20</v>
      </c>
      <c r="G173" s="51"/>
      <c r="H173" s="51"/>
      <c r="K173" s="53" t="s">
        <v>120</v>
      </c>
      <c r="L173" s="53" t="s">
        <v>1</v>
      </c>
    </row>
    <row r="174" ht="12.800000000000001">
      <c r="A174" s="14"/>
      <c r="B174" s="159" t="str">
        <f>B173</f>
        <v>Investition</v>
      </c>
      <c r="C174" s="51" t="s">
        <v>151</v>
      </c>
      <c r="D174" s="122">
        <f>D89*(D41*D19/100+D42*(1-D19/100))*(1-D46/100)</f>
        <v>29382799.195733599</v>
      </c>
      <c r="E174" s="1" t="s">
        <v>226</v>
      </c>
      <c r="F174" s="48">
        <f>F41</f>
        <v>25</v>
      </c>
      <c r="G174" s="51"/>
      <c r="H174" s="51"/>
      <c r="K174" s="53" t="s">
        <v>120</v>
      </c>
      <c r="L174" s="53" t="s">
        <v>1</v>
      </c>
    </row>
    <row r="175" ht="12.800000000000001">
      <c r="A175" s="14"/>
      <c r="B175" s="159" t="str">
        <f>B174</f>
        <v>Investition</v>
      </c>
      <c r="C175" s="51" t="s">
        <v>365</v>
      </c>
      <c r="D175" s="122">
        <f>D89*D45*(1-D46/100)</f>
        <v>28357116.266929802</v>
      </c>
      <c r="E175" s="1" t="s">
        <v>226</v>
      </c>
      <c r="F175" s="48">
        <f>F45</f>
        <v>40</v>
      </c>
      <c r="G175" s="51"/>
      <c r="K175" s="53" t="s">
        <v>120</v>
      </c>
      <c r="L175" s="53" t="s">
        <v>1</v>
      </c>
    </row>
    <row r="176" ht="12.800000000000001">
      <c r="A176" s="14"/>
      <c r="B176" s="159" t="str">
        <f>B175</f>
        <v>Investition</v>
      </c>
      <c r="C176" s="51" t="s">
        <v>366</v>
      </c>
      <c r="D176" s="122">
        <f>D48*D49*E3</f>
        <v>0</v>
      </c>
      <c r="E176" s="1" t="s">
        <v>226</v>
      </c>
      <c r="F176" s="48">
        <f>F49</f>
        <v>25</v>
      </c>
      <c r="G176" s="51"/>
      <c r="K176" s="53" t="s">
        <v>120</v>
      </c>
      <c r="L176" s="53" t="s">
        <v>1</v>
      </c>
    </row>
    <row r="177" ht="12.800000000000001">
      <c r="A177" s="14"/>
      <c r="B177" s="159" t="str">
        <f>B176</f>
        <v>Investition</v>
      </c>
      <c r="C177" s="51" t="s">
        <v>367</v>
      </c>
      <c r="D177" s="122">
        <f>D47*D93*1000000</f>
        <v>259248.90204141199</v>
      </c>
      <c r="E177" s="1" t="s">
        <v>226</v>
      </c>
      <c r="F177" s="56">
        <v>100</v>
      </c>
      <c r="G177" s="51"/>
      <c r="H177" s="51"/>
      <c r="K177" s="53" t="s">
        <v>120</v>
      </c>
      <c r="L177" s="53" t="s">
        <v>1</v>
      </c>
    </row>
    <row r="178" ht="12.800000000000001">
      <c r="A178" s="14"/>
      <c r="B178" s="159" t="str">
        <f>B177</f>
        <v>Investition</v>
      </c>
      <c r="C178" s="51" t="s">
        <v>368</v>
      </c>
      <c r="D178" s="122">
        <f>(D76*D127*1000)+D77*D117</f>
        <v>27475141.263436802</v>
      </c>
      <c r="E178" s="1" t="s">
        <v>226</v>
      </c>
      <c r="F178" s="48">
        <f>F77</f>
        <v>25</v>
      </c>
      <c r="G178" s="51"/>
      <c r="H178" s="51"/>
      <c r="K178" s="53" t="s">
        <v>120</v>
      </c>
      <c r="L178" s="53" t="s">
        <v>1</v>
      </c>
    </row>
    <row r="179" ht="12.800000000000001">
      <c r="A179" s="14"/>
      <c r="B179" s="159" t="str">
        <f>B178</f>
        <v>Investition</v>
      </c>
      <c r="C179" s="51" t="s">
        <v>369</v>
      </c>
      <c r="D179" s="122">
        <f>D75*D133*1000</f>
        <v>13835000</v>
      </c>
      <c r="E179" s="1" t="s">
        <v>226</v>
      </c>
      <c r="F179" s="48">
        <f>F75</f>
        <v>25</v>
      </c>
      <c r="G179" s="51"/>
      <c r="H179" s="51"/>
      <c r="K179" s="53" t="s">
        <v>120</v>
      </c>
      <c r="L179" s="53" t="s">
        <v>1</v>
      </c>
    </row>
    <row r="180" ht="12.800000000000001">
      <c r="A180" s="14" t="s">
        <v>1</v>
      </c>
      <c r="B180" s="159" t="str">
        <f>B179</f>
        <v>Investition</v>
      </c>
      <c r="C180" s="51" t="s">
        <v>370</v>
      </c>
      <c r="D180" s="122">
        <f>D86*1000000</f>
        <v>5399961.2785021104</v>
      </c>
      <c r="E180" s="1" t="s">
        <v>226</v>
      </c>
      <c r="F180" s="48">
        <f>F81</f>
        <v>30</v>
      </c>
      <c r="G180" s="51"/>
      <c r="H180" s="51"/>
      <c r="K180" s="53" t="s">
        <v>120</v>
      </c>
      <c r="L180" s="53" t="s">
        <v>1</v>
      </c>
    </row>
    <row r="181" ht="12.800000000000001">
      <c r="A181" s="16" t="s">
        <v>1</v>
      </c>
      <c r="B181" s="159" t="str">
        <f>B180</f>
        <v>Investition</v>
      </c>
      <c r="C181" s="19" t="s">
        <v>371</v>
      </c>
      <c r="D181" s="160">
        <f>SUM(171:180)/(1-D37/100)</f>
        <v>138636226.03673235</v>
      </c>
      <c r="E181" s="1" t="s">
        <v>226</v>
      </c>
      <c r="F181" s="48"/>
      <c r="G181" s="51"/>
      <c r="H181" s="51"/>
      <c r="K181" s="53" t="s">
        <v>120</v>
      </c>
      <c r="L181" s="53" t="s">
        <v>1</v>
      </c>
    </row>
    <row r="182" ht="12.800000000000001">
      <c r="A182" s="16" t="s">
        <v>1</v>
      </c>
      <c r="B182" s="1"/>
      <c r="C182" s="51"/>
      <c r="D182" s="122"/>
      <c r="E182" s="1"/>
      <c r="F182" s="48"/>
      <c r="G182" s="51"/>
      <c r="H182" s="51"/>
      <c r="K182" s="53" t="s">
        <v>120</v>
      </c>
      <c r="L182" s="53" t="s">
        <v>1</v>
      </c>
    </row>
    <row r="183" ht="12.800000000000001">
      <c r="A183" s="16"/>
      <c r="B183" s="1" t="s">
        <v>372</v>
      </c>
      <c r="C183" s="51" t="s">
        <v>373</v>
      </c>
      <c r="D183" s="122">
        <f>D149*D162</f>
        <v>210944.10693263699</v>
      </c>
      <c r="E183" s="1" t="s">
        <v>374</v>
      </c>
      <c r="F183" s="1" t="s">
        <v>1</v>
      </c>
      <c r="G183" s="51"/>
      <c r="H183" s="51"/>
      <c r="K183" s="53" t="s">
        <v>120</v>
      </c>
      <c r="L183" s="53" t="s">
        <v>1</v>
      </c>
    </row>
    <row r="184" ht="12.800000000000001">
      <c r="A184" s="16"/>
      <c r="B184" s="159" t="str">
        <f>B183</f>
        <v xml:space="preserve">laufende Kosten</v>
      </c>
      <c r="C184" s="51" t="s">
        <v>375</v>
      </c>
      <c r="D184" s="122">
        <f>(D100-D98)*(100/(100-D84))*D161</f>
        <v>2556194.6880483399</v>
      </c>
      <c r="E184" s="1" t="s">
        <v>374</v>
      </c>
      <c r="F184" s="48" t="s">
        <v>1</v>
      </c>
      <c r="G184" s="51"/>
      <c r="H184" s="51"/>
      <c r="K184" s="53" t="s">
        <v>120</v>
      </c>
      <c r="L184" s="53" t="s">
        <v>1</v>
      </c>
    </row>
    <row r="185" ht="12.800000000000001">
      <c r="A185" s="16"/>
      <c r="B185" s="159" t="str">
        <f>B184</f>
        <v xml:space="preserve">laufende Kosten</v>
      </c>
      <c r="C185" s="51" t="s">
        <v>376</v>
      </c>
      <c r="D185" s="122">
        <f>-(D100-D98)*(D84/(100-D84))*D163</f>
        <v>-996915.92833885201</v>
      </c>
      <c r="E185" s="1" t="s">
        <v>374</v>
      </c>
      <c r="F185" s="48" t="s">
        <v>1</v>
      </c>
      <c r="G185" s="51" t="s">
        <v>377</v>
      </c>
      <c r="H185" s="51"/>
      <c r="K185" s="53" t="s">
        <v>120</v>
      </c>
      <c r="L185" s="53" t="s">
        <v>1</v>
      </c>
    </row>
    <row r="186" ht="12.800000000000001">
      <c r="A186" s="16"/>
      <c r="B186" s="159" t="str">
        <f>B185</f>
        <v xml:space="preserve">laufende Kosten</v>
      </c>
      <c r="C186" s="51" t="s">
        <v>378</v>
      </c>
      <c r="D186" s="122">
        <f>D87*D78</f>
        <v>18051.072685185201</v>
      </c>
      <c r="E186" s="1" t="s">
        <v>374</v>
      </c>
      <c r="F186" s="1" t="s">
        <v>1</v>
      </c>
      <c r="G186" s="51" t="s">
        <v>1</v>
      </c>
      <c r="H186" s="51"/>
      <c r="K186" s="53" t="s">
        <v>120</v>
      </c>
      <c r="L186" s="53" t="s">
        <v>1</v>
      </c>
    </row>
    <row r="187" ht="12.800000000000001">
      <c r="A187" s="16" t="s">
        <v>1</v>
      </c>
      <c r="B187" s="159" t="str">
        <f>B186</f>
        <v xml:space="preserve">laufende Kosten</v>
      </c>
      <c r="C187" s="51" t="s">
        <v>379</v>
      </c>
      <c r="D187" s="122">
        <f>D164/1.97*E3</f>
        <v>610598.98477157403</v>
      </c>
      <c r="E187" s="1" t="s">
        <v>374</v>
      </c>
      <c r="F187" s="1"/>
      <c r="G187" s="53" t="s">
        <v>380</v>
      </c>
      <c r="H187" s="162"/>
      <c r="K187" s="53" t="s">
        <v>120</v>
      </c>
      <c r="L187" s="53" t="s">
        <v>1</v>
      </c>
    </row>
    <row r="188" ht="12.800000000000001">
      <c r="A188" s="16"/>
      <c r="B188" s="1"/>
      <c r="C188" s="51"/>
      <c r="D188" s="122" t="s">
        <v>1</v>
      </c>
      <c r="E188" s="1"/>
      <c r="F188" s="1"/>
      <c r="G188" s="108"/>
      <c r="H188" s="51"/>
      <c r="K188" s="53" t="s">
        <v>120</v>
      </c>
      <c r="L188" s="53" t="s">
        <v>1</v>
      </c>
    </row>
    <row r="189" ht="13.699999999999999" customHeight="1">
      <c r="A189" s="16"/>
      <c r="B189" s="61" t="s">
        <v>381</v>
      </c>
      <c r="C189" s="51" t="s">
        <v>362</v>
      </c>
      <c r="D189" s="127">
        <f t="shared" ref="D189:D198" si="210">D171/F171/E$3</f>
        <v>15.936059570271301</v>
      </c>
      <c r="E189" s="1" t="s">
        <v>51</v>
      </c>
      <c r="F189" s="1" t="s">
        <v>382</v>
      </c>
      <c r="G189" s="163">
        <f t="shared" ref="G189:G198" si="211">D189/D$210</f>
        <v>0.021896759821409598</v>
      </c>
      <c r="H189" s="51" t="s">
        <v>383</v>
      </c>
      <c r="K189" s="53" t="s">
        <v>120</v>
      </c>
      <c r="L189" s="53" t="s">
        <v>1</v>
      </c>
    </row>
    <row r="190" ht="12.800000000000001">
      <c r="A190" s="16"/>
      <c r="B190" s="164" t="s">
        <v>381</v>
      </c>
      <c r="C190" s="51" t="s">
        <v>363</v>
      </c>
      <c r="D190" s="127">
        <f t="shared" si="210"/>
        <v>0.39742689485207999</v>
      </c>
      <c r="E190" s="1" t="s">
        <v>51</v>
      </c>
      <c r="F190" s="1" t="s">
        <v>382</v>
      </c>
      <c r="G190" s="163">
        <f t="shared" si="211"/>
        <v>0.00054607986527477901</v>
      </c>
      <c r="H190" s="51" t="s">
        <v>383</v>
      </c>
      <c r="K190" s="53" t="s">
        <v>120</v>
      </c>
      <c r="L190" s="53" t="s">
        <v>1</v>
      </c>
    </row>
    <row r="191" ht="12.800000000000001">
      <c r="A191" s="16"/>
      <c r="B191" s="164" t="s">
        <v>381</v>
      </c>
      <c r="C191" s="51" t="s">
        <v>364</v>
      </c>
      <c r="D191" s="127">
        <f t="shared" si="210"/>
        <v>0.99249815354627402</v>
      </c>
      <c r="E191" s="1" t="s">
        <v>51</v>
      </c>
      <c r="F191" s="1" t="s">
        <v>382</v>
      </c>
      <c r="G191" s="163">
        <f t="shared" si="211"/>
        <v>0.0013637307011538299</v>
      </c>
      <c r="H191" s="51" t="s">
        <v>383</v>
      </c>
      <c r="K191" s="53" t="s">
        <v>120</v>
      </c>
      <c r="L191" s="53" t="s">
        <v>1</v>
      </c>
    </row>
    <row r="192" ht="12.800000000000001">
      <c r="A192" s="16"/>
      <c r="B192" s="164" t="s">
        <v>381</v>
      </c>
      <c r="C192" s="51" t="s">
        <v>151</v>
      </c>
      <c r="D192" s="127">
        <f t="shared" si="210"/>
        <v>156.33306302598399</v>
      </c>
      <c r="E192" s="1" t="s">
        <v>51</v>
      </c>
      <c r="F192" s="1" t="s">
        <v>382</v>
      </c>
      <c r="G192" s="163">
        <f t="shared" si="211"/>
        <v>0.21480765167389301</v>
      </c>
      <c r="H192" s="51" t="s">
        <v>383</v>
      </c>
      <c r="K192" s="53" t="s">
        <v>120</v>
      </c>
      <c r="L192" s="53" t="s">
        <v>1</v>
      </c>
    </row>
    <row r="193" ht="12.800000000000001">
      <c r="A193" s="16"/>
      <c r="B193" s="164" t="s">
        <v>381</v>
      </c>
      <c r="C193" s="51" t="s">
        <v>365</v>
      </c>
      <c r="D193" s="127">
        <f t="shared" si="210"/>
        <v>94.297407112695495</v>
      </c>
      <c r="E193" s="1" t="s">
        <v>51</v>
      </c>
      <c r="F193" s="1" t="s">
        <v>382</v>
      </c>
      <c r="G193" s="163">
        <f t="shared" si="211"/>
        <v>0.12956827038851401</v>
      </c>
      <c r="H193" s="51" t="s">
        <v>383</v>
      </c>
      <c r="K193" s="53" t="s">
        <v>120</v>
      </c>
      <c r="L193" s="53" t="s">
        <v>1</v>
      </c>
    </row>
    <row r="194" ht="12.800000000000001">
      <c r="A194" s="16"/>
      <c r="B194" s="164" t="s">
        <v>381</v>
      </c>
      <c r="C194" s="51" t="s">
        <v>366</v>
      </c>
      <c r="D194" s="127">
        <f t="shared" si="210"/>
        <v>0</v>
      </c>
      <c r="E194" s="1" t="s">
        <v>51</v>
      </c>
      <c r="F194" s="1" t="s">
        <v>382</v>
      </c>
      <c r="G194" s="163">
        <f t="shared" si="211"/>
        <v>0</v>
      </c>
      <c r="H194" s="51" t="s">
        <v>383</v>
      </c>
      <c r="K194" s="53" t="s">
        <v>120</v>
      </c>
      <c r="L194" s="53" t="s">
        <v>1</v>
      </c>
    </row>
    <row r="195" ht="12.800000000000001">
      <c r="A195" s="16"/>
      <c r="B195" s="164" t="s">
        <v>381</v>
      </c>
      <c r="C195" s="51" t="s">
        <v>367</v>
      </c>
      <c r="D195" s="127">
        <f t="shared" si="210"/>
        <v>0.34483759249988399</v>
      </c>
      <c r="E195" s="1" t="s">
        <v>51</v>
      </c>
      <c r="F195" s="1" t="s">
        <v>382</v>
      </c>
      <c r="G195" s="163">
        <f t="shared" si="211"/>
        <v>0.00047382013772395302</v>
      </c>
      <c r="H195" s="51" t="s">
        <v>383</v>
      </c>
      <c r="K195" s="53" t="s">
        <v>120</v>
      </c>
      <c r="L195" s="53" t="s">
        <v>1</v>
      </c>
    </row>
    <row r="196" ht="12.800000000000001">
      <c r="A196" s="16"/>
      <c r="B196" s="164" t="s">
        <v>381</v>
      </c>
      <c r="C196" s="51" t="s">
        <v>368</v>
      </c>
      <c r="D196" s="127">
        <f t="shared" si="210"/>
        <v>146.18324694565999</v>
      </c>
      <c r="E196" s="1" t="s">
        <v>51</v>
      </c>
      <c r="F196" s="1" t="s">
        <v>382</v>
      </c>
      <c r="G196" s="163">
        <f t="shared" si="211"/>
        <v>0.20086141333547</v>
      </c>
      <c r="H196" s="51" t="s">
        <v>383</v>
      </c>
      <c r="K196" s="53" t="s">
        <v>120</v>
      </c>
      <c r="L196" s="53" t="s">
        <v>1</v>
      </c>
    </row>
    <row r="197" ht="12.800000000000001">
      <c r="A197" s="16"/>
      <c r="B197" s="164" t="s">
        <v>381</v>
      </c>
      <c r="C197" s="51" t="s">
        <v>369</v>
      </c>
      <c r="D197" s="127">
        <f t="shared" si="210"/>
        <v>73.610002660282007</v>
      </c>
      <c r="E197" s="1" t="s">
        <v>51</v>
      </c>
      <c r="F197" s="1" t="s">
        <v>382</v>
      </c>
      <c r="G197" s="163">
        <f t="shared" si="211"/>
        <v>0.101142979642996</v>
      </c>
      <c r="H197" s="51" t="s">
        <v>383</v>
      </c>
      <c r="K197" s="53" t="s">
        <v>120</v>
      </c>
      <c r="L197" s="53" t="s">
        <v>1</v>
      </c>
    </row>
    <row r="198" ht="12.800000000000001">
      <c r="A198" s="16" t="s">
        <v>1</v>
      </c>
      <c r="B198" s="164" t="s">
        <v>381</v>
      </c>
      <c r="C198" s="51" t="s">
        <v>370</v>
      </c>
      <c r="D198" s="127">
        <f t="shared" si="210"/>
        <v>23.9423662255126</v>
      </c>
      <c r="E198" s="1" t="s">
        <v>51</v>
      </c>
      <c r="F198" s="1" t="s">
        <v>382</v>
      </c>
      <c r="G198" s="163">
        <f t="shared" si="211"/>
        <v>0.032897733626340402</v>
      </c>
      <c r="H198" s="51" t="s">
        <v>383</v>
      </c>
      <c r="K198" s="53" t="s">
        <v>120</v>
      </c>
      <c r="L198" s="53" t="s">
        <v>1</v>
      </c>
    </row>
    <row r="199" ht="12.800000000000001">
      <c r="A199" s="165"/>
      <c r="B199" s="154" t="s">
        <v>1</v>
      </c>
      <c r="C199" s="166" t="s">
        <v>384</v>
      </c>
      <c r="D199" s="167">
        <f>SUM(D189:D198)</f>
        <v>512.03690818130406</v>
      </c>
      <c r="E199" s="165" t="s">
        <v>51</v>
      </c>
      <c r="F199" s="165" t="s">
        <v>1</v>
      </c>
      <c r="G199" s="168" t="s">
        <v>385</v>
      </c>
      <c r="H199" s="155"/>
      <c r="K199" s="53" t="s">
        <v>120</v>
      </c>
      <c r="L199" s="53" t="s">
        <v>1</v>
      </c>
    </row>
    <row r="200" ht="12.800000000000001">
      <c r="A200" s="165"/>
      <c r="B200" s="154" t="s">
        <v>1</v>
      </c>
      <c r="C200" s="166" t="s">
        <v>371</v>
      </c>
      <c r="D200" s="167">
        <f>D199/(1-D37/100)</f>
        <v>640.04613522662896</v>
      </c>
      <c r="E200" s="165" t="s">
        <v>51</v>
      </c>
      <c r="F200" s="165"/>
      <c r="G200" s="166" t="s">
        <v>385</v>
      </c>
      <c r="H200" s="155"/>
      <c r="K200" s="53" t="s">
        <v>120</v>
      </c>
      <c r="L200" s="53" t="s">
        <v>1</v>
      </c>
    </row>
    <row r="201" ht="12.800000000000001">
      <c r="A201" s="14"/>
      <c r="B201" s="1"/>
      <c r="C201" s="51"/>
      <c r="D201" s="122"/>
      <c r="E201" s="1"/>
      <c r="F201" s="1"/>
      <c r="G201" s="51"/>
      <c r="H201" s="51"/>
      <c r="K201" s="53" t="s">
        <v>120</v>
      </c>
      <c r="L201" s="53" t="s">
        <v>1</v>
      </c>
    </row>
    <row r="202" ht="12.800000000000001">
      <c r="A202" s="1"/>
      <c r="B202" s="1" t="s">
        <v>372</v>
      </c>
      <c r="C202" s="51" t="s">
        <v>373</v>
      </c>
      <c r="D202" s="122">
        <f t="shared" ref="D202:D206" si="212">D183/E$3</f>
        <v>28.058540427326001</v>
      </c>
      <c r="E202" s="1" t="s">
        <v>51</v>
      </c>
      <c r="K202" s="53" t="s">
        <v>120</v>
      </c>
      <c r="L202" s="53" t="s">
        <v>1</v>
      </c>
    </row>
    <row r="203" ht="12.800000000000001">
      <c r="A203" s="1"/>
      <c r="B203" s="169" t="s">
        <v>372</v>
      </c>
      <c r="C203" s="51" t="s">
        <v>375</v>
      </c>
      <c r="D203" s="122">
        <f t="shared" si="212"/>
        <v>340.009934563493</v>
      </c>
      <c r="E203" s="1" t="s">
        <v>51</v>
      </c>
      <c r="K203" s="53" t="s">
        <v>120</v>
      </c>
      <c r="L203" s="53" t="s">
        <v>1</v>
      </c>
    </row>
    <row r="204" ht="12.800000000000001">
      <c r="A204" s="16"/>
      <c r="B204" s="169" t="s">
        <v>372</v>
      </c>
      <c r="C204" s="51" t="s">
        <v>376</v>
      </c>
      <c r="D204" s="122">
        <f t="shared" si="212"/>
        <v>-132.603874479762</v>
      </c>
      <c r="E204" s="1" t="s">
        <v>51</v>
      </c>
      <c r="K204" s="53" t="s">
        <v>120</v>
      </c>
      <c r="L204" s="53" t="s">
        <v>1</v>
      </c>
    </row>
    <row r="205" ht="12.800000000000001">
      <c r="A205" s="16"/>
      <c r="B205" s="169" t="s">
        <v>372</v>
      </c>
      <c r="C205" s="51" t="s">
        <v>386</v>
      </c>
      <c r="D205" s="122">
        <f t="shared" si="212"/>
        <v>2.4010471781305101</v>
      </c>
      <c r="E205" s="1" t="s">
        <v>51</v>
      </c>
      <c r="K205" s="53" t="s">
        <v>120</v>
      </c>
      <c r="L205" s="53" t="s">
        <v>1</v>
      </c>
    </row>
    <row r="206" ht="12.800000000000001">
      <c r="A206" s="1" t="s">
        <v>1</v>
      </c>
      <c r="B206" s="169" t="s">
        <v>372</v>
      </c>
      <c r="C206" s="51" t="s">
        <v>379</v>
      </c>
      <c r="D206" s="122">
        <f t="shared" si="212"/>
        <v>81.2182741116751</v>
      </c>
      <c r="E206" s="1" t="s">
        <v>51</v>
      </c>
      <c r="K206" s="53" t="s">
        <v>120</v>
      </c>
      <c r="L206" s="53" t="s">
        <v>1</v>
      </c>
    </row>
    <row r="207" ht="12.800000000000001">
      <c r="A207" s="165"/>
      <c r="B207" s="165" t="s">
        <v>1</v>
      </c>
      <c r="C207" s="166" t="s">
        <v>372</v>
      </c>
      <c r="D207" s="167">
        <f>SUM(D202:D206)</f>
        <v>319.08392180086202</v>
      </c>
      <c r="E207" s="165" t="s">
        <v>51</v>
      </c>
      <c r="F207" s="165"/>
      <c r="G207" s="166"/>
      <c r="H207" s="166"/>
      <c r="K207" s="53" t="s">
        <v>120</v>
      </c>
      <c r="L207" s="53" t="s">
        <v>1</v>
      </c>
    </row>
    <row r="208" ht="12.800000000000001">
      <c r="A208" s="16"/>
      <c r="B208" s="16"/>
      <c r="C208" s="19"/>
      <c r="D208" s="160"/>
      <c r="E208" s="16"/>
      <c r="F208" s="16"/>
      <c r="G208" s="19"/>
      <c r="H208" s="19"/>
      <c r="K208" s="53" t="s">
        <v>120</v>
      </c>
      <c r="L208" s="53" t="s">
        <v>1</v>
      </c>
    </row>
    <row r="209" ht="12.800000000000001">
      <c r="A209" s="170" t="s">
        <v>387</v>
      </c>
      <c r="B209" s="170" t="s">
        <v>1</v>
      </c>
      <c r="C209" s="171" t="s">
        <v>388</v>
      </c>
      <c r="D209" s="172">
        <f>D200+D207</f>
        <v>959.13005702749103</v>
      </c>
      <c r="E209" s="170" t="s">
        <v>51</v>
      </c>
      <c r="F209" s="173"/>
      <c r="G209" s="173" t="s">
        <v>389</v>
      </c>
      <c r="H209" s="174">
        <f>(D149+(D100-D98))/(E3*D33)</f>
        <v>0.401809982313581</v>
      </c>
      <c r="K209" s="53" t="s">
        <v>120</v>
      </c>
      <c r="L209" s="53" t="s">
        <v>1</v>
      </c>
    </row>
    <row r="210" ht="12.800000000000001">
      <c r="A210" s="170"/>
      <c r="B210" s="170" t="s">
        <v>1</v>
      </c>
      <c r="C210" s="171" t="s">
        <v>390</v>
      </c>
      <c r="D210" s="172">
        <f>D200+D207-D198-D203-D204</f>
        <v>727.78163071824804</v>
      </c>
      <c r="E210" s="170" t="s">
        <v>51</v>
      </c>
      <c r="F210" s="173"/>
      <c r="G210" s="173" t="s">
        <v>391</v>
      </c>
      <c r="H210" s="174">
        <f>(D149)/(E3*D32)</f>
        <v>0.021599316311357999</v>
      </c>
      <c r="K210" s="53" t="s">
        <v>120</v>
      </c>
      <c r="L210" s="53" t="s">
        <v>1</v>
      </c>
    </row>
    <row r="211" ht="21">
      <c r="A211" s="1" t="s">
        <v>1</v>
      </c>
      <c r="B211" s="1"/>
      <c r="C211" s="175" t="s">
        <v>392</v>
      </c>
      <c r="G211" s="53" t="s">
        <v>122</v>
      </c>
      <c r="K211" s="53" t="s">
        <v>120</v>
      </c>
      <c r="L211" s="53" t="s">
        <v>1</v>
      </c>
    </row>
  </sheetData>
  <hyperlinks>
    <hyperlink r:id="rId1" ref="G8"/>
    <hyperlink r:id="rId2" ref="G17"/>
    <hyperlink r:id="rId3" ref="G18"/>
    <hyperlink r:id="rId4" ref="G22"/>
    <hyperlink r:id="rId5" ref="G28"/>
    <hyperlink r:id="rId6" ref="G33"/>
    <hyperlink r:id="rId7" ref="G34"/>
    <hyperlink r:id="rId8" ref="G37"/>
    <hyperlink r:id="rId9" ref="G39"/>
    <hyperlink r:id="rId10" ref="G40"/>
    <hyperlink r:id="rId11" ref="G41"/>
    <hyperlink r:id="rId12" ref="H41"/>
    <hyperlink r:id="rId11" ref="G42"/>
    <hyperlink r:id="rId13" ref="H42"/>
    <hyperlink r:id="rId14" ref="G45"/>
    <hyperlink r:id="rId15" ref="G47"/>
    <hyperlink r:id="rId14" ref="G49"/>
    <hyperlink r:id="rId5" ref="G51"/>
    <hyperlink r:id="rId5" ref="G52"/>
    <hyperlink r:id="rId16" ref="G57"/>
    <hyperlink r:id="rId17" ref="G58"/>
    <hyperlink r:id="rId18" ref="G66"/>
    <hyperlink r:id="rId19" ref="G67"/>
    <hyperlink r:id="rId20" location="v=onepage&amp;q&amp;f=false" ref="H69"/>
    <hyperlink r:id="rId21" ref="G70"/>
    <hyperlink r:id="rId22" ref="H70"/>
    <hyperlink r:id="rId23" ref="H72"/>
    <hyperlink r:id="rId24" ref="G75"/>
    <hyperlink r:id="rId25" ref="G76"/>
    <hyperlink r:id="rId25" ref="G77"/>
    <hyperlink r:id="rId26" ref="G79"/>
    <hyperlink r:id="rId27" ref="G80"/>
    <hyperlink r:id="rId28" ref="G81"/>
    <hyperlink r:id="rId29" ref="H81"/>
    <hyperlink r:id="rId28" ref="G84"/>
    <hyperlink r:id="rId30" ref="G164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  <legacy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6" zoomScale="150" workbookViewId="0">
      <selection activeCell="A19" activeCellId="0" sqref="A19"/>
    </sheetView>
  </sheetViews>
  <sheetFormatPr defaultColWidth="11.53515625" defaultRowHeight="12.75"/>
  <cols>
    <col customWidth="1" min="1" max="1" style="53" width="3.2400000000000002"/>
    <col customWidth="1" min="2" max="2" style="53" width="3.54"/>
    <col customWidth="1" min="3" max="3" style="53" width="16.670000000000002"/>
    <col customWidth="1" min="4" max="4" style="1" width="15.41"/>
    <col customWidth="1" min="5" max="5" style="53" width="7.7000000000000002"/>
    <col customWidth="1" min="6" max="10" style="1" width="8.0600000000000005"/>
    <col customWidth="1" min="11" max="11" style="176" width="8.0600000000000005"/>
    <col customWidth="1" min="12" max="18" style="1" width="8.0600000000000005"/>
    <col customWidth="1" min="19" max="19" style="53" width="8.0600000000000005"/>
    <col customWidth="1" min="20" max="20" style="53" width="6.1100000000000003"/>
    <col customWidth="0" min="21" max="64" style="53" width="11.52"/>
  </cols>
  <sheetData>
    <row r="1" ht="12.800000000000001">
      <c r="A1" s="17" t="s">
        <v>393</v>
      </c>
      <c r="B1" s="16"/>
      <c r="C1" s="19"/>
      <c r="D1" s="16"/>
      <c r="E1" s="16"/>
      <c r="F1" s="16"/>
      <c r="G1" s="16"/>
      <c r="H1" s="16"/>
      <c r="I1" s="16"/>
      <c r="J1" s="16"/>
      <c r="K1" s="177"/>
      <c r="L1" s="16"/>
      <c r="M1" s="16"/>
      <c r="N1" s="16"/>
      <c r="O1" s="16"/>
      <c r="P1" s="16"/>
      <c r="Q1" s="16"/>
      <c r="R1" s="1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AMB1" s="17"/>
      <c r="AMC1" s="17"/>
      <c r="AMD1" s="17"/>
      <c r="AME1" s="17"/>
      <c r="AMF1" s="17"/>
      <c r="AMG1" s="17"/>
      <c r="AMH1" s="17"/>
      <c r="AMI1" s="17"/>
      <c r="AMJ1" s="17"/>
    </row>
    <row r="2" ht="6.7999999999999998" customHeight="1">
      <c r="B2" s="16"/>
      <c r="C2" s="16"/>
      <c r="D2" s="16"/>
      <c r="E2" s="16"/>
    </row>
    <row r="3" s="14" customFormat="1" ht="32" customHeight="1">
      <c r="A3" s="178" t="s">
        <v>394</v>
      </c>
      <c r="B3" s="178" t="s">
        <v>395</v>
      </c>
      <c r="C3" s="14" t="s">
        <v>101</v>
      </c>
      <c r="D3" s="14" t="s">
        <v>396</v>
      </c>
      <c r="E3" s="14" t="s">
        <v>397</v>
      </c>
      <c r="K3" s="179"/>
      <c r="T3" s="53"/>
      <c r="U3" s="53"/>
    </row>
    <row r="4" s="16" customFormat="1" ht="15.9" customHeight="1">
      <c r="D4" s="16"/>
      <c r="E4" s="16" t="s">
        <v>27</v>
      </c>
      <c r="K4" s="177"/>
      <c r="T4" s="53"/>
      <c r="U4" s="53"/>
    </row>
    <row r="5" ht="12.800000000000001">
      <c r="A5" s="53">
        <v>1</v>
      </c>
      <c r="B5" s="1">
        <v>1</v>
      </c>
      <c r="C5" s="180" t="s">
        <v>398</v>
      </c>
      <c r="D5" s="48">
        <f>s!G2</f>
        <v>607.98850000000004</v>
      </c>
      <c r="E5" s="63">
        <f>(1-$S24*$S25)*100</f>
        <v>14.864077901753801</v>
      </c>
      <c r="F5" s="181" t="s">
        <v>399</v>
      </c>
    </row>
    <row r="6" ht="12.800000000000001">
      <c r="A6" s="53">
        <v>1</v>
      </c>
      <c r="B6" s="1">
        <v>2</v>
      </c>
      <c r="C6" s="180" t="s">
        <v>400</v>
      </c>
      <c r="D6" s="48">
        <f>s!G7</f>
        <v>169.78149999999999</v>
      </c>
      <c r="E6" s="63">
        <f>(1-$S24)*100</f>
        <v>9.5486227287281498</v>
      </c>
      <c r="F6" s="181"/>
    </row>
    <row r="7" ht="12.800000000000001">
      <c r="A7" s="53">
        <v>1</v>
      </c>
      <c r="B7" s="1">
        <v>3</v>
      </c>
      <c r="C7" s="53" t="s">
        <v>401</v>
      </c>
      <c r="D7" s="48">
        <f>s!G8</f>
        <v>307.31400000000002</v>
      </c>
      <c r="E7" s="63">
        <f>(1-$S24)*100</f>
        <v>9.5486227287281498</v>
      </c>
      <c r="F7" s="181"/>
    </row>
    <row r="8" ht="12.800000000000001">
      <c r="A8" s="53">
        <v>2</v>
      </c>
      <c r="B8" s="1">
        <v>4</v>
      </c>
      <c r="C8" s="180" t="s">
        <v>402</v>
      </c>
      <c r="D8" s="48">
        <f>s!G10</f>
        <v>300.67450000000002</v>
      </c>
      <c r="E8" s="63">
        <f>(1-$S21*$S22)*100</f>
        <v>10.5043990956635</v>
      </c>
      <c r="F8" s="181"/>
    </row>
    <row r="9" ht="12.800000000000001">
      <c r="A9" s="53">
        <v>2</v>
      </c>
      <c r="B9" s="1">
        <v>5</v>
      </c>
      <c r="C9" s="180" t="s">
        <v>403</v>
      </c>
      <c r="D9" s="48">
        <f>s!G12</f>
        <v>97.695499999999996</v>
      </c>
      <c r="E9" s="63">
        <f>(1-$S21*$S23)*100</f>
        <v>3.7604405345098</v>
      </c>
      <c r="F9" s="181"/>
    </row>
    <row r="10" ht="12.800000000000001">
      <c r="A10" s="53">
        <v>2</v>
      </c>
      <c r="B10" s="1">
        <v>6</v>
      </c>
      <c r="C10" s="180" t="s">
        <v>404</v>
      </c>
      <c r="D10" s="48">
        <f>s!G14</f>
        <v>455.27999999999997</v>
      </c>
      <c r="E10" s="63">
        <f>(1-$S21)*100</f>
        <v>1.5478073295744199</v>
      </c>
      <c r="F10" s="181"/>
    </row>
    <row r="11" ht="12.800000000000001">
      <c r="A11" s="53">
        <v>3</v>
      </c>
      <c r="B11" s="1">
        <v>7</v>
      </c>
      <c r="C11" s="180" t="s">
        <v>405</v>
      </c>
      <c r="D11" s="48">
        <f>s!G20</f>
        <v>456.2285</v>
      </c>
      <c r="E11" s="63">
        <f>(1-$S26*$S28*$S29)*100</f>
        <v>21.309381304819901</v>
      </c>
      <c r="F11" s="181"/>
    </row>
    <row r="12" ht="12.800000000000001">
      <c r="A12" s="53">
        <v>3</v>
      </c>
      <c r="B12" s="1">
        <v>8</v>
      </c>
      <c r="C12" s="53" t="s">
        <v>406</v>
      </c>
      <c r="D12" s="48">
        <f>s!G22</f>
        <v>338.61450000000002</v>
      </c>
      <c r="E12" s="63">
        <f>(1-$S26*$S28)*100</f>
        <v>14.7345562023715</v>
      </c>
      <c r="F12" s="181"/>
    </row>
    <row r="13" ht="12.800000000000001">
      <c r="A13" s="53">
        <v>3</v>
      </c>
      <c r="B13" s="1">
        <v>9</v>
      </c>
      <c r="C13" s="180" t="s">
        <v>407</v>
      </c>
      <c r="D13" s="48">
        <f>s!G24</f>
        <v>4784.2340000000004</v>
      </c>
      <c r="E13" s="63">
        <f>(1-$S26*$S28*$S29*$S30*$S31)*100</f>
        <v>27.5436324696221</v>
      </c>
      <c r="F13" s="181"/>
    </row>
    <row r="14" ht="12.800000000000001">
      <c r="B14" s="19" t="s">
        <v>1</v>
      </c>
      <c r="C14" s="19" t="s">
        <v>408</v>
      </c>
      <c r="D14" s="18">
        <f>SUM(D5:D13)</f>
        <v>7517.8109999999997</v>
      </c>
      <c r="E14" s="16" t="s">
        <v>1</v>
      </c>
    </row>
    <row r="15" ht="9.3499999999999996" customHeight="1">
      <c r="B15" s="19"/>
      <c r="C15" s="19"/>
      <c r="D15" s="16"/>
      <c r="E15" s="16"/>
    </row>
    <row r="16" ht="12.800000000000001">
      <c r="A16" s="182"/>
      <c r="B16" s="183"/>
      <c r="C16" s="184" t="s">
        <v>409</v>
      </c>
      <c r="D16" s="131">
        <v>0.070000000000000007</v>
      </c>
      <c r="E16" s="131" t="s">
        <v>77</v>
      </c>
      <c r="F16" s="131" t="s">
        <v>410</v>
      </c>
      <c r="G16" s="131">
        <v>0.035000000000000003</v>
      </c>
      <c r="H16" s="131" t="s">
        <v>179</v>
      </c>
    </row>
    <row r="17" ht="25.300000000000001" customHeight="1">
      <c r="A17" s="182"/>
      <c r="B17" s="183"/>
      <c r="C17" s="185" t="s">
        <v>411</v>
      </c>
      <c r="D17" s="131">
        <v>1.2</v>
      </c>
      <c r="E17" s="131" t="s">
        <v>187</v>
      </c>
      <c r="F17" s="131"/>
      <c r="G17" s="131"/>
      <c r="H17" s="131"/>
    </row>
    <row r="18" ht="9.3499999999999996" customHeight="1">
      <c r="B18" s="19"/>
      <c r="C18" s="19"/>
      <c r="D18" s="16"/>
      <c r="E18" s="16"/>
    </row>
    <row r="19" ht="105.7" customHeight="1">
      <c r="A19" s="53"/>
      <c r="B19" s="1"/>
      <c r="C19" s="14" t="s">
        <v>412</v>
      </c>
      <c r="D19" s="14" t="s">
        <v>413</v>
      </c>
      <c r="E19" s="14" t="s">
        <v>414</v>
      </c>
      <c r="F19" s="14" t="s">
        <v>415</v>
      </c>
      <c r="G19" s="14" t="s">
        <v>416</v>
      </c>
      <c r="H19" s="14" t="s">
        <v>417</v>
      </c>
      <c r="I19" s="14" t="s">
        <v>418</v>
      </c>
      <c r="J19" s="14" t="s">
        <v>419</v>
      </c>
      <c r="K19" s="179" t="s">
        <v>420</v>
      </c>
      <c r="L19" s="14" t="s">
        <v>421</v>
      </c>
      <c r="M19" s="14" t="s">
        <v>422</v>
      </c>
      <c r="N19" s="14" t="s">
        <v>423</v>
      </c>
      <c r="O19" s="14" t="s">
        <v>424</v>
      </c>
      <c r="P19" s="14" t="s">
        <v>425</v>
      </c>
      <c r="Q19" s="14" t="s">
        <v>426</v>
      </c>
      <c r="R19" s="14" t="s">
        <v>427</v>
      </c>
      <c r="S19" s="14" t="s">
        <v>428</v>
      </c>
      <c r="T19" s="14" t="s">
        <v>412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ht="12.800000000000001">
      <c r="A20" s="53"/>
      <c r="B20" s="1"/>
      <c r="C20" s="16"/>
      <c r="D20" s="16"/>
      <c r="E20" s="16" t="s">
        <v>77</v>
      </c>
      <c r="F20" s="16" t="s">
        <v>310</v>
      </c>
      <c r="G20" s="16" t="s">
        <v>310</v>
      </c>
      <c r="H20" s="16" t="s">
        <v>77</v>
      </c>
      <c r="I20" s="16" t="s">
        <v>429</v>
      </c>
      <c r="J20" s="16" t="s">
        <v>429</v>
      </c>
      <c r="K20" s="177" t="s">
        <v>310</v>
      </c>
      <c r="L20" s="16" t="s">
        <v>310</v>
      </c>
      <c r="M20" s="16" t="s">
        <v>107</v>
      </c>
      <c r="N20" s="16" t="s">
        <v>430</v>
      </c>
      <c r="O20" s="16" t="s">
        <v>430</v>
      </c>
      <c r="P20" s="16" t="s">
        <v>310</v>
      </c>
      <c r="Q20" s="16" t="s">
        <v>107</v>
      </c>
      <c r="R20" s="16" t="s">
        <v>27</v>
      </c>
      <c r="S20" s="1"/>
      <c r="T20" s="16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s="140" customFormat="1" ht="14.300000000000001" customHeight="1">
      <c r="B21" s="2"/>
      <c r="C21" s="2">
        <v>1</v>
      </c>
      <c r="D21" s="186">
        <f>D11+D13</f>
        <v>5240.4624999999996</v>
      </c>
      <c r="E21" s="187">
        <v>3090</v>
      </c>
      <c r="F21" s="186">
        <f>$D21*t!$D$36/2/(1-e!V$20/2/100)</f>
        <v>6587.7474857192501</v>
      </c>
      <c r="G21" s="186">
        <f t="shared" ref="G21:G31" si="213">$F21*2</f>
        <v>13175.4949714385</v>
      </c>
      <c r="H21" s="188">
        <f t="shared" ref="H21:H31" si="214">(G21/4200/(2*D$17)/(60-30)*4/PI())^0.5</f>
        <v>0.235530761220554</v>
      </c>
      <c r="I21" s="186">
        <f t="shared" ref="I21:I31" si="215">(0.657/H21-0.058)*D$17^1.92/10000*E21*1.5</f>
        <v>1.7966774646497301</v>
      </c>
      <c r="J21" s="186">
        <f t="shared" ref="J21:J31" si="216">(0.657/H21-0.058)*(2*D$17)^1.92/10000*E21*1.5</f>
        <v>6.79904181652575</v>
      </c>
      <c r="K21" s="189">
        <f t="shared" ref="K21:K31" si="217">I21*10^5*PI()/4*$H21^2*D$17/1000*2/0.75</f>
        <v>25.0498570378724</v>
      </c>
      <c r="L21" s="190">
        <f t="shared" ref="L21:L31" si="218">J21*10^5*PI()/4*$H21^2*(2*D$17)/1000*2/0.75</f>
        <v>189.588870400497</v>
      </c>
      <c r="M21" s="190" t="s">
        <v>123</v>
      </c>
      <c r="N21" s="45">
        <f>=E21/D$17/3600</f>
        <v>0.71527777777777801</v>
      </c>
      <c r="O21" s="45">
        <f t="shared" ref="O21:O31" si="219">E21/(2*D$17)/3600</f>
        <v>0.35763888888888901</v>
      </c>
      <c r="P21" s="186">
        <f t="shared" ref="P21:P31" si="220">(50+20)*2*PI()*$G$16*E21/LN(1+$D$16*2/H21)/1000</f>
        <v>101.96563843781701</v>
      </c>
      <c r="Q21" s="186">
        <f t="shared" ref="Q21:Q31" si="221">P21*24*180</f>
        <v>440491.55805137003</v>
      </c>
      <c r="R21" s="190">
        <f t="shared" ref="R21:R32" si="222">P21/F21*100</f>
        <v>1.5478073295744199</v>
      </c>
      <c r="S21" s="45">
        <f t="shared" ref="S21:S31" si="223">1-R21/100</f>
        <v>0.98452192670425598</v>
      </c>
      <c r="T21" s="2">
        <v>1</v>
      </c>
    </row>
    <row r="22" ht="14.300000000000001" customHeight="1">
      <c r="A22" s="53"/>
      <c r="B22" s="1"/>
      <c r="C22" s="1">
        <v>2</v>
      </c>
      <c r="D22" s="48">
        <f>D11</f>
        <v>456.2285</v>
      </c>
      <c r="E22" s="191">
        <v>3740</v>
      </c>
      <c r="F22" s="48">
        <f>$D22*t!$D$36/2/(1-e!V$20/2/100)</f>
        <v>573.52154581555806</v>
      </c>
      <c r="G22" s="48">
        <f t="shared" si="213"/>
        <v>1147.04309163112</v>
      </c>
      <c r="H22" s="176">
        <f t="shared" si="214"/>
        <v>0.069495075759567995</v>
      </c>
      <c r="I22" s="48">
        <f t="shared" si="215"/>
        <v>7.48048186412744</v>
      </c>
      <c r="J22" s="48">
        <f t="shared" si="216"/>
        <v>28.307868274999599</v>
      </c>
      <c r="K22" s="192">
        <f t="shared" si="217"/>
        <v>9.0798254437240509</v>
      </c>
      <c r="L22" s="63">
        <f t="shared" si="218"/>
        <v>68.720306335750095</v>
      </c>
      <c r="M22" s="63" t="s">
        <v>123</v>
      </c>
      <c r="N22" s="193">
        <f>=E22/D$17/3600</f>
        <v>0.86574074074074103</v>
      </c>
      <c r="O22" s="193">
        <f t="shared" si="219"/>
        <v>0.43287037037037002</v>
      </c>
      <c r="P22" s="48">
        <f t="shared" si="220"/>
        <v>52.175560702055897</v>
      </c>
      <c r="Q22" s="48">
        <f t="shared" si="221"/>
        <v>225398.422232882</v>
      </c>
      <c r="R22" s="63">
        <f t="shared" si="222"/>
        <v>9.0974020213767801</v>
      </c>
      <c r="S22" s="193">
        <f t="shared" si="223"/>
        <v>0.90902597978623201</v>
      </c>
      <c r="T22" s="1">
        <v>2</v>
      </c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ht="14.300000000000001" customHeight="1">
      <c r="A23" s="53"/>
      <c r="B23" s="53"/>
      <c r="C23" s="1">
        <v>3</v>
      </c>
      <c r="D23" s="48">
        <f>D13/3</f>
        <v>1594.7446666666699</v>
      </c>
      <c r="E23" s="191">
        <v>2140</v>
      </c>
      <c r="F23" s="48">
        <f>$D23*t!$D$36/2/(1-e!V$20/2/100)</f>
        <v>2004.7419799679001</v>
      </c>
      <c r="G23" s="48">
        <f t="shared" si="213"/>
        <v>4009.4839599357902</v>
      </c>
      <c r="H23" s="176">
        <f t="shared" si="214"/>
        <v>0.12992969114910499</v>
      </c>
      <c r="I23" s="48">
        <f t="shared" si="215"/>
        <v>2.27708768113279</v>
      </c>
      <c r="J23" s="48">
        <f t="shared" si="216"/>
        <v>8.61702485200132</v>
      </c>
      <c r="K23" s="192">
        <f t="shared" si="217"/>
        <v>9.6613190824013806</v>
      </c>
      <c r="L23" s="63">
        <f t="shared" si="218"/>
        <v>73.121318362893902</v>
      </c>
      <c r="M23" s="63" t="s">
        <v>123</v>
      </c>
      <c r="N23" s="193">
        <f>=E23/D$17/3600</f>
        <v>0.49537037037037002</v>
      </c>
      <c r="O23" s="193">
        <f t="shared" si="219"/>
        <v>0.24768518518518501</v>
      </c>
      <c r="P23" s="48">
        <f t="shared" si="220"/>
        <v>45.0549505489819</v>
      </c>
      <c r="Q23" s="48">
        <f t="shared" si="221"/>
        <v>194637.38637160201</v>
      </c>
      <c r="R23" s="63">
        <f t="shared" si="222"/>
        <v>2.2474189197007499</v>
      </c>
      <c r="S23" s="193">
        <f t="shared" si="223"/>
        <v>0.97752581080299195</v>
      </c>
      <c r="T23" s="1">
        <v>3</v>
      </c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s="140" customFormat="1" ht="14.300000000000001" customHeight="1">
      <c r="C24" s="2">
        <v>4</v>
      </c>
      <c r="D24" s="186">
        <f>D9+D8</f>
        <v>398.37</v>
      </c>
      <c r="E24" s="187">
        <v>3570</v>
      </c>
      <c r="F24" s="186">
        <f>$D24*t!$D$36/2/(1-e!V$20/2/100)</f>
        <v>500.78804416327301</v>
      </c>
      <c r="G24" s="186">
        <f t="shared" si="213"/>
        <v>1001.57608832655</v>
      </c>
      <c r="H24" s="188">
        <f t="shared" si="214"/>
        <v>0.064939081208845797</v>
      </c>
      <c r="I24" s="186">
        <f t="shared" si="215"/>
        <v>7.6445125628675203</v>
      </c>
      <c r="J24" s="186">
        <f t="shared" si="216"/>
        <v>28.928598262362801</v>
      </c>
      <c r="K24" s="189">
        <f t="shared" si="217"/>
        <v>8.1021809416719499</v>
      </c>
      <c r="L24" s="190">
        <f t="shared" si="218"/>
        <v>61.321041880185099</v>
      </c>
      <c r="M24" s="190" t="s">
        <v>123</v>
      </c>
      <c r="N24" s="45">
        <f>=E24/D$17/3600</f>
        <v>0.82638888888888895</v>
      </c>
      <c r="O24" s="45">
        <f t="shared" si="219"/>
        <v>0.41319444444444398</v>
      </c>
      <c r="P24" s="186">
        <f t="shared" si="220"/>
        <v>47.818361007727503</v>
      </c>
      <c r="Q24" s="186">
        <f t="shared" si="221"/>
        <v>206575.31955338299</v>
      </c>
      <c r="R24" s="190">
        <f t="shared" si="222"/>
        <v>9.5486227287281498</v>
      </c>
      <c r="S24" s="45">
        <f t="shared" si="223"/>
        <v>0.90451377271271804</v>
      </c>
      <c r="T24" s="2">
        <v>4</v>
      </c>
    </row>
    <row r="25" ht="14.300000000000001" customHeight="1">
      <c r="A25" s="53"/>
      <c r="B25" s="53"/>
      <c r="C25" s="1">
        <v>5</v>
      </c>
      <c r="D25" s="48">
        <f t="shared" ref="D25:D26" si="224">D8</f>
        <v>300.67450000000002</v>
      </c>
      <c r="E25" s="191">
        <v>1800</v>
      </c>
      <c r="F25" s="48">
        <f>$D25*t!$D$36/2/(1-e!V$20/2/100)</f>
        <v>377.97573809466098</v>
      </c>
      <c r="G25" s="48">
        <f t="shared" si="213"/>
        <v>755.95147618932197</v>
      </c>
      <c r="H25" s="176">
        <f t="shared" si="214"/>
        <v>0.056417147702140402</v>
      </c>
      <c r="I25" s="48">
        <f t="shared" si="215"/>
        <v>4.4399449808786997</v>
      </c>
      <c r="J25" s="48">
        <f t="shared" si="216"/>
        <v>16.801775600804898</v>
      </c>
      <c r="K25" s="192">
        <f t="shared" si="217"/>
        <v>3.5517280026398099</v>
      </c>
      <c r="L25" s="63">
        <f t="shared" si="218"/>
        <v>26.881115487894601</v>
      </c>
      <c r="M25" s="63" t="s">
        <v>123</v>
      </c>
      <c r="N25" s="193">
        <f>=E25/D$17/3600</f>
        <v>0.41666666666666702</v>
      </c>
      <c r="O25" s="193">
        <f t="shared" si="219"/>
        <v>0.20833333333333301</v>
      </c>
      <c r="P25" s="48">
        <f t="shared" si="220"/>
        <v>22.2120784994564</v>
      </c>
      <c r="Q25" s="48">
        <f t="shared" si="221"/>
        <v>95956.179117651802</v>
      </c>
      <c r="R25" s="63">
        <f t="shared" si="222"/>
        <v>5.8765884316875399</v>
      </c>
      <c r="S25" s="193">
        <f t="shared" si="223"/>
        <v>0.94123411568312398</v>
      </c>
      <c r="T25" s="1">
        <v>5</v>
      </c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ht="14.300000000000001" customHeight="1">
      <c r="A26" s="53"/>
      <c r="B26" s="53"/>
      <c r="C26" s="1">
        <v>6</v>
      </c>
      <c r="D26" s="48">
        <f t="shared" si="224"/>
        <v>97.695499999999996</v>
      </c>
      <c r="E26" s="191">
        <v>1360</v>
      </c>
      <c r="F26" s="48">
        <f>$D26*t!$D$36/2/(1-e!V$20/2/100)</f>
        <v>122.812306068612</v>
      </c>
      <c r="G26" s="48">
        <f t="shared" si="213"/>
        <v>245.62461213722401</v>
      </c>
      <c r="H26" s="176">
        <f t="shared" si="214"/>
        <v>0.032158820149438598</v>
      </c>
      <c r="I26" s="48">
        <f t="shared" si="215"/>
        <v>5.8977819850519602</v>
      </c>
      <c r="J26" s="48">
        <f t="shared" si="216"/>
        <v>22.318566982715499</v>
      </c>
      <c r="K26" s="192">
        <f t="shared" si="217"/>
        <v>1.53295281751143</v>
      </c>
      <c r="L26" s="63">
        <f t="shared" si="218"/>
        <v>11.6020938806099</v>
      </c>
      <c r="M26" s="63" t="s">
        <v>123</v>
      </c>
      <c r="N26" s="193">
        <f>=E26/D$17/3600</f>
        <v>0.31481481481481499</v>
      </c>
      <c r="O26" s="193">
        <f t="shared" si="219"/>
        <v>0.157407407407407</v>
      </c>
      <c r="P26" s="48">
        <f t="shared" si="220"/>
        <v>12.478506744545699</v>
      </c>
      <c r="Q26" s="48">
        <f t="shared" si="221"/>
        <v>53907.1491364373</v>
      </c>
      <c r="R26" s="63">
        <f t="shared" si="222"/>
        <v>10.1606322232678</v>
      </c>
      <c r="S26" s="193">
        <f t="shared" si="223"/>
        <v>0.89839367776732204</v>
      </c>
      <c r="T26" s="1">
        <v>6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ht="14.300000000000001" customHeight="1">
      <c r="A27" s="53"/>
      <c r="B27" s="53"/>
      <c r="C27" s="1">
        <v>7</v>
      </c>
      <c r="D27" s="48">
        <f>D12</f>
        <v>338.61450000000002</v>
      </c>
      <c r="E27" s="191">
        <v>2560</v>
      </c>
      <c r="F27" s="48">
        <f>$D27*t!$D$36/2/(1-e!V$20/2/100)</f>
        <v>425.66983753878202</v>
      </c>
      <c r="G27" s="48">
        <f t="shared" si="213"/>
        <v>851.33967507756404</v>
      </c>
      <c r="H27" s="176">
        <f t="shared" si="214"/>
        <v>0.059870874622070698</v>
      </c>
      <c r="I27" s="48">
        <f t="shared" si="215"/>
        <v>5.9485001133981497</v>
      </c>
      <c r="J27" s="48">
        <f t="shared" si="216"/>
        <v>22.510496075313601</v>
      </c>
      <c r="K27" s="192">
        <f t="shared" si="217"/>
        <v>5.3589356124224699</v>
      </c>
      <c r="L27" s="63">
        <f t="shared" si="218"/>
        <v>40.558896115539099</v>
      </c>
      <c r="M27" s="63" t="s">
        <v>123</v>
      </c>
      <c r="N27" s="193">
        <f>=E27/D$17/3600</f>
        <v>0.592592592592593</v>
      </c>
      <c r="O27" s="193">
        <f t="shared" si="219"/>
        <v>0.296296296296296</v>
      </c>
      <c r="P27" s="48">
        <f t="shared" si="220"/>
        <v>32.690789735768803</v>
      </c>
      <c r="Q27" s="48">
        <f t="shared" si="221"/>
        <v>141224.211658521</v>
      </c>
      <c r="R27" s="63">
        <f t="shared" si="222"/>
        <v>7.6798464097870998</v>
      </c>
      <c r="S27" s="193">
        <f t="shared" si="223"/>
        <v>0.92320153590212894</v>
      </c>
      <c r="T27" s="1">
        <v>7</v>
      </c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</row>
    <row r="28" ht="14.300000000000001" customHeight="1">
      <c r="A28" s="53"/>
      <c r="B28" s="53"/>
      <c r="C28" s="1">
        <v>8</v>
      </c>
      <c r="D28" s="48">
        <f>D10</f>
        <v>455.27999999999997</v>
      </c>
      <c r="E28" s="191">
        <v>2090</v>
      </c>
      <c r="F28" s="48">
        <f>$D28*t!$D$36/2/(1-e!V$20/2/100)</f>
        <v>572.32919332945505</v>
      </c>
      <c r="G28" s="48">
        <f t="shared" si="213"/>
        <v>1144.6583866589101</v>
      </c>
      <c r="H28" s="176">
        <f t="shared" si="214"/>
        <v>0.069422797970111597</v>
      </c>
      <c r="I28" s="48">
        <f t="shared" si="215"/>
        <v>4.1846483241776999</v>
      </c>
      <c r="J28" s="48">
        <f t="shared" si="216"/>
        <v>15.8356741837831</v>
      </c>
      <c r="K28" s="192">
        <f t="shared" si="217"/>
        <v>5.0687754491938302</v>
      </c>
      <c r="L28" s="63">
        <f t="shared" si="218"/>
        <v>38.362830185958302</v>
      </c>
      <c r="M28" s="63" t="s">
        <v>123</v>
      </c>
      <c r="N28" s="193">
        <f>=E28/D$17/3600</f>
        <v>0.483796296296296</v>
      </c>
      <c r="O28" s="193">
        <f t="shared" si="219"/>
        <v>0.241898148148148</v>
      </c>
      <c r="P28" s="48">
        <f t="shared" si="220"/>
        <v>29.138564596941301</v>
      </c>
      <c r="Q28" s="48">
        <f t="shared" si="221"/>
        <v>125878.599058786</v>
      </c>
      <c r="R28" s="63">
        <f t="shared" si="222"/>
        <v>5.0912245848287503</v>
      </c>
      <c r="S28" s="193">
        <f t="shared" si="223"/>
        <v>0.94908775415171298</v>
      </c>
      <c r="T28" s="1">
        <v>8</v>
      </c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</row>
    <row r="29" ht="14.300000000000001" customHeight="1">
      <c r="A29" s="53"/>
      <c r="B29" s="53"/>
      <c r="C29" s="1">
        <v>9</v>
      </c>
      <c r="D29" s="48">
        <f>D6</f>
        <v>169.78149999999999</v>
      </c>
      <c r="E29" s="191">
        <v>1560</v>
      </c>
      <c r="F29" s="48">
        <f>$D29*t!$D$36/2/(1-e!V$20/2/100)</f>
        <v>213.431095012443</v>
      </c>
      <c r="G29" s="48">
        <f t="shared" si="213"/>
        <v>426.86219002488502</v>
      </c>
      <c r="H29" s="176">
        <f t="shared" si="214"/>
        <v>0.042394352836438401</v>
      </c>
      <c r="I29" s="48">
        <f t="shared" si="215"/>
        <v>5.1271117110865401</v>
      </c>
      <c r="J29" s="48">
        <f t="shared" si="216"/>
        <v>19.402172959559099</v>
      </c>
      <c r="K29" s="192">
        <f t="shared" si="217"/>
        <v>2.3159472312133702</v>
      </c>
      <c r="L29" s="63">
        <f t="shared" si="218"/>
        <v>17.5281567000191</v>
      </c>
      <c r="M29" s="63" t="s">
        <v>123</v>
      </c>
      <c r="N29" s="193">
        <f>=E29/D$17/3600</f>
        <v>0.36111111111111099</v>
      </c>
      <c r="O29" s="193">
        <f t="shared" si="219"/>
        <v>0.180555555555556</v>
      </c>
      <c r="P29" s="48">
        <f t="shared" si="220"/>
        <v>16.457688585559001</v>
      </c>
      <c r="Q29" s="48">
        <f t="shared" si="221"/>
        <v>71097.214689614702</v>
      </c>
      <c r="R29" s="63">
        <f t="shared" si="222"/>
        <v>7.7110078944211597</v>
      </c>
      <c r="S29" s="193">
        <f t="shared" si="223"/>
        <v>0.92288992105578804</v>
      </c>
      <c r="T29" s="1">
        <v>9</v>
      </c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</row>
    <row r="30" s="140" customFormat="1" ht="14.300000000000001" customHeight="1">
      <c r="C30" s="2">
        <v>10</v>
      </c>
      <c r="D30" s="186">
        <f>D6+D10+D7+D12</f>
        <v>1270.99</v>
      </c>
      <c r="E30" s="187">
        <v>4400</v>
      </c>
      <c r="F30" s="186">
        <f>$D30*t!$D$36/2/(1-e!V$20/2/100)</f>
        <v>1597.75233137806</v>
      </c>
      <c r="G30" s="186">
        <f t="shared" si="213"/>
        <v>3195.5046627561301</v>
      </c>
      <c r="H30" s="188">
        <f t="shared" si="214"/>
        <v>0.115993564265783</v>
      </c>
      <c r="I30" s="186">
        <f t="shared" si="215"/>
        <v>5.2508950453726104</v>
      </c>
      <c r="J30" s="186">
        <f t="shared" si="216"/>
        <v>19.8705976393132</v>
      </c>
      <c r="K30" s="189">
        <f t="shared" si="217"/>
        <v>17.755830265747299</v>
      </c>
      <c r="L30" s="190">
        <f t="shared" si="218"/>
        <v>134.38431197497599</v>
      </c>
      <c r="M30" s="190" t="s">
        <v>123</v>
      </c>
      <c r="N30" s="45">
        <f>=E30/D$17/3600</f>
        <v>1.0185185185185199</v>
      </c>
      <c r="O30" s="45">
        <f t="shared" si="219"/>
        <v>0.50925925925925897</v>
      </c>
      <c r="P30" s="186">
        <f t="shared" si="220"/>
        <v>85.562445805151398</v>
      </c>
      <c r="Q30" s="186">
        <f t="shared" si="221"/>
        <v>369629.76587825402</v>
      </c>
      <c r="R30" s="190">
        <f t="shared" si="222"/>
        <v>5.3551757756694203</v>
      </c>
      <c r="S30" s="45">
        <f t="shared" si="223"/>
        <v>0.94644824224330604</v>
      </c>
      <c r="T30" s="2">
        <v>10</v>
      </c>
    </row>
    <row r="31" s="140" customFormat="1" ht="14.300000000000001" customHeight="1">
      <c r="C31" s="2">
        <v>11</v>
      </c>
      <c r="D31" s="186">
        <f>D5</f>
        <v>607.98850000000004</v>
      </c>
      <c r="E31" s="187">
        <v>1360</v>
      </c>
      <c r="F31" s="186">
        <f>$D31*t!$D$36/2/(1-e!V$20/2/100)</f>
        <v>764.297943592043</v>
      </c>
      <c r="G31" s="186">
        <f t="shared" si="213"/>
        <v>1528.5958871840901</v>
      </c>
      <c r="H31" s="188">
        <f t="shared" si="214"/>
        <v>0.080225144733396397</v>
      </c>
      <c r="I31" s="186">
        <f t="shared" si="215"/>
        <v>2.3541074470368</v>
      </c>
      <c r="J31" s="186">
        <f t="shared" si="216"/>
        <v>8.9084854059313496</v>
      </c>
      <c r="K31" s="189">
        <f t="shared" si="217"/>
        <v>3.8079142450051702</v>
      </c>
      <c r="L31" s="190">
        <f t="shared" si="218"/>
        <v>28.820051116499702</v>
      </c>
      <c r="M31" s="190" t="s">
        <v>123</v>
      </c>
      <c r="N31" s="45">
        <f>=E31/D$17/3600</f>
        <v>0.31481481481481499</v>
      </c>
      <c r="O31" s="45">
        <f t="shared" si="219"/>
        <v>0.157407407407407</v>
      </c>
      <c r="P31" s="186">
        <f t="shared" si="220"/>
        <v>20.7321204974062</v>
      </c>
      <c r="Q31" s="186">
        <f t="shared" si="221"/>
        <v>89562.760548795006</v>
      </c>
      <c r="R31" s="190">
        <f t="shared" si="222"/>
        <v>2.7125704931207202</v>
      </c>
      <c r="S31" s="45">
        <f t="shared" si="223"/>
        <v>0.97287429506879297</v>
      </c>
      <c r="T31" s="2">
        <v>11</v>
      </c>
    </row>
    <row r="32" ht="14.300000000000001" customHeight="1">
      <c r="A32" s="173" t="s">
        <v>431</v>
      </c>
      <c r="B32" s="173"/>
      <c r="C32" s="194"/>
      <c r="D32" s="195" t="s">
        <v>1</v>
      </c>
      <c r="E32" s="195">
        <f>SUM(E21:E31)</f>
        <v>27670</v>
      </c>
      <c r="F32" s="195">
        <f>F21+F24+F30+F31</f>
        <v>9450.5858048526297</v>
      </c>
      <c r="G32" s="170"/>
      <c r="H32" s="170"/>
      <c r="I32" s="170"/>
      <c r="J32" s="170"/>
      <c r="K32" s="196">
        <f>SUM(K21:K31)</f>
        <v>91.285266129403198</v>
      </c>
      <c r="L32" s="195">
        <f>SUM(L21:L31)</f>
        <v>690.88899244082302</v>
      </c>
      <c r="M32" s="195">
        <f>K32*180*24</f>
        <v>394352.34967902198</v>
      </c>
      <c r="N32" s="170"/>
      <c r="O32" s="170"/>
      <c r="P32" s="195">
        <f>SUM(P21:P31)</f>
        <v>466.28670516141102</v>
      </c>
      <c r="Q32" s="195">
        <f>SUM(Q21:Q31)</f>
        <v>2014358.5662972999</v>
      </c>
      <c r="R32" s="196">
        <f t="shared" si="222"/>
        <v>4.9339449933567598</v>
      </c>
      <c r="S32" s="173"/>
      <c r="T32" s="173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ht="14.300000000000001" customHeight="1">
      <c r="F33" s="48" t="s">
        <v>1</v>
      </c>
    </row>
    <row r="34" ht="14.300000000000001" customHeight="1"/>
  </sheetData>
  <mergeCells count="1">
    <mergeCell ref="F5:F13"/>
  </mergeCell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greaterThan" rank="0" text="" id="{004C002B-00EC-4F2A-9074-008800D00006}">
            <xm:f>10</xm:f>
            <x14:dxf>
              <font>
                <name val="FreeSans"/>
              </font>
              <numFmt numFmtId="3" formatCode="#,##0"/>
            </x14:dxf>
          </x14:cfRule>
          <xm:sqref>B24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" zoomScale="150" workbookViewId="0">
      <selection activeCell="A14" activeCellId="0" sqref="A14"/>
    </sheetView>
  </sheetViews>
  <sheetFormatPr defaultColWidth="11.53515625" defaultRowHeight="12.75"/>
  <cols>
    <col customWidth="1" min="1" max="1" style="9" width="47.520000000000003"/>
    <col customWidth="1" min="2" max="2" style="9" width="9.0299999999999994"/>
    <col customWidth="1" min="3" max="3" style="9" width="7.9199999999999999"/>
    <col customWidth="1" min="4" max="4" style="9" width="10.77"/>
    <col customWidth="1" min="5" max="5" style="9" width="14.59"/>
    <col customWidth="1" min="6" max="6" style="9" width="10.07"/>
    <col customWidth="1" min="7" max="7" style="9" width="6.5999999999999996"/>
    <col customWidth="1" min="8" max="8" style="9" width="11.98"/>
    <col customWidth="1" min="9" max="9" style="197" width="14.07"/>
    <col customWidth="1" min="10" max="10" style="197" width="10.800000000000001"/>
    <col customWidth="1" min="11" max="11" style="197" width="10.65"/>
    <col customWidth="1" min="12" max="12" style="197" width="8.9399999999999995"/>
    <col customWidth="1" min="13" max="13" style="197" width="8.1600000000000001"/>
    <col customWidth="0" min="14" max="14" style="197" width="11.52"/>
    <col customWidth="0" min="15" max="64" style="9" width="11.52"/>
  </cols>
  <sheetData>
    <row r="1" ht="15">
      <c r="A1" s="198" t="s">
        <v>432</v>
      </c>
      <c r="B1" s="199"/>
      <c r="C1" s="200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ALV1" s="198"/>
      <c r="ALW1" s="198"/>
      <c r="ALX1" s="198"/>
      <c r="ALY1" s="198"/>
      <c r="ALZ1" s="198"/>
      <c r="AMA1" s="198"/>
      <c r="AMB1" s="198"/>
      <c r="AMC1" s="198"/>
    </row>
    <row r="2" ht="15">
      <c r="A2" s="198"/>
      <c r="B2" s="199"/>
      <c r="C2" s="200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ALV2" s="198"/>
      <c r="ALW2" s="198"/>
      <c r="ALX2" s="198"/>
      <c r="ALY2" s="198"/>
      <c r="ALZ2" s="198"/>
      <c r="AMA2" s="198"/>
      <c r="AMB2" s="198"/>
      <c r="AMC2" s="198"/>
    </row>
    <row r="3" ht="15">
      <c r="A3" s="201" t="s">
        <v>433</v>
      </c>
      <c r="B3" s="202"/>
      <c r="C3" s="197"/>
      <c r="D3" s="197"/>
      <c r="E3" s="203"/>
      <c r="F3" s="197"/>
      <c r="G3" s="197"/>
      <c r="H3" s="19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2.800000000000001">
      <c r="A4" s="203" t="s">
        <v>434</v>
      </c>
      <c r="B4" s="202">
        <f>s!O34</f>
        <v>500.67857142857201</v>
      </c>
      <c r="C4" s="197" t="s">
        <v>303</v>
      </c>
      <c r="D4" s="197"/>
      <c r="E4" s="203" t="s">
        <v>1</v>
      </c>
      <c r="F4" s="197"/>
      <c r="G4" s="197"/>
      <c r="H4" s="197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12.800000000000001">
      <c r="A5" s="9" t="s">
        <v>435</v>
      </c>
      <c r="B5" s="202">
        <f>s!O35</f>
        <v>6021.1194945684301</v>
      </c>
      <c r="C5" s="197" t="s">
        <v>43</v>
      </c>
      <c r="D5" s="197"/>
      <c r="E5" s="9" t="s">
        <v>1</v>
      </c>
      <c r="F5" s="197"/>
      <c r="G5" s="197"/>
      <c r="H5" s="19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ht="12.800000000000001">
      <c r="A6" s="203" t="s">
        <v>436</v>
      </c>
      <c r="B6" s="204">
        <f>s!O36</f>
        <v>77.595872922265798</v>
      </c>
      <c r="C6" s="197" t="s">
        <v>303</v>
      </c>
      <c r="D6" s="197"/>
      <c r="E6" s="203" t="s">
        <v>1</v>
      </c>
      <c r="F6" s="197"/>
      <c r="G6" s="197"/>
      <c r="H6" s="19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ht="12.800000000000001">
      <c r="A7" s="203" t="s">
        <v>437</v>
      </c>
      <c r="B7" s="205">
        <v>0.90000000000000002</v>
      </c>
      <c r="C7" s="197" t="s">
        <v>187</v>
      </c>
      <c r="D7" s="197"/>
      <c r="E7" s="197"/>
      <c r="F7" s="197"/>
      <c r="G7" s="197"/>
      <c r="H7" s="19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ht="12.800000000000001">
      <c r="A8" s="203" t="s">
        <v>438</v>
      </c>
      <c r="B8" s="197">
        <f>2*B7</f>
        <v>1.8</v>
      </c>
      <c r="C8" s="197" t="s">
        <v>187</v>
      </c>
      <c r="D8" s="197"/>
      <c r="E8" s="197"/>
      <c r="F8" s="197"/>
      <c r="G8" s="197"/>
      <c r="H8" s="19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2.800000000000001">
      <c r="A9" s="203" t="s">
        <v>439</v>
      </c>
      <c r="B9" s="205">
        <v>60</v>
      </c>
      <c r="C9" s="197" t="s">
        <v>29</v>
      </c>
      <c r="D9" s="197"/>
      <c r="E9" s="197"/>
      <c r="F9" s="197"/>
      <c r="G9" s="197"/>
      <c r="H9" s="19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ht="12.800000000000001">
      <c r="A10" s="203" t="s">
        <v>440</v>
      </c>
      <c r="B10" s="205">
        <v>30</v>
      </c>
      <c r="C10" s="197" t="s">
        <v>196</v>
      </c>
      <c r="D10" s="197"/>
      <c r="E10" s="197"/>
      <c r="F10" s="197"/>
      <c r="G10" s="197"/>
      <c r="H10" s="197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2.800000000000001">
      <c r="A11" s="203" t="s">
        <v>441</v>
      </c>
      <c r="B11" s="206">
        <v>0.10000000000000001</v>
      </c>
      <c r="C11" s="197" t="s">
        <v>77</v>
      </c>
      <c r="D11" s="197" t="s">
        <v>1</v>
      </c>
      <c r="E11" s="136" t="s">
        <v>1</v>
      </c>
      <c r="F11" s="197" t="s">
        <v>1</v>
      </c>
      <c r="G11" s="197"/>
      <c r="H11" s="19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2.800000000000001">
      <c r="A12" s="203" t="s">
        <v>442</v>
      </c>
      <c r="B12" s="206">
        <v>0.035000000000000003</v>
      </c>
      <c r="C12" s="197" t="s">
        <v>179</v>
      </c>
      <c r="D12" s="197"/>
      <c r="E12" s="197"/>
      <c r="F12" s="197"/>
      <c r="G12" s="197"/>
      <c r="H12" s="19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AMD12" s="9"/>
      <c r="AME12" s="9"/>
      <c r="AMF12" s="9"/>
      <c r="AMG12" s="9"/>
      <c r="AMH12" s="9"/>
      <c r="AMI12" s="9"/>
      <c r="AMJ12" s="9"/>
    </row>
    <row r="13" ht="12.800000000000001">
      <c r="A13" s="203"/>
      <c r="B13" s="197"/>
      <c r="C13" s="197"/>
      <c r="D13" s="197"/>
      <c r="E13" s="197"/>
      <c r="F13" s="197"/>
      <c r="G13" s="197"/>
      <c r="H13" s="207"/>
      <c r="I13" s="207"/>
      <c r="L13" s="20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AMD13" s="9"/>
      <c r="AME13" s="9"/>
      <c r="AMF13" s="9"/>
      <c r="AMG13" s="9"/>
      <c r="AMH13" s="9"/>
      <c r="AMI13" s="9"/>
      <c r="AMJ13" s="9"/>
    </row>
    <row r="14" ht="52.450000000000003" customHeight="1">
      <c r="A14" s="208" t="s">
        <v>443</v>
      </c>
      <c r="B14" s="208" t="s">
        <v>444</v>
      </c>
      <c r="C14" s="208" t="s">
        <v>445</v>
      </c>
      <c r="D14" s="208" t="s">
        <v>446</v>
      </c>
      <c r="E14" s="208" t="s">
        <v>447</v>
      </c>
      <c r="F14" s="208" t="s">
        <v>448</v>
      </c>
      <c r="G14" s="208" t="s">
        <v>449</v>
      </c>
      <c r="H14" s="208" t="s">
        <v>450</v>
      </c>
      <c r="I14" s="208" t="s">
        <v>451</v>
      </c>
      <c r="J14" s="208" t="s">
        <v>452</v>
      </c>
      <c r="K14" s="208" t="s">
        <v>425</v>
      </c>
      <c r="L14" s="208" t="s">
        <v>453</v>
      </c>
      <c r="M14" s="208" t="s">
        <v>454</v>
      </c>
      <c r="N14" s="209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AMH14" s="9"/>
      <c r="AMI14" s="9"/>
      <c r="AMJ14" s="9"/>
    </row>
    <row r="15" ht="14.949999999999999" customHeight="1">
      <c r="A15" s="211"/>
      <c r="B15" s="212"/>
      <c r="C15" s="212"/>
      <c r="D15" s="212"/>
      <c r="E15" s="212" t="s">
        <v>310</v>
      </c>
      <c r="F15" s="212" t="s">
        <v>303</v>
      </c>
      <c r="G15" s="212" t="s">
        <v>429</v>
      </c>
      <c r="H15" s="212" t="s">
        <v>429</v>
      </c>
      <c r="I15" s="213" t="s">
        <v>310</v>
      </c>
      <c r="J15" s="213" t="s">
        <v>455</v>
      </c>
      <c r="K15" s="213" t="s">
        <v>310</v>
      </c>
      <c r="L15" s="213" t="s">
        <v>107</v>
      </c>
      <c r="M15" s="208" t="s">
        <v>27</v>
      </c>
    </row>
    <row r="16" ht="14.949999999999999" customHeight="1">
      <c r="A16" s="211"/>
      <c r="B16" s="207">
        <v>1</v>
      </c>
      <c r="C16" s="214">
        <f>B$4/2</f>
        <v>250.33928571428601</v>
      </c>
      <c r="D16" s="214">
        <f t="shared" ref="D16:D24" si="225">B$4/B$6/2</f>
        <v>3.2261933049592901</v>
      </c>
      <c r="E16" s="215">
        <f>t!D$36*D$16*s!I$35*2/(1-e!V$20/2/100)</f>
        <v>90.542488981569207</v>
      </c>
      <c r="F16" s="216">
        <f t="shared" ref="F16:F17" si="226">(E16*4/PI()/4.2/(60-30)/1000/B$8)^0.5</f>
        <v>0.0225454936359708</v>
      </c>
      <c r="G16" s="217">
        <f t="shared" ref="G16:G17" si="227">0.216/(B$8*F16/((1.5556*EXP(-0.0318393*B$9)+0.2374))/10^(-6))^0.2*1/(F16)*B$8^2*(-0.0040125*B$9^2-0.028625*B$9+1000.3875)/2/100000</f>
        <v>0.0157153884534184</v>
      </c>
      <c r="H16" s="218">
        <f t="shared" ref="H16:H17" si="228">G16*C$16*2</f>
        <v>7.86835824030259</v>
      </c>
      <c r="I16" s="219">
        <f t="shared" ref="I16:I17" si="229">H16*10^5*PI()/4*F16^2*B$8/1000/0.75</f>
        <v>0.75388438018585902</v>
      </c>
      <c r="J16" s="220">
        <f t="shared" ref="J16:J17" si="230">C16/B$8</f>
        <v>139.07738095238099</v>
      </c>
      <c r="K16" s="215">
        <f t="shared" ref="K16:K17" si="231">(50+20)*2*PI()*B$12*C$16/LN(1+B$11*2/F16)/1000</f>
        <v>1.6831237158895</v>
      </c>
      <c r="L16" s="214">
        <f t="shared" ref="L16:L17" si="232">K16*24*180</f>
        <v>7271.0944526426601</v>
      </c>
      <c r="M16" s="218">
        <f t="shared" ref="M16:M17" si="233">K16/E16*100</f>
        <v>1.85893245792273</v>
      </c>
    </row>
    <row r="17" ht="14.949999999999999" customHeight="1">
      <c r="A17" s="211"/>
      <c r="B17" s="207">
        <v>2</v>
      </c>
      <c r="C17" s="214">
        <f>B$4</f>
        <v>500.67857142857201</v>
      </c>
      <c r="D17" s="214">
        <f t="shared" si="225"/>
        <v>3.2261933049592901</v>
      </c>
      <c r="E17" s="215">
        <f>t!D$36*D$16*s!I$35/(1-e!V$20/2/100)</f>
        <v>45.271244490784603</v>
      </c>
      <c r="F17" s="216">
        <f t="shared" si="226"/>
        <v>0.015942071435193099</v>
      </c>
      <c r="G17" s="217">
        <f t="shared" si="227"/>
        <v>0.023820074627992498</v>
      </c>
      <c r="H17" s="218">
        <f t="shared" si="228"/>
        <v>11.9262009360652</v>
      </c>
      <c r="I17" s="219">
        <f t="shared" si="229"/>
        <v>0.57133752214056399</v>
      </c>
      <c r="J17" s="220">
        <f t="shared" si="230"/>
        <v>278.15476190476198</v>
      </c>
      <c r="K17" s="215">
        <f t="shared" si="231"/>
        <v>1.4787421643890599</v>
      </c>
      <c r="L17" s="214">
        <f t="shared" si="232"/>
        <v>6388.1661501607296</v>
      </c>
      <c r="M17" s="218">
        <f t="shared" si="233"/>
        <v>3.2664049354553799</v>
      </c>
    </row>
    <row r="18" ht="14.949999999999999" customHeight="1">
      <c r="A18" s="221"/>
      <c r="B18" s="222"/>
      <c r="C18" s="222"/>
      <c r="D18" s="222"/>
      <c r="E18" s="223"/>
      <c r="F18" s="224" t="s">
        <v>1</v>
      </c>
      <c r="G18" s="222"/>
      <c r="H18" s="225">
        <f>SUM(H16:H17)</f>
        <v>19.794559176367802</v>
      </c>
      <c r="I18" s="226">
        <f>SUM(I16:I17)</f>
        <v>1.32522190232642</v>
      </c>
      <c r="J18" s="222"/>
      <c r="K18" s="223">
        <f>SUM(K16:K17)</f>
        <v>3.16186588027856</v>
      </c>
      <c r="L18" s="227">
        <f>SUM(L16:L17)</f>
        <v>13659.260602803401</v>
      </c>
      <c r="M18" s="223">
        <f>K18/E16*100</f>
        <v>3.4921349256504199</v>
      </c>
      <c r="N18" s="209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AMD18" s="210"/>
      <c r="AME18" s="210"/>
      <c r="AMF18" s="210"/>
      <c r="AMG18" s="210"/>
      <c r="AMH18" s="210"/>
      <c r="AMI18" s="210"/>
      <c r="AMJ18" s="210"/>
    </row>
    <row r="19" ht="14.949999999999999" customHeight="1">
      <c r="A19" s="221"/>
      <c r="B19" s="222"/>
      <c r="C19" s="222"/>
      <c r="D19" s="222"/>
      <c r="E19" s="223"/>
      <c r="F19" s="224" t="s">
        <v>1</v>
      </c>
      <c r="G19" s="222"/>
      <c r="H19" s="227" t="s">
        <v>456</v>
      </c>
      <c r="I19" s="226"/>
      <c r="J19" s="222"/>
      <c r="K19" s="222"/>
      <c r="L19" s="227"/>
      <c r="M19" s="222"/>
      <c r="N19" s="209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AMD19" s="210"/>
      <c r="AME19" s="210"/>
      <c r="AMF19" s="210"/>
      <c r="AMG19" s="210"/>
      <c r="AMH19" s="210"/>
      <c r="AMI19" s="210"/>
      <c r="AMJ19" s="210"/>
    </row>
    <row r="20" ht="14.949999999999999" customHeight="1">
      <c r="A20" s="211"/>
      <c r="E20" s="228"/>
      <c r="H20" s="80"/>
      <c r="I20" s="219"/>
      <c r="L20" s="214"/>
    </row>
    <row r="21" ht="49.149999999999999" customHeight="1">
      <c r="A21" s="208" t="s">
        <v>457</v>
      </c>
      <c r="B21" s="208" t="s">
        <v>444</v>
      </c>
      <c r="C21" s="208" t="s">
        <v>445</v>
      </c>
      <c r="D21" s="208" t="s">
        <v>446</v>
      </c>
      <c r="E21" s="229" t="s">
        <v>458</v>
      </c>
      <c r="F21" s="208" t="s">
        <v>448</v>
      </c>
      <c r="G21" s="208" t="s">
        <v>449</v>
      </c>
      <c r="H21" s="208" t="s">
        <v>459</v>
      </c>
      <c r="I21" s="230" t="s">
        <v>451</v>
      </c>
      <c r="J21" s="208" t="s">
        <v>452</v>
      </c>
      <c r="K21" s="208" t="s">
        <v>425</v>
      </c>
      <c r="L21" s="208" t="s">
        <v>453</v>
      </c>
      <c r="M21" s="208" t="s">
        <v>454</v>
      </c>
      <c r="N21" s="209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AMH21" s="9"/>
      <c r="AMI21" s="9"/>
      <c r="AMJ21" s="9"/>
    </row>
    <row r="22" ht="12.800000000000001">
      <c r="B22" s="212"/>
      <c r="C22" s="212"/>
      <c r="D22" s="212"/>
      <c r="E22" s="231" t="s">
        <v>310</v>
      </c>
      <c r="F22" s="212" t="s">
        <v>303</v>
      </c>
      <c r="G22" s="212" t="s">
        <v>429</v>
      </c>
      <c r="H22" s="212" t="s">
        <v>429</v>
      </c>
      <c r="I22" s="232" t="s">
        <v>310</v>
      </c>
      <c r="J22" s="213" t="s">
        <v>455</v>
      </c>
      <c r="K22" s="213" t="s">
        <v>310</v>
      </c>
      <c r="L22" s="233" t="s">
        <v>107</v>
      </c>
      <c r="M22" s="208" t="s">
        <v>27</v>
      </c>
    </row>
    <row r="23" ht="12.800000000000001">
      <c r="B23" s="207">
        <v>1</v>
      </c>
      <c r="C23" s="214">
        <f>B$4/2</f>
        <v>250.33928571428601</v>
      </c>
      <c r="D23" s="214">
        <f t="shared" si="225"/>
        <v>3.2261933049592901</v>
      </c>
      <c r="E23" s="215">
        <f>t!D$36/2*D$16*s!I$35*2/(1-e!V$20/2/100)</f>
        <v>45.271244490784603</v>
      </c>
      <c r="F23" s="216">
        <f t="shared" ref="F23:F24" si="234">(E16*4/PI()/4.2/(60-30)/1000/B$8)^0.5</f>
        <v>0.0225454936359708</v>
      </c>
      <c r="G23" s="217">
        <f t="shared" ref="G23:G24" si="235">0.216/((B$8/2)*F16/((1.5556*EXP(-0.0318393*B$9)+0.2374))/10^(-6))^0.2*1/(F16)*(B$8/2)^2*(-0.0040125*B$9^2-0.028625*B$9+1000.3875)/2/100000</f>
        <v>0.0045130602161452798</v>
      </c>
      <c r="H23" s="218">
        <f t="shared" ref="H23:H24" si="236">G23*C$16*2</f>
        <v>2.2595925417907399</v>
      </c>
      <c r="I23" s="219">
        <f t="shared" ref="I23:I24" si="237">H23*10^5*PI()/4*F23^2*B$8/1000/0.75</f>
        <v>0.21649643684436401</v>
      </c>
      <c r="J23" s="220">
        <f t="shared" ref="J23:J24" si="238">C23/B$8*2</f>
        <v>278.15476190476198</v>
      </c>
      <c r="K23" s="215">
        <f t="shared" ref="K23:K24" si="239">(50+20)*2*PI()*B$12*C$16/LN(1+B$11*2/F23)/1000</f>
        <v>1.6831237158895</v>
      </c>
      <c r="L23" s="214">
        <f t="shared" ref="L23:L24" si="240">K23*24*180</f>
        <v>7271.0944526426601</v>
      </c>
      <c r="M23" s="218">
        <f t="shared" ref="M23:M24" si="241">K23/E23*100</f>
        <v>3.7178649158454702</v>
      </c>
    </row>
    <row r="24" ht="12.800000000000001">
      <c r="B24" s="207">
        <v>2</v>
      </c>
      <c r="C24" s="214">
        <f>B$4</f>
        <v>500.67857142857201</v>
      </c>
      <c r="D24" s="214">
        <f t="shared" si="225"/>
        <v>3.2261933049592901</v>
      </c>
      <c r="E24" s="215">
        <f>t!D$36/2*D$16*s!I$35/(1-e!V$20/2/100)</f>
        <v>22.635622245392302</v>
      </c>
      <c r="F24" s="216">
        <f t="shared" si="234"/>
        <v>0.015942071435193099</v>
      </c>
      <c r="G24" s="217">
        <f t="shared" si="235"/>
        <v>0.0068405201352704</v>
      </c>
      <c r="H24" s="218">
        <f t="shared" si="236"/>
        <v>3.4249018491555598</v>
      </c>
      <c r="I24" s="219">
        <f t="shared" si="237"/>
        <v>0.16407361795773701</v>
      </c>
      <c r="J24" s="220">
        <f t="shared" si="238"/>
        <v>556.30952380952397</v>
      </c>
      <c r="K24" s="215">
        <f t="shared" si="239"/>
        <v>1.4787421643890599</v>
      </c>
      <c r="L24" s="214">
        <f t="shared" si="240"/>
        <v>6388.1661501607296</v>
      </c>
      <c r="M24" s="218">
        <f t="shared" si="241"/>
        <v>6.5328098709107598</v>
      </c>
    </row>
    <row r="25" ht="12.800000000000001">
      <c r="A25" s="210"/>
      <c r="B25" s="222"/>
      <c r="C25" s="222"/>
      <c r="D25" s="222"/>
      <c r="E25" s="222"/>
      <c r="F25" s="224" t="s">
        <v>1</v>
      </c>
      <c r="G25" s="222"/>
      <c r="H25" s="225">
        <f>SUM(H23:H24)</f>
        <v>5.6844943909463002</v>
      </c>
      <c r="I25" s="226">
        <f>SUM(I23:I24)</f>
        <v>0.38057005480210099</v>
      </c>
      <c r="J25" s="222"/>
      <c r="K25" s="223">
        <f>SUM(K23:K24)</f>
        <v>3.16186588027856</v>
      </c>
      <c r="L25" s="227">
        <f>SUM(L23:L24)</f>
        <v>13659.260602803401</v>
      </c>
      <c r="M25" s="223">
        <f>K25/E23*100</f>
        <v>6.9842698513008497</v>
      </c>
      <c r="N25" s="209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AMD25" s="210"/>
      <c r="AME25" s="210"/>
      <c r="AMF25" s="210"/>
      <c r="AMG25" s="210"/>
      <c r="AMH25" s="210"/>
      <c r="AMI25" s="210"/>
      <c r="AMJ25" s="210"/>
    </row>
  </sheetData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" zoomScale="150" workbookViewId="0">
      <selection activeCell="T96" activeCellId="0" sqref="T96"/>
    </sheetView>
  </sheetViews>
  <sheetFormatPr defaultColWidth="11.53515625" defaultRowHeight="12.75"/>
  <cols>
    <col customWidth="1" min="1" max="1" style="53" width="4.46"/>
    <col customWidth="1" min="2" max="2" style="1" width="3.6099999999999999"/>
    <col customWidth="1" min="3" max="3" style="1" width="13.06"/>
    <col customWidth="1" min="4" max="6" style="1" width="7.54"/>
    <col customWidth="1" min="7" max="7" style="1" width="10.210000000000001"/>
    <col customWidth="1" min="8" max="10" style="180" width="7.54"/>
    <col customWidth="1" min="11" max="11" style="180" width="4.1799999999999997"/>
    <col customWidth="1" min="12" max="12" style="180" width="4.46"/>
    <col customWidth="1" min="13" max="13" style="180" width="8.8300000000000001"/>
    <col customWidth="1" min="14" max="14" style="180" width="4.2699999999999996"/>
    <col customWidth="1" min="15" max="15" style="1" width="4.2699999999999996"/>
    <col customWidth="1" min="16" max="16" style="1" width="6.6399999999999997"/>
    <col customWidth="1" min="17" max="17" style="1" width="7.6399999999999997"/>
    <col customWidth="1" min="18" max="18" style="1" width="8.9900000000000002"/>
    <col customWidth="1" min="19" max="19" style="1" width="6.1600000000000001"/>
    <col customWidth="1" min="20" max="20" style="51" width="12.220000000000001"/>
    <col customWidth="1" min="21" max="21" style="51" width="16.260000000000002"/>
    <col customWidth="0" min="22" max="64" style="1" width="11.52"/>
    <col customWidth="0" min="1009" max="1024" style="10" width="11.52"/>
  </cols>
  <sheetData>
    <row r="1" ht="21.399999999999999" customHeight="1">
      <c r="A1" s="234" t="s">
        <v>460</v>
      </c>
      <c r="B1" s="234" t="s">
        <v>461</v>
      </c>
      <c r="C1" s="234" t="s">
        <v>101</v>
      </c>
      <c r="D1" s="234" t="s">
        <v>462</v>
      </c>
      <c r="E1" s="234" t="s">
        <v>463</v>
      </c>
      <c r="F1" s="234" t="s">
        <v>464</v>
      </c>
      <c r="G1" s="234" t="s">
        <v>465</v>
      </c>
      <c r="H1" s="234" t="s">
        <v>466</v>
      </c>
      <c r="I1" s="234" t="s">
        <v>467</v>
      </c>
      <c r="J1" s="234" t="s">
        <v>468</v>
      </c>
      <c r="K1" s="234" t="s">
        <v>469</v>
      </c>
      <c r="L1" s="234" t="s">
        <v>469</v>
      </c>
      <c r="M1" s="234" t="s">
        <v>470</v>
      </c>
      <c r="N1" s="234" t="s">
        <v>77</v>
      </c>
      <c r="O1" s="234" t="s">
        <v>77</v>
      </c>
      <c r="P1" s="234" t="s">
        <v>43</v>
      </c>
      <c r="Q1" s="235" t="s">
        <v>471</v>
      </c>
      <c r="R1" s="180"/>
      <c r="T1" s="16" t="s">
        <v>472</v>
      </c>
      <c r="V1" s="61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ALO1" s="236"/>
      <c r="ALP1" s="236"/>
      <c r="ALQ1" s="236"/>
    </row>
    <row r="2" ht="9.0999999999999996" customHeight="1">
      <c r="A2" s="53">
        <v>11</v>
      </c>
      <c r="B2" s="1">
        <v>1</v>
      </c>
      <c r="C2" s="53" t="s">
        <v>398</v>
      </c>
      <c r="D2" s="53">
        <v>641</v>
      </c>
      <c r="E2" s="142">
        <f>I2*I$35</f>
        <v>552.54788418708199</v>
      </c>
      <c r="F2" s="142">
        <v>641</v>
      </c>
      <c r="G2" s="142">
        <f>F2*0.9485</f>
        <v>607.98850000000004</v>
      </c>
      <c r="H2" s="53">
        <v>22</v>
      </c>
      <c r="I2" s="53">
        <v>99</v>
      </c>
      <c r="J2" s="53">
        <v>93</v>
      </c>
      <c r="K2" s="53">
        <v>244</v>
      </c>
      <c r="L2" s="53">
        <v>609</v>
      </c>
      <c r="M2" s="53">
        <v>1</v>
      </c>
      <c r="N2" s="142">
        <f t="shared" ref="N2:N9" si="242">IF(M2=1,K2*50/35,K2*30/42)</f>
        <v>348.57142857142901</v>
      </c>
      <c r="O2" s="142">
        <f t="shared" ref="O2:O9" si="243">IF(M2=1,L2*50/35,L2*30/42)</f>
        <v>870</v>
      </c>
      <c r="P2" s="142">
        <f t="shared" ref="P2:P9" si="244">N2*O2</f>
        <v>303257.14285714302</v>
      </c>
      <c r="Q2" s="142"/>
      <c r="R2" s="180"/>
      <c r="T2" s="57" t="s">
        <v>473</v>
      </c>
      <c r="U2" s="57"/>
      <c r="V2" s="6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ALO2" s="236"/>
      <c r="ALP2" s="236"/>
      <c r="ALQ2" s="236"/>
    </row>
    <row r="3" ht="9.0999999999999996" customHeight="1">
      <c r="A3" s="53">
        <v>12</v>
      </c>
      <c r="C3" s="53" t="s">
        <v>398</v>
      </c>
      <c r="D3" s="53"/>
      <c r="E3" s="53"/>
      <c r="F3" s="53"/>
      <c r="G3" s="142" t="s">
        <v>1</v>
      </c>
      <c r="H3" s="53"/>
      <c r="I3" s="53"/>
      <c r="J3" s="53"/>
      <c r="K3" s="53">
        <v>900</v>
      </c>
      <c r="L3" s="53">
        <v>64</v>
      </c>
      <c r="M3" s="53">
        <v>1</v>
      </c>
      <c r="N3" s="142">
        <f t="shared" si="242"/>
        <v>1285.7142857142901</v>
      </c>
      <c r="O3" s="142">
        <f t="shared" si="243"/>
        <v>91.428571428571402</v>
      </c>
      <c r="P3" s="142">
        <f t="shared" si="244"/>
        <v>117551.02040816301</v>
      </c>
      <c r="Q3" s="142"/>
      <c r="R3" s="180"/>
      <c r="T3" s="68" t="s">
        <v>398</v>
      </c>
      <c r="U3" s="68"/>
      <c r="V3" s="6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ALO3" s="236"/>
      <c r="ALP3" s="236"/>
      <c r="ALQ3" s="236"/>
    </row>
    <row r="4" ht="9.0999999999999996" customHeight="1">
      <c r="A4" s="53">
        <v>13</v>
      </c>
      <c r="C4" s="53" t="s">
        <v>398</v>
      </c>
      <c r="D4" s="53"/>
      <c r="E4" s="53"/>
      <c r="F4" s="53"/>
      <c r="G4" s="142" t="s">
        <v>1</v>
      </c>
      <c r="H4" s="53"/>
      <c r="I4" s="53"/>
      <c r="J4" s="53"/>
      <c r="K4" s="53">
        <v>244</v>
      </c>
      <c r="L4" s="53">
        <v>145</v>
      </c>
      <c r="M4" s="53">
        <v>1</v>
      </c>
      <c r="N4" s="142">
        <f t="shared" si="242"/>
        <v>348.57142857142901</v>
      </c>
      <c r="O4" s="142">
        <f t="shared" si="243"/>
        <v>207.142857142857</v>
      </c>
      <c r="P4" s="142">
        <f t="shared" si="244"/>
        <v>72204.081632653106</v>
      </c>
      <c r="Q4" s="142"/>
      <c r="R4" s="180"/>
      <c r="T4" s="68" t="s">
        <v>474</v>
      </c>
      <c r="U4" s="68" t="s">
        <v>475</v>
      </c>
      <c r="V4" s="61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ALO4" s="236"/>
      <c r="ALP4" s="236"/>
      <c r="ALQ4" s="236"/>
    </row>
    <row r="5" ht="9.0999999999999996" customHeight="1">
      <c r="A5" s="53">
        <v>14</v>
      </c>
      <c r="C5" s="53" t="s">
        <v>398</v>
      </c>
      <c r="D5" s="53"/>
      <c r="E5" s="53"/>
      <c r="F5" s="53"/>
      <c r="G5" s="142" t="s">
        <v>1</v>
      </c>
      <c r="H5" s="53"/>
      <c r="I5" s="53"/>
      <c r="J5" s="53"/>
      <c r="K5" s="53">
        <v>630</v>
      </c>
      <c r="L5" s="53">
        <v>272</v>
      </c>
      <c r="M5" s="53">
        <v>1</v>
      </c>
      <c r="N5" s="142">
        <f t="shared" si="242"/>
        <v>900</v>
      </c>
      <c r="O5" s="142">
        <f t="shared" si="243"/>
        <v>388.57142857142901</v>
      </c>
      <c r="P5" s="142">
        <f t="shared" si="244"/>
        <v>349714.28571428597</v>
      </c>
      <c r="Q5" s="142"/>
      <c r="R5" s="180"/>
      <c r="T5" s="68" t="s">
        <v>476</v>
      </c>
      <c r="U5" s="68" t="s">
        <v>477</v>
      </c>
      <c r="V5" s="61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ALO5" s="236"/>
      <c r="ALP5" s="236"/>
      <c r="ALQ5" s="236"/>
    </row>
    <row r="6" ht="9.0999999999999996" customHeight="1">
      <c r="A6" s="53">
        <v>15</v>
      </c>
      <c r="C6" s="53" t="s">
        <v>398</v>
      </c>
      <c r="D6" s="53"/>
      <c r="E6" s="53"/>
      <c r="F6" s="53"/>
      <c r="G6" s="142" t="s">
        <v>1</v>
      </c>
      <c r="H6" s="53"/>
      <c r="I6" s="53"/>
      <c r="J6" s="53"/>
      <c r="K6" s="53">
        <v>110</v>
      </c>
      <c r="L6" s="53">
        <v>350</v>
      </c>
      <c r="M6" s="53">
        <v>1</v>
      </c>
      <c r="N6" s="142">
        <f t="shared" si="242"/>
        <v>157.142857142857</v>
      </c>
      <c r="O6" s="142">
        <f t="shared" si="243"/>
        <v>500</v>
      </c>
      <c r="P6" s="142">
        <f t="shared" si="244"/>
        <v>78571.428571428594</v>
      </c>
      <c r="Q6" s="142">
        <f>SUM(P2:P6)</f>
        <v>921297.95918367303</v>
      </c>
      <c r="R6" s="180"/>
      <c r="T6" s="68" t="s">
        <v>478</v>
      </c>
      <c r="U6" s="68" t="s">
        <v>479</v>
      </c>
      <c r="V6" s="61">
        <v>26.690000000000001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ALO6" s="236"/>
      <c r="ALP6" s="236"/>
      <c r="ALQ6" s="236"/>
    </row>
    <row r="7" ht="9.0999999999999996" customHeight="1">
      <c r="A7" s="237">
        <v>21</v>
      </c>
      <c r="B7" s="238">
        <v>2</v>
      </c>
      <c r="C7" s="237" t="s">
        <v>400</v>
      </c>
      <c r="D7" s="237">
        <v>452</v>
      </c>
      <c r="E7" s="239">
        <f t="shared" ref="E7:E8" si="245">I7*I$35</f>
        <v>178.60133630289499</v>
      </c>
      <c r="F7" s="239">
        <v>179</v>
      </c>
      <c r="G7" s="239">
        <f t="shared" ref="G7:G8" si="246">F7*0.9485</f>
        <v>169.78149999999999</v>
      </c>
      <c r="H7" s="237">
        <v>19</v>
      </c>
      <c r="I7" s="237">
        <v>32</v>
      </c>
      <c r="J7" s="237">
        <v>24</v>
      </c>
      <c r="K7" s="237">
        <v>430</v>
      </c>
      <c r="L7" s="237">
        <v>360</v>
      </c>
      <c r="M7" s="237">
        <v>1</v>
      </c>
      <c r="N7" s="239">
        <f t="shared" si="242"/>
        <v>614.28571428571399</v>
      </c>
      <c r="O7" s="239">
        <f t="shared" si="243"/>
        <v>514.28571428571399</v>
      </c>
      <c r="P7" s="239">
        <f t="shared" si="244"/>
        <v>315918.36734693899</v>
      </c>
      <c r="Q7" s="239">
        <f>SUM(P7:P7)</f>
        <v>315918.36734693899</v>
      </c>
      <c r="R7" s="180"/>
      <c r="T7" s="68" t="s">
        <v>480</v>
      </c>
      <c r="U7" s="68" t="s">
        <v>481</v>
      </c>
      <c r="V7" s="61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ALO7" s="236"/>
      <c r="ALP7" s="236"/>
      <c r="ALQ7" s="236"/>
    </row>
    <row r="8" ht="9.0999999999999996" customHeight="1">
      <c r="A8" s="53">
        <v>31</v>
      </c>
      <c r="B8" s="1">
        <v>3</v>
      </c>
      <c r="C8" s="53" t="s">
        <v>401</v>
      </c>
      <c r="D8" s="53" t="s">
        <v>1</v>
      </c>
      <c r="E8" s="142">
        <f t="shared" si="245"/>
        <v>323.71492204899801</v>
      </c>
      <c r="F8" s="142">
        <v>324</v>
      </c>
      <c r="G8" s="142">
        <f t="shared" si="246"/>
        <v>307.31400000000002</v>
      </c>
      <c r="H8" s="53">
        <v>16</v>
      </c>
      <c r="I8" s="53">
        <v>58</v>
      </c>
      <c r="J8" s="53">
        <v>44</v>
      </c>
      <c r="K8" s="53">
        <v>390</v>
      </c>
      <c r="L8" s="53">
        <v>390</v>
      </c>
      <c r="M8" s="53">
        <v>2</v>
      </c>
      <c r="N8" s="142">
        <f t="shared" si="242"/>
        <v>278.57142857142901</v>
      </c>
      <c r="O8" s="142">
        <f t="shared" si="243"/>
        <v>278.57142857142901</v>
      </c>
      <c r="P8" s="142">
        <f t="shared" si="244"/>
        <v>77602.040816326495</v>
      </c>
      <c r="Q8" s="142" t="s">
        <v>1</v>
      </c>
      <c r="R8" s="180"/>
      <c r="T8" s="68" t="s">
        <v>482</v>
      </c>
      <c r="U8" s="68" t="s">
        <v>483</v>
      </c>
      <c r="V8" s="61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ALO8" s="236"/>
      <c r="ALP8" s="236"/>
      <c r="ALQ8" s="236"/>
    </row>
    <row r="9" ht="9.0999999999999996" customHeight="1">
      <c r="A9" s="53">
        <v>32</v>
      </c>
      <c r="C9" s="53" t="s">
        <v>401</v>
      </c>
      <c r="D9" s="53" t="s">
        <v>1</v>
      </c>
      <c r="E9" s="53"/>
      <c r="F9" s="53"/>
      <c r="G9" s="142" t="s">
        <v>1</v>
      </c>
      <c r="H9" s="53"/>
      <c r="I9" s="53"/>
      <c r="J9" s="53"/>
      <c r="K9" s="53">
        <v>620</v>
      </c>
      <c r="L9" s="53">
        <v>540</v>
      </c>
      <c r="M9" s="53">
        <v>2</v>
      </c>
      <c r="N9" s="142">
        <f t="shared" si="242"/>
        <v>442.857142857143</v>
      </c>
      <c r="O9" s="142">
        <f t="shared" si="243"/>
        <v>385.71428571428601</v>
      </c>
      <c r="P9" s="142">
        <f t="shared" si="244"/>
        <v>170816.32653061199</v>
      </c>
      <c r="Q9" s="142">
        <f>SUM(P8:P9)</f>
        <v>248418.36734693899</v>
      </c>
      <c r="R9" s="180"/>
      <c r="T9" s="68" t="s">
        <v>484</v>
      </c>
      <c r="U9" s="68">
        <v>17207</v>
      </c>
      <c r="V9" s="61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ALO9" s="236"/>
      <c r="ALP9" s="236"/>
      <c r="ALQ9" s="236"/>
    </row>
    <row r="10" ht="9.0999999999999996" customHeight="1">
      <c r="A10" s="237">
        <v>41</v>
      </c>
      <c r="B10" s="238">
        <v>4</v>
      </c>
      <c r="C10" s="237" t="s">
        <v>402</v>
      </c>
      <c r="D10" s="237">
        <v>317</v>
      </c>
      <c r="E10" s="239">
        <f>I10*I$35</f>
        <v>396.271714922049</v>
      </c>
      <c r="F10" s="239">
        <v>317</v>
      </c>
      <c r="G10" s="239">
        <f>F10*0.9485</f>
        <v>300.67450000000002</v>
      </c>
      <c r="H10" s="237">
        <v>11</v>
      </c>
      <c r="I10" s="237">
        <v>71</v>
      </c>
      <c r="J10" s="237">
        <v>52</v>
      </c>
      <c r="K10" s="237">
        <v>200</v>
      </c>
      <c r="L10" s="237">
        <v>590</v>
      </c>
      <c r="M10" s="237">
        <v>1</v>
      </c>
      <c r="N10" s="239">
        <f t="shared" ref="N10:N31" si="247">IF(M10=1,K10*50/35,K10*30/42)</f>
        <v>285.71428571428601</v>
      </c>
      <c r="O10" s="239">
        <f t="shared" ref="O10:O31" si="248">IF(M10=1,L10*50/35,L10*30/42)</f>
        <v>842.857142857143</v>
      </c>
      <c r="P10" s="239">
        <f t="shared" ref="P10:P31" si="249">N10*O10</f>
        <v>240816.32653061199</v>
      </c>
      <c r="Q10" s="239" t="s">
        <v>1</v>
      </c>
      <c r="R10" s="180"/>
      <c r="T10" s="68" t="s">
        <v>485</v>
      </c>
      <c r="U10" s="68">
        <v>39931</v>
      </c>
      <c r="V10" s="61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ALO10" s="236"/>
      <c r="ALP10" s="236"/>
      <c r="ALQ10" s="236"/>
    </row>
    <row r="11" ht="9.0999999999999996" customHeight="1">
      <c r="A11" s="237">
        <v>42</v>
      </c>
      <c r="B11" s="238"/>
      <c r="C11" s="237" t="s">
        <v>402</v>
      </c>
      <c r="D11" s="237"/>
      <c r="E11" s="237"/>
      <c r="F11" s="237"/>
      <c r="G11" s="239" t="s">
        <v>1</v>
      </c>
      <c r="H11" s="237"/>
      <c r="I11" s="237"/>
      <c r="J11" s="237"/>
      <c r="K11" s="237">
        <v>170</v>
      </c>
      <c r="L11" s="237">
        <v>750</v>
      </c>
      <c r="M11" s="237">
        <v>1</v>
      </c>
      <c r="N11" s="239">
        <f t="shared" si="247"/>
        <v>242.857142857143</v>
      </c>
      <c r="O11" s="239">
        <f t="shared" si="248"/>
        <v>1071.42857142857</v>
      </c>
      <c r="P11" s="239">
        <f t="shared" si="249"/>
        <v>260204.08163265299</v>
      </c>
      <c r="Q11" s="239">
        <f>SUM(P10:P11)</f>
        <v>501020.40816326498</v>
      </c>
      <c r="R11" s="180"/>
      <c r="T11" s="68"/>
      <c r="U11" s="68"/>
      <c r="V11" s="61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ALO11" s="236"/>
      <c r="ALP11" s="236"/>
      <c r="ALQ11" s="236"/>
    </row>
    <row r="12" ht="9.0999999999999996" customHeight="1">
      <c r="A12" s="53">
        <v>51</v>
      </c>
      <c r="B12" s="1">
        <v>5</v>
      </c>
      <c r="C12" s="53" t="s">
        <v>403</v>
      </c>
      <c r="D12" s="53">
        <v>103</v>
      </c>
      <c r="E12" s="142">
        <f>I12*I$35</f>
        <v>184.182628062361</v>
      </c>
      <c r="F12" s="142">
        <v>103</v>
      </c>
      <c r="G12" s="142">
        <f>F12*0.9485</f>
        <v>97.695499999999996</v>
      </c>
      <c r="H12" s="53">
        <v>14</v>
      </c>
      <c r="I12" s="53">
        <v>33</v>
      </c>
      <c r="J12" s="53">
        <v>23</v>
      </c>
      <c r="K12" s="53">
        <v>555</v>
      </c>
      <c r="L12" s="53">
        <v>606</v>
      </c>
      <c r="M12" s="53">
        <v>2</v>
      </c>
      <c r="N12" s="142">
        <f t="shared" si="247"/>
        <v>396.42857142857099</v>
      </c>
      <c r="O12" s="142">
        <f t="shared" si="248"/>
        <v>432.857142857143</v>
      </c>
      <c r="P12" s="142">
        <f t="shared" si="249"/>
        <v>171596.93877551</v>
      </c>
      <c r="Q12" s="142" t="s">
        <v>1</v>
      </c>
      <c r="R12" s="180"/>
      <c r="T12" s="57" t="s">
        <v>486</v>
      </c>
      <c r="U12" s="68"/>
      <c r="V12" s="61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ALO12" s="236"/>
      <c r="ALP12" s="236"/>
      <c r="ALQ12" s="236"/>
    </row>
    <row r="13" ht="9.0999999999999996" customHeight="1">
      <c r="A13" s="53">
        <v>52</v>
      </c>
      <c r="C13" s="53" t="s">
        <v>403</v>
      </c>
      <c r="D13" s="53"/>
      <c r="E13" s="53"/>
      <c r="F13" s="53"/>
      <c r="G13" s="142" t="s">
        <v>1</v>
      </c>
      <c r="H13" s="53"/>
      <c r="I13" s="53"/>
      <c r="J13" s="53"/>
      <c r="K13" s="53">
        <v>470</v>
      </c>
      <c r="L13" s="53">
        <v>200</v>
      </c>
      <c r="M13" s="53">
        <v>2</v>
      </c>
      <c r="N13" s="142">
        <f t="shared" si="247"/>
        <v>335.71428571428601</v>
      </c>
      <c r="O13" s="142">
        <f t="shared" si="248"/>
        <v>142.857142857143</v>
      </c>
      <c r="P13" s="142">
        <f t="shared" si="249"/>
        <v>47959.183673469401</v>
      </c>
      <c r="Q13" s="142">
        <f>SUM(P12:P13)</f>
        <v>219556.12244897999</v>
      </c>
      <c r="R13" s="180"/>
      <c r="T13" s="68" t="s">
        <v>487</v>
      </c>
      <c r="U13" s="68"/>
      <c r="V13" s="61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ALO13" s="236"/>
      <c r="ALP13" s="236"/>
      <c r="ALQ13" s="236"/>
    </row>
    <row r="14" ht="9.0999999999999996" customHeight="1">
      <c r="A14" s="237">
        <v>61</v>
      </c>
      <c r="B14" s="238">
        <v>6</v>
      </c>
      <c r="C14" s="237" t="s">
        <v>404</v>
      </c>
      <c r="D14" s="237">
        <v>480</v>
      </c>
      <c r="E14" s="239">
        <f>I14*I$35</f>
        <v>446.50334075723799</v>
      </c>
      <c r="F14" s="239">
        <v>480</v>
      </c>
      <c r="G14" s="239">
        <f>F14*0.9485</f>
        <v>455.27999999999997</v>
      </c>
      <c r="H14" s="237">
        <v>31</v>
      </c>
      <c r="I14" s="237">
        <v>80</v>
      </c>
      <c r="J14" s="237">
        <v>62</v>
      </c>
      <c r="K14" s="237">
        <v>500</v>
      </c>
      <c r="L14" s="237">
        <v>210</v>
      </c>
      <c r="M14" s="237">
        <v>2</v>
      </c>
      <c r="N14" s="239">
        <f t="shared" si="247"/>
        <v>357.142857142857</v>
      </c>
      <c r="O14" s="239">
        <f t="shared" si="248"/>
        <v>150</v>
      </c>
      <c r="P14" s="239">
        <f t="shared" si="249"/>
        <v>53571.428571428602</v>
      </c>
      <c r="Q14" s="239" t="s">
        <v>1</v>
      </c>
      <c r="R14" s="180"/>
      <c r="T14" s="68" t="s">
        <v>474</v>
      </c>
      <c r="U14" s="68" t="s">
        <v>475</v>
      </c>
      <c r="V14" s="61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ALO14" s="236"/>
      <c r="ALP14" s="236"/>
      <c r="ALQ14" s="236"/>
    </row>
    <row r="15" ht="9.0999999999999996" customHeight="1">
      <c r="A15" s="237">
        <v>62</v>
      </c>
      <c r="B15" s="238"/>
      <c r="C15" s="237" t="s">
        <v>404</v>
      </c>
      <c r="D15" s="237"/>
      <c r="E15" s="237"/>
      <c r="F15" s="237"/>
      <c r="G15" s="239" t="s">
        <v>1</v>
      </c>
      <c r="H15" s="237"/>
      <c r="I15" s="237"/>
      <c r="J15" s="237"/>
      <c r="K15" s="237">
        <v>330</v>
      </c>
      <c r="L15" s="237">
        <v>420</v>
      </c>
      <c r="M15" s="237">
        <v>2</v>
      </c>
      <c r="N15" s="239">
        <f t="shared" si="247"/>
        <v>235.71428571428601</v>
      </c>
      <c r="O15" s="239">
        <f t="shared" si="248"/>
        <v>300</v>
      </c>
      <c r="P15" s="239">
        <f t="shared" si="249"/>
        <v>70714.285714285696</v>
      </c>
      <c r="Q15" s="239" t="s">
        <v>1</v>
      </c>
      <c r="R15" s="180"/>
      <c r="T15" s="68" t="s">
        <v>476</v>
      </c>
      <c r="U15" s="68" t="s">
        <v>488</v>
      </c>
      <c r="V15" s="61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ALO15" s="236"/>
      <c r="ALP15" s="236"/>
      <c r="ALQ15" s="236"/>
    </row>
    <row r="16" ht="9.0999999999999996" customHeight="1">
      <c r="A16" s="237">
        <v>63</v>
      </c>
      <c r="B16" s="238"/>
      <c r="C16" s="237" t="s">
        <v>404</v>
      </c>
      <c r="D16" s="237"/>
      <c r="E16" s="237"/>
      <c r="F16" s="237"/>
      <c r="G16" s="239" t="s">
        <v>1</v>
      </c>
      <c r="H16" s="237"/>
      <c r="I16" s="237"/>
      <c r="J16" s="237"/>
      <c r="K16" s="237">
        <v>170</v>
      </c>
      <c r="L16" s="237">
        <v>120</v>
      </c>
      <c r="M16" s="237">
        <v>2</v>
      </c>
      <c r="N16" s="239">
        <f t="shared" si="247"/>
        <v>121.428571428571</v>
      </c>
      <c r="O16" s="239">
        <f t="shared" si="248"/>
        <v>85.714285714285694</v>
      </c>
      <c r="P16" s="239">
        <f t="shared" si="249"/>
        <v>10408.163265306101</v>
      </c>
      <c r="Q16" s="239" t="s">
        <v>1</v>
      </c>
      <c r="R16" s="180"/>
      <c r="T16" s="68" t="s">
        <v>478</v>
      </c>
      <c r="U16" s="68" t="s">
        <v>489</v>
      </c>
      <c r="V16" s="61">
        <v>26.32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ALO16" s="236"/>
      <c r="ALP16" s="236"/>
      <c r="ALQ16" s="236"/>
    </row>
    <row r="17" ht="9.0999999999999996" customHeight="1">
      <c r="A17" s="237">
        <v>64</v>
      </c>
      <c r="B17" s="238"/>
      <c r="C17" s="237" t="s">
        <v>404</v>
      </c>
      <c r="D17" s="237"/>
      <c r="E17" s="237"/>
      <c r="F17" s="237"/>
      <c r="G17" s="239" t="s">
        <v>1</v>
      </c>
      <c r="H17" s="237"/>
      <c r="I17" s="237"/>
      <c r="J17" s="237"/>
      <c r="K17" s="237">
        <v>333</v>
      </c>
      <c r="L17" s="237">
        <v>439</v>
      </c>
      <c r="M17" s="237">
        <v>2</v>
      </c>
      <c r="N17" s="239">
        <f t="shared" si="247"/>
        <v>237.857142857143</v>
      </c>
      <c r="O17" s="239">
        <f t="shared" si="248"/>
        <v>313.57142857142901</v>
      </c>
      <c r="P17" s="239">
        <f t="shared" si="249"/>
        <v>74585.204081632706</v>
      </c>
      <c r="Q17" s="239" t="s">
        <v>1</v>
      </c>
      <c r="R17" s="180"/>
      <c r="T17" s="68" t="s">
        <v>480</v>
      </c>
      <c r="U17" s="68" t="s">
        <v>490</v>
      </c>
      <c r="V17" s="61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ALO17" s="236"/>
      <c r="ALP17" s="236"/>
      <c r="ALQ17" s="236"/>
    </row>
    <row r="18" ht="9.0999999999999996" customHeight="1">
      <c r="A18" s="237">
        <v>65</v>
      </c>
      <c r="B18" s="238"/>
      <c r="C18" s="237" t="s">
        <v>404</v>
      </c>
      <c r="D18" s="237"/>
      <c r="E18" s="237"/>
      <c r="F18" s="237"/>
      <c r="G18" s="239" t="s">
        <v>1</v>
      </c>
      <c r="H18" s="237"/>
      <c r="I18" s="237"/>
      <c r="J18" s="237"/>
      <c r="K18" s="237">
        <v>500</v>
      </c>
      <c r="L18" s="237">
        <v>600</v>
      </c>
      <c r="M18" s="237">
        <v>2</v>
      </c>
      <c r="N18" s="239">
        <f t="shared" si="247"/>
        <v>357.142857142857</v>
      </c>
      <c r="O18" s="239">
        <f t="shared" si="248"/>
        <v>428.57142857142901</v>
      </c>
      <c r="P18" s="239">
        <f t="shared" si="249"/>
        <v>153061.224489796</v>
      </c>
      <c r="Q18" s="239" t="s">
        <v>1</v>
      </c>
      <c r="R18" s="180"/>
      <c r="T18" s="51" t="s">
        <v>482</v>
      </c>
      <c r="U18" s="51" t="s">
        <v>491</v>
      </c>
      <c r="V18" s="61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ALO18" s="236"/>
      <c r="ALP18" s="236"/>
      <c r="ALQ18" s="236"/>
    </row>
    <row r="19" ht="9.0999999999999996" customHeight="1">
      <c r="A19" s="237">
        <v>66</v>
      </c>
      <c r="B19" s="238"/>
      <c r="C19" s="237" t="s">
        <v>404</v>
      </c>
      <c r="D19" s="237"/>
      <c r="E19" s="237"/>
      <c r="F19" s="237"/>
      <c r="G19" s="239" t="s">
        <v>1</v>
      </c>
      <c r="H19" s="237"/>
      <c r="I19" s="237"/>
      <c r="J19" s="237"/>
      <c r="K19" s="237">
        <v>430</v>
      </c>
      <c r="L19" s="237">
        <v>270</v>
      </c>
      <c r="M19" s="237">
        <v>2</v>
      </c>
      <c r="N19" s="239">
        <f t="shared" si="247"/>
        <v>307.142857142857</v>
      </c>
      <c r="O19" s="239">
        <f t="shared" si="248"/>
        <v>192.857142857143</v>
      </c>
      <c r="P19" s="239">
        <f t="shared" si="249"/>
        <v>59234.693877550999</v>
      </c>
      <c r="Q19" s="239">
        <f>SUM(P14:P19)</f>
        <v>421575</v>
      </c>
      <c r="R19" s="180"/>
      <c r="T19" s="51" t="s">
        <v>484</v>
      </c>
      <c r="U19" s="51">
        <v>17209</v>
      </c>
      <c r="V19" s="61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ALO19" s="236"/>
      <c r="ALP19" s="236"/>
      <c r="ALQ19" s="236"/>
    </row>
    <row r="20" ht="9.0999999999999996" customHeight="1">
      <c r="A20" s="53">
        <v>71</v>
      </c>
      <c r="B20" s="1">
        <v>7</v>
      </c>
      <c r="C20" s="53" t="s">
        <v>405</v>
      </c>
      <c r="D20" s="53">
        <v>481</v>
      </c>
      <c r="E20" s="142">
        <f>I20*I$35</f>
        <v>764.63697104677101</v>
      </c>
      <c r="F20" s="142">
        <v>481</v>
      </c>
      <c r="G20" s="142">
        <f>F20*0.9485</f>
        <v>456.2285</v>
      </c>
      <c r="H20" s="53">
        <v>30</v>
      </c>
      <c r="I20" s="53">
        <v>137</v>
      </c>
      <c r="J20" s="53">
        <v>87</v>
      </c>
      <c r="K20" s="53">
        <v>1000</v>
      </c>
      <c r="L20" s="53">
        <v>350</v>
      </c>
      <c r="M20" s="53">
        <v>2</v>
      </c>
      <c r="N20" s="142">
        <f t="shared" si="247"/>
        <v>714.28571428571399</v>
      </c>
      <c r="O20" s="142">
        <f t="shared" si="248"/>
        <v>250</v>
      </c>
      <c r="P20" s="142">
        <f t="shared" si="249"/>
        <v>178571.42857142899</v>
      </c>
      <c r="Q20" s="142" t="s">
        <v>1</v>
      </c>
      <c r="R20" s="180"/>
      <c r="T20" s="51" t="s">
        <v>485</v>
      </c>
      <c r="U20" s="51">
        <v>39922</v>
      </c>
      <c r="V20" s="61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ALO20" s="236"/>
      <c r="ALP20" s="236"/>
      <c r="ALQ20" s="236"/>
    </row>
    <row r="21" ht="9.0999999999999996" customHeight="1">
      <c r="A21" s="53">
        <v>72</v>
      </c>
      <c r="C21" s="53" t="s">
        <v>405</v>
      </c>
      <c r="D21" s="53"/>
      <c r="E21" s="53"/>
      <c r="F21" s="53"/>
      <c r="G21" s="142" t="s">
        <v>1</v>
      </c>
      <c r="H21" s="53"/>
      <c r="I21" s="53"/>
      <c r="J21" s="53"/>
      <c r="K21" s="53">
        <v>800</v>
      </c>
      <c r="L21" s="53">
        <v>520</v>
      </c>
      <c r="M21" s="53">
        <v>2</v>
      </c>
      <c r="N21" s="142">
        <f t="shared" si="247"/>
        <v>571.42857142857099</v>
      </c>
      <c r="O21" s="142">
        <f t="shared" si="248"/>
        <v>371.42857142857099</v>
      </c>
      <c r="P21" s="142">
        <f t="shared" si="249"/>
        <v>212244.89795918399</v>
      </c>
      <c r="Q21" s="142">
        <f>SUM(P20:P21)</f>
        <v>390816.32653061202</v>
      </c>
      <c r="R21" s="180"/>
      <c r="V21" s="61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ALO21" s="236"/>
      <c r="ALP21" s="236"/>
      <c r="ALQ21" s="236"/>
    </row>
    <row r="22" ht="9.0999999999999996" customHeight="1">
      <c r="A22" s="237">
        <v>81</v>
      </c>
      <c r="B22" s="238">
        <v>8</v>
      </c>
      <c r="C22" s="237" t="s">
        <v>406</v>
      </c>
      <c r="D22" s="237" t="s">
        <v>1</v>
      </c>
      <c r="E22" s="239">
        <f>I22*I$35</f>
        <v>357.20267260579101</v>
      </c>
      <c r="F22" s="239">
        <v>357</v>
      </c>
      <c r="G22" s="239">
        <f>F22*0.9485</f>
        <v>338.61450000000002</v>
      </c>
      <c r="H22" s="237">
        <v>16</v>
      </c>
      <c r="I22" s="237">
        <v>64</v>
      </c>
      <c r="J22" s="237">
        <v>45</v>
      </c>
      <c r="K22" s="237">
        <v>555</v>
      </c>
      <c r="L22" s="237">
        <v>555</v>
      </c>
      <c r="M22" s="237">
        <v>2</v>
      </c>
      <c r="N22" s="239">
        <f t="shared" si="247"/>
        <v>396.42857142857099</v>
      </c>
      <c r="O22" s="239">
        <f t="shared" si="248"/>
        <v>396.42857142857099</v>
      </c>
      <c r="P22" s="239">
        <f t="shared" si="249"/>
        <v>157155.61224489799</v>
      </c>
      <c r="Q22" s="239" t="s">
        <v>1</v>
      </c>
      <c r="R22" s="180"/>
      <c r="T22" s="71" t="s">
        <v>492</v>
      </c>
      <c r="V22" s="61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ALO22" s="236"/>
      <c r="ALP22" s="236"/>
      <c r="ALQ22" s="236"/>
    </row>
    <row r="23" ht="9.0999999999999996" customHeight="1">
      <c r="A23" s="237">
        <v>82</v>
      </c>
      <c r="B23" s="238"/>
      <c r="C23" s="237" t="s">
        <v>406</v>
      </c>
      <c r="D23" s="237" t="s">
        <v>1</v>
      </c>
      <c r="E23" s="237"/>
      <c r="F23" s="237"/>
      <c r="G23" s="239" t="s">
        <v>1</v>
      </c>
      <c r="H23" s="237"/>
      <c r="I23" s="237"/>
      <c r="J23" s="237"/>
      <c r="K23" s="237">
        <v>700</v>
      </c>
      <c r="L23" s="237">
        <v>220</v>
      </c>
      <c r="M23" s="237">
        <v>2</v>
      </c>
      <c r="N23" s="239">
        <f t="shared" si="247"/>
        <v>500</v>
      </c>
      <c r="O23" s="239">
        <f t="shared" si="248"/>
        <v>157.142857142857</v>
      </c>
      <c r="P23" s="239">
        <f t="shared" si="249"/>
        <v>78571.428571428594</v>
      </c>
      <c r="Q23" s="239">
        <f>SUM(P22:P23)</f>
        <v>235727.040816327</v>
      </c>
      <c r="R23" s="180"/>
      <c r="T23" s="51" t="s">
        <v>402</v>
      </c>
      <c r="V23" s="61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ALO23" s="236"/>
      <c r="ALP23" s="236"/>
      <c r="ALQ23" s="236"/>
    </row>
    <row r="24" ht="9.0999999999999996" customHeight="1">
      <c r="A24" s="53">
        <v>91</v>
      </c>
      <c r="B24" s="1">
        <v>9</v>
      </c>
      <c r="C24" s="53" t="s">
        <v>407</v>
      </c>
      <c r="D24" s="53">
        <v>5044</v>
      </c>
      <c r="E24" s="142">
        <f>I24*I$35</f>
        <v>4314.3385300668097</v>
      </c>
      <c r="F24" s="142">
        <v>5044</v>
      </c>
      <c r="G24" s="142">
        <f>F24*0.9485</f>
        <v>4784.2340000000004</v>
      </c>
      <c r="H24" s="53">
        <v>84</v>
      </c>
      <c r="I24" s="53">
        <v>773</v>
      </c>
      <c r="J24" s="53">
        <v>563</v>
      </c>
      <c r="K24" s="53">
        <v>1000</v>
      </c>
      <c r="L24" s="53">
        <v>600</v>
      </c>
      <c r="M24" s="53">
        <v>1</v>
      </c>
      <c r="N24" s="142">
        <f t="shared" si="247"/>
        <v>1428.57142857143</v>
      </c>
      <c r="O24" s="142">
        <f t="shared" si="248"/>
        <v>857.142857142857</v>
      </c>
      <c r="P24" s="142">
        <f t="shared" si="249"/>
        <v>1224489.7959183699</v>
      </c>
      <c r="Q24" s="142" t="s">
        <v>1</v>
      </c>
      <c r="R24" s="180"/>
      <c r="T24" s="51" t="s">
        <v>474</v>
      </c>
      <c r="U24" s="51" t="s">
        <v>475</v>
      </c>
      <c r="V24" s="61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ALO24" s="236"/>
      <c r="ALP24" s="236"/>
      <c r="ALQ24" s="236"/>
    </row>
    <row r="25" ht="9.0999999999999996" customHeight="1">
      <c r="A25" s="53">
        <v>92</v>
      </c>
      <c r="B25" s="1" t="s">
        <v>1</v>
      </c>
      <c r="C25" s="53" t="s">
        <v>407</v>
      </c>
      <c r="D25" s="53"/>
      <c r="E25" s="53"/>
      <c r="F25" s="53"/>
      <c r="G25" s="53"/>
      <c r="H25" s="53" t="s">
        <v>1</v>
      </c>
      <c r="I25" s="53" t="s">
        <v>1</v>
      </c>
      <c r="J25" s="53" t="s">
        <v>1</v>
      </c>
      <c r="K25" s="53">
        <v>950</v>
      </c>
      <c r="L25" s="53">
        <v>580</v>
      </c>
      <c r="M25" s="53">
        <v>1</v>
      </c>
      <c r="N25" s="142">
        <f t="shared" si="247"/>
        <v>1357.1428571428601</v>
      </c>
      <c r="O25" s="142">
        <f t="shared" si="248"/>
        <v>828.57142857142901</v>
      </c>
      <c r="P25" s="142">
        <f t="shared" si="249"/>
        <v>1124489.7959183699</v>
      </c>
      <c r="Q25" s="142" t="s">
        <v>1</v>
      </c>
      <c r="R25" s="180"/>
      <c r="T25" s="51" t="s">
        <v>476</v>
      </c>
      <c r="U25" s="51" t="s">
        <v>493</v>
      </c>
      <c r="V25" s="61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ALO25" s="236"/>
      <c r="ALP25" s="236"/>
      <c r="ALQ25" s="236"/>
    </row>
    <row r="26" ht="9.0999999999999996" customHeight="1">
      <c r="A26" s="53">
        <v>93</v>
      </c>
      <c r="B26" s="1" t="s">
        <v>1</v>
      </c>
      <c r="C26" s="53" t="s">
        <v>407</v>
      </c>
      <c r="D26" s="53" t="s">
        <v>1</v>
      </c>
      <c r="E26" s="53"/>
      <c r="F26" s="53"/>
      <c r="G26" s="53"/>
      <c r="H26" s="53"/>
      <c r="I26" s="53"/>
      <c r="J26" s="53"/>
      <c r="K26" s="53">
        <v>564</v>
      </c>
      <c r="L26" s="53">
        <v>619</v>
      </c>
      <c r="M26" s="53">
        <v>1</v>
      </c>
      <c r="N26" s="142">
        <f t="shared" si="247"/>
        <v>805.71428571428601</v>
      </c>
      <c r="O26" s="142">
        <f t="shared" si="248"/>
        <v>884.28571428571399</v>
      </c>
      <c r="P26" s="142">
        <f t="shared" si="249"/>
        <v>712481.63265306095</v>
      </c>
      <c r="Q26" s="142" t="s">
        <v>1</v>
      </c>
      <c r="R26" s="180"/>
      <c r="T26" s="51" t="s">
        <v>478</v>
      </c>
      <c r="U26" s="51" t="s">
        <v>494</v>
      </c>
      <c r="V26" s="61">
        <v>10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ALO26" s="236"/>
      <c r="ALP26" s="236"/>
      <c r="ALQ26" s="236"/>
    </row>
    <row r="27" ht="9.0999999999999996" customHeight="1">
      <c r="A27" s="53">
        <v>94</v>
      </c>
      <c r="B27" s="1" t="s">
        <v>1</v>
      </c>
      <c r="C27" s="53" t="s">
        <v>407</v>
      </c>
      <c r="D27" s="53"/>
      <c r="E27" s="53"/>
      <c r="F27" s="53"/>
      <c r="G27" s="53"/>
      <c r="H27" s="53"/>
      <c r="I27" s="53"/>
      <c r="J27" s="53"/>
      <c r="K27" s="53">
        <v>626</v>
      </c>
      <c r="L27" s="53">
        <v>476</v>
      </c>
      <c r="M27" s="53">
        <v>1</v>
      </c>
      <c r="N27" s="142">
        <f t="shared" si="247"/>
        <v>894.28571428571399</v>
      </c>
      <c r="O27" s="142">
        <f t="shared" si="248"/>
        <v>680</v>
      </c>
      <c r="P27" s="142">
        <f t="shared" si="249"/>
        <v>608114.28571428603</v>
      </c>
      <c r="Q27" s="142" t="s">
        <v>1</v>
      </c>
      <c r="R27" s="180"/>
      <c r="T27" s="51" t="s">
        <v>480</v>
      </c>
      <c r="U27" s="51" t="s">
        <v>495</v>
      </c>
      <c r="V27" s="61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ALO27" s="236"/>
      <c r="ALP27" s="236"/>
      <c r="ALQ27" s="236"/>
    </row>
    <row r="28" ht="9.0999999999999996" customHeight="1">
      <c r="A28" s="53">
        <v>95</v>
      </c>
      <c r="B28" s="1" t="s">
        <v>1</v>
      </c>
      <c r="C28" s="53" t="s">
        <v>407</v>
      </c>
      <c r="D28" s="53"/>
      <c r="E28" s="53"/>
      <c r="F28" s="53"/>
      <c r="G28" s="53"/>
      <c r="H28" s="53"/>
      <c r="I28" s="53"/>
      <c r="J28" s="53"/>
      <c r="K28" s="53">
        <v>333</v>
      </c>
      <c r="L28" s="53">
        <v>570</v>
      </c>
      <c r="M28" s="53">
        <v>1</v>
      </c>
      <c r="N28" s="142">
        <f t="shared" si="247"/>
        <v>475.71428571428601</v>
      </c>
      <c r="O28" s="142">
        <f t="shared" si="248"/>
        <v>814.28571428571399</v>
      </c>
      <c r="P28" s="142">
        <f t="shared" si="249"/>
        <v>387367.34693877603</v>
      </c>
      <c r="Q28" s="142" t="s">
        <v>1</v>
      </c>
      <c r="R28" s="180"/>
      <c r="T28" s="51" t="s">
        <v>482</v>
      </c>
      <c r="U28" s="51" t="s">
        <v>496</v>
      </c>
      <c r="V28" s="61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ALO28" s="236"/>
      <c r="ALP28" s="236"/>
      <c r="ALQ28" s="236"/>
    </row>
    <row r="29" ht="9.0999999999999996" customHeight="1">
      <c r="A29" s="53">
        <v>96</v>
      </c>
      <c r="B29" s="19" t="s">
        <v>1</v>
      </c>
      <c r="C29" s="53" t="s">
        <v>407</v>
      </c>
      <c r="D29" s="53"/>
      <c r="E29" s="53"/>
      <c r="F29" s="53"/>
      <c r="G29" s="53"/>
      <c r="H29" s="53"/>
      <c r="I29" s="53"/>
      <c r="J29" s="53"/>
      <c r="K29" s="53">
        <v>312</v>
      </c>
      <c r="L29" s="53">
        <v>543</v>
      </c>
      <c r="M29" s="53">
        <v>1</v>
      </c>
      <c r="N29" s="142">
        <f t="shared" si="247"/>
        <v>445.71428571428601</v>
      </c>
      <c r="O29" s="142">
        <f t="shared" si="248"/>
        <v>775.71428571428601</v>
      </c>
      <c r="P29" s="142">
        <f t="shared" si="249"/>
        <v>345746.93877551</v>
      </c>
      <c r="Q29" s="142" t="s">
        <v>1</v>
      </c>
      <c r="R29" s="180"/>
      <c r="T29" s="51" t="s">
        <v>484</v>
      </c>
      <c r="U29" s="51">
        <v>17207</v>
      </c>
      <c r="V29" s="61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ALO29" s="236"/>
      <c r="ALP29" s="236"/>
      <c r="ALQ29" s="236"/>
    </row>
    <row r="30" ht="9.0999999999999996" customHeight="1">
      <c r="A30" s="53">
        <v>97</v>
      </c>
      <c r="B30" s="53"/>
      <c r="C30" s="53" t="s">
        <v>407</v>
      </c>
      <c r="D30" s="53"/>
      <c r="E30" s="53"/>
      <c r="F30" s="53"/>
      <c r="G30" s="53"/>
      <c r="H30" s="53"/>
      <c r="I30" s="53"/>
      <c r="J30" s="53"/>
      <c r="K30" s="53">
        <v>300</v>
      </c>
      <c r="L30" s="53">
        <v>600</v>
      </c>
      <c r="M30" s="53">
        <v>1</v>
      </c>
      <c r="N30" s="142">
        <f t="shared" si="247"/>
        <v>428.57142857142901</v>
      </c>
      <c r="O30" s="142">
        <f t="shared" si="248"/>
        <v>857.142857142857</v>
      </c>
      <c r="P30" s="142">
        <f t="shared" si="249"/>
        <v>367346.93877551</v>
      </c>
      <c r="Q30" s="142" t="s">
        <v>1</v>
      </c>
      <c r="R30" s="180"/>
      <c r="T30" s="51" t="s">
        <v>485</v>
      </c>
      <c r="U30" s="51">
        <v>39931</v>
      </c>
      <c r="V30" s="61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ALO30" s="236"/>
      <c r="ALP30" s="236"/>
      <c r="ALQ30" s="236"/>
    </row>
    <row r="31" ht="9.0999999999999996" customHeight="1">
      <c r="A31" s="53">
        <v>98</v>
      </c>
      <c r="B31" s="53"/>
      <c r="C31" s="53" t="s">
        <v>407</v>
      </c>
      <c r="D31" s="53"/>
      <c r="E31" s="53"/>
      <c r="F31" s="53"/>
      <c r="G31" s="53"/>
      <c r="H31" s="53"/>
      <c r="I31" s="53"/>
      <c r="J31" s="53"/>
      <c r="K31" s="53">
        <v>111</v>
      </c>
      <c r="L31" s="53">
        <v>380</v>
      </c>
      <c r="M31" s="53">
        <v>1</v>
      </c>
      <c r="N31" s="142">
        <f t="shared" si="247"/>
        <v>158.57142857142901</v>
      </c>
      <c r="O31" s="142">
        <f t="shared" si="248"/>
        <v>542.857142857143</v>
      </c>
      <c r="P31" s="142">
        <f t="shared" si="249"/>
        <v>86081.632653061301</v>
      </c>
      <c r="Q31" s="142">
        <f>SUM(P24:P31)</f>
        <v>4856118.3673469396</v>
      </c>
      <c r="R31" s="180"/>
      <c r="V31" s="61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ALO31" s="236"/>
      <c r="ALP31" s="236"/>
      <c r="ALQ31" s="236"/>
    </row>
    <row r="32" ht="9.0999999999999996" customHeight="1">
      <c r="A32" s="240"/>
      <c r="B32" s="240"/>
      <c r="C32" s="240" t="s">
        <v>471</v>
      </c>
      <c r="D32" s="240">
        <f>SUM(D2:D31)</f>
        <v>7518</v>
      </c>
      <c r="E32" s="240">
        <f>SUM(E2:E31)</f>
        <v>7518</v>
      </c>
      <c r="F32" s="241">
        <f>SUM(F2:F31)</f>
        <v>7926</v>
      </c>
      <c r="G32" s="241">
        <f>SUM(G2:G31)</f>
        <v>7517.8109999999997</v>
      </c>
      <c r="H32" s="240">
        <f>SUM(H2:H31)</f>
        <v>243</v>
      </c>
      <c r="I32" s="240">
        <f>SUM(I2:I31)</f>
        <v>1347</v>
      </c>
      <c r="J32" s="240">
        <f>SUM(J2:J31)</f>
        <v>993</v>
      </c>
      <c r="K32" s="240"/>
      <c r="L32" s="240"/>
      <c r="M32" s="240"/>
      <c r="N32" s="240"/>
      <c r="O32" s="241">
        <f>SUM(N2:O31)/60</f>
        <v>500.67857142857201</v>
      </c>
      <c r="P32" s="240"/>
      <c r="Q32" s="241">
        <f>SUM(Q2:Q31)</f>
        <v>8110447.9591836696</v>
      </c>
      <c r="R32" s="180"/>
      <c r="T32" s="71" t="s">
        <v>497</v>
      </c>
      <c r="V32" s="61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ALO32" s="236"/>
      <c r="ALP32" s="236"/>
      <c r="ALQ32" s="236"/>
    </row>
    <row r="33" ht="9.0999999999999996" customHeight="1">
      <c r="A33" s="53"/>
      <c r="B33" s="53"/>
      <c r="C33" s="53"/>
      <c r="D33" s="53"/>
      <c r="E33" s="53"/>
      <c r="F33" s="53"/>
      <c r="G33" s="53"/>
      <c r="H33" s="242">
        <f>H32/(I32+H32+J32)</f>
        <v>0.094076655052264799</v>
      </c>
      <c r="I33" s="242">
        <f>I32/(J32+I32+H32)</f>
        <v>0.521486643437863</v>
      </c>
      <c r="J33" s="242">
        <f>J32/(J32+I32+H32)</f>
        <v>0.38443670150987203</v>
      </c>
      <c r="K33" s="53"/>
      <c r="L33" s="53"/>
      <c r="M33" s="53"/>
      <c r="N33" s="53"/>
      <c r="O33" s="53"/>
      <c r="P33" s="53"/>
      <c r="Q33" s="142"/>
      <c r="R33" s="180"/>
      <c r="T33" s="51" t="s">
        <v>403</v>
      </c>
      <c r="V33" s="61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ALO33" s="236"/>
      <c r="ALP33" s="236"/>
      <c r="ALQ33" s="236"/>
    </row>
    <row r="34" ht="9.0999999999999996" customHeight="1">
      <c r="A34" s="53"/>
      <c r="B34" s="53"/>
      <c r="C34" s="53"/>
      <c r="D34" s="53"/>
      <c r="E34" s="53"/>
      <c r="F34" s="53"/>
      <c r="G34" s="53"/>
      <c r="H34" s="53"/>
      <c r="I34" s="243" t="s">
        <v>1</v>
      </c>
      <c r="J34" s="17" t="s">
        <v>1</v>
      </c>
      <c r="K34" s="53" t="s">
        <v>1</v>
      </c>
      <c r="L34" s="53"/>
      <c r="M34" s="53"/>
      <c r="N34" s="53"/>
      <c r="O34" s="195">
        <f>O32</f>
        <v>500.67857142857201</v>
      </c>
      <c r="P34" s="170" t="s">
        <v>303</v>
      </c>
      <c r="Q34" s="171" t="s">
        <v>434</v>
      </c>
      <c r="R34" s="244"/>
      <c r="T34" s="51" t="s">
        <v>474</v>
      </c>
      <c r="U34" s="51" t="s">
        <v>475</v>
      </c>
      <c r="V34" s="61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ALO34" s="236"/>
      <c r="ALP34" s="236"/>
      <c r="ALQ34" s="236"/>
    </row>
    <row r="35" ht="9.0999999999999996" customHeight="1">
      <c r="A35" s="245"/>
      <c r="B35" s="14"/>
      <c r="C35" s="180"/>
      <c r="D35" s="180"/>
      <c r="E35" s="180"/>
      <c r="F35" s="180"/>
      <c r="G35" s="180"/>
      <c r="I35" s="246">
        <f>D32/I32</f>
        <v>5.5812917594654801</v>
      </c>
      <c r="J35" s="247" t="s">
        <v>498</v>
      </c>
      <c r="K35" s="248"/>
      <c r="L35" s="248"/>
      <c r="O35" s="195">
        <f>Q32/I32</f>
        <v>6021.1194945684301</v>
      </c>
      <c r="P35" s="170" t="s">
        <v>43</v>
      </c>
      <c r="Q35" s="173" t="s">
        <v>499</v>
      </c>
      <c r="R35" s="244"/>
      <c r="T35" s="51" t="s">
        <v>476</v>
      </c>
      <c r="U35" s="51" t="s">
        <v>500</v>
      </c>
      <c r="V35" s="61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ALO35" s="236"/>
      <c r="ALP35" s="236"/>
      <c r="ALQ35" s="236"/>
    </row>
    <row r="36" ht="9.0999999999999996" customHeight="1">
      <c r="A36" s="245"/>
      <c r="B36" s="14"/>
      <c r="C36" s="180"/>
      <c r="D36" s="180"/>
      <c r="E36" s="180"/>
      <c r="F36" s="180"/>
      <c r="G36" s="180"/>
      <c r="O36" s="195">
        <f>O35^0.5</f>
        <v>77.595872922265798</v>
      </c>
      <c r="P36" s="170" t="s">
        <v>303</v>
      </c>
      <c r="Q36" s="171" t="s">
        <v>436</v>
      </c>
      <c r="R36" s="244"/>
      <c r="T36" s="51" t="s">
        <v>478</v>
      </c>
      <c r="U36" s="51" t="s">
        <v>501</v>
      </c>
      <c r="V36" s="61">
        <v>6.6799999999999997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ALO36" s="236"/>
      <c r="ALP36" s="236"/>
      <c r="ALQ36" s="236"/>
    </row>
    <row r="37" ht="9.0999999999999996" customHeight="1">
      <c r="A37" s="249" t="s">
        <v>394</v>
      </c>
      <c r="B37" s="14" t="s">
        <v>461</v>
      </c>
      <c r="C37" s="180"/>
      <c r="E37" s="180"/>
      <c r="F37" s="180"/>
      <c r="G37" s="180"/>
      <c r="O37" s="180"/>
      <c r="P37" s="180"/>
      <c r="Q37" s="180"/>
      <c r="R37" s="180"/>
      <c r="T37" s="51" t="s">
        <v>480</v>
      </c>
      <c r="U37" s="51" t="s">
        <v>502</v>
      </c>
      <c r="V37" s="61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ALO37" s="236"/>
      <c r="ALP37" s="236"/>
      <c r="ALQ37" s="236"/>
    </row>
    <row r="38" ht="9.0999999999999996" customHeight="1">
      <c r="B38" s="16"/>
      <c r="C38" s="250"/>
      <c r="E38" s="180"/>
      <c r="F38" s="180"/>
      <c r="G38" s="180"/>
      <c r="O38" s="180"/>
      <c r="P38" s="180"/>
      <c r="Q38" s="180"/>
      <c r="R38" s="180"/>
      <c r="T38" s="51" t="s">
        <v>482</v>
      </c>
      <c r="U38" s="51" t="s">
        <v>503</v>
      </c>
      <c r="V38" s="61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ALO38" s="236"/>
      <c r="ALP38" s="236"/>
      <c r="ALQ38" s="236"/>
    </row>
    <row r="39" ht="9.0999999999999996" customHeight="1">
      <c r="A39" s="53">
        <v>1</v>
      </c>
      <c r="B39" s="1">
        <v>1</v>
      </c>
      <c r="C39" s="180" t="s">
        <v>398</v>
      </c>
      <c r="E39" s="180"/>
      <c r="F39" s="180"/>
      <c r="G39" s="180"/>
      <c r="O39" s="180"/>
      <c r="P39" s="180"/>
      <c r="Q39" s="180"/>
      <c r="R39" s="180"/>
      <c r="T39" s="51" t="s">
        <v>484</v>
      </c>
      <c r="U39" s="51">
        <v>17207</v>
      </c>
      <c r="V39" s="61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ALO39" s="236"/>
      <c r="ALP39" s="236"/>
      <c r="ALQ39" s="236"/>
    </row>
    <row r="40" ht="9.0999999999999996" customHeight="1">
      <c r="A40" s="53">
        <v>1</v>
      </c>
      <c r="B40" s="1">
        <v>2</v>
      </c>
      <c r="C40" s="180" t="s">
        <v>400</v>
      </c>
      <c r="E40" s="180"/>
      <c r="F40" s="180"/>
      <c r="G40" s="180"/>
      <c r="O40" s="180"/>
      <c r="P40" s="180"/>
      <c r="Q40" s="180"/>
      <c r="R40" s="180"/>
      <c r="T40" s="51" t="s">
        <v>485</v>
      </c>
      <c r="U40" s="51">
        <v>39931</v>
      </c>
      <c r="V40" s="6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ALO40" s="236"/>
      <c r="ALP40" s="236"/>
      <c r="ALQ40" s="236"/>
    </row>
    <row r="41" ht="9.0999999999999996" customHeight="1">
      <c r="A41" s="53">
        <v>2</v>
      </c>
      <c r="B41" s="1">
        <v>3</v>
      </c>
      <c r="C41" s="53" t="s">
        <v>401</v>
      </c>
      <c r="E41" s="180"/>
      <c r="F41" s="180"/>
      <c r="G41" s="180"/>
      <c r="O41" s="180"/>
      <c r="P41" s="180"/>
      <c r="Q41" s="180"/>
      <c r="R41" s="180"/>
      <c r="V41" s="61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ALO41" s="236"/>
      <c r="ALP41" s="236"/>
      <c r="ALQ41" s="236"/>
    </row>
    <row r="42" ht="9.0999999999999996" customHeight="1">
      <c r="A42" s="53">
        <v>2</v>
      </c>
      <c r="B42" s="1">
        <v>4</v>
      </c>
      <c r="C42" s="180" t="s">
        <v>402</v>
      </c>
      <c r="E42" s="180"/>
      <c r="F42" s="180"/>
      <c r="G42" s="180"/>
      <c r="O42" s="180"/>
      <c r="P42" s="180"/>
      <c r="Q42" s="180"/>
      <c r="R42" s="180"/>
      <c r="T42" s="71" t="s">
        <v>504</v>
      </c>
      <c r="V42" s="61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ALO42" s="236"/>
      <c r="ALP42" s="236"/>
      <c r="ALQ42" s="236"/>
    </row>
    <row r="43" ht="9.0999999999999996" customHeight="1">
      <c r="A43" s="53">
        <v>2</v>
      </c>
      <c r="B43" s="1">
        <v>5</v>
      </c>
      <c r="C43" s="180" t="s">
        <v>403</v>
      </c>
      <c r="E43" s="180"/>
      <c r="F43" s="180"/>
      <c r="G43" s="180"/>
      <c r="O43" s="180"/>
      <c r="P43" s="180"/>
      <c r="Q43" s="180"/>
      <c r="R43" s="180"/>
      <c r="T43" s="51" t="s">
        <v>505</v>
      </c>
      <c r="V43" s="61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ALO43" s="236"/>
      <c r="ALP43" s="236"/>
      <c r="ALQ43" s="236"/>
    </row>
    <row r="44" ht="9.0999999999999996" customHeight="1">
      <c r="A44" s="53">
        <v>2</v>
      </c>
      <c r="B44" s="1">
        <v>6</v>
      </c>
      <c r="C44" s="180" t="s">
        <v>404</v>
      </c>
      <c r="E44" s="180"/>
      <c r="F44" s="180"/>
      <c r="G44" s="180"/>
      <c r="O44" s="180"/>
      <c r="P44" s="180"/>
      <c r="Q44" s="180"/>
      <c r="R44" s="180"/>
      <c r="T44" s="51" t="s">
        <v>474</v>
      </c>
      <c r="U44" s="51" t="s">
        <v>475</v>
      </c>
      <c r="V44" s="61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ALO44" s="236"/>
      <c r="ALP44" s="236"/>
      <c r="ALQ44" s="236"/>
    </row>
    <row r="45" ht="9.0999999999999996" customHeight="1">
      <c r="A45" s="53">
        <v>3</v>
      </c>
      <c r="B45" s="1">
        <v>7</v>
      </c>
      <c r="C45" s="180" t="s">
        <v>405</v>
      </c>
      <c r="E45" s="180"/>
      <c r="F45" s="180"/>
      <c r="G45" s="180"/>
      <c r="O45" s="180"/>
      <c r="P45" s="180"/>
      <c r="Q45" s="180"/>
      <c r="R45" s="180"/>
      <c r="T45" s="51" t="s">
        <v>476</v>
      </c>
      <c r="U45" s="51" t="s">
        <v>506</v>
      </c>
      <c r="V45" s="61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ALO45" s="236"/>
      <c r="ALP45" s="236"/>
      <c r="ALQ45" s="236"/>
    </row>
    <row r="46" ht="9.0999999999999996" customHeight="1">
      <c r="A46" s="53">
        <v>3</v>
      </c>
      <c r="B46" s="1">
        <v>8</v>
      </c>
      <c r="C46" s="53" t="s">
        <v>406</v>
      </c>
      <c r="T46" s="51" t="s">
        <v>478</v>
      </c>
      <c r="U46" s="51" t="s">
        <v>507</v>
      </c>
      <c r="V46" s="61">
        <v>27.75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ALO46" s="236"/>
      <c r="ALP46" s="236"/>
      <c r="ALQ46" s="236"/>
    </row>
    <row r="47" ht="9.0999999999999996" customHeight="1">
      <c r="A47" s="53">
        <v>3</v>
      </c>
      <c r="B47" s="1">
        <v>9</v>
      </c>
      <c r="C47" s="180" t="s">
        <v>407</v>
      </c>
      <c r="T47" s="51" t="s">
        <v>480</v>
      </c>
      <c r="U47" s="51" t="s">
        <v>508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ht="9.0999999999999996" customHeight="1">
      <c r="A48" s="53">
        <v>3</v>
      </c>
      <c r="B48" s="1">
        <v>10</v>
      </c>
      <c r="C48" s="180" t="s">
        <v>407</v>
      </c>
      <c r="T48" s="51" t="s">
        <v>482</v>
      </c>
      <c r="U48" s="51" t="s">
        <v>491</v>
      </c>
    </row>
    <row r="49" ht="9.0999999999999996" customHeight="1">
      <c r="A49" s="53">
        <v>4</v>
      </c>
      <c r="B49" s="1">
        <v>11</v>
      </c>
      <c r="C49" s="180" t="s">
        <v>407</v>
      </c>
      <c r="T49" s="51" t="s">
        <v>484</v>
      </c>
      <c r="U49" s="51">
        <v>17209</v>
      </c>
    </row>
    <row r="50" ht="9.0999999999999996" customHeight="1">
      <c r="A50" s="53">
        <v>5</v>
      </c>
      <c r="B50" s="1">
        <v>12</v>
      </c>
      <c r="C50" s="180" t="s">
        <v>407</v>
      </c>
      <c r="T50" s="51" t="s">
        <v>485</v>
      </c>
      <c r="U50" s="51">
        <v>39922</v>
      </c>
    </row>
    <row r="51" ht="9.0999999999999996" customHeight="1">
      <c r="A51" s="53">
        <v>5</v>
      </c>
      <c r="B51" s="1" t="s">
        <v>1</v>
      </c>
      <c r="C51" s="180" t="s">
        <v>407</v>
      </c>
    </row>
    <row r="52" ht="9.0999999999999996" customHeight="1">
      <c r="A52" s="53">
        <v>5</v>
      </c>
      <c r="B52" s="19" t="s">
        <v>1</v>
      </c>
      <c r="C52" s="180" t="s">
        <v>407</v>
      </c>
      <c r="T52" s="71" t="s">
        <v>509</v>
      </c>
    </row>
    <row r="53" ht="9.0999999999999996" customHeight="1">
      <c r="A53" s="53">
        <v>5</v>
      </c>
      <c r="C53" s="251" t="s">
        <v>1</v>
      </c>
      <c r="T53" s="51" t="s">
        <v>405</v>
      </c>
    </row>
    <row r="54" ht="9.0999999999999996" customHeight="1">
      <c r="A54" s="53">
        <v>5</v>
      </c>
      <c r="T54" s="51" t="s">
        <v>510</v>
      </c>
    </row>
    <row r="55" ht="9.0999999999999996" customHeight="1">
      <c r="A55" s="53">
        <v>5</v>
      </c>
      <c r="T55" s="51" t="s">
        <v>511</v>
      </c>
    </row>
    <row r="56" ht="9.0999999999999996" customHeight="1">
      <c r="T56" s="51" t="s">
        <v>476</v>
      </c>
      <c r="U56" s="51" t="s">
        <v>512</v>
      </c>
    </row>
    <row r="57" ht="9.0999999999999996" customHeight="1">
      <c r="T57" s="51" t="s">
        <v>478</v>
      </c>
      <c r="U57" s="51" t="s">
        <v>513</v>
      </c>
      <c r="V57" s="61" t="s">
        <v>513</v>
      </c>
    </row>
    <row r="58" ht="9.0999999999999996" customHeight="1">
      <c r="T58" s="51" t="s">
        <v>480</v>
      </c>
      <c r="U58" s="51" t="s">
        <v>514</v>
      </c>
    </row>
    <row r="59" ht="9.0999999999999996" customHeight="1">
      <c r="T59" s="51" t="s">
        <v>482</v>
      </c>
      <c r="U59" s="51" t="s">
        <v>515</v>
      </c>
    </row>
    <row r="60" ht="9.0999999999999996" customHeight="1">
      <c r="T60" s="51" t="s">
        <v>516</v>
      </c>
      <c r="U60" s="130" t="s">
        <v>517</v>
      </c>
    </row>
    <row r="61" ht="9.0999999999999996" customHeight="1">
      <c r="T61" s="51" t="s">
        <v>484</v>
      </c>
      <c r="U61" s="51">
        <v>17207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ht="9.0999999999999996" customHeight="1">
      <c r="T62" s="51" t="s">
        <v>485</v>
      </c>
      <c r="U62" s="51">
        <v>39931</v>
      </c>
    </row>
    <row r="64" ht="9.0999999999999996" customHeight="1">
      <c r="T64" s="71" t="s">
        <v>518</v>
      </c>
    </row>
    <row r="65" ht="9.0999999999999996" customHeight="1">
      <c r="T65" s="51" t="s">
        <v>519</v>
      </c>
    </row>
    <row r="66" ht="9.0999999999999996" customHeight="1">
      <c r="T66" s="51" t="s">
        <v>474</v>
      </c>
      <c r="U66" s="51" t="s">
        <v>475</v>
      </c>
    </row>
    <row r="67" ht="9.0999999999999996" customHeight="1">
      <c r="T67" s="51" t="s">
        <v>476</v>
      </c>
      <c r="U67" s="51" t="s">
        <v>506</v>
      </c>
    </row>
    <row r="68" ht="9.0999999999999996" customHeight="1">
      <c r="T68" s="51" t="s">
        <v>478</v>
      </c>
      <c r="U68" s="51" t="s">
        <v>507</v>
      </c>
      <c r="V68" s="61">
        <v>27.75</v>
      </c>
    </row>
    <row r="69" ht="9.0999999999999996" customHeight="1">
      <c r="T69" s="51" t="s">
        <v>480</v>
      </c>
      <c r="U69" s="51" t="s">
        <v>508</v>
      </c>
    </row>
    <row r="70" ht="9.0999999999999996" customHeight="1">
      <c r="T70" s="51" t="s">
        <v>482</v>
      </c>
      <c r="U70" s="51" t="s">
        <v>491</v>
      </c>
    </row>
    <row r="71" ht="9.0999999999999996" customHeight="1">
      <c r="T71" s="51" t="s">
        <v>484</v>
      </c>
      <c r="U71" s="51">
        <v>17209</v>
      </c>
    </row>
    <row r="72" ht="9.0999999999999996" customHeight="1">
      <c r="T72" s="51" t="s">
        <v>485</v>
      </c>
      <c r="U72" s="51">
        <v>39922</v>
      </c>
    </row>
    <row r="74" ht="9.0999999999999996" customHeight="1">
      <c r="T74" s="71" t="s">
        <v>520</v>
      </c>
    </row>
    <row r="75" ht="9.0999999999999996" customHeight="1">
      <c r="T75" s="51" t="s">
        <v>475</v>
      </c>
    </row>
    <row r="76" ht="9.0999999999999996" customHeight="1">
      <c r="T76" s="51" t="s">
        <v>474</v>
      </c>
      <c r="U76" s="51" t="s">
        <v>475</v>
      </c>
    </row>
    <row r="77" ht="9.0999999999999996" customHeight="1">
      <c r="T77" s="51" t="s">
        <v>476</v>
      </c>
      <c r="U77" s="51" t="s">
        <v>521</v>
      </c>
    </row>
    <row r="78" ht="9.0999999999999996" customHeight="1">
      <c r="T78" s="51" t="s">
        <v>478</v>
      </c>
      <c r="U78" s="51" t="s">
        <v>522</v>
      </c>
      <c r="V78" s="61">
        <v>30.170000000000002</v>
      </c>
    </row>
    <row r="79" ht="9.0999999999999996" customHeight="1">
      <c r="T79" s="51" t="s">
        <v>480</v>
      </c>
      <c r="U79" s="51" t="s">
        <v>523</v>
      </c>
    </row>
    <row r="80" ht="9.0999999999999996" customHeight="1">
      <c r="T80" s="51" t="s">
        <v>482</v>
      </c>
      <c r="U80" s="51" t="s">
        <v>524</v>
      </c>
    </row>
    <row r="81" ht="9.0999999999999996" customHeight="1">
      <c r="T81" s="51" t="s">
        <v>484</v>
      </c>
      <c r="U81" s="51">
        <v>17207</v>
      </c>
    </row>
    <row r="82" ht="9.0999999999999996" customHeight="1">
      <c r="T82" s="51" t="s">
        <v>485</v>
      </c>
      <c r="U82" s="51">
        <v>39931</v>
      </c>
    </row>
    <row r="85" ht="9.0999999999999996" customHeight="1">
      <c r="S85" s="1" t="s">
        <v>525</v>
      </c>
      <c r="V85" s="252">
        <f>SUM(V1:V84)</f>
        <v>155.36000000000001</v>
      </c>
    </row>
  </sheetData>
  <hyperlinks>
    <hyperlink r:id="rId1" ref="T2"/>
    <hyperlink r:id="rId2" ref="T12"/>
    <hyperlink r:id="rId3" ref="T22"/>
    <hyperlink r:id="rId4" ref="T32"/>
    <hyperlink r:id="rId5" ref="T42"/>
    <hyperlink r:id="rId6" ref="T52"/>
    <hyperlink r:id="rId5" location="Minzow" ref="T64"/>
    <hyperlink r:id="rId7" ref="T74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de-DE</dc:language>
  <cp:revision>274</cp:revision>
  <dcterms:created xsi:type="dcterms:W3CDTF">2019-10-01T11:57:02Z</dcterms:created>
  <dcterms:modified xsi:type="dcterms:W3CDTF">2024-01-20T21:29:37Z</dcterms:modified>
</cp:coreProperties>
</file>