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" sheetId="1" state="visible" r:id="rId2"/>
    <sheet name="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7" authorId="0">
      <text>
        <r>
          <rPr>
            <sz val="7"/>
            <rFont val="Liberation Sans Narrow"/>
            <family val="2"/>
          </rPr>
          <t xml:space="preserve">Endenergie für Heizen und Warmwasser (Wohn-&amp;Nichtwohngebäude), </t>
        </r>
        <r>
          <rPr>
            <sz val="7"/>
            <color rgb="FFFF0000"/>
            <rFont val="Liberation Sans Narrow"/>
            <family val="2"/>
          </rPr>
          <t xml:space="preserve">abzüglich</t>
        </r>
        <r>
          <rPr>
            <sz val="7"/>
            <rFont val="Liberation Sans Narrow"/>
            <family val="2"/>
          </rPr>
          <t xml:space="preserve"> Energie für Warmwasser von Mai bis September, </t>
        </r>
        <r>
          <rPr>
            <sz val="7"/>
            <color rgb="FFFF0000"/>
            <rFont val="Liberation Sans Narrow"/>
            <family val="2"/>
          </rPr>
          <t xml:space="preserve">/180</t>
        </r>
        <r>
          <rPr>
            <sz val="7"/>
            <rFont val="Liberation Sans Narrow"/>
            <family val="2"/>
          </rPr>
          <t xml:space="preserve">Heiztage</t>
        </r>
        <r>
          <rPr>
            <sz val="7"/>
            <color rgb="FFFF0000"/>
            <rFont val="Liberation Sans Narrow"/>
            <family val="2"/>
          </rPr>
          <t xml:space="preserve">/24</t>
        </r>
        <r>
          <rPr>
            <sz val="7"/>
            <rFont val="Liberation Sans Narrow"/>
            <family val="2"/>
          </rPr>
          <t xml:space="preserve">Stunden</t>
        </r>
        <r>
          <rPr>
            <sz val="7"/>
            <color rgb="FFFF0000"/>
            <rFont val="Liberation Sans Narrow"/>
            <family val="2"/>
          </rPr>
          <t xml:space="preserve">*2 </t>
        </r>
        <r>
          <rPr>
            <sz val="7"/>
            <rFont val="Liberation Sans Narrow"/>
            <family val="2"/>
          </rPr>
          <t xml:space="preserve">(Verdopplung bei Extremkälte)
</t>
        </r>
      </text>
    </comment>
  </commentList>
</comments>
</file>

<file path=xl/sharedStrings.xml><?xml version="1.0" encoding="utf-8"?>
<sst xmlns="http://schemas.openxmlformats.org/spreadsheetml/2006/main" count="574" uniqueCount="333">
  <si>
    <t xml:space="preserve">Szenario für Cottbus</t>
  </si>
  <si>
    <t xml:space="preserve">Ort</t>
  </si>
  <si>
    <t xml:space="preserve">Status</t>
  </si>
  <si>
    <t xml:space="preserve">Einwohner</t>
  </si>
  <si>
    <t xml:space="preserve">bebaute Fläche</t>
  </si>
  <si>
    <t xml:space="preserve">benötigte Wärme</t>
  </si>
  <si>
    <t xml:space="preserve">Bemerkungen Zusätze</t>
  </si>
  <si>
    <t xml:space="preserve">km²</t>
  </si>
  <si>
    <t xml:space="preserve">kWh/a</t>
  </si>
  <si>
    <t xml:space="preserve">Cottbus</t>
  </si>
  <si>
    <t xml:space="preserve">Stadt</t>
  </si>
  <si>
    <t xml:space="preserve">https://de.wikipedia.org/wiki/Cottbus#cite_note-Metadaten_Einwohnerzahl_DE-BB-1</t>
  </si>
  <si>
    <t xml:space="preserve">Merkmale:</t>
  </si>
  <si>
    <t xml:space="preserve"> </t>
  </si>
  <si>
    <t xml:space="preserve">Keine Unterteilung des Plangebietes, dadurch keine Hauptverteilungsleitungen; Kollektorfeld komplett außerhalb der Stadt; wenn möglich, wird am Speicher vorbei geheizt; Dachflächen nicht verwendet; Volldeckung der Wärmelast für moderat sanierte Gebäude, ansonsten Teildeckung und zur Unterstützung zentrales BHKW; Heizperiode sind 180 Tage</t>
  </si>
  <si>
    <t xml:space="preserve">x= nicht verwendet</t>
  </si>
  <si>
    <t xml:space="preserve">Größe</t>
  </si>
  <si>
    <t xml:space="preserve">Wert</t>
  </si>
  <si>
    <t xml:space="preserve">Einheit</t>
  </si>
  <si>
    <t xml:space="preserve">Abschreibung in a</t>
  </si>
  <si>
    <t xml:space="preserve">Quelle/ Bemerkung</t>
  </si>
  <si>
    <t xml:space="preserve">maximaler Druckabfall bei Auslegungsleistung in einem Fernheizzweig (viermal reduziert)</t>
  </si>
  <si>
    <t xml:space="preserve">Parameter, Eingabe</t>
  </si>
  <si>
    <t xml:space="preserve">Eingabefelder blau</t>
  </si>
  <si>
    <t xml:space="preserve">Abschnittnummer</t>
  </si>
  <si>
    <t xml:space="preserve">endet bei Meter</t>
  </si>
  <si>
    <t xml:space="preserve">Gebäudeanzahl bis Abschnittende</t>
  </si>
  <si>
    <t xml:space="preserve">Auslegungsleistung zu Beginn des Abschnittes in kW</t>
  </si>
  <si>
    <t xml:space="preserve">Leitungsdurchmesser in m</t>
  </si>
  <si>
    <t xml:space="preserve">Druckabfall pro m  bei 2m/s in bar</t>
  </si>
  <si>
    <t xml:space="preserve">Druckabfall am Abschnitt Doppelleitung in bar</t>
  </si>
  <si>
    <t xml:space="preserve">Allgemein</t>
  </si>
  <si>
    <t xml:space="preserve">durchschnittliche Wohnfläche pro Kopf, Cottbus</t>
  </si>
  <si>
    <t xml:space="preserve">m²/Kopf</t>
  </si>
  <si>
    <r>
      <rPr>
        <sz val="8"/>
        <color rgb="FF0000FF"/>
        <rFont val="Liberation Sans Narrow"/>
        <family val="2"/>
      </rPr>
      <t xml:space="preserve">https://www.cottbus.de/.files/storage/file/344a9f1d-5dfd-430d-9366-c43ea10e0b3c/Jahrbuch2018-2.pdf</t>
    </r>
    <r>
      <rPr>
        <sz val="8"/>
        <rFont val="Liberation Sans Narrow"/>
        <family val="2"/>
      </rPr>
      <t xml:space="preserve">; S.56</t>
    </r>
  </si>
  <si>
    <t xml:space="preserve">Formelparameter für Druckabfall</t>
  </si>
  <si>
    <t xml:space="preserve">Endenergie für Heizung+WW, saniert</t>
  </si>
  <si>
    <t xml:space="preserve">kWh/a/m²</t>
  </si>
  <si>
    <t xml:space="preserve">https://heliogaia.de/Heizspiegel-fuer-Deutschland-2018.pdf</t>
  </si>
  <si>
    <t xml:space="preserve">a</t>
  </si>
  <si>
    <t xml:space="preserve">Anteil der Nichtwohngebäude am Endenergieverbrauch</t>
  </si>
  <si>
    <t xml:space="preserve">%</t>
  </si>
  <si>
    <t xml:space="preserve">https://heliogaia.de/9254_Gebaeudereport_dena_kompakt_2018.pdf</t>
  </si>
  <si>
    <t xml:space="preserve">b</t>
  </si>
  <si>
    <t xml:space="preserve">Endenergie für Heizung+WW (Wohn-&amp;Nichtwohngebäude) nach moderater Sanierung</t>
  </si>
  <si>
    <t xml:space="preserve">kWh/a/Kopf</t>
  </si>
  <si>
    <t xml:space="preserve">errechnet aus Werten dieser Tabelle</t>
  </si>
  <si>
    <t xml:space="preserve">siehe Tabellen Druckverlust</t>
  </si>
  <si>
    <t xml:space="preserve">Wärmeverbrauch unter 100 Grad (Haushalte,Gewerbe,Industrie)pro Kopf; BRD 2017</t>
  </si>
  <si>
    <t xml:space="preserve">www.umweltbundesamt.de/sites/default/files/medien/384/bilder/dateien/3_tab_energieverbrauch-eev-sektor-waermezwecke_2018-02-14.pdf</t>
  </si>
  <si>
    <t xml:space="preserve">in 4 Stufen</t>
  </si>
  <si>
    <t xml:space="preserve">Endenergie nur für Warmwasser(WW) für alle Gebäude pro Kopf</t>
  </si>
  <si>
    <t xml:space="preserve">https://www.dena.de/fileadmin/dena/Bilder/Newsroom/Meldungen/2018Q2/Grafik-dena-Gebaeudereport-kompakt-2018-Endenergiebezogener-Gebaeudeenergieverbrauch.jpg</t>
  </si>
  <si>
    <t xml:space="preserve">Mittel</t>
  </si>
  <si>
    <t xml:space="preserve">Geplante Verluste durch Fernwärmenetz (ergibt Aufschlag auf Wärmebedarf) vgl.D129</t>
  </si>
  <si>
    <t xml:space="preserve">geschätzt, kann anschließend an die Berechnung mittels dieser Tabelle hier angepasst werden</t>
  </si>
  <si>
    <t xml:space="preserve">Kollektorfeld Leitungs- und Verschattungsverluste</t>
  </si>
  <si>
    <t xml:space="preserve">(7+4)%</t>
  </si>
  <si>
    <t xml:space="preserve">Geplante Verluste Jahreswärmespeicher (ergibt Aufschlag auf Wärmebedarf) vgl.F104</t>
  </si>
  <si>
    <t xml:space="preserve">mittlerer Druckabfall in einem Fernheizzweig (viermal reduziert)</t>
  </si>
  <si>
    <t xml:space="preserve">möglicher Anteil an direkter Beheizung, am Speicher vorbei</t>
  </si>
  <si>
    <t xml:space="preserve">errechnet mit datei: zylindermodell007.ods</t>
  </si>
  <si>
    <t xml:space="preserve">Mittlere Leistung zu Beginn des Abschnittes in kW</t>
  </si>
  <si>
    <t xml:space="preserve">Druckabfall pro m  bei 1m/s in bar</t>
  </si>
  <si>
    <t xml:space="preserve">Auslegungsleistung (Maximal nötige Heizleistung)</t>
  </si>
  <si>
    <t xml:space="preserve">kW/Kopf</t>
  </si>
  <si>
    <t xml:space="preserve">Nebenkosten der gesamten Anlage</t>
  </si>
  <si>
    <r>
      <rPr>
        <sz val="8"/>
        <color rgb="FF0000FF"/>
        <rFont val="Liberation Sans Narrow"/>
        <family val="2"/>
      </rPr>
      <t xml:space="preserve">https://www-docs.b-tu.de/fg-bauoekonomie/public/Forschung/Publikationen/Kalusche-Wolfdietrich/2016/orientierungswerte.pdf</t>
    </r>
    <r>
      <rPr>
        <sz val="8"/>
        <rFont val="Liberation Sans Narrow"/>
        <family val="2"/>
      </rPr>
      <t xml:space="preserve">; S.5</t>
    </r>
  </si>
  <si>
    <t xml:space="preserve">Bevölkerung, Deutschland</t>
  </si>
  <si>
    <t xml:space="preserve">Millionen</t>
  </si>
  <si>
    <t xml:space="preserve">https://de.wikipedia.org/wiki/Deutschland</t>
  </si>
  <si>
    <t xml:space="preserve">Zahl der Wohngebäude, Deutschland</t>
  </si>
  <si>
    <r>
      <rPr>
        <sz val="8"/>
        <rFont val="Liberation Sans Narrow"/>
        <family val="2"/>
      </rPr>
      <t xml:space="preserve">9254 Gebaeudereport dena kompakt 2018.pdf S.17 in; </t>
    </r>
    <r>
      <rPr>
        <sz val="8"/>
        <color rgb="FF0000FF"/>
        <rFont val="Liberation Sans Narrow"/>
        <family val="2"/>
      </rPr>
      <t xml:space="preserve">https://www.dena.de/newsroom/publikationsdetailansicht/pub/broschuere-dena-gebaeudereport-kompakt-2018/</t>
    </r>
  </si>
  <si>
    <t xml:space="preserve">Zahl der Nichtwohngebäude (NWG), Deutschland</t>
  </si>
  <si>
    <t xml:space="preserve">https://heliogaia.de/9254_Gebaeudereport_dena_kompakt_2018.pdf ; S.17</t>
  </si>
  <si>
    <t xml:space="preserve">durchschnittliche Wohnfläche je Wohnung, Deutschland</t>
  </si>
  <si>
    <t xml:space="preserve">m²</t>
  </si>
  <si>
    <t xml:space="preserve">https://www.umweltbundesamt.de/daten/private-haushalte-konsum/wohnen/wohnflaeche#textpart-1</t>
  </si>
  <si>
    <t xml:space="preserve">durchschnittliche Wohnfläche pro Kopf, Deutschland</t>
  </si>
  <si>
    <t xml:space="preserve">https://www.destatis.de/DE/Themen/Gesellschaft-Umwelt/Wohnen/_inhalt.html;jsessionid=B06932BB79EC6A4F1C300E19A2E9934B.internet731</t>
  </si>
  <si>
    <t xml:space="preserve">Personen pro Gebäude, Bundesdurchschnitt</t>
  </si>
  <si>
    <t xml:space="preserve">Personen</t>
  </si>
  <si>
    <t xml:space="preserve">Personen pro Wohnung, Bundesdurchschnitt</t>
  </si>
  <si>
    <t xml:space="preserve">Kollektorfeld</t>
  </si>
  <si>
    <t xml:space="preserve">Globalstrahlung Würzburg,langjähriges Mittel,Standort für Kollektorvergleich,Keymark</t>
  </si>
  <si>
    <t xml:space="preserve">kWh/m²</t>
  </si>
  <si>
    <t xml:space="preserve">https://www.dwd.de/DE/leistungen/solarenergie/strahlungskarten_mvs.html?nn=16102</t>
  </si>
  <si>
    <t xml:space="preserve">Globalstrahlung Cottbus, langjähriges Mittel, 1991 – 2020</t>
  </si>
  <si>
    <t xml:space="preserve">Maximal mögliche tägliche Globalstrahlung</t>
  </si>
  <si>
    <t xml:space="preserve">kWh/d/m²</t>
  </si>
  <si>
    <t xml:space="preserve">https://www.dwd.de/DE/leistungen/solarenergie/strahlungskarten_sum.html?nn=16102</t>
  </si>
  <si>
    <t xml:space="preserve">Forst, Juni 2019</t>
  </si>
  <si>
    <t xml:space="preserve">Jahresertrag der Röhrenkollektoren, Würzburg bei T=75°C: Ritter CPC XL 1921</t>
  </si>
  <si>
    <r>
      <rPr>
        <sz val="8"/>
        <color rgb="FF0000FF"/>
        <rFont val="Liberation Sans Narrow"/>
        <family val="2"/>
      </rPr>
      <t xml:space="preserve">http://www.solarkeymark.nl/DBF/PDF_Downloads/DS_47.pdf</t>
    </r>
    <r>
      <rPr>
        <sz val="8"/>
        <rFont val="Liberation Sans Narrow"/>
        <family val="2"/>
      </rPr>
      <t xml:space="preserve">; S.2;Annual output per m2 gross area</t>
    </r>
  </si>
  <si>
    <t xml:space="preserve">Jahresertrag Flachkollektoren, Würzburg  bei T=50°C: SUNEX S.A. AMP 2.</t>
  </si>
  <si>
    <t xml:space="preserve">http://www.solarkeymark.nl/DBF/PDF_Downloads/DS_1575.pdf</t>
  </si>
  <si>
    <t xml:space="preserve">Bruttopreis der eingesetzten Röhrenkollektoren: Ritter CPC XL 1921</t>
  </si>
  <si>
    <t xml:space="preserve">€/m²</t>
  </si>
  <si>
    <t xml:space="preserve">[39]</t>
  </si>
  <si>
    <r>
      <rPr>
        <sz val="8"/>
        <color rgb="FF0000FF"/>
        <rFont val="Liberation Sans Narrow"/>
        <family val="2"/>
      </rPr>
      <t xml:space="preserve">https://www.swissolar.ch/fileadmin/user_upload/Markterhebung/Marktumfrage_2017.pdf</t>
    </r>
    <r>
      <rPr>
        <sz val="8"/>
        <rFont val="Liberation Sans Narrow"/>
        <family val="2"/>
      </rPr>
      <t xml:space="preserve">; S.8 zur Lebensdauer</t>
    </r>
  </si>
  <si>
    <t xml:space="preserve">Bruttopreis der eingesetzten Flachkollektoren: SUNEX S.A. AMP 2.0</t>
  </si>
  <si>
    <t xml:space="preserve">[1]</t>
  </si>
  <si>
    <t xml:space="preserve">Anteil an Röhrenkollektoren</t>
  </si>
  <si>
    <t xml:space="preserve">gesetzt</t>
  </si>
  <si>
    <t xml:space="preserve">Reihenschaltung Flach-Röhrenkollektor, also mindestens 50% Röhrenkollektoren</t>
  </si>
  <si>
    <t xml:space="preserve">Effizienz des Kollektorfeldes im Praxisbetrieb</t>
  </si>
  <si>
    <t xml:space="preserve">Brutto/netto-Faktor, externes Kollektorfeld (Verschattung vermeiden, Wege, Ränder)</t>
  </si>
  <si>
    <t xml:space="preserve">Brutto-Kosten für Montage und Installationsmaterial Kollektorfeld</t>
  </si>
  <si>
    <r>
      <rPr>
        <sz val="8"/>
        <color rgb="FF0000FF"/>
        <rFont val="Liberation Sans Narrow"/>
        <family val="2"/>
      </rPr>
      <t xml:space="preserve">https://www.solaranlagen-portal.de/thermische-solaranlage/solarkollektor-preis.html</t>
    </r>
    <r>
      <rPr>
        <sz val="8"/>
        <rFont val="Liberation Sans Narrow"/>
        <family val="2"/>
      </rPr>
      <t xml:space="preserve">; Punkt 1.2: 3000€/16m²</t>
    </r>
  </si>
  <si>
    <t xml:space="preserve">Mengenrabatt Kollektoren und Installation</t>
  </si>
  <si>
    <t xml:space="preserve">Minderung</t>
  </si>
  <si>
    <t xml:space="preserve">Bodenrichtwert Kollektorfeld</t>
  </si>
  <si>
    <t xml:space="preserve">https://www.bodenrichtwerte-boris.de/borisde/?lang=de</t>
  </si>
  <si>
    <t xml:space="preserve">Speicher</t>
  </si>
  <si>
    <t xml:space="preserve">Wärmespeicherzahl s für Erdboden (s=c*ρ)</t>
  </si>
  <si>
    <t xml:space="preserve">kJ/K/m³</t>
  </si>
  <si>
    <t xml:space="preserve">Wärmeleitwert Speicherumgebung</t>
  </si>
  <si>
    <t xml:space="preserve">W/m/K</t>
  </si>
  <si>
    <t xml:space="preserve">Wärmeleitwert, trockener sandiger Füllboden</t>
  </si>
  <si>
    <t xml:space="preserve">Grundwassergeschwindigkeit an Grundwasseroberfläche</t>
  </si>
  <si>
    <t xml:space="preserve">m/d</t>
  </si>
  <si>
    <t xml:space="preserve">Grundwassergeschwindigkeit in Speicherbodentiefe</t>
  </si>
  <si>
    <t xml:space="preserve">strömungsaktives Porenvolumen bzgl. Speichervolumen</t>
  </si>
  <si>
    <r>
      <rPr>
        <sz val="8"/>
        <rFont val="Liberation Sans Narrow"/>
        <family val="2"/>
      </rPr>
      <t xml:space="preserve">hydraulische Leitfähigkeit k</t>
    </r>
    <r>
      <rPr>
        <vertAlign val="subscript"/>
        <sz val="8"/>
        <rFont val="Liberation Sans Narrow"/>
        <family val="2"/>
      </rPr>
      <t xml:space="preserve">f</t>
    </r>
    <r>
      <rPr>
        <sz val="8"/>
        <rFont val="Liberation Sans Narrow"/>
        <family val="2"/>
      </rPr>
      <t xml:space="preserve"> Speicher&amp;Umgebung</t>
    </r>
  </si>
  <si>
    <t xml:space="preserve">m/s</t>
  </si>
  <si>
    <t xml:space="preserve">diese Geschwindigkeit stellt sich ein bei 45°Grundwassergefälle</t>
  </si>
  <si>
    <t xml:space="preserve">mehrjährig gemittelte Niederschlagsmenge</t>
  </si>
  <si>
    <t xml:space="preserve">m/a</t>
  </si>
  <si>
    <t xml:space="preserve">mehrjährig gemittelte Lufttemperatur</t>
  </si>
  <si>
    <t xml:space="preserve">°C</t>
  </si>
  <si>
    <t xml:space="preserve">Bodentemperatur in 50m Tiefe </t>
  </si>
  <si>
    <t xml:space="preserve">Speichertemperatur Arbeitsspanne</t>
  </si>
  <si>
    <t xml:space="preserve">K</t>
  </si>
  <si>
    <t xml:space="preserve">Speichertemperatur Mittel</t>
  </si>
  <si>
    <t xml:space="preserve">Überlappung der Speicherabdeckung über den Rand</t>
  </si>
  <si>
    <t xml:space="preserve">m</t>
  </si>
  <si>
    <t xml:space="preserve">Höhe der trockenen Füllbodenabdeckung</t>
  </si>
  <si>
    <t xml:space="preserve">Anzahl der Bohrungen;         zweimal</t>
  </si>
  <si>
    <t xml:space="preserve">Stück</t>
  </si>
  <si>
    <t xml:space="preserve">je eine Bohrung oben und unten im Speichergrundwasser</t>
  </si>
  <si>
    <t xml:space="preserve">Länge aller Bohrungen</t>
  </si>
  <si>
    <t xml:space="preserve">Förderleistung eines Brunnens</t>
  </si>
  <si>
    <t xml:space="preserve">m³/h</t>
  </si>
  <si>
    <r>
      <rPr>
        <sz val="8"/>
        <rFont val="Liberation Sans Narrow"/>
        <family val="2"/>
      </rPr>
      <t xml:space="preserve">gesetzt, vgl.:</t>
    </r>
    <r>
      <rPr>
        <sz val="8"/>
        <color rgb="FF0000FF"/>
        <rFont val="Liberation Sans Narrow"/>
        <family val="2"/>
      </rPr>
      <t xml:space="preserve">https://www.straelen.de/rathaus-politik/dienstleistungen/wasserversorgung/wasserversorgung/#accordion-1-3</t>
    </r>
  </si>
  <si>
    <t xml:space="preserve">„1979 Bau eines Tiefenbrunnens...konnte die Förderkapazität um 150 m³/h ... erhöht werden.“</t>
  </si>
  <si>
    <t xml:space="preserve">Kosten für Aushub+Erdbewegung</t>
  </si>
  <si>
    <t xml:space="preserve">€/m³</t>
  </si>
  <si>
    <t xml:space="preserve">http://baupreise24.de/baupreise/erdarbeiten</t>
  </si>
  <si>
    <t xml:space="preserve">Kosten für Abdeckung mit 2 Folien pro m²</t>
  </si>
  <si>
    <t xml:space="preserve">1,5mm doppelt</t>
  </si>
  <si>
    <t xml:space="preserve">Kosten für Dichtwand pro m²</t>
  </si>
  <si>
    <t xml:space="preserve">H.O.Buja,Ingenieurhandbuch Bergbautechnik,Beuth Verlag GmbH 2013, S. 679</t>
  </si>
  <si>
    <r>
      <rPr>
        <sz val="8"/>
        <rFont val="Liberation Sans Narrow"/>
        <family val="2"/>
      </rPr>
      <t xml:space="preserve"> </t>
    </r>
    <r>
      <rPr>
        <sz val="8"/>
        <color rgb="FF0000FF"/>
        <rFont val="Liberation Sans Narrow"/>
        <family val="2"/>
      </rPr>
      <t xml:space="preserve">https://books.google.de/books?id=hRmYJX_u7ykC&amp;printsec=frontcover&amp;hl=de#v=onepage&amp;q&amp;f=false</t>
    </r>
  </si>
  <si>
    <t xml:space="preserve">Kosten für Bohrungen pro m</t>
  </si>
  <si>
    <t xml:space="preserve">€/m</t>
  </si>
  <si>
    <r>
      <rPr>
        <sz val="8"/>
        <color rgb="FF0000FF"/>
        <rFont val="Liberation Sans Narrow"/>
        <family val="2"/>
      </rPr>
      <t xml:space="preserve">https://www.my-hammer.de/preisradar/was-kostet-brunnen-bohren/</t>
    </r>
    <r>
      <rPr>
        <sz val="8"/>
        <rFont val="Liberation Sans Narrow"/>
        <family val="2"/>
      </rPr>
      <t xml:space="preserve">  ;   </t>
    </r>
    <r>
      <rPr>
        <sz val="8"/>
        <color rgb="FF0000FF"/>
        <rFont val="Liberation Sans Narrow"/>
        <family val="2"/>
      </rPr>
      <t xml:space="preserve">https://www.kesselheld.de/tiefenbohrung/</t>
    </r>
  </si>
  <si>
    <t xml:space="preserve">30...70 €/m</t>
  </si>
  <si>
    <t xml:space="preserve">Mengenrabatt Bohren</t>
  </si>
  <si>
    <t xml:space="preserve">Kosten für Pufferspeicher pro m³</t>
  </si>
  <si>
    <t xml:space="preserve">Pro_Keller_Broschuere_Kostenvergleich.pdf</t>
  </si>
  <si>
    <t xml:space="preserve">Kosten Technikgebäude am Speicherrand</t>
  </si>
  <si>
    <t xml:space="preserve">€</t>
  </si>
  <si>
    <t xml:space="preserve">Schätzung</t>
  </si>
  <si>
    <t xml:space="preserve">Verteilung</t>
  </si>
  <si>
    <t xml:space="preserve">Geschwindigkeit im Fernwärmesystem bei Auslegungsleistung</t>
  </si>
  <si>
    <t xml:space="preserve">maximale Leistung</t>
  </si>
  <si>
    <t xml:space="preserve">Hauptverteilerleitung Dämmstärke</t>
  </si>
  <si>
    <t xml:space="preserve">cm</t>
  </si>
  <si>
    <t xml:space="preserve">https://www.ikz.de/uploads/media/50-55_Daemmstandards.pdf</t>
  </si>
  <si>
    <t xml:space="preserve">S.3, bzw. 52</t>
  </si>
  <si>
    <t xml:space="preserve">Unterverteilerleitung Dämmstärke</t>
  </si>
  <si>
    <t xml:space="preserve">Wärmeleitwert der Dämmung</t>
  </si>
  <si>
    <t xml:space="preserve">Seitenlänge des (im Modell) quadratischen Plangebietes=Zweiglänge einer Unterverteilung</t>
  </si>
  <si>
    <t xml:space="preserve">x</t>
  </si>
  <si>
    <t xml:space="preserve">Länge der Hauptverteilungstrassen</t>
  </si>
  <si>
    <t xml:space="preserve">km</t>
  </si>
  <si>
    <t xml:space="preserve">in dieser Tabelle wird nur mit Unterverteilung gerechnet</t>
  </si>
  <si>
    <t xml:space="preserve">Kosten Hauptverteilung Kanal mit Rohren</t>
  </si>
  <si>
    <r>
      <rPr>
        <sz val="8"/>
        <color rgb="FF0000FF"/>
        <rFont val="Liberation Sans Narrow"/>
        <family val="2"/>
      </rPr>
      <t xml:space="preserve">https://enerko.de/wp-content/uploads/2020/01/191212-Kurzbericht-FW-Schiene-Rheinland.pdf</t>
    </r>
    <r>
      <rPr>
        <sz val="8"/>
        <rFont val="Liberation Sans Narrow"/>
        <family val="2"/>
      </rPr>
      <t xml:space="preserve"> S.9 u.a. 500...1000€/m</t>
    </r>
  </si>
  <si>
    <t xml:space="preserve">Kosten Unterverteilung Kanal mit Rohren</t>
  </si>
  <si>
    <t xml:space="preserve">https://www.borderstep.de/wp-content/uploads/2014/07/Clausen-Kosten_-laendliche_-Waermenetze-2012.pdf</t>
  </si>
  <si>
    <t xml:space="preserve">S.5f; von 2008 inflationsbereinigt 175*1,02^12</t>
  </si>
  <si>
    <t xml:space="preserve">Kosten Hausanschluss</t>
  </si>
  <si>
    <t xml:space="preserve">S.5f; von 2008 inflationsbereinigt 2500*1,02^12</t>
  </si>
  <si>
    <t xml:space="preserve">erforderliche Zusatzleistung Blockheizkraftwerk (BHKW) thermisch</t>
  </si>
  <si>
    <t xml:space="preserve">MW thermisch</t>
  </si>
  <si>
    <t xml:space="preserve">Wirkungsgrad BHKW</t>
  </si>
  <si>
    <t xml:space="preserve">BHKW elektrische Leistung</t>
  </si>
  <si>
    <t xml:space="preserve">MW elektrisch</t>
  </si>
  <si>
    <t xml:space="preserve">Kosten für BHKW zur Temperaturanhebung in der dritten Leitung</t>
  </si>
  <si>
    <t xml:space="preserve">Millionen €</t>
  </si>
  <si>
    <t xml:space="preserve">Investitionskosten für Heizkraftwerk</t>
  </si>
  <si>
    <t xml:space="preserve">€/kW</t>
  </si>
  <si>
    <r>
      <rPr>
        <sz val="8"/>
        <color rgb="FF0000FF"/>
        <rFont val="Liberation Sans Narrow"/>
        <family val="2"/>
      </rPr>
      <t xml:space="preserve">https://www.ier.uni-stuttgart.de/publikationen/arbeitsberichte/downloads/Arbeitsbericht_04.pdf</t>
    </r>
    <r>
      <rPr>
        <sz val="8"/>
        <rFont val="Liberation Sans Narrow"/>
        <family val="2"/>
      </rPr>
      <t xml:space="preserve">; S. 3; inflationsbereinigt 0,48*1,02^10=0,585</t>
    </r>
  </si>
  <si>
    <r>
      <rPr>
        <sz val="8"/>
        <rFont val="Liberation Sans Narrow"/>
        <family val="2"/>
      </rPr>
      <t xml:space="preserve">vgl. auch </t>
    </r>
    <r>
      <rPr>
        <sz val="8"/>
        <color rgb="FF0000FF"/>
        <rFont val="Liberation Sans Narrow"/>
        <family val="2"/>
      </rPr>
      <t xml:space="preserve">https://enerko.de/wp-content/uploads/2015/06/Endbericht_GKK_Kiel.pdf</t>
    </r>
    <r>
      <rPr>
        <sz val="8"/>
        <rFont val="Liberation Sans Narrow"/>
        <family val="2"/>
      </rPr>
      <t xml:space="preserve">; S.96</t>
    </r>
  </si>
  <si>
    <t xml:space="preserve">Leistung Wärmetauscher am Saisonspeicher</t>
  </si>
  <si>
    <t xml:space="preserve">kW </t>
  </si>
  <si>
    <t xml:space="preserve">Kosten Wärmetauscher(Doppelnutzg.Speicher-Fernwärme,Kollektoren-Speicher)</t>
  </si>
  <si>
    <t xml:space="preserve">ebay, Datei: wärmetauscher_preise.ods</t>
  </si>
  <si>
    <t xml:space="preserve">Wirkungsgrad Umwälzpumpen</t>
  </si>
  <si>
    <t xml:space="preserve">https://www.ksb.com/de-global/kreiselpumpenlexikon/artikel/pumpenwirkungsgrad-1074676</t>
  </si>
  <si>
    <t xml:space="preserve">Kosten der Umwälzpumpen</t>
  </si>
  <si>
    <t xml:space="preserve">http://seitzpumpen.homepage.t-online.de/PDF-Dateien/Preisliste/NM.pdf</t>
  </si>
  <si>
    <t xml:space="preserve">Datei: preisfunktion_pumpen.ods</t>
  </si>
  <si>
    <t xml:space="preserve">Berechnungen</t>
  </si>
  <si>
    <t xml:space="preserve">Kollektorfläche brutto, optimal orientiert, ohne Aufstellungsumgebung</t>
  </si>
  <si>
    <r>
      <rPr>
        <sz val="8"/>
        <rFont val="Liberation Sans Narrow"/>
        <family val="2"/>
      </rPr>
      <t xml:space="preserve">vorhanden sind ca.1.577.500 m²  verwertbare Dachfl. nach:  S. 215 in </t>
    </r>
    <r>
      <rPr>
        <sz val="8"/>
        <color rgb="FF0000FF"/>
        <rFont val="Liberation Sans Narrow"/>
        <family val="2"/>
      </rPr>
      <t xml:space="preserve">https://www.cottbus.de/.files/storage/file/003970be-d37a-4e7c-938d-ce65353f2169/Energiekonzept_CB_Endbericht_30-09-2013.pdf</t>
    </r>
  </si>
  <si>
    <t xml:space="preserve">Kollektorfeldfläche (brutto+ Aufstellungsumgebung)</t>
  </si>
  <si>
    <t xml:space="preserve">Seitenlänge für quadratisches Kollektorfeld</t>
  </si>
  <si>
    <t xml:space="preserve">Kollektorfeldfläche (brutto+Aufstellungsumgebung)/pro Kopf</t>
  </si>
  <si>
    <t xml:space="preserve">Speicher,BHKW</t>
  </si>
  <si>
    <t xml:space="preserve">kompletter Jahreswärmebedarf (Wohn+Nichtwohn,Heizg.+WW), saniert,+Verlustausgleich</t>
  </si>
  <si>
    <r>
      <rPr>
        <sz val="8"/>
        <rFont val="Liberation Sans Narrow"/>
        <family val="2"/>
      </rPr>
      <t xml:space="preserve">vgl. 750.000.000kWh/a  nach:  S. 215 in </t>
    </r>
    <r>
      <rPr>
        <sz val="8"/>
        <color rgb="FF0000FF"/>
        <rFont val="Liberation Sans Narrow"/>
        <family val="2"/>
      </rPr>
      <t xml:space="preserve">https://www.cottbus.de/.files/storage/file/003970be-d37a-4e7c-938d-ce65353f2169/Energiekonzept_CB_Endbericht_30-09-2013.pdf</t>
    </r>
  </si>
  <si>
    <t xml:space="preserve">davon müssen gespeichert werden</t>
  </si>
  <si>
    <t xml:space="preserve">kompletter Jahreswärmebedarf bis 80 Grad (Haushalte,Gewerbe,Industrie)+Verlustausgleich, 2017</t>
  </si>
  <si>
    <t xml:space="preserve">proportionaler Anteil aus BRD-Durchschnitt 2017</t>
  </si>
  <si>
    <t xml:space="preserve">Auslegungsleistung BHKW</t>
  </si>
  <si>
    <t xml:space="preserve">SpeicherVolumen</t>
  </si>
  <si>
    <t xml:space="preserve">m³</t>
  </si>
  <si>
    <t xml:space="preserve">wenn nötig</t>
  </si>
  <si>
    <t xml:space="preserve">minimale Gesamtoberfläche; Tiefe = Durchmesser</t>
  </si>
  <si>
    <t xml:space="preserve">↓</t>
  </si>
  <si>
    <t xml:space="preserve">Abgleich nach Gegebenheit</t>
  </si>
  <si>
    <t xml:space="preserve"> abgleichen</t>
  </si>
  <si>
    <t xml:space="preserve">Möglichkeit zur Eingabe einer anderen SpeicherTiefe</t>
  </si>
  <si>
    <t xml:space="preserve">←</t>
  </si>
  <si>
    <t xml:space="preserve">Voreingestellt ist das Optimum</t>
  </si>
  <si>
    <t xml:space="preserve">als SpeicherDurchmesser ergibt sich</t>
  </si>
  <si>
    <t xml:space="preserve">SpeicherDeckfläche</t>
  </si>
  <si>
    <t xml:space="preserve">Verluste nach oben</t>
  </si>
  <si>
    <t xml:space="preserve">für hohe Genauigkeitsansprüche bei jeder Parameteränderung extern mit zylindermodell007.ods neu berechnen</t>
  </si>
  <si>
    <t xml:space="preserve">Verluste durch Wärmeleitung im Boden</t>
  </si>
  <si>
    <t xml:space="preserve">Verluste durch Niederschlag in der Umgebung</t>
  </si>
  <si>
    <t xml:space="preserve">Verluste durch regionalen Grundwasserfluss in der Speicherumgebung</t>
  </si>
  <si>
    <t xml:space="preserve">Verluste durch Grundwasserkonvektion in der Speicherumgebung</t>
  </si>
  <si>
    <t xml:space="preserve">Gesamtverlust Saisonspeicher</t>
  </si>
  <si>
    <t xml:space="preserve">kWh/a, entspricht</t>
  </si>
  <si>
    <t xml:space="preserve">Größe der Pufferspeicher je</t>
  </si>
  <si>
    <t xml:space="preserve">Anzahl der Gebäude im Plangebiet dieser Tabelle</t>
  </si>
  <si>
    <t xml:space="preserve">Gebäude</t>
  </si>
  <si>
    <t xml:space="preserve">https://www.cottbus.de/.files/storage/file/003970be-d37a-4e7c-938d-ce65353f2169/Energiekonzept_CB_Endbericht_30-09-2013.pdf</t>
  </si>
  <si>
    <t xml:space="preserve">einsetzen, falls unbekannt</t>
  </si>
  <si>
    <t xml:space="preserve">Bewohner je Gebäude</t>
  </si>
  <si>
    <t xml:space="preserve">Mittlere Grundstücksgröße zu einem Gebäude</t>
  </si>
  <si>
    <t xml:space="preserve">Seitenlänge des mittleren Grundstückes zu einem Gebäude</t>
  </si>
  <si>
    <t xml:space="preserve">Anzahl der Grundstücke an einem Verteilerzweig</t>
  </si>
  <si>
    <t xml:space="preserve">Grundst./Zw.</t>
  </si>
  <si>
    <t xml:space="preserve">Zweiganzahl</t>
  </si>
  <si>
    <t xml:space="preserve">Zweige</t>
  </si>
  <si>
    <t xml:space="preserve">mittlere Leistung je Gebäude (saniert)</t>
  </si>
  <si>
    <t xml:space="preserve">kW</t>
  </si>
  <si>
    <t xml:space="preserve">Auslegungsleistung je Gebäude (saniert)</t>
  </si>
  <si>
    <t xml:space="preserve">Auslegungsleistung je Zweig</t>
  </si>
  <si>
    <t xml:space="preserve">bei (60-30)K Temperaturgefälle und 2m/s </t>
  </si>
  <si>
    <t xml:space="preserve">Gesamtlänge aller Unterverteilungsstränge (mit jeweils drei Leitungen) </t>
  </si>
  <si>
    <t xml:space="preserve">Druckverlust auf Doppelleitung eines Zweiges bei Auslegungsleistung</t>
  </si>
  <si>
    <t xml:space="preserve">bar</t>
  </si>
  <si>
    <t xml:space="preserve">mehrstufig pumpen, Pumpleistung in Wärmekreis einkoppeln</t>
  </si>
  <si>
    <t xml:space="preserve">Auslegungs-Pumpenleistung für einen Zweig Doppelleitung</t>
  </si>
  <si>
    <t xml:space="preserve">Auslegungs-Pumpenleistung für gesamte Unterverteilung</t>
  </si>
  <si>
    <t xml:space="preserve">Durchschnitts-Pumpenleistung für einen Zweig Doppelleitung</t>
  </si>
  <si>
    <t xml:space="preserve">Durchschnitts-Pumpenleistung für gesamte Unterverteilung</t>
  </si>
  <si>
    <t xml:space="preserve">Jahresverbrauch aller Verteilerpumpen im Fernheizsystem</t>
  </si>
  <si>
    <t xml:space="preserve">Jahresverbrauch aller Verteilerpumpen bezüglich gelieferter Heizenergie</t>
  </si>
  <si>
    <t xml:space="preserve">Jahresverbrauch der Pumpen für Fernheizverteilung und Kollektorfeld</t>
  </si>
  <si>
    <t xml:space="preserve">Jahresverbrauch  der Pumpen für Verteilung u.Kollektoren bezüglich gelieferter Heizenergie</t>
  </si>
  <si>
    <t xml:space="preserve">Jahresverbrauch der Pumpen für Verteilung u.Kollektoren bezogen auf eine Person</t>
  </si>
  <si>
    <t xml:space="preserve">Endrechnung</t>
  </si>
  <si>
    <t xml:space="preserve">Verluste</t>
  </si>
  <si>
    <t xml:space="preserve">Wärmeverlust der erdverlegten Doppelleitung auf einem Zweig zur Heizperiode(180d)</t>
  </si>
  <si>
    <t xml:space="preserve">Jahreswärmeverlust der ganzen Unterverteilung zur Heizperiode(180d)</t>
  </si>
  <si>
    <t xml:space="preserve">rel. Wärmeverlust der Unterverteilung in der Heizperiode, bezogen auf bereitgestellte Wärme</t>
  </si>
  <si>
    <t xml:space="preserve">Gesamtverluste durch Einspeicherung und Verteilung absolut</t>
  </si>
  <si>
    <t xml:space="preserve">Gesamtverluste durch Einspeicherung und Verteilung relativ</t>
  </si>
  <si>
    <t xml:space="preserve">Tarife</t>
  </si>
  <si>
    <t xml:space="preserve">Gastarif</t>
  </si>
  <si>
    <t xml:space="preserve">€/kWh</t>
  </si>
  <si>
    <t xml:space="preserve">Stromtarif, Bezug</t>
  </si>
  <si>
    <t xml:space="preserve">Stromtarif, Einspeisung</t>
  </si>
  <si>
    <t xml:space="preserve">Wartung Heizung</t>
  </si>
  <si>
    <t xml:space="preserve">€/a/Haushalt</t>
  </si>
  <si>
    <t xml:space="preserve">https://www.heizspiegel.de/heizkosten-senken/heizungswartung/</t>
  </si>
  <si>
    <t xml:space="preserve">Investitionen</t>
  </si>
  <si>
    <t xml:space="preserve">Speicher, Abdeckung</t>
  </si>
  <si>
    <t xml:space="preserve">Speicher, Bohrungen</t>
  </si>
  <si>
    <t xml:space="preserve">Speicher, Schlitzwand</t>
  </si>
  <si>
    <t xml:space="preserve">Speicher, zwei Pufferspeicher</t>
  </si>
  <si>
    <t xml:space="preserve">Technikgebäude am Speicherrand, geschätzt</t>
  </si>
  <si>
    <t xml:space="preserve">Speicher, gesamt</t>
  </si>
  <si>
    <t xml:space="preserve">Umwälzpumpen</t>
  </si>
  <si>
    <t xml:space="preserve">Aufstellung Kollektorfeld</t>
  </si>
  <si>
    <t xml:space="preserve">Bodenpreis für Kollektorfeld</t>
  </si>
  <si>
    <t xml:space="preserve">Hauptverteilung, angenommen 25km</t>
  </si>
  <si>
    <t xml:space="preserve">Unterverteilung und Hausanschlüsse</t>
  </si>
  <si>
    <t xml:space="preserve">BHKW (ohne Energiekosten)</t>
  </si>
  <si>
    <t xml:space="preserve">Investition für die gesamte Anlage mit Nebenkosten</t>
  </si>
  <si>
    <t xml:space="preserve">laufende Kosten</t>
  </si>
  <si>
    <t xml:space="preserve">E-Antrieb der Pumpen, Stromkosten</t>
  </si>
  <si>
    <t xml:space="preserve">€/a</t>
  </si>
  <si>
    <t xml:space="preserve">Energiekosten BHKW</t>
  </si>
  <si>
    <t xml:space="preserve">Ertrag BHKW, Elektroenergie</t>
  </si>
  <si>
    <t xml:space="preserve">Ertrag in der Heizperiode</t>
  </si>
  <si>
    <t xml:space="preserve">Wärmetauscher</t>
  </si>
  <si>
    <t xml:space="preserve">Betrieb, Wartung</t>
  </si>
  <si>
    <t xml:space="preserve">Kosten/a/Kopf</t>
  </si>
  <si>
    <t xml:space="preserve">Saisonspeicher, gesamt</t>
  </si>
  <si>
    <t xml:space="preserve">€/a/Kopf</t>
  </si>
  <si>
    <t xml:space="preserve">Kollektoren</t>
  </si>
  <si>
    <t xml:space="preserve">Fernwärme- Unterverteilung und Hausanschlüsse</t>
  </si>
  <si>
    <t xml:space="preserve">Investition für die gesamte Anlage</t>
  </si>
  <si>
    <t xml:space="preserve">brutto, die Reduktion der Mehrwertsteuer könnte die Kosten verringern</t>
  </si>
  <si>
    <t xml:space="preserve">Ergebnis:</t>
  </si>
  <si>
    <t xml:space="preserve">Gesamtkosten bei Realisierung 2020 mit BHKW</t>
  </si>
  <si>
    <t xml:space="preserve">bei Fremdenergieeinsatz von noch</t>
  </si>
  <si>
    <t xml:space="preserve">Gesamtkosten, nach Sanierung aller Gebäude auf 80kWh/a/m²</t>
  </si>
  <si>
    <t xml:space="preserve">bei Fremdenergieeinsatz von nur noch</t>
  </si>
  <si>
    <t xml:space="preserve">Jährlich werden in Deutschland im Schnitt für Gebäudeenergie ausgegeben:  65.000.000.000 €/a; 785€/a/Kopf</t>
  </si>
  <si>
    <t xml:space="preserve">https://heliogaia.de/9254_Gebaeudereport_dena_kompakt_2018.pdf; S.7</t>
  </si>
  <si>
    <t xml:space="preserve">Rechtecke mit Gebäuden</t>
  </si>
  <si>
    <t xml:space="preserve">Nr</t>
  </si>
  <si>
    <t xml:space="preserve">Pixel</t>
  </si>
  <si>
    <t xml:space="preserve">Süd</t>
  </si>
  <si>
    <t xml:space="preserve">Klein Gaglow</t>
  </si>
  <si>
    <t xml:space="preserve">Kahren</t>
  </si>
  <si>
    <t xml:space="preserve">Zentrum</t>
  </si>
  <si>
    <t xml:space="preserve">Nord</t>
  </si>
  <si>
    <t xml:space="preserve">Sielow</t>
  </si>
  <si>
    <t xml:space="preserve">Skadow</t>
  </si>
  <si>
    <t xml:space="preserve">Döbbrick</t>
  </si>
  <si>
    <t xml:space="preserve">Wilmersdorf</t>
  </si>
  <si>
    <t xml:space="preserve">Summe/Durchschnitt</t>
  </si>
  <si>
    <t xml:space="preserve">1km</t>
  </si>
  <si>
    <t xml:space="preserve">87pixel</t>
  </si>
</sst>
</file>

<file path=xl/styles.xml><?xml version="1.0" encoding="utf-8"?>
<styleSheet xmlns="http://schemas.openxmlformats.org/spreadsheetml/2006/main">
  <numFmts count="15">
    <numFmt numFmtId="164" formatCode="General"/>
    <numFmt numFmtId="165" formatCode="#,##0.00\ [$€-407];[RED]\-#,##0.00\ [$€-407]"/>
    <numFmt numFmtId="166" formatCode="0.0000"/>
    <numFmt numFmtId="167" formatCode="#,##0.00"/>
    <numFmt numFmtId="168" formatCode="#,##0"/>
    <numFmt numFmtId="169" formatCode="0.000"/>
    <numFmt numFmtId="170" formatCode="#,##0.0000"/>
    <numFmt numFmtId="171" formatCode="0.00"/>
    <numFmt numFmtId="172" formatCode="#,###.00"/>
    <numFmt numFmtId="173" formatCode="@"/>
    <numFmt numFmtId="174" formatCode="0"/>
    <numFmt numFmtId="175" formatCode="#,###.0"/>
    <numFmt numFmtId="176" formatCode="0.0"/>
    <numFmt numFmtId="177" formatCode="#,##0.0"/>
    <numFmt numFmtId="178" formatCode="0.00%"/>
  </numFmts>
  <fonts count="2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FreeSans"/>
      <family val="2"/>
    </font>
    <font>
      <sz val="10"/>
      <name val="FreeSans"/>
      <family val="2"/>
    </font>
    <font>
      <b val="true"/>
      <sz val="8"/>
      <name val="Liberation Sans Narrow"/>
      <family val="2"/>
    </font>
    <font>
      <sz val="8"/>
      <name val="Liberation Sans Narrow"/>
      <family val="2"/>
    </font>
    <font>
      <sz val="8"/>
      <color rgb="FF0000FF"/>
      <name val="Liberation Sans Narrow"/>
      <family val="2"/>
    </font>
    <font>
      <sz val="6"/>
      <name val="Liberation Sans Narrow"/>
      <family val="2"/>
    </font>
    <font>
      <b val="true"/>
      <sz val="9"/>
      <name val="Liberation Sans Narrow"/>
      <family val="2"/>
    </font>
    <font>
      <sz val="9"/>
      <name val="Liberation Sans Narrow"/>
      <family val="2"/>
    </font>
    <font>
      <sz val="8"/>
      <name val="Arial"/>
      <family val="2"/>
    </font>
    <font>
      <vertAlign val="subscript"/>
      <sz val="8"/>
      <name val="Liberation Sans Narrow"/>
      <family val="2"/>
    </font>
    <font>
      <sz val="10"/>
      <name val="Liberation Sans Narrow"/>
      <family val="2"/>
    </font>
    <font>
      <sz val="12"/>
      <name val="Arial"/>
      <family val="2"/>
    </font>
    <font>
      <b val="true"/>
      <sz val="11"/>
      <name val="Liberation Sans Narrow"/>
      <family val="2"/>
    </font>
    <font>
      <sz val="11"/>
      <name val="Liberation Sans Narrow"/>
      <family val="2"/>
    </font>
    <font>
      <sz val="11"/>
      <name val="Arial"/>
      <family val="2"/>
    </font>
    <font>
      <sz val="7"/>
      <name val="Liberation Sans Narrow"/>
      <family val="2"/>
    </font>
    <font>
      <sz val="7"/>
      <color rgb="FFFF0000"/>
      <name val="Liberation Sans Narrow"/>
      <family val="2"/>
    </font>
    <font>
      <b val="true"/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3333"/>
        <bgColor rgb="FFFF0000"/>
      </patternFill>
    </fill>
    <fill>
      <patternFill patternType="solid">
        <fgColor rgb="FFFF99FF"/>
        <bgColor rgb="FFCC99FF"/>
      </patternFill>
    </fill>
    <fill>
      <patternFill patternType="solid">
        <fgColor rgb="FFCCFF66"/>
        <bgColor rgb="FFFFFF99"/>
      </patternFill>
    </fill>
    <fill>
      <patternFill patternType="solid">
        <fgColor rgb="FFD3D3D3"/>
        <bgColor rgb="FFDDDDDD"/>
      </patternFill>
    </fill>
    <fill>
      <patternFill patternType="solid">
        <fgColor rgb="FFCCFF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33FF99"/>
        <bgColor rgb="FF00FFFF"/>
      </patternFill>
    </fill>
    <fill>
      <patternFill patternType="solid">
        <fgColor rgb="FF66FF00"/>
        <bgColor rgb="FFCCFF00"/>
      </patternFill>
    </fill>
    <fill>
      <patternFill patternType="solid">
        <fgColor rgb="FFDDDDDD"/>
        <bgColor rgb="FFD3D3D3"/>
      </patternFill>
    </fill>
    <fill>
      <patternFill patternType="solid">
        <fgColor rgb="FFFFFF99"/>
        <bgColor rgb="FFCCFF66"/>
      </patternFill>
    </fill>
    <fill>
      <patternFill patternType="solid">
        <fgColor rgb="FF00CC00"/>
        <bgColor rgb="FF008000"/>
      </patternFill>
    </fill>
    <fill>
      <patternFill patternType="solid">
        <fgColor rgb="FFFF33FF"/>
        <bgColor rgb="FFFF00FF"/>
      </patternFill>
    </fill>
    <fill>
      <patternFill patternType="solid">
        <fgColor rgb="FFFFFF00"/>
        <bgColor rgb="FFCC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5" fontId="4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center" vertical="bottom" textRotation="0" wrapText="false" indent="0" shrinkToFit="false"/>
    </xf>
    <xf numFmtId="164" fontId="5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2" borderId="0" applyFont="true" applyBorder="false" applyAlignment="false" applyProtection="false"/>
    <xf numFmtId="164" fontId="5" fillId="2" borderId="0" applyFont="true" applyBorder="false" applyAlignment="false" applyProtection="false"/>
    <xf numFmtId="164" fontId="5" fillId="2" borderId="0" applyFont="true" applyBorder="false" applyAlignment="false" applyProtection="false"/>
  </cellStyleXfs>
  <cellXfs count="1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6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7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7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7" fillId="8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7" fillId="8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7" fillId="7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7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1" fillId="7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9" fontId="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7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2" fontId="7" fillId="7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7" fillId="7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7" fillId="7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7" fillId="7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8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11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7" fillId="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7" fillId="6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11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11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5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7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4" fontId="7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6" fontId="7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6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7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7" fontId="7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1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1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1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1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7" fillId="1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7" fontId="6" fillId="1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7" fillId="7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8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6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7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8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1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13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6" fillId="1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4" fontId="16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7" fontId="1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7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7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1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1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rgebnis" xfId="20"/>
    <cellStyle name="Ergebnis 2" xfId="21"/>
    <cellStyle name="Überschrift" xfId="22"/>
    <cellStyle name="Überschrift 1" xfId="23"/>
    <cellStyle name="Unbenannt1" xfId="24"/>
    <cellStyle name="Unbenannt2" xfId="25"/>
    <cellStyle name="Unbenannt3" xfId="26"/>
  </cellStyles>
  <colors>
    <indexedColors>
      <rgbColor rgb="FF000000"/>
      <rgbColor rgb="FFFFFFFF"/>
      <rgbColor rgb="FFFF0000"/>
      <rgbColor rgb="FF00CC00"/>
      <rgbColor rgb="FF0000FF"/>
      <rgbColor rgb="FFFFFF00"/>
      <rgbColor rgb="FFFF33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CCFF66"/>
      <rgbColor rgb="FFCCFFFF"/>
      <rgbColor rgb="FF660066"/>
      <rgbColor rgb="FFFF8080"/>
      <rgbColor rgb="FF0066CC"/>
      <rgbColor rgb="FFD3D3D3"/>
      <rgbColor rgb="FF000080"/>
      <rgbColor rgb="FFFF00FF"/>
      <rgbColor rgb="FFCC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FF"/>
      <rgbColor rgb="FFCC99FF"/>
      <rgbColor rgb="FFFFCC99"/>
      <rgbColor rgb="FF3366FF"/>
      <rgbColor rgb="FF33FF99"/>
      <rgbColor rgb="FF66FF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e.wikipedia.org/wiki/Cottbus" TargetMode="External"/><Relationship Id="rId3" Type="http://schemas.openxmlformats.org/officeDocument/2006/relationships/hyperlink" Target="https://www.cottbus.de/.files/storage/file/344a9f1d-5dfd-430d-9366-c43ea10e0b3c/Jahrbuch2018-2.pdf" TargetMode="External"/><Relationship Id="rId4" Type="http://schemas.openxmlformats.org/officeDocument/2006/relationships/hyperlink" Target="https://heliogaia.de/Heizspiegel-fuer-Deutschland-2018.pdf" TargetMode="External"/><Relationship Id="rId5" Type="http://schemas.openxmlformats.org/officeDocument/2006/relationships/hyperlink" Target="http://www.umweltbundesamt.de/sites/default/files/medien/384/bilder/dateien/3_tab_energieverbrauch-eev-sektor-waermezwecke_2018-02-14.pdf" TargetMode="External"/><Relationship Id="rId6" Type="http://schemas.openxmlformats.org/officeDocument/2006/relationships/hyperlink" Target="https://www.dena.de/fileadmin/dena/Bilder/Newsroom/Meldungen/2018Q2/Grafik-dena-Gebaeudereport-kompakt-2018-Endenergiebezogener-Gebaeudeenergieverbrauch.jpg" TargetMode="External"/><Relationship Id="rId7" Type="http://schemas.openxmlformats.org/officeDocument/2006/relationships/hyperlink" Target="https://www-docs.b-tu.de/fg-bauoekonomie/public/Forschung/Publikationen/Kalusche-Wolfdietrich/2016/orientierungswerte.pdf" TargetMode="External"/><Relationship Id="rId8" Type="http://schemas.openxmlformats.org/officeDocument/2006/relationships/hyperlink" Target="https://de.wikipedia.org/wiki/Deutschland" TargetMode="External"/><Relationship Id="rId9" Type="http://schemas.openxmlformats.org/officeDocument/2006/relationships/hyperlink" Target="https://www.dena.de/newsroom/publikationsdetailansicht/pub/broschuere-dena-gebaeudereport-kompakt-2018/" TargetMode="External"/><Relationship Id="rId10" Type="http://schemas.openxmlformats.org/officeDocument/2006/relationships/hyperlink" Target="https://www.umweltbundesamt.de/daten/private-haushalte-konsum/wohnen/wohnflaeche" TargetMode="External"/><Relationship Id="rId11" Type="http://schemas.openxmlformats.org/officeDocument/2006/relationships/hyperlink" Target="https://www.destatis.de/DE/Themen/Gesellschaft-Umwelt/Wohnen/_inhalt.html;jsessionid=B06932BB79EC6A4F1C300E19A2E9934B.internet731" TargetMode="External"/><Relationship Id="rId12" Type="http://schemas.openxmlformats.org/officeDocument/2006/relationships/hyperlink" Target="https://www.dwd.de/DE/leistungen/solarenergie/strahlungskarten_mvs.html?nn=16102" TargetMode="External"/><Relationship Id="rId13" Type="http://schemas.openxmlformats.org/officeDocument/2006/relationships/hyperlink" Target="https://www.dwd.de/DE/leistungen/solarenergie/strahlungskarten_mvs.html?nn=16102" TargetMode="External"/><Relationship Id="rId14" Type="http://schemas.openxmlformats.org/officeDocument/2006/relationships/hyperlink" Target="https://www.dwd.de/DE/leistungen/solarenergie/strahlungskarten_sum.html?nn=16102" TargetMode="External"/><Relationship Id="rId15" Type="http://schemas.openxmlformats.org/officeDocument/2006/relationships/hyperlink" Target="http://www.solarkeymark.nl/DBF/PDF_Downloads/DS_47.pdf" TargetMode="External"/><Relationship Id="rId16" Type="http://schemas.openxmlformats.org/officeDocument/2006/relationships/hyperlink" Target="http://www.solarkeymark.nl/DBF/PDF_Downloads/DS_1575.pdf" TargetMode="External"/><Relationship Id="rId17" Type="http://schemas.openxmlformats.org/officeDocument/2006/relationships/hyperlink" Target="https://heliogaia.de/t/quellen.html" TargetMode="External"/><Relationship Id="rId18" Type="http://schemas.openxmlformats.org/officeDocument/2006/relationships/hyperlink" Target="https://www.swissolar.ch/fileadmin/user_upload/Markterhebung/Marktumfrage_2017.pdf" TargetMode="External"/><Relationship Id="rId19" Type="http://schemas.openxmlformats.org/officeDocument/2006/relationships/hyperlink" Target="https://heliogaia.de/t/quellen.html" TargetMode="External"/><Relationship Id="rId20" Type="http://schemas.openxmlformats.org/officeDocument/2006/relationships/hyperlink" Target="https://www.swissolar.ch/fileadmin/user_upload/Markterhebung/Marktumfrage_2017.pdf" TargetMode="External"/><Relationship Id="rId21" Type="http://schemas.openxmlformats.org/officeDocument/2006/relationships/hyperlink" Target="https://www.solaranlagen-portal.de/thermische-solaranlage/solarkollektor-preis.html" TargetMode="External"/><Relationship Id="rId22" Type="http://schemas.openxmlformats.org/officeDocument/2006/relationships/hyperlink" Target="https://www.bodenrichtwerte-boris.de/borisde/?lang=de" TargetMode="External"/><Relationship Id="rId23" Type="http://schemas.openxmlformats.org/officeDocument/2006/relationships/hyperlink" Target="https://de.wikipedia.org/wiki/Cottbus" TargetMode="External"/><Relationship Id="rId24" Type="http://schemas.openxmlformats.org/officeDocument/2006/relationships/hyperlink" Target="https://www.straelen.de/rathaus-politik/dienstleistungen/wasserversorgung/wasserversorgung/" TargetMode="External"/><Relationship Id="rId25" Type="http://schemas.openxmlformats.org/officeDocument/2006/relationships/hyperlink" Target="http://baupreise24.de/baupreise/erdarbeiten" TargetMode="External"/><Relationship Id="rId26" Type="http://schemas.openxmlformats.org/officeDocument/2006/relationships/hyperlink" Target="https://books.google.de/books?id=hRmYJX_u7ykC&amp;printsec=frontcover&amp;hl=de" TargetMode="External"/><Relationship Id="rId27" Type="http://schemas.openxmlformats.org/officeDocument/2006/relationships/hyperlink" Target="https://www.ikz.de/uploads/media/50-55_Daemmstandards.pdf" TargetMode="External"/><Relationship Id="rId28" Type="http://schemas.openxmlformats.org/officeDocument/2006/relationships/hyperlink" Target="https://enerko.de/wp-content/uploads/2020/01/191212-Kurzbericht-FW-Schiene-Rheinland.pdf" TargetMode="External"/><Relationship Id="rId29" Type="http://schemas.openxmlformats.org/officeDocument/2006/relationships/hyperlink" Target="https://www.borderstep.de/wp-content/uploads/2014/07/Clausen-Kosten_-laendliche_-Waermenetze-2012.pdf" TargetMode="External"/><Relationship Id="rId30" Type="http://schemas.openxmlformats.org/officeDocument/2006/relationships/hyperlink" Target="https://www.borderstep.de/wp-content/uploads/2014/07/Clausen-Kosten_-laendliche_-Waermenetze-2012.pdf" TargetMode="External"/><Relationship Id="rId31" Type="http://schemas.openxmlformats.org/officeDocument/2006/relationships/hyperlink" Target="https://www.ier.uni-stuttgart.de/publikationen/arbeitsberichte/downloads/Arbeitsbericht_04.pdf" TargetMode="External"/><Relationship Id="rId32" Type="http://schemas.openxmlformats.org/officeDocument/2006/relationships/hyperlink" Target="https://enerko.de/wp-content/uploads/2015/06/Endbericht_GKK_Kiel.pdf" TargetMode="External"/><Relationship Id="rId33" Type="http://schemas.openxmlformats.org/officeDocument/2006/relationships/hyperlink" Target="https://www.ksb.com/de-global/kreiselpumpenlexikon/artikel/pumpenwirkungsgrad-1074676" TargetMode="External"/><Relationship Id="rId34" Type="http://schemas.openxmlformats.org/officeDocument/2006/relationships/hyperlink" Target="http://seitzpumpen.homepage.t-online.de/PDF-Dateien/Preisliste/NM.pdf" TargetMode="External"/><Relationship Id="rId35" Type="http://schemas.openxmlformats.org/officeDocument/2006/relationships/hyperlink" Target="https://www.cottbus.de/.files/storage/file/003970be-d37a-4e7c-938d-ce65353f2169/Energiekonzept_CB_Endbericht_30-09-2013.pdf" TargetMode="External"/><Relationship Id="rId36" Type="http://schemas.openxmlformats.org/officeDocument/2006/relationships/hyperlink" Target="https://www.cottbus.de/.files/storage/file/003970be-d37a-4e7c-938d-ce65353f2169/Energiekonzept_CB_Endbericht_30-09-2013.pdf" TargetMode="External"/><Relationship Id="rId37" Type="http://schemas.openxmlformats.org/officeDocument/2006/relationships/hyperlink" Target="https://www.cottbus.de/.files/storage/file/003970be-d37a-4e7c-938d-ce65353f2169/Energiekonzept_CB_Endbericht_30-09-2013.pdf" TargetMode="External"/><Relationship Id="rId38" Type="http://schemas.openxmlformats.org/officeDocument/2006/relationships/hyperlink" Target="https://www.heizspiegel.de/heizkosten-senken/heizungswartung/" TargetMode="External"/><Relationship Id="rId39" Type="http://schemas.openxmlformats.org/officeDocument/2006/relationships/drawing" Target="../drawings/drawing1.xml"/><Relationship Id="rId40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8.95" zeroHeight="false" outlineLevelRow="0" outlineLevelCol="0"/>
  <cols>
    <col collapsed="false" customWidth="true" hidden="false" outlineLevel="0" max="1" min="1" style="1" width="15.14"/>
    <col collapsed="false" customWidth="true" hidden="false" outlineLevel="0" max="2" min="2" style="2" width="12.85"/>
    <col collapsed="false" customWidth="true" hidden="false" outlineLevel="0" max="3" min="3" style="3" width="55.75"/>
    <col collapsed="false" customWidth="true" hidden="false" outlineLevel="0" max="4" min="4" style="4" width="11.11"/>
    <col collapsed="false" customWidth="true" hidden="false" outlineLevel="0" max="5" min="5" style="2" width="12.35"/>
    <col collapsed="false" customWidth="true" hidden="false" outlineLevel="0" max="6" min="6" style="2" width="10"/>
    <col collapsed="false" customWidth="true" hidden="false" outlineLevel="0" max="7" min="7" style="3" width="106.98"/>
    <col collapsed="false" customWidth="true" hidden="false" outlineLevel="0" max="8" min="8" style="5" width="14.59"/>
    <col collapsed="false" customWidth="false" hidden="false" outlineLevel="0" max="10" min="9" style="5" width="11.52"/>
    <col collapsed="false" customWidth="true" hidden="false" outlineLevel="0" max="11" min="11" style="5" width="13.62"/>
    <col collapsed="false" customWidth="true" hidden="false" outlineLevel="0" max="12" min="12" style="5" width="8.67"/>
    <col collapsed="false" customWidth="false" hidden="false" outlineLevel="0" max="13" min="13" style="6" width="11.52"/>
    <col collapsed="false" customWidth="false" hidden="false" outlineLevel="0" max="15" min="14" style="5" width="11.52"/>
    <col collapsed="false" customWidth="true" hidden="false" outlineLevel="0" max="16" min="16" style="7" width="8.48"/>
    <col collapsed="false" customWidth="false" hidden="false" outlineLevel="0" max="64" min="17" style="5" width="11.52"/>
    <col collapsed="false" customWidth="false" hidden="false" outlineLevel="0" max="1024" min="1024" style="8" width="11.52"/>
  </cols>
  <sheetData>
    <row r="1" customFormat="false" ht="14.2" hidden="false" customHeight="true" outlineLevel="0" collapsed="false">
      <c r="A1" s="9" t="s">
        <v>0</v>
      </c>
      <c r="B1" s="10"/>
      <c r="C1" s="9" t="s">
        <v>1</v>
      </c>
      <c r="D1" s="9" t="s">
        <v>2</v>
      </c>
      <c r="E1" s="9" t="s">
        <v>3</v>
      </c>
      <c r="F1" s="9" t="s">
        <v>4</v>
      </c>
      <c r="G1" s="11" t="s">
        <v>5</v>
      </c>
      <c r="H1" s="12" t="s">
        <v>6</v>
      </c>
      <c r="I1" s="12"/>
      <c r="J1" s="12"/>
      <c r="K1" s="12"/>
      <c r="L1" s="12"/>
      <c r="M1" s="12"/>
      <c r="N1" s="12"/>
      <c r="O1" s="12"/>
      <c r="P1" s="12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</row>
    <row r="2" s="2" customFormat="true" ht="14.2" hidden="false" customHeight="true" outlineLevel="0" collapsed="false">
      <c r="A2" s="9"/>
      <c r="B2" s="14"/>
      <c r="C2" s="15"/>
      <c r="D2" s="15"/>
      <c r="E2" s="15"/>
      <c r="F2" s="15" t="s">
        <v>7</v>
      </c>
      <c r="G2" s="16" t="s">
        <v>8</v>
      </c>
      <c r="M2" s="13"/>
      <c r="P2" s="17"/>
      <c r="AMJ2" s="8"/>
    </row>
    <row r="3" s="19" customFormat="true" ht="14.2" hidden="false" customHeight="true" outlineLevel="0" collapsed="false">
      <c r="A3" s="18"/>
      <c r="C3" s="20" t="s">
        <v>9</v>
      </c>
      <c r="D3" s="20" t="s">
        <v>10</v>
      </c>
      <c r="E3" s="20" t="n">
        <v>100219</v>
      </c>
      <c r="F3" s="21" t="n">
        <f aca="false">s!G12/1000000</f>
        <v>42.6719513806315</v>
      </c>
      <c r="G3" s="22" t="n">
        <f aca="false">E3*D10</f>
        <v>533228711.111111</v>
      </c>
      <c r="H3" s="23" t="s">
        <v>11</v>
      </c>
      <c r="M3" s="24"/>
      <c r="P3" s="25"/>
      <c r="AMJ3" s="0"/>
    </row>
    <row r="4" customFormat="false" ht="39.7" hidden="false" customHeight="true" outlineLevel="0" collapsed="false">
      <c r="A4" s="26" t="s">
        <v>12</v>
      </c>
      <c r="B4" s="27" t="s">
        <v>13</v>
      </c>
      <c r="C4" s="28" t="s">
        <v>14</v>
      </c>
      <c r="D4" s="27"/>
      <c r="E4" s="27"/>
      <c r="F4" s="27"/>
      <c r="G4" s="27"/>
      <c r="H4" s="29"/>
      <c r="I4" s="29"/>
      <c r="J4" s="29"/>
      <c r="K4" s="29"/>
      <c r="L4" s="29"/>
      <c r="M4" s="1"/>
      <c r="N4" s="29"/>
      <c r="O4" s="29"/>
      <c r="P4" s="30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AMJ4" s="31"/>
    </row>
    <row r="5" s="2" customFormat="true" ht="23.1" hidden="false" customHeight="true" outlineLevel="0" collapsed="false">
      <c r="A5" s="32" t="s">
        <v>15</v>
      </c>
      <c r="C5" s="33" t="s">
        <v>16</v>
      </c>
      <c r="D5" s="33" t="s">
        <v>17</v>
      </c>
      <c r="E5" s="33" t="s">
        <v>18</v>
      </c>
      <c r="F5" s="33" t="s">
        <v>19</v>
      </c>
      <c r="G5" s="34" t="s">
        <v>20</v>
      </c>
      <c r="H5" s="35" t="s">
        <v>21</v>
      </c>
      <c r="I5" s="35"/>
      <c r="J5" s="35"/>
      <c r="K5" s="35"/>
      <c r="L5" s="35"/>
      <c r="M5" s="35"/>
      <c r="N5" s="35"/>
      <c r="O5" s="35"/>
      <c r="P5" s="17"/>
      <c r="AMJ5" s="8"/>
    </row>
    <row r="6" s="42" customFormat="true" ht="29.45" hidden="false" customHeight="true" outlineLevel="0" collapsed="false">
      <c r="A6" s="18" t="s">
        <v>22</v>
      </c>
      <c r="B6" s="5"/>
      <c r="C6" s="36"/>
      <c r="D6" s="37" t="s">
        <v>23</v>
      </c>
      <c r="E6" s="20"/>
      <c r="F6" s="20"/>
      <c r="G6" s="36"/>
      <c r="H6" s="38" t="s">
        <v>24</v>
      </c>
      <c r="I6" s="38" t="s">
        <v>25</v>
      </c>
      <c r="J6" s="38" t="s">
        <v>26</v>
      </c>
      <c r="K6" s="38" t="s">
        <v>27</v>
      </c>
      <c r="L6" s="38" t="s">
        <v>28</v>
      </c>
      <c r="M6" s="39" t="s">
        <v>29</v>
      </c>
      <c r="N6" s="38" t="s">
        <v>30</v>
      </c>
      <c r="O6" s="40"/>
      <c r="P6" s="41"/>
      <c r="AMJ6" s="8"/>
    </row>
    <row r="7" customFormat="false" ht="12.25" hidden="false" customHeight="true" outlineLevel="0" collapsed="false">
      <c r="A7" s="18"/>
      <c r="B7" s="2" t="s">
        <v>31</v>
      </c>
      <c r="C7" s="36" t="s">
        <v>32</v>
      </c>
      <c r="D7" s="43" t="n">
        <v>41.9</v>
      </c>
      <c r="E7" s="20" t="s">
        <v>33</v>
      </c>
      <c r="F7" s="20"/>
      <c r="G7" s="44" t="s">
        <v>34</v>
      </c>
      <c r="H7" s="35" t="n">
        <v>1</v>
      </c>
      <c r="I7" s="45" t="n">
        <f aca="false">D$69/4*H7</f>
        <v>1633.09429038542</v>
      </c>
      <c r="J7" s="45" t="n">
        <f aca="false">I7/D$109</f>
        <v>37.0809924354783</v>
      </c>
      <c r="K7" s="45" t="n">
        <f aca="false">D$113*(5-H7)*D$110/4</f>
        <v>1599.56469760762</v>
      </c>
      <c r="L7" s="46" t="n">
        <f aca="false">(K7*4/PI()/4.2/(60-30)/1000/2)^0.5</f>
        <v>0.0898991725193736</v>
      </c>
      <c r="M7" s="47" t="n">
        <f aca="false">P$9/L7^P$8/1000</f>
        <v>0.00393802747804168</v>
      </c>
      <c r="N7" s="45" t="n">
        <f aca="false">M7*I$7*2</f>
        <v>12.8623403795416</v>
      </c>
      <c r="O7" s="48" t="s">
        <v>35</v>
      </c>
      <c r="P7" s="49"/>
      <c r="Q7" s="5" t="s">
        <v>13</v>
      </c>
    </row>
    <row r="8" customFormat="false" ht="12.25" hidden="false" customHeight="true" outlineLevel="0" collapsed="false">
      <c r="A8" s="50"/>
      <c r="B8" s="50"/>
      <c r="C8" s="36" t="s">
        <v>36</v>
      </c>
      <c r="D8" s="43" t="n">
        <v>80</v>
      </c>
      <c r="E8" s="20" t="s">
        <v>37</v>
      </c>
      <c r="F8" s="20" t="s">
        <v>13</v>
      </c>
      <c r="G8" s="51" t="s">
        <v>38</v>
      </c>
      <c r="H8" s="35" t="n">
        <v>2</v>
      </c>
      <c r="I8" s="45" t="n">
        <f aca="false">D$69/4*H8</f>
        <v>3266.18858077085</v>
      </c>
      <c r="J8" s="45" t="n">
        <f aca="false">I8/D$109</f>
        <v>74.1619848709566</v>
      </c>
      <c r="K8" s="45" t="n">
        <f aca="false">D$113*(5-H8)*D$110/4</f>
        <v>1199.67352320571</v>
      </c>
      <c r="L8" s="46" t="n">
        <f aca="false">(K8*4/PI()/4.2/(60-30)/1000/2)^0.5</f>
        <v>0.0778549671809774</v>
      </c>
      <c r="M8" s="47" t="n">
        <f aca="false">P$9/L8^P$8/1000</f>
        <v>0.00467323144655816</v>
      </c>
      <c r="N8" s="45" t="n">
        <f aca="false">M8*I$7*2</f>
        <v>15.2636551860475</v>
      </c>
      <c r="O8" s="52" t="s">
        <v>39</v>
      </c>
      <c r="P8" s="53" t="n">
        <v>1.19</v>
      </c>
      <c r="Q8" s="5" t="s">
        <v>13</v>
      </c>
    </row>
    <row r="9" customFormat="false" ht="12.25" hidden="false" customHeight="true" outlineLevel="0" collapsed="false">
      <c r="A9" s="50"/>
      <c r="B9" s="50"/>
      <c r="C9" s="54" t="s">
        <v>40</v>
      </c>
      <c r="D9" s="55" t="n">
        <v>37</v>
      </c>
      <c r="E9" s="19" t="s">
        <v>41</v>
      </c>
      <c r="F9" s="5" t="s">
        <v>13</v>
      </c>
      <c r="G9" s="5" t="s">
        <v>42</v>
      </c>
      <c r="H9" s="35" t="n">
        <v>3</v>
      </c>
      <c r="I9" s="45" t="n">
        <f aca="false">D$69/4*H9</f>
        <v>4899.28287115627</v>
      </c>
      <c r="J9" s="45" t="n">
        <f aca="false">I9/D$109</f>
        <v>111.242977306435</v>
      </c>
      <c r="K9" s="45" t="n">
        <f aca="false">D$113*(5-H9)*D$110/4</f>
        <v>799.782348803808</v>
      </c>
      <c r="L9" s="46" t="n">
        <f aca="false">(K9*4/PI()/4.2/(60-30)/1000/2)^0.5</f>
        <v>0.0635683145115084</v>
      </c>
      <c r="M9" s="47" t="n">
        <f aca="false">P$9/L9^P$8/1000</f>
        <v>0.00594828254677507</v>
      </c>
      <c r="N9" s="45" t="n">
        <f aca="false">M9*I$7*2</f>
        <v>19.4282125294753</v>
      </c>
      <c r="O9" s="52" t="s">
        <v>43</v>
      </c>
      <c r="P9" s="53" t="n">
        <v>0.224</v>
      </c>
      <c r="Q9" s="5" t="s">
        <v>13</v>
      </c>
    </row>
    <row r="10" customFormat="false" ht="12.25" hidden="false" customHeight="true" outlineLevel="0" collapsed="false">
      <c r="A10" s="50"/>
      <c r="B10" s="50"/>
      <c r="C10" s="54" t="s">
        <v>44</v>
      </c>
      <c r="D10" s="56" t="n">
        <f aca="false">(D7*D8)*100/(100-D9)</f>
        <v>5320.63492063492</v>
      </c>
      <c r="E10" s="19" t="s">
        <v>45</v>
      </c>
      <c r="F10" s="19"/>
      <c r="G10" s="54" t="s">
        <v>46</v>
      </c>
      <c r="H10" s="35" t="n">
        <v>4</v>
      </c>
      <c r="I10" s="45" t="n">
        <f aca="false">D$69/4*H10</f>
        <v>6532.37716154169</v>
      </c>
      <c r="J10" s="45" t="n">
        <f aca="false">I10/D$109</f>
        <v>148.323969741913</v>
      </c>
      <c r="K10" s="45" t="n">
        <f aca="false">D$113*(5-H10)*D$110/4</f>
        <v>399.891174401904</v>
      </c>
      <c r="L10" s="46" t="n">
        <f aca="false">(K10*4/PI()/4.2/(60-30)/1000/2)^0.5</f>
        <v>0.0449495862596868</v>
      </c>
      <c r="M10" s="47" t="n">
        <f aca="false">P$9/L10^P$8/1000</f>
        <v>0.00898471771808557</v>
      </c>
      <c r="N10" s="45" t="n">
        <f aca="false">M10*I$7*2</f>
        <v>29.3457824122606</v>
      </c>
      <c r="O10" s="49" t="s">
        <v>47</v>
      </c>
      <c r="P10" s="52"/>
    </row>
    <row r="11" s="64" customFormat="true" ht="12.25" hidden="false" customHeight="true" outlineLevel="0" collapsed="false">
      <c r="A11" s="50"/>
      <c r="B11" s="50"/>
      <c r="C11" s="54" t="s">
        <v>48</v>
      </c>
      <c r="D11" s="57" t="n">
        <v>10641</v>
      </c>
      <c r="E11" s="19" t="s">
        <v>45</v>
      </c>
      <c r="F11" s="19"/>
      <c r="G11" s="51" t="s">
        <v>49</v>
      </c>
      <c r="H11" s="35"/>
      <c r="I11" s="35"/>
      <c r="J11" s="35"/>
      <c r="K11" s="35"/>
      <c r="L11" s="58" t="n">
        <f aca="false">SUM(L7:L10)/4</f>
        <v>0.0690680101178865</v>
      </c>
      <c r="M11" s="59"/>
      <c r="N11" s="60" t="n">
        <f aca="false">SUM(N7:N10)</f>
        <v>76.8999905073249</v>
      </c>
      <c r="O11" s="61" t="s">
        <v>50</v>
      </c>
      <c r="P11" s="62"/>
      <c r="Q11" s="63"/>
      <c r="AMI11" s="0"/>
      <c r="AMJ11" s="8"/>
    </row>
    <row r="12" s="64" customFormat="true" ht="12.25" hidden="false" customHeight="true" outlineLevel="0" collapsed="false">
      <c r="A12" s="50"/>
      <c r="B12" s="50"/>
      <c r="C12" s="54" t="s">
        <v>51</v>
      </c>
      <c r="D12" s="55" t="n">
        <v>1437</v>
      </c>
      <c r="E12" s="19" t="s">
        <v>45</v>
      </c>
      <c r="F12" s="5"/>
      <c r="G12" s="51" t="s">
        <v>52</v>
      </c>
      <c r="H12" s="35"/>
      <c r="I12" s="35"/>
      <c r="J12" s="35"/>
      <c r="K12" s="35"/>
      <c r="L12" s="58" t="s">
        <v>53</v>
      </c>
      <c r="M12" s="59"/>
      <c r="N12" s="65"/>
      <c r="O12" s="61"/>
      <c r="P12" s="62"/>
      <c r="Q12" s="63"/>
      <c r="AMI12" s="0"/>
      <c r="AMJ12" s="8"/>
    </row>
    <row r="13" customFormat="false" ht="12.25" hidden="false" customHeight="true" outlineLevel="0" collapsed="false">
      <c r="A13" s="50"/>
      <c r="B13" s="50"/>
      <c r="C13" s="54" t="s">
        <v>54</v>
      </c>
      <c r="D13" s="66" t="n">
        <v>10</v>
      </c>
      <c r="E13" s="19" t="s">
        <v>41</v>
      </c>
      <c r="F13" s="19"/>
      <c r="G13" s="54" t="s">
        <v>55</v>
      </c>
    </row>
    <row r="14" customFormat="false" ht="12.25" hidden="false" customHeight="true" outlineLevel="0" collapsed="false">
      <c r="A14" s="18"/>
      <c r="B14" s="13"/>
      <c r="C14" s="54" t="s">
        <v>56</v>
      </c>
      <c r="D14" s="66" t="n">
        <v>11</v>
      </c>
      <c r="E14" s="19" t="s">
        <v>41</v>
      </c>
      <c r="F14" s="19"/>
      <c r="G14" s="54" t="s">
        <v>57</v>
      </c>
    </row>
    <row r="15" customFormat="false" ht="13.35" hidden="false" customHeight="true" outlineLevel="0" collapsed="false">
      <c r="A15" s="18"/>
      <c r="C15" s="54" t="s">
        <v>58</v>
      </c>
      <c r="D15" s="66" t="n">
        <v>8</v>
      </c>
      <c r="E15" s="19" t="s">
        <v>41</v>
      </c>
      <c r="F15" s="19"/>
      <c r="G15" s="54"/>
      <c r="H15" s="35" t="s">
        <v>59</v>
      </c>
      <c r="I15" s="35"/>
      <c r="J15" s="35"/>
      <c r="K15" s="35"/>
      <c r="L15" s="35"/>
      <c r="M15" s="35"/>
      <c r="N15" s="35"/>
      <c r="O15" s="35"/>
    </row>
    <row r="16" s="29" customFormat="true" ht="27.85" hidden="false" customHeight="true" outlineLevel="0" collapsed="false">
      <c r="A16" s="18" t="s">
        <v>13</v>
      </c>
      <c r="B16" s="2"/>
      <c r="C16" s="54" t="s">
        <v>60</v>
      </c>
      <c r="D16" s="66" t="n">
        <v>37.1</v>
      </c>
      <c r="E16" s="19" t="s">
        <v>41</v>
      </c>
      <c r="F16" s="19"/>
      <c r="G16" s="54" t="s">
        <v>61</v>
      </c>
      <c r="H16" s="38" t="s">
        <v>24</v>
      </c>
      <c r="I16" s="38" t="s">
        <v>25</v>
      </c>
      <c r="J16" s="38" t="s">
        <v>26</v>
      </c>
      <c r="K16" s="38" t="s">
        <v>62</v>
      </c>
      <c r="L16" s="38" t="s">
        <v>28</v>
      </c>
      <c r="M16" s="39" t="s">
        <v>63</v>
      </c>
      <c r="N16" s="38" t="s">
        <v>30</v>
      </c>
      <c r="O16" s="38"/>
      <c r="P16" s="30"/>
      <c r="AMJ16" s="8"/>
    </row>
    <row r="17" customFormat="false" ht="11.55" hidden="false" customHeight="true" outlineLevel="0" collapsed="false">
      <c r="A17" s="50"/>
      <c r="B17" s="50"/>
      <c r="C17" s="54" t="s">
        <v>64</v>
      </c>
      <c r="D17" s="67" t="n">
        <f aca="false">(D10-D12*6/12)/180/24*2</f>
        <v>2.13061801881246</v>
      </c>
      <c r="E17" s="19" t="s">
        <v>65</v>
      </c>
      <c r="F17" s="19"/>
      <c r="G17" s="54" t="s">
        <v>46</v>
      </c>
      <c r="H17" s="35" t="n">
        <v>1</v>
      </c>
      <c r="I17" s="45" t="n">
        <f aca="false">D$69/4*H17</f>
        <v>1633.09429038542</v>
      </c>
      <c r="J17" s="45" t="n">
        <f aca="false">I17/D$109</f>
        <v>37.0809924354783</v>
      </c>
      <c r="K17" s="45" t="n">
        <f aca="false">D$112*(5-H17)*D$110/4</f>
        <v>924.646923077579</v>
      </c>
      <c r="L17" s="46" t="n">
        <f aca="false">L7</f>
        <v>0.0898991725193736</v>
      </c>
      <c r="M17" s="47" t="n">
        <f aca="false">P$19/L17^P$18/1000</f>
        <v>0.00109637763891568</v>
      </c>
      <c r="N17" s="45" t="n">
        <f aca="false">M17*I$7*2</f>
        <v>3.58097612443891</v>
      </c>
      <c r="O17" s="48" t="s">
        <v>35</v>
      </c>
      <c r="P17" s="52"/>
    </row>
    <row r="18" customFormat="false" ht="11.55" hidden="false" customHeight="true" outlineLevel="0" collapsed="false">
      <c r="A18" s="50"/>
      <c r="B18" s="50"/>
      <c r="C18" s="54" t="s">
        <v>66</v>
      </c>
      <c r="D18" s="66" t="n">
        <v>20</v>
      </c>
      <c r="E18" s="19" t="s">
        <v>41</v>
      </c>
      <c r="F18" s="19"/>
      <c r="G18" s="23" t="s">
        <v>67</v>
      </c>
      <c r="H18" s="35" t="n">
        <v>2</v>
      </c>
      <c r="I18" s="45" t="n">
        <f aca="false">D$69/4*H18</f>
        <v>3266.18858077085</v>
      </c>
      <c r="J18" s="45" t="n">
        <f aca="false">I18/D$109</f>
        <v>74.1619848709566</v>
      </c>
      <c r="K18" s="45" t="n">
        <f aca="false">D$112*(5-H18)*D$110/4</f>
        <v>693.485192308185</v>
      </c>
      <c r="L18" s="46" t="n">
        <f aca="false">L8</f>
        <v>0.0778549671809774</v>
      </c>
      <c r="M18" s="47" t="n">
        <f aca="false">P$19/L18^P$18/1000</f>
        <v>0.00130488181671704</v>
      </c>
      <c r="N18" s="45" t="n">
        <f aca="false">M18*I$7*2</f>
        <v>4.26199008901672</v>
      </c>
      <c r="O18" s="52" t="s">
        <v>39</v>
      </c>
      <c r="P18" s="49" t="n">
        <v>1.21036937098303</v>
      </c>
    </row>
    <row r="19" customFormat="false" ht="11.55" hidden="false" customHeight="true" outlineLevel="0" collapsed="false">
      <c r="A19" s="50"/>
      <c r="B19" s="50"/>
      <c r="C19" s="54" t="s">
        <v>68</v>
      </c>
      <c r="D19" s="68" t="n">
        <f aca="false">82792351/1000000</f>
        <v>82.792351</v>
      </c>
      <c r="E19" s="19" t="s">
        <v>69</v>
      </c>
      <c r="G19" s="69" t="s">
        <v>70</v>
      </c>
      <c r="H19" s="35" t="n">
        <v>3</v>
      </c>
      <c r="I19" s="45" t="n">
        <f aca="false">D$69/4*H19</f>
        <v>4899.28287115627</v>
      </c>
      <c r="J19" s="45" t="n">
        <f aca="false">I19/D$109</f>
        <v>111.242977306435</v>
      </c>
      <c r="K19" s="45" t="n">
        <f aca="false">D$112*(5-H19)*D$110/4</f>
        <v>462.32346153879</v>
      </c>
      <c r="L19" s="46" t="n">
        <f aca="false">L9</f>
        <v>0.0635683145115084</v>
      </c>
      <c r="M19" s="47" t="n">
        <f aca="false">P$19/L19^P$18/1000</f>
        <v>0.0016677805802974</v>
      </c>
      <c r="N19" s="45" t="n">
        <f aca="false">M19*I$7*2</f>
        <v>5.44728588659875</v>
      </c>
      <c r="O19" s="52" t="s">
        <v>43</v>
      </c>
      <c r="P19" s="49" t="n">
        <v>0.059376980293732</v>
      </c>
    </row>
    <row r="20" customFormat="false" ht="11.55" hidden="false" customHeight="true" outlineLevel="0" collapsed="false">
      <c r="A20" s="50"/>
      <c r="B20" s="50"/>
      <c r="C20" s="54" t="s">
        <v>71</v>
      </c>
      <c r="D20" s="70" t="n">
        <v>18.8</v>
      </c>
      <c r="E20" s="19" t="s">
        <v>69</v>
      </c>
      <c r="G20" s="3" t="s">
        <v>72</v>
      </c>
      <c r="H20" s="35" t="n">
        <v>4</v>
      </c>
      <c r="I20" s="45" t="n">
        <f aca="false">D$69/4*H20</f>
        <v>6532.37716154169</v>
      </c>
      <c r="J20" s="45" t="n">
        <f aca="false">I20/D$109</f>
        <v>148.323969741913</v>
      </c>
      <c r="K20" s="45" t="n">
        <f aca="false">D$112*(5-H20)*D$110/4</f>
        <v>231.161730769395</v>
      </c>
      <c r="L20" s="46" t="n">
        <f aca="false">L10</f>
        <v>0.0449495862596868</v>
      </c>
      <c r="M20" s="47" t="n">
        <f aca="false">P$19/L20^P$18/1000</f>
        <v>0.00253698357690698</v>
      </c>
      <c r="N20" s="45" t="n">
        <f aca="false">M20*I$7*2</f>
        <v>8.28626678849675</v>
      </c>
      <c r="O20" s="49" t="s">
        <v>47</v>
      </c>
      <c r="P20" s="49"/>
    </row>
    <row r="21" customFormat="false" ht="11.55" hidden="false" customHeight="true" outlineLevel="0" collapsed="false">
      <c r="A21" s="50"/>
      <c r="B21" s="50"/>
      <c r="C21" s="54" t="s">
        <v>73</v>
      </c>
      <c r="D21" s="70" t="n">
        <v>2.7</v>
      </c>
      <c r="E21" s="19" t="s">
        <v>69</v>
      </c>
      <c r="G21" s="5" t="s">
        <v>74</v>
      </c>
      <c r="H21" s="35"/>
      <c r="I21" s="35"/>
      <c r="J21" s="35"/>
      <c r="K21" s="35"/>
      <c r="L21" s="58" t="s">
        <v>13</v>
      </c>
      <c r="M21" s="59"/>
      <c r="N21" s="60" t="n">
        <f aca="false">SUM(N17:N20)</f>
        <v>21.5765188885511</v>
      </c>
      <c r="O21" s="61" t="s">
        <v>50</v>
      </c>
    </row>
    <row r="22" customFormat="false" ht="11.55" hidden="false" customHeight="true" outlineLevel="0" collapsed="false">
      <c r="A22" s="50"/>
      <c r="B22" s="50"/>
      <c r="C22" s="54" t="s">
        <v>75</v>
      </c>
      <c r="D22" s="71" t="n">
        <v>91.7</v>
      </c>
      <c r="E22" s="19" t="s">
        <v>76</v>
      </c>
      <c r="F22" s="64"/>
      <c r="G22" s="23" t="s">
        <v>77</v>
      </c>
    </row>
    <row r="23" customFormat="false" ht="11.55" hidden="false" customHeight="true" outlineLevel="0" collapsed="false">
      <c r="A23" s="18"/>
      <c r="C23" s="54" t="s">
        <v>78</v>
      </c>
      <c r="D23" s="71" t="n">
        <v>46.5</v>
      </c>
      <c r="E23" s="19" t="s">
        <v>33</v>
      </c>
      <c r="F23" s="64"/>
      <c r="G23" s="23" t="s">
        <v>79</v>
      </c>
    </row>
    <row r="24" s="64" customFormat="true" ht="11.55" hidden="false" customHeight="true" outlineLevel="0" collapsed="false">
      <c r="A24" s="18"/>
      <c r="B24" s="2"/>
      <c r="C24" s="54" t="s">
        <v>80</v>
      </c>
      <c r="D24" s="72" t="n">
        <f aca="false">D19/(D20+D21)</f>
        <v>3.85080702325581</v>
      </c>
      <c r="E24" s="19" t="s">
        <v>81</v>
      </c>
      <c r="F24" s="2"/>
      <c r="G24" s="54" t="s">
        <v>46</v>
      </c>
      <c r="H24" s="5"/>
      <c r="I24" s="5"/>
      <c r="M24" s="73"/>
      <c r="P24" s="62"/>
      <c r="AMJ24" s="8"/>
    </row>
    <row r="25" s="64" customFormat="true" ht="11.55" hidden="false" customHeight="true" outlineLevel="0" collapsed="false">
      <c r="A25" s="18"/>
      <c r="B25" s="2"/>
      <c r="C25" s="54" t="s">
        <v>82</v>
      </c>
      <c r="D25" s="72" t="n">
        <f aca="false">D22/D23</f>
        <v>1.97204301075269</v>
      </c>
      <c r="E25" s="19" t="s">
        <v>81</v>
      </c>
      <c r="F25" s="2"/>
      <c r="G25" s="54" t="s">
        <v>46</v>
      </c>
      <c r="H25" s="5"/>
      <c r="I25" s="5"/>
      <c r="L25" s="73"/>
      <c r="O25" s="62"/>
      <c r="AMJ25" s="8"/>
    </row>
    <row r="26" s="64" customFormat="true" ht="11.55" hidden="false" customHeight="true" outlineLevel="0" collapsed="false">
      <c r="A26" s="18"/>
      <c r="B26" s="19" t="s">
        <v>83</v>
      </c>
      <c r="C26" s="54" t="s">
        <v>84</v>
      </c>
      <c r="D26" s="66" t="n">
        <v>1141</v>
      </c>
      <c r="E26" s="19" t="s">
        <v>85</v>
      </c>
      <c r="F26" s="54" t="s">
        <v>13</v>
      </c>
      <c r="G26" s="74" t="s">
        <v>86</v>
      </c>
      <c r="L26" s="73"/>
      <c r="O26" s="62"/>
      <c r="AMJ26" s="8"/>
    </row>
    <row r="27" s="64" customFormat="true" ht="11.55" hidden="false" customHeight="true" outlineLevel="0" collapsed="false">
      <c r="A27" s="18"/>
      <c r="B27" s="19" t="s">
        <v>13</v>
      </c>
      <c r="C27" s="64" t="s">
        <v>87</v>
      </c>
      <c r="D27" s="66" t="n">
        <v>1110</v>
      </c>
      <c r="E27" s="19" t="s">
        <v>85</v>
      </c>
      <c r="F27" s="54" t="s">
        <v>13</v>
      </c>
      <c r="G27" s="74" t="s">
        <v>86</v>
      </c>
      <c r="M27" s="73"/>
      <c r="P27" s="62"/>
      <c r="AMJ27" s="8"/>
    </row>
    <row r="28" s="64" customFormat="true" ht="11.55" hidden="false" customHeight="true" outlineLevel="0" collapsed="false">
      <c r="A28" s="18"/>
      <c r="B28" s="19"/>
      <c r="C28" s="54" t="s">
        <v>88</v>
      </c>
      <c r="D28" s="66" t="n">
        <v>7.5</v>
      </c>
      <c r="E28" s="19" t="s">
        <v>89</v>
      </c>
      <c r="F28" s="54" t="s">
        <v>13</v>
      </c>
      <c r="G28" s="74" t="s">
        <v>90</v>
      </c>
      <c r="H28" s="75" t="s">
        <v>91</v>
      </c>
      <c r="M28" s="73"/>
      <c r="P28" s="62"/>
      <c r="AMJ28" s="8"/>
    </row>
    <row r="29" s="64" customFormat="true" ht="11.55" hidden="false" customHeight="true" outlineLevel="0" collapsed="false">
      <c r="A29" s="76"/>
      <c r="B29" s="77"/>
      <c r="C29" s="78" t="s">
        <v>92</v>
      </c>
      <c r="D29" s="66" t="n">
        <v>529</v>
      </c>
      <c r="E29" s="19" t="s">
        <v>37</v>
      </c>
      <c r="F29" s="19"/>
      <c r="G29" s="23" t="s">
        <v>93</v>
      </c>
      <c r="H29" s="75"/>
      <c r="M29" s="73"/>
      <c r="P29" s="62"/>
      <c r="AMJ29" s="8"/>
    </row>
    <row r="30" s="64" customFormat="true" ht="11.55" hidden="false" customHeight="true" outlineLevel="0" collapsed="false">
      <c r="A30" s="76"/>
      <c r="B30" s="77"/>
      <c r="C30" s="78" t="s">
        <v>94</v>
      </c>
      <c r="D30" s="66" t="n">
        <v>370</v>
      </c>
      <c r="E30" s="19" t="s">
        <v>37</v>
      </c>
      <c r="F30" s="19"/>
      <c r="G30" s="23" t="s">
        <v>95</v>
      </c>
      <c r="H30" s="50"/>
      <c r="M30" s="73"/>
      <c r="P30" s="62"/>
      <c r="AMJ30" s="8"/>
    </row>
    <row r="31" s="64" customFormat="true" ht="11.55" hidden="false" customHeight="true" outlineLevel="0" collapsed="false">
      <c r="A31" s="76"/>
      <c r="B31" s="77"/>
      <c r="C31" s="78" t="s">
        <v>96</v>
      </c>
      <c r="D31" s="66" t="n">
        <v>360</v>
      </c>
      <c r="E31" s="19" t="s">
        <v>97</v>
      </c>
      <c r="F31" s="79" t="n">
        <v>25</v>
      </c>
      <c r="G31" s="23" t="s">
        <v>98</v>
      </c>
      <c r="H31" s="80" t="s">
        <v>99</v>
      </c>
      <c r="M31" s="73"/>
      <c r="P31" s="62"/>
      <c r="AMJ31" s="8"/>
    </row>
    <row r="32" s="64" customFormat="true" ht="11.55" hidden="false" customHeight="true" outlineLevel="0" collapsed="false">
      <c r="A32" s="76" t="s">
        <v>13</v>
      </c>
      <c r="B32" s="77"/>
      <c r="C32" s="78" t="s">
        <v>100</v>
      </c>
      <c r="D32" s="66" t="n">
        <v>124</v>
      </c>
      <c r="E32" s="19" t="s">
        <v>97</v>
      </c>
      <c r="F32" s="79" t="n">
        <v>25</v>
      </c>
      <c r="G32" s="23" t="s">
        <v>101</v>
      </c>
      <c r="H32" s="80" t="s">
        <v>99</v>
      </c>
      <c r="M32" s="73"/>
      <c r="P32" s="62"/>
      <c r="AMJ32" s="8"/>
    </row>
    <row r="33" s="64" customFormat="true" ht="11.55" hidden="false" customHeight="true" outlineLevel="0" collapsed="false">
      <c r="A33" s="18"/>
      <c r="B33" s="19"/>
      <c r="C33" s="54" t="s">
        <v>102</v>
      </c>
      <c r="D33" s="81" t="n">
        <v>30</v>
      </c>
      <c r="E33" s="19" t="s">
        <v>41</v>
      </c>
      <c r="F33" s="19"/>
      <c r="G33" s="54" t="s">
        <v>103</v>
      </c>
      <c r="H33" s="64" t="s">
        <v>104</v>
      </c>
      <c r="M33" s="73"/>
      <c r="P33" s="62"/>
      <c r="AMJ33" s="8"/>
    </row>
    <row r="34" s="64" customFormat="true" ht="11.55" hidden="false" customHeight="true" outlineLevel="0" collapsed="false">
      <c r="A34" s="20"/>
      <c r="B34" s="82"/>
      <c r="C34" s="54" t="s">
        <v>105</v>
      </c>
      <c r="D34" s="66" t="n">
        <v>85</v>
      </c>
      <c r="E34" s="19" t="s">
        <v>41</v>
      </c>
      <c r="F34" s="19"/>
      <c r="G34" s="54" t="s">
        <v>103</v>
      </c>
      <c r="M34" s="73"/>
      <c r="P34" s="62"/>
      <c r="AMJ34" s="8"/>
    </row>
    <row r="35" s="64" customFormat="true" ht="11.55" hidden="false" customHeight="true" outlineLevel="0" collapsed="false">
      <c r="A35" s="20"/>
      <c r="B35" s="83"/>
      <c r="C35" s="54" t="s">
        <v>106</v>
      </c>
      <c r="D35" s="66" t="n">
        <v>2.75</v>
      </c>
      <c r="E35" s="19"/>
      <c r="F35" s="19"/>
      <c r="G35" s="54"/>
      <c r="H35" s="64" t="s">
        <v>13</v>
      </c>
      <c r="M35" s="73"/>
      <c r="P35" s="62"/>
      <c r="AMJ35" s="8"/>
    </row>
    <row r="36" s="64" customFormat="true" ht="11.55" hidden="false" customHeight="true" outlineLevel="0" collapsed="false">
      <c r="A36" s="20"/>
      <c r="B36" s="82"/>
      <c r="C36" s="54" t="s">
        <v>107</v>
      </c>
      <c r="D36" s="66" t="n">
        <v>188</v>
      </c>
      <c r="E36" s="19" t="s">
        <v>97</v>
      </c>
      <c r="F36" s="79" t="n">
        <v>40</v>
      </c>
      <c r="G36" s="23" t="s">
        <v>108</v>
      </c>
      <c r="H36" s="64" t="s">
        <v>13</v>
      </c>
      <c r="M36" s="73"/>
      <c r="P36" s="62"/>
      <c r="AMJ36" s="8"/>
    </row>
    <row r="37" s="64" customFormat="true" ht="11.55" hidden="false" customHeight="true" outlineLevel="0" collapsed="false">
      <c r="A37" s="54"/>
      <c r="B37" s="84"/>
      <c r="C37" s="54" t="s">
        <v>109</v>
      </c>
      <c r="D37" s="66" t="n">
        <v>20</v>
      </c>
      <c r="E37" s="19" t="s">
        <v>41</v>
      </c>
      <c r="F37" s="19"/>
      <c r="G37" s="54" t="s">
        <v>110</v>
      </c>
      <c r="J37" s="5"/>
      <c r="K37" s="5"/>
      <c r="L37" s="5"/>
      <c r="M37" s="6"/>
      <c r="N37" s="5"/>
      <c r="O37" s="5"/>
      <c r="P37" s="7"/>
      <c r="AMJ37" s="8"/>
    </row>
    <row r="38" customFormat="false" ht="11.55" hidden="false" customHeight="true" outlineLevel="0" collapsed="false">
      <c r="A38" s="54"/>
      <c r="B38" s="84"/>
      <c r="C38" s="54" t="s">
        <v>111</v>
      </c>
      <c r="D38" s="66" t="n">
        <v>10</v>
      </c>
      <c r="E38" s="19" t="s">
        <v>97</v>
      </c>
      <c r="F38" s="19"/>
      <c r="G38" s="23" t="s">
        <v>112</v>
      </c>
      <c r="H38" s="64" t="s">
        <v>13</v>
      </c>
      <c r="I38" s="64"/>
    </row>
    <row r="39" customFormat="false" ht="11.55" hidden="false" customHeight="true" outlineLevel="0" collapsed="false">
      <c r="A39" s="18"/>
      <c r="B39" s="19"/>
      <c r="C39" s="54"/>
      <c r="D39" s="63"/>
      <c r="E39" s="19"/>
      <c r="F39" s="19"/>
      <c r="G39" s="54"/>
      <c r="H39" s="85" t="s">
        <v>13</v>
      </c>
      <c r="I39" s="64"/>
    </row>
    <row r="40" customFormat="false" ht="11.55" hidden="false" customHeight="true" outlineLevel="0" collapsed="false">
      <c r="A40" s="18"/>
      <c r="B40" s="19" t="s">
        <v>113</v>
      </c>
      <c r="C40" s="54" t="s">
        <v>114</v>
      </c>
      <c r="D40" s="66" t="n">
        <v>2200</v>
      </c>
      <c r="E40" s="19" t="s">
        <v>115</v>
      </c>
      <c r="F40" s="19"/>
      <c r="G40" s="54"/>
      <c r="I40" s="5" t="s">
        <v>13</v>
      </c>
    </row>
    <row r="41" customFormat="false" ht="11.55" hidden="false" customHeight="true" outlineLevel="0" collapsed="false">
      <c r="A41" s="18"/>
      <c r="B41" s="19"/>
      <c r="C41" s="54" t="s">
        <v>116</v>
      </c>
      <c r="D41" s="66" t="n">
        <v>2.7</v>
      </c>
      <c r="E41" s="19" t="s">
        <v>117</v>
      </c>
      <c r="F41" s="19"/>
      <c r="G41" s="54"/>
    </row>
    <row r="42" customFormat="false" ht="11.55" hidden="false" customHeight="true" outlineLevel="0" collapsed="false">
      <c r="A42" s="18"/>
      <c r="B42" s="19"/>
      <c r="C42" s="54" t="s">
        <v>118</v>
      </c>
      <c r="D42" s="66" t="n">
        <v>0.4</v>
      </c>
      <c r="E42" s="19" t="s">
        <v>117</v>
      </c>
      <c r="F42" s="19"/>
      <c r="G42" s="54"/>
    </row>
    <row r="43" customFormat="false" ht="11.55" hidden="false" customHeight="true" outlineLevel="0" collapsed="false">
      <c r="A43" s="18"/>
      <c r="B43" s="19"/>
      <c r="C43" s="54" t="s">
        <v>119</v>
      </c>
      <c r="D43" s="66" t="n">
        <v>0.05</v>
      </c>
      <c r="E43" s="19" t="s">
        <v>120</v>
      </c>
      <c r="F43" s="19"/>
      <c r="G43" s="54"/>
    </row>
    <row r="44" customFormat="false" ht="11.55" hidden="false" customHeight="true" outlineLevel="0" collapsed="false">
      <c r="A44" s="18"/>
      <c r="B44" s="19"/>
      <c r="C44" s="54" t="s">
        <v>121</v>
      </c>
      <c r="D44" s="66" t="n">
        <v>0.005</v>
      </c>
      <c r="E44" s="19" t="s">
        <v>120</v>
      </c>
      <c r="F44" s="19"/>
      <c r="G44" s="54"/>
    </row>
    <row r="45" customFormat="false" ht="11.55" hidden="false" customHeight="true" outlineLevel="0" collapsed="false">
      <c r="A45" s="18"/>
      <c r="B45" s="19"/>
      <c r="C45" s="54" t="s">
        <v>122</v>
      </c>
      <c r="D45" s="66" t="n">
        <v>15</v>
      </c>
      <c r="E45" s="19" t="s">
        <v>41</v>
      </c>
      <c r="F45" s="19"/>
      <c r="G45" s="54"/>
    </row>
    <row r="46" customFormat="false" ht="11.55" hidden="false" customHeight="true" outlineLevel="0" collapsed="false">
      <c r="A46" s="18"/>
      <c r="C46" s="54" t="s">
        <v>123</v>
      </c>
      <c r="D46" s="66" t="n">
        <v>0.0001</v>
      </c>
      <c r="E46" s="19" t="s">
        <v>124</v>
      </c>
      <c r="F46" s="19"/>
      <c r="G46" s="54" t="s">
        <v>125</v>
      </c>
    </row>
    <row r="47" customFormat="false" ht="11.55" hidden="false" customHeight="true" outlineLevel="0" collapsed="false">
      <c r="A47" s="18"/>
      <c r="C47" s="54" t="s">
        <v>126</v>
      </c>
      <c r="D47" s="66" t="n">
        <v>0.563</v>
      </c>
      <c r="E47" s="19" t="s">
        <v>127</v>
      </c>
      <c r="F47" s="19"/>
      <c r="G47" s="51" t="s">
        <v>11</v>
      </c>
    </row>
    <row r="48" customFormat="false" ht="11.55" hidden="false" customHeight="true" outlineLevel="0" collapsed="false">
      <c r="A48" s="18"/>
      <c r="C48" s="54" t="s">
        <v>128</v>
      </c>
      <c r="D48" s="66" t="n">
        <v>9.2</v>
      </c>
      <c r="E48" s="19" t="s">
        <v>129</v>
      </c>
      <c r="F48" s="19"/>
      <c r="G48" s="54"/>
    </row>
    <row r="49" customFormat="false" ht="11.55" hidden="false" customHeight="true" outlineLevel="0" collapsed="false">
      <c r="A49" s="18"/>
      <c r="C49" s="54" t="s">
        <v>130</v>
      </c>
      <c r="D49" s="66" t="n">
        <v>12</v>
      </c>
      <c r="E49" s="19" t="s">
        <v>129</v>
      </c>
      <c r="F49" s="19"/>
      <c r="G49" s="54"/>
    </row>
    <row r="50" customFormat="false" ht="11.55" hidden="false" customHeight="true" outlineLevel="0" collapsed="false">
      <c r="A50" s="18"/>
      <c r="C50" s="54" t="s">
        <v>131</v>
      </c>
      <c r="D50" s="66" t="n">
        <v>40</v>
      </c>
      <c r="E50" s="19" t="s">
        <v>132</v>
      </c>
      <c r="F50" s="19"/>
      <c r="G50" s="54"/>
    </row>
    <row r="51" customFormat="false" ht="11.55" hidden="false" customHeight="true" outlineLevel="0" collapsed="false">
      <c r="A51" s="18"/>
      <c r="C51" s="54" t="s">
        <v>133</v>
      </c>
      <c r="D51" s="66" t="n">
        <v>60</v>
      </c>
      <c r="E51" s="19" t="s">
        <v>129</v>
      </c>
      <c r="F51" s="19"/>
      <c r="G51" s="54"/>
    </row>
    <row r="52" customFormat="false" ht="11.55" hidden="false" customHeight="true" outlineLevel="0" collapsed="false">
      <c r="A52" s="18"/>
      <c r="B52" s="19"/>
      <c r="C52" s="54" t="s">
        <v>134</v>
      </c>
      <c r="D52" s="66" t="n">
        <v>10</v>
      </c>
      <c r="E52" s="19" t="s">
        <v>135</v>
      </c>
      <c r="F52" s="19"/>
      <c r="G52" s="54"/>
    </row>
    <row r="53" customFormat="false" ht="11.55" hidden="false" customHeight="true" outlineLevel="0" collapsed="false">
      <c r="A53" s="18"/>
      <c r="B53" s="19"/>
      <c r="C53" s="54" t="s">
        <v>136</v>
      </c>
      <c r="D53" s="66" t="n">
        <v>2</v>
      </c>
      <c r="E53" s="19" t="s">
        <v>135</v>
      </c>
      <c r="F53" s="19"/>
      <c r="G53" s="54"/>
      <c r="H53" s="5" t="s">
        <v>13</v>
      </c>
    </row>
    <row r="54" customFormat="false" ht="11.55" hidden="false" customHeight="true" outlineLevel="0" collapsed="false">
      <c r="A54" s="18"/>
      <c r="B54" s="19"/>
      <c r="C54" s="54" t="s">
        <v>137</v>
      </c>
      <c r="D54" s="56" t="n">
        <f aca="false">D17*E3/(1-D129/100)/4.2/(55-28)/1000*3600/D56</f>
        <v>245.104302370035</v>
      </c>
      <c r="E54" s="19" t="s">
        <v>138</v>
      </c>
      <c r="F54" s="19"/>
      <c r="G54" s="54" t="s">
        <v>139</v>
      </c>
      <c r="I54" s="5" t="s">
        <v>13</v>
      </c>
    </row>
    <row r="55" customFormat="false" ht="11.55" hidden="false" customHeight="true" outlineLevel="0" collapsed="false">
      <c r="A55" s="18"/>
      <c r="B55" s="19"/>
      <c r="C55" s="54" t="s">
        <v>140</v>
      </c>
      <c r="D55" s="56" t="n">
        <f aca="false">D54*(D95*1.2)</f>
        <v>41177.5227981659</v>
      </c>
      <c r="E55" s="19" t="s">
        <v>135</v>
      </c>
      <c r="F55" s="19" t="s">
        <v>13</v>
      </c>
      <c r="G55" s="8"/>
    </row>
    <row r="56" customFormat="false" ht="11.55" hidden="false" customHeight="true" outlineLevel="0" collapsed="false">
      <c r="A56" s="18"/>
      <c r="C56" s="54" t="s">
        <v>141</v>
      </c>
      <c r="D56" s="66" t="n">
        <v>30</v>
      </c>
      <c r="E56" s="19" t="s">
        <v>142</v>
      </c>
      <c r="F56" s="19"/>
      <c r="G56" s="54" t="s">
        <v>143</v>
      </c>
      <c r="H56" s="3" t="s">
        <v>144</v>
      </c>
    </row>
    <row r="57" customFormat="false" ht="11.55" hidden="false" customHeight="true" outlineLevel="0" collapsed="false">
      <c r="A57" s="18"/>
      <c r="C57" s="54" t="s">
        <v>145</v>
      </c>
      <c r="D57" s="66" t="n">
        <v>5.7</v>
      </c>
      <c r="E57" s="19" t="s">
        <v>146</v>
      </c>
      <c r="F57" s="19"/>
      <c r="G57" s="23" t="s">
        <v>147</v>
      </c>
    </row>
    <row r="58" customFormat="false" ht="11.55" hidden="false" customHeight="true" outlineLevel="0" collapsed="false">
      <c r="A58" s="18"/>
      <c r="C58" s="54" t="s">
        <v>148</v>
      </c>
      <c r="D58" s="66" t="n">
        <v>16</v>
      </c>
      <c r="E58" s="19" t="s">
        <v>97</v>
      </c>
      <c r="F58" s="79" t="n">
        <v>50</v>
      </c>
      <c r="G58" s="54" t="s">
        <v>149</v>
      </c>
    </row>
    <row r="59" customFormat="false" ht="11.55" hidden="false" customHeight="true" outlineLevel="0" collapsed="false">
      <c r="A59" s="18"/>
      <c r="C59" s="54" t="s">
        <v>150</v>
      </c>
      <c r="D59" s="66" t="n">
        <v>80</v>
      </c>
      <c r="E59" s="19" t="s">
        <v>97</v>
      </c>
      <c r="F59" s="79" t="n">
        <v>50</v>
      </c>
      <c r="G59" s="54" t="s">
        <v>151</v>
      </c>
      <c r="H59" s="5" t="s">
        <v>152</v>
      </c>
    </row>
    <row r="60" customFormat="false" ht="11.55" hidden="false" customHeight="true" outlineLevel="0" collapsed="false">
      <c r="A60" s="18"/>
      <c r="C60" s="54" t="s">
        <v>153</v>
      </c>
      <c r="D60" s="66" t="n">
        <v>300</v>
      </c>
      <c r="E60" s="19" t="s">
        <v>154</v>
      </c>
      <c r="F60" s="79" t="n">
        <v>50</v>
      </c>
      <c r="G60" s="23" t="s">
        <v>155</v>
      </c>
      <c r="H60" s="5" t="s">
        <v>156</v>
      </c>
      <c r="I60" s="0"/>
    </row>
    <row r="61" customFormat="false" ht="11.55" hidden="false" customHeight="true" outlineLevel="0" collapsed="false">
      <c r="A61" s="18"/>
      <c r="C61" s="54" t="s">
        <v>157</v>
      </c>
      <c r="D61" s="66" t="n">
        <v>40</v>
      </c>
      <c r="E61" s="19" t="s">
        <v>41</v>
      </c>
      <c r="F61" s="19"/>
      <c r="G61" s="54" t="s">
        <v>110</v>
      </c>
    </row>
    <row r="62" customFormat="false" ht="11.55" hidden="false" customHeight="true" outlineLevel="0" collapsed="false">
      <c r="A62" s="18"/>
      <c r="C62" s="54" t="s">
        <v>158</v>
      </c>
      <c r="D62" s="66" t="n">
        <v>100</v>
      </c>
      <c r="E62" s="19" t="s">
        <v>146</v>
      </c>
      <c r="F62" s="79" t="n">
        <v>50</v>
      </c>
      <c r="G62" s="54" t="s">
        <v>159</v>
      </c>
      <c r="H62" s="5" t="s">
        <v>13</v>
      </c>
      <c r="I62" s="5" t="s">
        <v>13</v>
      </c>
    </row>
    <row r="63" customFormat="false" ht="11.55" hidden="false" customHeight="true" outlineLevel="0" collapsed="false">
      <c r="A63" s="18"/>
      <c r="C63" s="54" t="s">
        <v>160</v>
      </c>
      <c r="D63" s="55" t="n">
        <v>300000</v>
      </c>
      <c r="E63" s="19" t="s">
        <v>161</v>
      </c>
      <c r="F63" s="79" t="n">
        <v>50</v>
      </c>
      <c r="G63" s="54" t="s">
        <v>162</v>
      </c>
    </row>
    <row r="64" customFormat="false" ht="11.55" hidden="false" customHeight="true" outlineLevel="0" collapsed="false">
      <c r="A64" s="18"/>
      <c r="C64" s="54"/>
      <c r="D64" s="66"/>
      <c r="E64" s="19"/>
      <c r="F64" s="19"/>
      <c r="G64" s="54"/>
    </row>
    <row r="65" customFormat="false" ht="11.55" hidden="false" customHeight="true" outlineLevel="0" collapsed="false">
      <c r="A65" s="18"/>
      <c r="B65" s="2" t="s">
        <v>163</v>
      </c>
      <c r="C65" s="54" t="s">
        <v>164</v>
      </c>
      <c r="D65" s="66" t="n">
        <v>2</v>
      </c>
      <c r="E65" s="19" t="s">
        <v>124</v>
      </c>
      <c r="F65" s="19"/>
      <c r="G65" s="54" t="s">
        <v>165</v>
      </c>
    </row>
    <row r="66" customFormat="false" ht="11.55" hidden="false" customHeight="true" outlineLevel="0" collapsed="false">
      <c r="A66" s="18"/>
      <c r="C66" s="54" t="s">
        <v>166</v>
      </c>
      <c r="D66" s="66" t="n">
        <v>10</v>
      </c>
      <c r="E66" s="19" t="s">
        <v>167</v>
      </c>
      <c r="F66" s="19"/>
      <c r="G66" s="23" t="s">
        <v>168</v>
      </c>
      <c r="H66" s="5" t="s">
        <v>169</v>
      </c>
    </row>
    <row r="67" customFormat="false" ht="11.55" hidden="false" customHeight="true" outlineLevel="0" collapsed="false">
      <c r="A67" s="18"/>
      <c r="C67" s="54" t="s">
        <v>170</v>
      </c>
      <c r="D67" s="66" t="n">
        <v>7</v>
      </c>
      <c r="E67" s="19" t="s">
        <v>167</v>
      </c>
      <c r="F67" s="19"/>
      <c r="G67" s="54" t="s">
        <v>168</v>
      </c>
      <c r="H67" s="5" t="s">
        <v>169</v>
      </c>
      <c r="M67" s="5"/>
      <c r="P67" s="5"/>
    </row>
    <row r="68" customFormat="false" ht="11.55" hidden="false" customHeight="true" outlineLevel="0" collapsed="false">
      <c r="A68" s="18"/>
      <c r="C68" s="54" t="s">
        <v>171</v>
      </c>
      <c r="D68" s="66" t="n">
        <v>0.035</v>
      </c>
      <c r="E68" s="19" t="s">
        <v>117</v>
      </c>
      <c r="F68" s="19" t="s">
        <v>13</v>
      </c>
      <c r="G68" s="54" t="s">
        <v>168</v>
      </c>
      <c r="M68" s="5"/>
      <c r="P68" s="5"/>
    </row>
    <row r="69" customFormat="false" ht="11.55" hidden="false" customHeight="true" outlineLevel="0" collapsed="false">
      <c r="A69" s="18"/>
      <c r="B69" s="19"/>
      <c r="C69" s="54" t="s">
        <v>172</v>
      </c>
      <c r="D69" s="56" t="n">
        <f aca="false">F3^0.5*1000</f>
        <v>6532.37716154169</v>
      </c>
      <c r="E69" s="19" t="s">
        <v>135</v>
      </c>
      <c r="G69" s="54" t="s">
        <v>13</v>
      </c>
    </row>
    <row r="70" s="86" customFormat="true" ht="11.55" hidden="false" customHeight="true" outlineLevel="0" collapsed="false">
      <c r="A70" s="18" t="s">
        <v>173</v>
      </c>
      <c r="B70" s="19"/>
      <c r="C70" s="54" t="s">
        <v>174</v>
      </c>
      <c r="D70" s="55" t="n">
        <v>0</v>
      </c>
      <c r="E70" s="19" t="s">
        <v>175</v>
      </c>
      <c r="F70" s="2"/>
      <c r="G70" s="54" t="s">
        <v>176</v>
      </c>
      <c r="H70" s="5"/>
      <c r="I70" s="5"/>
      <c r="J70" s="5"/>
      <c r="K70" s="5"/>
      <c r="L70" s="5"/>
      <c r="M70" s="6"/>
      <c r="N70" s="5"/>
      <c r="O70" s="5"/>
      <c r="P70" s="7"/>
      <c r="Q70" s="5"/>
      <c r="AMJ70" s="8"/>
    </row>
    <row r="71" customFormat="false" ht="11.55" hidden="false" customHeight="true" outlineLevel="0" collapsed="false">
      <c r="A71" s="18" t="s">
        <v>173</v>
      </c>
      <c r="B71" s="19"/>
      <c r="C71" s="3" t="s">
        <v>177</v>
      </c>
      <c r="D71" s="66" t="n">
        <v>500</v>
      </c>
      <c r="E71" s="19" t="s">
        <v>154</v>
      </c>
      <c r="F71" s="79" t="n">
        <v>25</v>
      </c>
      <c r="G71" s="51" t="s">
        <v>178</v>
      </c>
      <c r="H71" s="3" t="s">
        <v>13</v>
      </c>
    </row>
    <row r="72" customFormat="false" ht="11.55" hidden="false" customHeight="true" outlineLevel="0" collapsed="false">
      <c r="A72" s="18"/>
      <c r="B72" s="19"/>
      <c r="C72" s="3" t="s">
        <v>179</v>
      </c>
      <c r="D72" s="66" t="n">
        <v>222</v>
      </c>
      <c r="E72" s="19" t="s">
        <v>154</v>
      </c>
      <c r="F72" s="79" t="n">
        <v>25</v>
      </c>
      <c r="G72" s="51" t="s">
        <v>180</v>
      </c>
      <c r="H72" s="3" t="s">
        <v>181</v>
      </c>
      <c r="J72" s="6"/>
      <c r="M72" s="7"/>
      <c r="P72" s="5"/>
      <c r="AMG72" s="8"/>
      <c r="AMJ72" s="0"/>
    </row>
    <row r="73" customFormat="false" ht="11.55" hidden="false" customHeight="true" outlineLevel="0" collapsed="false">
      <c r="A73" s="5"/>
      <c r="B73" s="19"/>
      <c r="C73" s="3" t="s">
        <v>182</v>
      </c>
      <c r="D73" s="55" t="n">
        <v>3171</v>
      </c>
      <c r="E73" s="19" t="s">
        <v>161</v>
      </c>
      <c r="F73" s="79" t="n">
        <v>25</v>
      </c>
      <c r="G73" s="51" t="s">
        <v>180</v>
      </c>
      <c r="H73" s="3" t="s">
        <v>183</v>
      </c>
    </row>
    <row r="74" customFormat="false" ht="11.55" hidden="false" customHeight="true" outlineLevel="0" collapsed="false">
      <c r="A74" s="87" t="s">
        <v>13</v>
      </c>
      <c r="B74" s="88"/>
      <c r="C74" s="87" t="s">
        <v>184</v>
      </c>
      <c r="D74" s="89" t="n">
        <f aca="false">D92</f>
        <v>223.522121703664</v>
      </c>
      <c r="E74" s="2" t="s">
        <v>185</v>
      </c>
      <c r="F74" s="19"/>
      <c r="G74" s="5"/>
    </row>
    <row r="75" customFormat="false" ht="11.55" hidden="false" customHeight="true" outlineLevel="0" collapsed="false">
      <c r="A75" s="87"/>
      <c r="B75" s="88"/>
      <c r="C75" s="87" t="s">
        <v>186</v>
      </c>
      <c r="D75" s="90" t="n">
        <v>39</v>
      </c>
      <c r="E75" s="2" t="s">
        <v>41</v>
      </c>
      <c r="F75" s="19"/>
      <c r="G75" s="5"/>
    </row>
    <row r="76" customFormat="false" ht="11.55" hidden="false" customHeight="true" outlineLevel="0" collapsed="false">
      <c r="A76" s="87"/>
      <c r="B76" s="88"/>
      <c r="C76" s="87" t="s">
        <v>187</v>
      </c>
      <c r="D76" s="89" t="n">
        <f aca="false">D74/(100-D75)*D75</f>
        <v>142.907586007261</v>
      </c>
      <c r="E76" s="2" t="s">
        <v>188</v>
      </c>
      <c r="F76" s="19"/>
      <c r="G76" s="5"/>
    </row>
    <row r="77" customFormat="false" ht="11.55" hidden="false" customHeight="true" outlineLevel="0" collapsed="false">
      <c r="A77" s="87" t="s">
        <v>13</v>
      </c>
      <c r="B77" s="87"/>
      <c r="C77" s="87" t="s">
        <v>189</v>
      </c>
      <c r="D77" s="89" t="n">
        <f aca="false">D76*1000*D78/1000000</f>
        <v>83.6009378142475</v>
      </c>
      <c r="E77" s="2" t="s">
        <v>190</v>
      </c>
      <c r="F77" s="79" t="n">
        <v>20</v>
      </c>
      <c r="G77" s="54"/>
    </row>
    <row r="78" s="5" customFormat="true" ht="12.8" hidden="false" customHeight="true" outlineLevel="0" collapsed="false">
      <c r="A78" s="91"/>
      <c r="B78" s="2"/>
      <c r="C78" s="3" t="s">
        <v>191</v>
      </c>
      <c r="D78" s="66" t="n">
        <v>585</v>
      </c>
      <c r="E78" s="19" t="s">
        <v>192</v>
      </c>
      <c r="F78" s="79" t="n">
        <v>30</v>
      </c>
      <c r="G78" s="23" t="s">
        <v>193</v>
      </c>
      <c r="H78" s="64" t="s">
        <v>194</v>
      </c>
    </row>
    <row r="79" customFormat="false" ht="11.55" hidden="false" customHeight="true" outlineLevel="0" collapsed="false">
      <c r="A79" s="24"/>
      <c r="B79" s="64"/>
      <c r="C79" s="5" t="s">
        <v>195</v>
      </c>
      <c r="D79" s="89" t="n">
        <f aca="false">D17*E3</f>
        <v>213528.407227366</v>
      </c>
      <c r="E79" s="2" t="s">
        <v>196</v>
      </c>
      <c r="F79" s="5"/>
      <c r="G79" s="54"/>
    </row>
    <row r="80" customFormat="false" ht="11.55" hidden="false" customHeight="true" outlineLevel="0" collapsed="false">
      <c r="A80" s="18" t="s">
        <v>13</v>
      </c>
      <c r="B80" s="64"/>
      <c r="C80" s="5" t="s">
        <v>197</v>
      </c>
      <c r="D80" s="66" t="n">
        <v>1</v>
      </c>
      <c r="E80" s="19" t="s">
        <v>192</v>
      </c>
      <c r="F80" s="79" t="n">
        <v>1</v>
      </c>
      <c r="G80" s="54" t="s">
        <v>198</v>
      </c>
      <c r="H80" s="5" t="s">
        <v>13</v>
      </c>
    </row>
    <row r="81" customFormat="false" ht="11.55" hidden="false" customHeight="true" outlineLevel="0" collapsed="false">
      <c r="A81" s="18"/>
      <c r="B81" s="5"/>
      <c r="C81" s="5" t="s">
        <v>199</v>
      </c>
      <c r="D81" s="66" t="n">
        <v>75</v>
      </c>
      <c r="E81" s="19" t="s">
        <v>41</v>
      </c>
      <c r="F81" s="19"/>
      <c r="G81" s="23" t="s">
        <v>200</v>
      </c>
      <c r="M81" s="5"/>
      <c r="P81" s="5"/>
    </row>
    <row r="82" customFormat="false" ht="11.55" hidden="false" customHeight="true" outlineLevel="0" collapsed="false">
      <c r="A82" s="18"/>
      <c r="B82" s="5"/>
      <c r="C82" s="3" t="s">
        <v>201</v>
      </c>
      <c r="D82" s="66" t="n">
        <v>216</v>
      </c>
      <c r="E82" s="19" t="s">
        <v>192</v>
      </c>
      <c r="F82" s="79" t="n">
        <v>20</v>
      </c>
      <c r="G82" s="69" t="s">
        <v>202</v>
      </c>
      <c r="H82" s="92" t="s">
        <v>203</v>
      </c>
    </row>
    <row r="83" customFormat="false" ht="11.55" hidden="false" customHeight="true" outlineLevel="0" collapsed="false">
      <c r="A83" s="18" t="s">
        <v>204</v>
      </c>
      <c r="B83" s="5"/>
      <c r="C83" s="5"/>
      <c r="D83" s="5"/>
      <c r="E83" s="5"/>
      <c r="F83" s="5"/>
      <c r="G83" s="5"/>
    </row>
    <row r="84" customFormat="false" ht="11.55" hidden="false" customHeight="true" outlineLevel="0" collapsed="false">
      <c r="A84" s="18"/>
      <c r="B84" s="20" t="s">
        <v>83</v>
      </c>
      <c r="C84" s="54" t="s">
        <v>205</v>
      </c>
      <c r="D84" s="56" t="n">
        <f aca="false">D89/((D33/100*D29+(1-D33/100)*D30)*(D34/100)*(D27/D26))</f>
        <v>2032766.19491414</v>
      </c>
      <c r="E84" s="2" t="s">
        <v>76</v>
      </c>
      <c r="F84" s="5"/>
      <c r="G84" s="54" t="s">
        <v>206</v>
      </c>
    </row>
    <row r="85" customFormat="false" ht="11.55" hidden="false" customHeight="true" outlineLevel="0" collapsed="false">
      <c r="A85" s="18"/>
      <c r="B85" s="20"/>
      <c r="C85" s="54" t="s">
        <v>207</v>
      </c>
      <c r="D85" s="56" t="n">
        <f aca="false">D84*D35</f>
        <v>5590107.03601387</v>
      </c>
      <c r="E85" s="2" t="s">
        <v>76</v>
      </c>
      <c r="F85" s="5"/>
      <c r="G85" s="54"/>
    </row>
    <row r="86" customFormat="false" ht="11.55" hidden="false" customHeight="true" outlineLevel="0" collapsed="false">
      <c r="A86" s="18"/>
      <c r="B86" s="20" t="s">
        <v>13</v>
      </c>
      <c r="C86" s="54" t="s">
        <v>208</v>
      </c>
      <c r="D86" s="56" t="n">
        <f aca="false">D85^0.5</f>
        <v>2364.34071910414</v>
      </c>
      <c r="E86" s="2" t="s">
        <v>135</v>
      </c>
      <c r="F86" s="5"/>
      <c r="G86" s="54"/>
    </row>
    <row r="87" customFormat="false" ht="11.55" hidden="false" customHeight="true" outlineLevel="0" collapsed="false">
      <c r="A87" s="18"/>
      <c r="B87" s="20"/>
      <c r="C87" s="54" t="s">
        <v>209</v>
      </c>
      <c r="D87" s="56" t="n">
        <f aca="false">D85/E3</f>
        <v>55.778914537302</v>
      </c>
      <c r="E87" s="2" t="s">
        <v>33</v>
      </c>
      <c r="F87" s="85"/>
      <c r="G87" s="54"/>
    </row>
    <row r="88" customFormat="false" ht="11.55" hidden="false" customHeight="true" outlineLevel="0" collapsed="false">
      <c r="A88" s="18"/>
      <c r="B88" s="20"/>
      <c r="C88" s="54"/>
      <c r="D88" s="56"/>
      <c r="F88" s="85"/>
      <c r="G88" s="54"/>
    </row>
    <row r="89" customFormat="false" ht="11.55" hidden="false" customHeight="true" outlineLevel="0" collapsed="false">
      <c r="A89" s="18" t="s">
        <v>13</v>
      </c>
      <c r="B89" s="19" t="s">
        <v>210</v>
      </c>
      <c r="C89" s="54" t="s">
        <v>211</v>
      </c>
      <c r="D89" s="56" t="n">
        <f aca="false">E3*D10/(1-D14/100)/(1-D13/100)*((1-D16/100)/(1-D15/100)+D16/100)</f>
        <v>702114860.453419</v>
      </c>
      <c r="E89" s="2" t="s">
        <v>8</v>
      </c>
      <c r="F89" s="19"/>
      <c r="G89" s="54" t="s">
        <v>212</v>
      </c>
    </row>
    <row r="90" customFormat="false" ht="11.55" hidden="false" customHeight="true" outlineLevel="0" collapsed="false">
      <c r="A90" s="18"/>
      <c r="B90" s="8"/>
      <c r="C90" s="54" t="s">
        <v>213</v>
      </c>
      <c r="D90" s="56" t="n">
        <f aca="false">D89*(1-D16/100)</f>
        <v>441630247.2252</v>
      </c>
      <c r="E90" s="2" t="s">
        <v>8</v>
      </c>
      <c r="F90" s="5"/>
      <c r="G90" s="5"/>
    </row>
    <row r="91" customFormat="false" ht="11.55" hidden="false" customHeight="true" outlineLevel="0" collapsed="false">
      <c r="A91" s="18"/>
      <c r="B91" s="19"/>
      <c r="C91" s="54" t="s">
        <v>214</v>
      </c>
      <c r="D91" s="56" t="n">
        <f aca="false">D11*E3/(1-D13/100)</f>
        <v>1184922643.33333</v>
      </c>
      <c r="E91" s="2" t="s">
        <v>8</v>
      </c>
      <c r="F91" s="5"/>
      <c r="G91" s="54" t="s">
        <v>215</v>
      </c>
    </row>
    <row r="92" customFormat="false" ht="11.55" hidden="false" customHeight="true" outlineLevel="0" collapsed="false">
      <c r="A92" s="18"/>
      <c r="B92" s="19"/>
      <c r="C92" s="54" t="s">
        <v>216</v>
      </c>
      <c r="D92" s="56" t="n">
        <f aca="false">(D91-D89)/(180*24)/1000*2</f>
        <v>223.522121703664</v>
      </c>
      <c r="E92" s="2" t="s">
        <v>185</v>
      </c>
      <c r="F92" s="5"/>
      <c r="G92" s="54"/>
    </row>
    <row r="93" customFormat="false" ht="11.55" hidden="false" customHeight="true" outlineLevel="0" collapsed="false">
      <c r="A93" s="18"/>
      <c r="B93" s="19"/>
      <c r="C93" s="54" t="s">
        <v>217</v>
      </c>
      <c r="D93" s="56" t="n">
        <f aca="false">D90*3600/D40/D50</f>
        <v>18066691.93194</v>
      </c>
      <c r="E93" s="2" t="s">
        <v>218</v>
      </c>
      <c r="F93" s="5"/>
    </row>
    <row r="94" customFormat="false" ht="11.55" hidden="false" customHeight="true" outlineLevel="0" collapsed="false">
      <c r="A94" s="93" t="s">
        <v>219</v>
      </c>
      <c r="B94" s="35"/>
      <c r="C94" s="94" t="s">
        <v>220</v>
      </c>
      <c r="D94" s="95" t="n">
        <f aca="false">(4*D93/3.14)^(1/3)</f>
        <v>284.448071795593</v>
      </c>
      <c r="E94" s="35" t="s">
        <v>135</v>
      </c>
      <c r="F94" s="35" t="s">
        <v>221</v>
      </c>
      <c r="G94" s="94" t="s">
        <v>222</v>
      </c>
    </row>
    <row r="95" customFormat="false" ht="11.55" hidden="false" customHeight="true" outlineLevel="0" collapsed="false">
      <c r="A95" s="93" t="s">
        <v>223</v>
      </c>
      <c r="B95" s="35"/>
      <c r="C95" s="94" t="s">
        <v>224</v>
      </c>
      <c r="D95" s="55" t="n">
        <v>140</v>
      </c>
      <c r="E95" s="35" t="s">
        <v>135</v>
      </c>
      <c r="F95" s="35" t="s">
        <v>225</v>
      </c>
      <c r="G95" s="94" t="s">
        <v>226</v>
      </c>
    </row>
    <row r="96" customFormat="false" ht="11.55" hidden="false" customHeight="true" outlineLevel="0" collapsed="false">
      <c r="A96" s="18"/>
      <c r="B96" s="19"/>
      <c r="C96" s="54" t="s">
        <v>227</v>
      </c>
      <c r="D96" s="56" t="n">
        <f aca="false">(D93/D95*4/PI())^0.5</f>
        <v>405.350171459318</v>
      </c>
      <c r="E96" s="2" t="s">
        <v>135</v>
      </c>
      <c r="F96" s="5"/>
    </row>
    <row r="97" customFormat="false" ht="11.55" hidden="false" customHeight="true" outlineLevel="0" collapsed="false">
      <c r="A97" s="18" t="s">
        <v>173</v>
      </c>
      <c r="B97" s="19"/>
      <c r="C97" s="54" t="s">
        <v>228</v>
      </c>
      <c r="D97" s="72" t="n">
        <f aca="false">D96^2*PI()/4/1000000</f>
        <v>0.129047799513857</v>
      </c>
      <c r="E97" s="2" t="s">
        <v>7</v>
      </c>
      <c r="F97" s="5"/>
    </row>
    <row r="98" customFormat="false" ht="11.55" hidden="false" customHeight="true" outlineLevel="0" collapsed="false">
      <c r="A98" s="96"/>
      <c r="B98" s="88"/>
      <c r="C98" s="97" t="s">
        <v>229</v>
      </c>
      <c r="D98" s="56" t="n">
        <f aca="false">(D96+2*D52)^2*PI()/4*D42/D53*(D51-D48)/1000*365*24</f>
        <v>12646807.8431075</v>
      </c>
      <c r="E98" s="19" t="s">
        <v>8</v>
      </c>
      <c r="F98" s="64"/>
      <c r="G98" s="54" t="s">
        <v>230</v>
      </c>
      <c r="J98" s="64"/>
      <c r="K98" s="64"/>
      <c r="L98" s="64"/>
      <c r="M98" s="73"/>
      <c r="N98" s="64"/>
      <c r="O98" s="64"/>
      <c r="P98" s="62"/>
    </row>
    <row r="99" s="64" customFormat="true" ht="11.55" hidden="false" customHeight="true" outlineLevel="0" collapsed="false">
      <c r="A99" s="96"/>
      <c r="B99" s="88"/>
      <c r="C99" s="97" t="s">
        <v>231</v>
      </c>
      <c r="D99" s="56" t="n">
        <f aca="false">(964.25/D95+0.01676*D95+8.8777)*1000000</f>
        <v>18111600</v>
      </c>
      <c r="E99" s="19" t="s">
        <v>8</v>
      </c>
      <c r="G99" s="54" t="s">
        <v>230</v>
      </c>
      <c r="H99" s="5"/>
      <c r="I99" s="5"/>
      <c r="M99" s="73"/>
      <c r="P99" s="62"/>
      <c r="AMI99" s="0"/>
      <c r="AMJ99" s="8"/>
    </row>
    <row r="100" s="64" customFormat="true" ht="11.55" hidden="false" customHeight="true" outlineLevel="0" collapsed="false">
      <c r="A100" s="96"/>
      <c r="B100" s="88"/>
      <c r="C100" s="97" t="s">
        <v>232</v>
      </c>
      <c r="D100" s="56" t="n">
        <f aca="false">PI()*((D96/2+40)^2-(D96/2+D52)^2)*D47*1000*4.2*((D51/2+D49)/3-D48)/3600</f>
        <v>135304.753281965</v>
      </c>
      <c r="E100" s="19" t="s">
        <v>8</v>
      </c>
      <c r="F100" s="64" t="s">
        <v>13</v>
      </c>
      <c r="G100" s="54" t="s">
        <v>230</v>
      </c>
      <c r="I100" s="5"/>
      <c r="J100" s="5"/>
      <c r="K100" s="5"/>
      <c r="L100" s="5"/>
      <c r="M100" s="6"/>
      <c r="N100" s="5"/>
      <c r="O100" s="5"/>
      <c r="P100" s="7"/>
      <c r="AMI100" s="0"/>
      <c r="AMJ100" s="8"/>
    </row>
    <row r="101" customFormat="false" ht="11.55" hidden="false" customHeight="true" outlineLevel="0" collapsed="false">
      <c r="A101" s="96"/>
      <c r="B101" s="88"/>
      <c r="C101" s="97" t="s">
        <v>233</v>
      </c>
      <c r="D101" s="56" t="n">
        <f aca="false">((30*(D96+60)*D44+(60*D95)*(D43+D44)/2)*365*D45/100*1000*4.2*7.5/3600)</f>
        <v>144103.209977209</v>
      </c>
      <c r="E101" s="19" t="s">
        <v>8</v>
      </c>
      <c r="F101" s="64"/>
      <c r="G101" s="54" t="s">
        <v>230</v>
      </c>
      <c r="H101" s="64"/>
      <c r="I101" s="64"/>
    </row>
    <row r="102" customFormat="false" ht="11.55" hidden="false" customHeight="true" outlineLevel="0" collapsed="false">
      <c r="A102" s="96"/>
      <c r="B102" s="88"/>
      <c r="C102" s="97" t="s">
        <v>234</v>
      </c>
      <c r="D102" s="56" t="n">
        <f aca="false">-D46*D95/1000/30*((-0.0040125*23^2-0.028625*23+1000.3875)-(-0.0040125*D49^2-0.028625*D49+1000.3875))*PI()*((D96/2+30)^2-(D96/2)^2)*1000*D45/100 *4.2 *(23-D49) *24*365</f>
        <v>2161692.62524918</v>
      </c>
      <c r="E102" s="19" t="s">
        <v>8</v>
      </c>
      <c r="F102" s="64"/>
      <c r="G102" s="54" t="s">
        <v>230</v>
      </c>
      <c r="H102" s="64"/>
      <c r="I102" s="64"/>
    </row>
    <row r="103" customFormat="false" ht="11.55" hidden="false" customHeight="true" outlineLevel="0" collapsed="false">
      <c r="A103" s="18"/>
      <c r="B103" s="19"/>
      <c r="C103" s="54" t="s">
        <v>235</v>
      </c>
      <c r="D103" s="56" t="n">
        <f aca="false">SUM(D98:D102)</f>
        <v>33199508.4316159</v>
      </c>
      <c r="E103" s="19" t="s">
        <v>236</v>
      </c>
      <c r="F103" s="98" t="n">
        <f aca="false">D103/D90*100</f>
        <v>7.51748971910578</v>
      </c>
      <c r="G103" s="54" t="s">
        <v>41</v>
      </c>
      <c r="H103" s="64"/>
      <c r="I103" s="8"/>
      <c r="AMJ103" s="0"/>
    </row>
    <row r="104" customFormat="false" ht="11.55" hidden="false" customHeight="true" outlineLevel="0" collapsed="false">
      <c r="A104" s="18"/>
      <c r="B104" s="19" t="s">
        <v>13</v>
      </c>
      <c r="C104" s="3" t="s">
        <v>237</v>
      </c>
      <c r="D104" s="56" t="n">
        <f aca="false">((D28*(D29*D33/100+D30*(1-D33/100))/D26*D84-D12/365*E3)*18/24*3.6/4.2/55)</f>
        <v>60623.0459831073</v>
      </c>
      <c r="E104" s="2" t="s">
        <v>218</v>
      </c>
      <c r="F104" s="5"/>
      <c r="G104" s="99" t="s">
        <v>13</v>
      </c>
      <c r="H104" s="64"/>
      <c r="I104" s="50"/>
    </row>
    <row r="105" customFormat="false" ht="11.55" hidden="false" customHeight="true" outlineLevel="0" collapsed="false">
      <c r="A105" s="18" t="s">
        <v>13</v>
      </c>
      <c r="B105" s="2" t="s">
        <v>13</v>
      </c>
      <c r="C105" s="54"/>
      <c r="D105" s="100"/>
      <c r="E105" s="19"/>
      <c r="F105" s="64"/>
      <c r="G105" s="8"/>
    </row>
    <row r="106" customFormat="false" ht="11.55" hidden="false" customHeight="true" outlineLevel="0" collapsed="false">
      <c r="A106" s="18"/>
      <c r="B106" s="19" t="s">
        <v>163</v>
      </c>
      <c r="C106" s="54" t="s">
        <v>238</v>
      </c>
      <c r="D106" s="55" t="n">
        <v>22000</v>
      </c>
      <c r="E106" s="19" t="s">
        <v>239</v>
      </c>
      <c r="F106" s="19"/>
      <c r="G106" s="51" t="s">
        <v>240</v>
      </c>
      <c r="H106" s="45" t="n">
        <f aca="false">E3/D24</f>
        <v>26025.4537282073</v>
      </c>
      <c r="I106" s="61" t="s">
        <v>241</v>
      </c>
      <c r="J106" s="61"/>
    </row>
    <row r="107" customFormat="false" ht="11.55" hidden="false" customHeight="true" outlineLevel="0" collapsed="false">
      <c r="A107" s="18"/>
      <c r="B107" s="19"/>
      <c r="C107" s="54" t="s">
        <v>242</v>
      </c>
      <c r="D107" s="100" t="n">
        <f aca="false">E3/D106</f>
        <v>4.55540909090909</v>
      </c>
      <c r="E107" s="19"/>
      <c r="F107" s="19"/>
    </row>
    <row r="108" customFormat="false" ht="11.55" hidden="false" customHeight="true" outlineLevel="0" collapsed="false">
      <c r="A108" s="18"/>
      <c r="B108" s="19"/>
      <c r="C108" s="54" t="s">
        <v>243</v>
      </c>
      <c r="D108" s="56" t="n">
        <f aca="false">F3*1000000/D106</f>
        <v>1939.63415366507</v>
      </c>
      <c r="E108" s="19" t="s">
        <v>76</v>
      </c>
      <c r="G108" s="54" t="s">
        <v>13</v>
      </c>
    </row>
    <row r="109" customFormat="false" ht="11.55" hidden="false" customHeight="true" outlineLevel="0" collapsed="false">
      <c r="A109" s="18"/>
      <c r="C109" s="54" t="s">
        <v>244</v>
      </c>
      <c r="D109" s="101" t="n">
        <f aca="false">D108^0.5</f>
        <v>44.0412778386943</v>
      </c>
      <c r="E109" s="19" t="s">
        <v>135</v>
      </c>
      <c r="G109" s="54"/>
    </row>
    <row r="110" customFormat="false" ht="11.55" hidden="false" customHeight="true" outlineLevel="0" collapsed="false">
      <c r="A110" s="18"/>
      <c r="C110" s="54" t="s">
        <v>245</v>
      </c>
      <c r="D110" s="56" t="n">
        <f aca="false">D106^0.5</f>
        <v>148.323969741913</v>
      </c>
      <c r="E110" s="19" t="s">
        <v>246</v>
      </c>
      <c r="G110" s="54"/>
    </row>
    <row r="111" customFormat="false" ht="11.55" hidden="false" customHeight="true" outlineLevel="0" collapsed="false">
      <c r="A111" s="18"/>
      <c r="C111" s="54" t="s">
        <v>247</v>
      </c>
      <c r="D111" s="101" t="n">
        <f aca="false">D106/D110</f>
        <v>148.323969741913</v>
      </c>
      <c r="E111" s="19" t="s">
        <v>248</v>
      </c>
      <c r="G111" s="54"/>
    </row>
    <row r="112" customFormat="false" ht="11.55" hidden="false" customHeight="true" outlineLevel="0" collapsed="false">
      <c r="A112" s="18"/>
      <c r="C112" s="54" t="s">
        <v>249</v>
      </c>
      <c r="D112" s="100" t="n">
        <f aca="false">D10/(1-D13/100)*D107/24/180</f>
        <v>6.23396828365964</v>
      </c>
      <c r="E112" s="19" t="s">
        <v>250</v>
      </c>
      <c r="G112" s="54"/>
    </row>
    <row r="113" customFormat="false" ht="11.55" hidden="false" customHeight="true" outlineLevel="0" collapsed="false">
      <c r="A113" s="18"/>
      <c r="C113" s="54" t="s">
        <v>251</v>
      </c>
      <c r="D113" s="67" t="n">
        <f aca="false">D17*D107/(1-D13/100)</f>
        <v>10.7842629912811</v>
      </c>
      <c r="E113" s="19" t="s">
        <v>250</v>
      </c>
      <c r="G113" s="54"/>
    </row>
    <row r="114" customFormat="false" ht="11.55" hidden="false" customHeight="true" outlineLevel="0" collapsed="false">
      <c r="A114" s="18" t="s">
        <v>13</v>
      </c>
      <c r="C114" s="54" t="s">
        <v>252</v>
      </c>
      <c r="D114" s="56" t="n">
        <f aca="false">D113*D110</f>
        <v>1599.56469760762</v>
      </c>
      <c r="E114" s="19" t="s">
        <v>250</v>
      </c>
      <c r="G114" s="54" t="s">
        <v>253</v>
      </c>
    </row>
    <row r="115" customFormat="false" ht="11.55" hidden="false" customHeight="true" outlineLevel="0" collapsed="false">
      <c r="A115" s="18"/>
      <c r="B115" s="2" t="s">
        <v>13</v>
      </c>
      <c r="C115" s="54" t="s">
        <v>254</v>
      </c>
      <c r="D115" s="101" t="n">
        <f aca="false">D106*D109/1000</f>
        <v>968.908112451275</v>
      </c>
      <c r="E115" s="19" t="s">
        <v>175</v>
      </c>
      <c r="G115" s="5"/>
    </row>
    <row r="116" customFormat="false" ht="11.55" hidden="false" customHeight="true" outlineLevel="0" collapsed="false">
      <c r="A116" s="18"/>
      <c r="C116" s="54" t="s">
        <v>255</v>
      </c>
      <c r="D116" s="102" t="n">
        <f aca="false">N11</f>
        <v>76.8999905073249</v>
      </c>
      <c r="E116" s="103" t="s">
        <v>256</v>
      </c>
      <c r="G116" s="54" t="s">
        <v>257</v>
      </c>
    </row>
    <row r="117" customFormat="false" ht="11.55" hidden="false" customHeight="true" outlineLevel="0" collapsed="false">
      <c r="A117" s="18" t="s">
        <v>13</v>
      </c>
      <c r="C117" s="54" t="s">
        <v>258</v>
      </c>
      <c r="D117" s="102" t="n">
        <f aca="false">D116*100000*PI()/4*L7^2*2/1000/(D81/100)</f>
        <v>130.165619113098</v>
      </c>
      <c r="E117" s="103" t="s">
        <v>250</v>
      </c>
      <c r="G117" s="54"/>
      <c r="H117" s="104" t="s">
        <v>13</v>
      </c>
    </row>
    <row r="118" customFormat="false" ht="11.55" hidden="false" customHeight="true" outlineLevel="0" collapsed="false">
      <c r="A118" s="18"/>
      <c r="C118" s="54" t="s">
        <v>259</v>
      </c>
      <c r="D118" s="56" t="n">
        <f aca="false">D117*D111</f>
        <v>19306.6813507686</v>
      </c>
      <c r="E118" s="103" t="s">
        <v>250</v>
      </c>
      <c r="G118" s="54"/>
    </row>
    <row r="119" customFormat="false" ht="11.55" hidden="false" customHeight="true" outlineLevel="0" collapsed="false">
      <c r="A119" s="18"/>
      <c r="C119" s="54" t="s">
        <v>260</v>
      </c>
      <c r="D119" s="102" t="n">
        <f aca="false">N21*100000*PI()/4*L7^2*1/1000/(D81/100)</f>
        <v>18.2608666197832</v>
      </c>
      <c r="E119" s="103" t="s">
        <v>250</v>
      </c>
      <c r="G119" s="54"/>
    </row>
    <row r="120" customFormat="false" ht="11.55" hidden="false" customHeight="true" outlineLevel="0" collapsed="false">
      <c r="A120" s="18"/>
      <c r="C120" s="54" t="s">
        <v>261</v>
      </c>
      <c r="D120" s="56" t="n">
        <f aca="false">D119*D111</f>
        <v>2708.52422797384</v>
      </c>
      <c r="E120" s="103" t="s">
        <v>250</v>
      </c>
      <c r="G120" s="54" t="s">
        <v>13</v>
      </c>
    </row>
    <row r="121" customFormat="false" ht="11.55" hidden="false" customHeight="true" outlineLevel="0" collapsed="false">
      <c r="A121" s="18"/>
      <c r="C121" s="54" t="s">
        <v>262</v>
      </c>
      <c r="D121" s="56" t="n">
        <f aca="false">D120*24*180</f>
        <v>11700824.664847</v>
      </c>
      <c r="E121" s="19" t="s">
        <v>8</v>
      </c>
      <c r="F121" s="5"/>
    </row>
    <row r="122" s="64" customFormat="true" ht="11.55" hidden="false" customHeight="true" outlineLevel="0" collapsed="false">
      <c r="A122" s="18"/>
      <c r="B122" s="19"/>
      <c r="C122" s="54" t="s">
        <v>263</v>
      </c>
      <c r="D122" s="105" t="n">
        <f aca="false">D121/D89*100</f>
        <v>1.66651146755258</v>
      </c>
      <c r="E122" s="19" t="s">
        <v>41</v>
      </c>
      <c r="G122" s="54"/>
      <c r="M122" s="73"/>
      <c r="P122" s="62"/>
      <c r="AMJ122" s="0"/>
    </row>
    <row r="123" s="64" customFormat="true" ht="11.55" hidden="false" customHeight="true" outlineLevel="0" collapsed="false">
      <c r="A123" s="18" t="s">
        <v>13</v>
      </c>
      <c r="B123" s="19"/>
      <c r="C123" s="54" t="s">
        <v>264</v>
      </c>
      <c r="D123" s="56" t="n">
        <f aca="false">D121*1.5</f>
        <v>17551236.9972705</v>
      </c>
      <c r="E123" s="19" t="s">
        <v>8</v>
      </c>
      <c r="F123" s="64" t="s">
        <v>13</v>
      </c>
      <c r="G123" s="54" t="s">
        <v>162</v>
      </c>
      <c r="M123" s="73"/>
      <c r="P123" s="62"/>
      <c r="AMJ123" s="0"/>
    </row>
    <row r="124" s="64" customFormat="true" ht="11.55" hidden="false" customHeight="true" outlineLevel="0" collapsed="false">
      <c r="A124" s="18"/>
      <c r="B124" s="19"/>
      <c r="C124" s="54" t="s">
        <v>265</v>
      </c>
      <c r="D124" s="106" t="n">
        <f aca="false">D123/D89*100</f>
        <v>2.49976720132887</v>
      </c>
      <c r="E124" s="19" t="s">
        <v>41</v>
      </c>
      <c r="G124" s="54"/>
      <c r="M124" s="73"/>
      <c r="P124" s="62"/>
      <c r="AMJ124" s="0"/>
    </row>
    <row r="125" s="64" customFormat="true" ht="11.55" hidden="false" customHeight="true" outlineLevel="0" collapsed="false">
      <c r="A125" s="18"/>
      <c r="B125" s="19"/>
      <c r="C125" s="54" t="s">
        <v>266</v>
      </c>
      <c r="D125" s="56" t="n">
        <f aca="false">D123/E3</f>
        <v>175.128837817884</v>
      </c>
      <c r="E125" s="19" t="s">
        <v>8</v>
      </c>
      <c r="G125" s="54"/>
      <c r="M125" s="73"/>
      <c r="P125" s="62"/>
      <c r="AMJ125" s="0"/>
    </row>
    <row r="126" customFormat="false" ht="11.55" hidden="false" customHeight="true" outlineLevel="0" collapsed="false">
      <c r="A126" s="107" t="s">
        <v>267</v>
      </c>
      <c r="B126" s="108"/>
      <c r="C126" s="109"/>
      <c r="D126" s="110"/>
      <c r="E126" s="108"/>
      <c r="F126" s="111"/>
      <c r="G126" s="109"/>
      <c r="H126" s="111"/>
      <c r="I126" s="111"/>
      <c r="J126" s="111"/>
      <c r="K126" s="111"/>
      <c r="L126" s="111"/>
      <c r="M126" s="112"/>
      <c r="N126" s="111"/>
      <c r="O126" s="111"/>
      <c r="P126" s="113"/>
      <c r="Q126" s="111"/>
      <c r="R126" s="111"/>
      <c r="S126" s="111"/>
      <c r="T126" s="111"/>
      <c r="U126" s="111"/>
      <c r="V126" s="111"/>
      <c r="W126" s="111"/>
      <c r="X126" s="111"/>
      <c r="Y126" s="111"/>
      <c r="Z126" s="111"/>
      <c r="AA126" s="111"/>
      <c r="AB126" s="111"/>
      <c r="AC126" s="111"/>
      <c r="AD126" s="111"/>
      <c r="AE126" s="111"/>
      <c r="AF126" s="111"/>
      <c r="AG126" s="111"/>
      <c r="AH126" s="111"/>
      <c r="AI126" s="111"/>
      <c r="AJ126" s="111"/>
      <c r="AK126" s="111"/>
      <c r="AL126" s="111"/>
      <c r="AM126" s="111"/>
      <c r="AN126" s="111"/>
      <c r="AO126" s="111"/>
      <c r="AP126" s="111"/>
      <c r="AQ126" s="111"/>
      <c r="AR126" s="111"/>
      <c r="AS126" s="111"/>
      <c r="AT126" s="111"/>
      <c r="AU126" s="111"/>
      <c r="AV126" s="111"/>
      <c r="AW126" s="111"/>
      <c r="AX126" s="111"/>
      <c r="AY126" s="111"/>
      <c r="AZ126" s="111"/>
      <c r="BA126" s="111"/>
      <c r="BB126" s="111"/>
      <c r="BC126" s="111"/>
      <c r="BD126" s="111"/>
      <c r="BE126" s="111"/>
      <c r="BF126" s="111"/>
      <c r="BG126" s="111"/>
      <c r="BH126" s="111"/>
      <c r="BI126" s="111"/>
      <c r="BJ126" s="111"/>
      <c r="BK126" s="111"/>
      <c r="BL126" s="111"/>
      <c r="AMJ126" s="0"/>
    </row>
    <row r="127" s="64" customFormat="true" ht="11.55" hidden="false" customHeight="true" outlineLevel="0" collapsed="false">
      <c r="A127" s="18"/>
      <c r="B127" s="19" t="s">
        <v>268</v>
      </c>
      <c r="C127" s="54" t="s">
        <v>269</v>
      </c>
      <c r="D127" s="56" t="n">
        <f aca="false">D69*2*PI()*D68/LN(1+D67/(L11/2*100))*(D51-D49+30-D49)/1000*24*180</f>
        <v>369808.146023036</v>
      </c>
      <c r="E127" s="103" t="s">
        <v>8</v>
      </c>
      <c r="F127" s="19"/>
      <c r="G127" s="54"/>
      <c r="H127" s="73"/>
      <c r="I127" s="73"/>
      <c r="J127" s="73"/>
      <c r="K127" s="73"/>
      <c r="L127" s="73"/>
      <c r="M127" s="73"/>
      <c r="N127" s="73"/>
      <c r="O127" s="73"/>
      <c r="P127" s="114"/>
      <c r="AMJ127" s="0"/>
    </row>
    <row r="128" s="73" customFormat="true" ht="11.55" hidden="false" customHeight="true" outlineLevel="0" collapsed="false">
      <c r="A128" s="18"/>
      <c r="B128" s="64"/>
      <c r="C128" s="54" t="s">
        <v>270</v>
      </c>
      <c r="D128" s="56" t="n">
        <f aca="false">D127*D111</f>
        <v>54851412.2610338</v>
      </c>
      <c r="E128" s="103" t="s">
        <v>8</v>
      </c>
      <c r="F128" s="19"/>
      <c r="G128" s="54" t="s">
        <v>13</v>
      </c>
      <c r="H128" s="64"/>
      <c r="I128" s="64"/>
      <c r="J128" s="64"/>
      <c r="K128" s="64"/>
      <c r="L128" s="64"/>
      <c r="N128" s="64"/>
      <c r="O128" s="64"/>
      <c r="P128" s="62"/>
      <c r="AMJ128" s="0"/>
    </row>
    <row r="129" s="64" customFormat="true" ht="11.55" hidden="false" customHeight="true" outlineLevel="0" collapsed="false">
      <c r="A129" s="24" t="s">
        <v>13</v>
      </c>
      <c r="B129" s="19"/>
      <c r="C129" s="54" t="s">
        <v>271</v>
      </c>
      <c r="D129" s="106" t="n">
        <f aca="false">D128/D89*100</f>
        <v>7.81231324823567</v>
      </c>
      <c r="E129" s="103" t="s">
        <v>41</v>
      </c>
      <c r="F129" s="19"/>
      <c r="G129" s="54"/>
      <c r="M129" s="73"/>
      <c r="P129" s="62"/>
      <c r="AMJ129" s="0"/>
    </row>
    <row r="130" s="64" customFormat="true" ht="11.55" hidden="false" customHeight="true" outlineLevel="0" collapsed="false">
      <c r="A130" s="24"/>
      <c r="B130" s="19"/>
      <c r="C130" s="54" t="s">
        <v>272</v>
      </c>
      <c r="D130" s="56" t="n">
        <f aca="false">D128+D103</f>
        <v>88050920.6926497</v>
      </c>
      <c r="E130" s="19" t="s">
        <v>8</v>
      </c>
      <c r="G130" s="54"/>
      <c r="M130" s="73"/>
      <c r="P130" s="62"/>
      <c r="AMJ130" s="0"/>
    </row>
    <row r="131" customFormat="false" ht="11.55" hidden="false" customHeight="true" outlineLevel="0" collapsed="false">
      <c r="A131" s="115"/>
      <c r="B131" s="115"/>
      <c r="C131" s="116" t="s">
        <v>273</v>
      </c>
      <c r="D131" s="117" t="n">
        <f aca="false">D130/D89*100</f>
        <v>12.5408142815532</v>
      </c>
      <c r="E131" s="115" t="s">
        <v>41</v>
      </c>
      <c r="F131" s="112"/>
      <c r="G131" s="116"/>
      <c r="H131" s="111"/>
      <c r="I131" s="111"/>
      <c r="J131" s="111"/>
      <c r="K131" s="111"/>
      <c r="L131" s="111"/>
      <c r="M131" s="112"/>
      <c r="N131" s="111"/>
      <c r="O131" s="111"/>
      <c r="P131" s="113"/>
      <c r="Q131" s="111"/>
      <c r="R131" s="111"/>
      <c r="S131" s="111"/>
      <c r="T131" s="111"/>
      <c r="U131" s="111"/>
      <c r="V131" s="111"/>
      <c r="W131" s="111"/>
      <c r="X131" s="111"/>
      <c r="Y131" s="111"/>
      <c r="Z131" s="111"/>
      <c r="AA131" s="111"/>
      <c r="AB131" s="111"/>
      <c r="AC131" s="111"/>
      <c r="AD131" s="111"/>
      <c r="AE131" s="111"/>
      <c r="AF131" s="111"/>
      <c r="AG131" s="111"/>
      <c r="AH131" s="111"/>
      <c r="AI131" s="111"/>
      <c r="AJ131" s="111"/>
      <c r="AK131" s="111"/>
      <c r="AL131" s="111"/>
      <c r="AM131" s="111"/>
      <c r="AN131" s="111"/>
      <c r="AO131" s="111"/>
      <c r="AP131" s="111"/>
      <c r="AQ131" s="111"/>
      <c r="AR131" s="111"/>
      <c r="AS131" s="111"/>
      <c r="AT131" s="111"/>
      <c r="AU131" s="111"/>
      <c r="AV131" s="111"/>
      <c r="AW131" s="111"/>
      <c r="AX131" s="111"/>
      <c r="AY131" s="111"/>
      <c r="AZ131" s="111"/>
      <c r="BA131" s="111"/>
      <c r="BB131" s="111"/>
      <c r="BC131" s="111"/>
      <c r="BD131" s="111"/>
      <c r="BE131" s="111"/>
      <c r="BF131" s="111"/>
      <c r="BG131" s="111"/>
      <c r="BH131" s="111"/>
      <c r="BI131" s="111"/>
      <c r="BJ131" s="111"/>
      <c r="BK131" s="111"/>
      <c r="BL131" s="111"/>
      <c r="AMJ131" s="0"/>
    </row>
    <row r="132" s="64" customFormat="true" ht="11.55" hidden="false" customHeight="true" outlineLevel="0" collapsed="false">
      <c r="A132" s="24"/>
      <c r="B132" s="19"/>
      <c r="C132" s="54"/>
      <c r="D132" s="63"/>
      <c r="E132" s="19"/>
      <c r="G132" s="54"/>
      <c r="M132" s="73"/>
      <c r="P132" s="62"/>
      <c r="AMJ132" s="0"/>
    </row>
    <row r="133" customFormat="false" ht="11.55" hidden="false" customHeight="true" outlineLevel="0" collapsed="false">
      <c r="A133" s="13"/>
      <c r="B133" s="2" t="s">
        <v>274</v>
      </c>
      <c r="C133" s="3" t="s">
        <v>275</v>
      </c>
      <c r="D133" s="118" t="n">
        <v>0.05</v>
      </c>
      <c r="E133" s="19" t="s">
        <v>276</v>
      </c>
      <c r="F133" s="5"/>
    </row>
    <row r="134" customFormat="false" ht="11.55" hidden="false" customHeight="true" outlineLevel="0" collapsed="false">
      <c r="A134" s="18"/>
      <c r="B134" s="5"/>
      <c r="C134" s="5" t="s">
        <v>277</v>
      </c>
      <c r="D134" s="118" t="n">
        <v>0.22</v>
      </c>
      <c r="E134" s="19" t="s">
        <v>276</v>
      </c>
      <c r="F134" s="19"/>
      <c r="G134" s="5"/>
    </row>
    <row r="135" customFormat="false" ht="11.55" hidden="false" customHeight="true" outlineLevel="0" collapsed="false">
      <c r="A135" s="18"/>
      <c r="B135" s="5"/>
      <c r="C135" s="5" t="s">
        <v>278</v>
      </c>
      <c r="D135" s="118" t="n">
        <v>0.05</v>
      </c>
      <c r="E135" s="19" t="s">
        <v>276</v>
      </c>
      <c r="F135" s="19"/>
      <c r="G135" s="5"/>
    </row>
    <row r="136" customFormat="false" ht="11.55" hidden="false" customHeight="true" outlineLevel="0" collapsed="false">
      <c r="A136" s="18"/>
      <c r="B136" s="5"/>
      <c r="C136" s="5" t="s">
        <v>279</v>
      </c>
      <c r="D136" s="66" t="n">
        <v>160</v>
      </c>
      <c r="E136" s="19" t="s">
        <v>280</v>
      </c>
      <c r="F136" s="19"/>
      <c r="G136" s="51" t="s">
        <v>281</v>
      </c>
    </row>
    <row r="137" customFormat="false" ht="11.55" hidden="false" customHeight="true" outlineLevel="0" collapsed="false">
      <c r="A137" s="18"/>
      <c r="B137" s="5"/>
      <c r="C137" s="5"/>
      <c r="D137" s="63"/>
      <c r="E137" s="19"/>
      <c r="F137" s="19"/>
      <c r="G137" s="5"/>
    </row>
    <row r="138" customFormat="false" ht="11.55" hidden="false" customHeight="true" outlineLevel="0" collapsed="false">
      <c r="A138" s="13"/>
      <c r="B138" s="2" t="s">
        <v>282</v>
      </c>
      <c r="C138" s="3" t="s">
        <v>283</v>
      </c>
      <c r="D138" s="56" t="n">
        <f aca="false">PI()/4*(D96+D52*2)^2*(D58+D57*D53)</f>
        <v>3893441.63364642</v>
      </c>
      <c r="E138" s="2" t="s">
        <v>161</v>
      </c>
      <c r="F138" s="5"/>
      <c r="G138" s="119" t="s">
        <v>13</v>
      </c>
    </row>
    <row r="139" customFormat="false" ht="11.55" hidden="false" customHeight="true" outlineLevel="0" collapsed="false">
      <c r="A139" s="18" t="s">
        <v>13</v>
      </c>
      <c r="C139" s="3" t="s">
        <v>284</v>
      </c>
      <c r="D139" s="56" t="n">
        <f aca="false">D55*D60*(1-D61/100)</f>
        <v>7411954.10366987</v>
      </c>
      <c r="E139" s="2" t="s">
        <v>161</v>
      </c>
      <c r="F139" s="5"/>
      <c r="G139" s="119" t="s">
        <v>13</v>
      </c>
    </row>
    <row r="140" customFormat="false" ht="11.55" hidden="false" customHeight="true" outlineLevel="0" collapsed="false">
      <c r="A140" s="18"/>
      <c r="C140" s="3" t="s">
        <v>285</v>
      </c>
      <c r="D140" s="56" t="n">
        <f aca="false">PI()*D96*D95*D59</f>
        <v>14262585.3528251</v>
      </c>
      <c r="E140" s="2" t="s">
        <v>161</v>
      </c>
      <c r="G140" s="119" t="s">
        <v>13</v>
      </c>
      <c r="H140" s="85"/>
    </row>
    <row r="141" customFormat="false" ht="11.55" hidden="false" customHeight="true" outlineLevel="0" collapsed="false">
      <c r="A141" s="18"/>
      <c r="C141" s="3" t="s">
        <v>286</v>
      </c>
      <c r="D141" s="56" t="n">
        <f aca="false">D62*D104*2</f>
        <v>12124609.1966215</v>
      </c>
      <c r="E141" s="2" t="s">
        <v>161</v>
      </c>
      <c r="G141" s="119" t="s">
        <v>13</v>
      </c>
      <c r="H141" s="64"/>
      <c r="I141" s="64"/>
      <c r="J141" s="64"/>
      <c r="K141" s="64"/>
      <c r="L141" s="64"/>
      <c r="M141" s="73"/>
      <c r="N141" s="64"/>
      <c r="O141" s="64"/>
      <c r="P141" s="62"/>
    </row>
    <row r="142" s="64" customFormat="true" ht="11.55" hidden="false" customHeight="true" outlineLevel="0" collapsed="false">
      <c r="A142" s="18"/>
      <c r="B142" s="2"/>
      <c r="C142" s="3" t="s">
        <v>287</v>
      </c>
      <c r="D142" s="56" t="n">
        <f aca="false">D63</f>
        <v>300000</v>
      </c>
      <c r="E142" s="2" t="s">
        <v>161</v>
      </c>
      <c r="F142" s="2" t="s">
        <v>13</v>
      </c>
      <c r="G142" s="119" t="s">
        <v>13</v>
      </c>
      <c r="M142" s="73"/>
      <c r="P142" s="62"/>
      <c r="AMJ142" s="8"/>
    </row>
    <row r="143" s="64" customFormat="true" ht="11.55" hidden="false" customHeight="true" outlineLevel="0" collapsed="false">
      <c r="A143" s="18"/>
      <c r="B143" s="2"/>
      <c r="C143" s="12" t="s">
        <v>288</v>
      </c>
      <c r="D143" s="120" t="n">
        <f aca="false">SUM(D138:D142)</f>
        <v>37992590.2867628</v>
      </c>
      <c r="E143" s="2" t="s">
        <v>161</v>
      </c>
      <c r="F143" s="121" t="n">
        <v>50</v>
      </c>
      <c r="G143" s="3"/>
      <c r="M143" s="73"/>
      <c r="P143" s="62"/>
      <c r="AMJ143" s="8"/>
    </row>
    <row r="144" s="64" customFormat="true" ht="11.55" hidden="false" customHeight="true" outlineLevel="0" collapsed="false">
      <c r="A144" s="18" t="s">
        <v>13</v>
      </c>
      <c r="B144" s="2"/>
      <c r="C144" s="3" t="s">
        <v>289</v>
      </c>
      <c r="D144" s="56" t="n">
        <f aca="false">D118*D82</f>
        <v>4170243.17176601</v>
      </c>
      <c r="E144" s="2" t="s">
        <v>161</v>
      </c>
      <c r="F144" s="19" t="n">
        <f aca="false">F82</f>
        <v>20</v>
      </c>
      <c r="G144" s="3"/>
      <c r="M144" s="73"/>
      <c r="P144" s="62"/>
      <c r="AMJ144" s="8"/>
    </row>
    <row r="145" s="64" customFormat="true" ht="11.55" hidden="false" customHeight="true" outlineLevel="0" collapsed="false">
      <c r="A145" s="24" t="s">
        <v>13</v>
      </c>
      <c r="B145" s="19"/>
      <c r="C145" s="54" t="s">
        <v>83</v>
      </c>
      <c r="D145" s="56" t="n">
        <f aca="false">D84*(D31*D33/100+D32*(1-D33/100))*(1-D37/100)</f>
        <v>316786283.815419</v>
      </c>
      <c r="E145" s="19" t="s">
        <v>161</v>
      </c>
      <c r="F145" s="82" t="n">
        <f aca="false">F32</f>
        <v>25</v>
      </c>
      <c r="G145" s="54"/>
      <c r="M145" s="73"/>
      <c r="P145" s="62"/>
      <c r="AMJ145" s="8"/>
    </row>
    <row r="146" s="64" customFormat="true" ht="11.55" hidden="false" customHeight="true" outlineLevel="0" collapsed="false">
      <c r="A146" s="24"/>
      <c r="B146" s="19"/>
      <c r="C146" s="54" t="s">
        <v>290</v>
      </c>
      <c r="D146" s="56" t="n">
        <f aca="false">D84*D36*(1-D37/100)</f>
        <v>305728035.715086</v>
      </c>
      <c r="E146" s="19" t="s">
        <v>161</v>
      </c>
      <c r="F146" s="82" t="n">
        <f aca="false">F36</f>
        <v>40</v>
      </c>
      <c r="G146" s="54"/>
      <c r="M146" s="73"/>
      <c r="P146" s="62"/>
      <c r="AMJ146" s="8"/>
    </row>
    <row r="147" s="64" customFormat="true" ht="11.55" hidden="false" customHeight="true" outlineLevel="0" collapsed="false">
      <c r="A147" s="24"/>
      <c r="B147" s="19"/>
      <c r="C147" s="54" t="s">
        <v>291</v>
      </c>
      <c r="D147" s="56" t="n">
        <f aca="false">D38*D85</f>
        <v>55901070.3601387</v>
      </c>
      <c r="E147" s="19" t="s">
        <v>161</v>
      </c>
      <c r="F147" s="82" t="n">
        <v>100</v>
      </c>
      <c r="G147" s="54"/>
      <c r="M147" s="73"/>
      <c r="P147" s="62"/>
      <c r="AMJ147" s="8"/>
    </row>
    <row r="148" s="64" customFormat="true" ht="11.55" hidden="false" customHeight="true" outlineLevel="0" collapsed="false">
      <c r="A148" s="24"/>
      <c r="B148" s="19"/>
      <c r="C148" s="54" t="s">
        <v>292</v>
      </c>
      <c r="D148" s="56" t="n">
        <f aca="false">25*1000*D71</f>
        <v>12500000</v>
      </c>
      <c r="E148" s="19" t="s">
        <v>161</v>
      </c>
      <c r="F148" s="82" t="n">
        <f aca="false">F72</f>
        <v>25</v>
      </c>
      <c r="G148" s="54"/>
      <c r="M148" s="73"/>
      <c r="P148" s="62"/>
      <c r="AMJ148" s="8"/>
    </row>
    <row r="149" s="64" customFormat="true" ht="11.55" hidden="false" customHeight="true" outlineLevel="0" collapsed="false">
      <c r="A149" s="24"/>
      <c r="B149" s="19" t="s">
        <v>13</v>
      </c>
      <c r="C149" s="54" t="s">
        <v>293</v>
      </c>
      <c r="D149" s="56" t="n">
        <f aca="false">D115*D72*1000+D106*D73</f>
        <v>284859600.964183</v>
      </c>
      <c r="E149" s="19" t="s">
        <v>161</v>
      </c>
      <c r="F149" s="82" t="n">
        <f aca="false">F73</f>
        <v>25</v>
      </c>
      <c r="G149" s="54"/>
      <c r="H149" s="5"/>
      <c r="I149" s="5"/>
      <c r="J149" s="5"/>
      <c r="K149" s="5"/>
      <c r="L149" s="5"/>
      <c r="M149" s="6"/>
      <c r="N149" s="5"/>
      <c r="O149" s="5"/>
      <c r="P149" s="7"/>
      <c r="AMJ149" s="8"/>
    </row>
    <row r="150" customFormat="false" ht="11.55" hidden="false" customHeight="true" outlineLevel="0" collapsed="false">
      <c r="A150" s="24"/>
      <c r="B150" s="19" t="s">
        <v>13</v>
      </c>
      <c r="C150" s="64" t="s">
        <v>294</v>
      </c>
      <c r="D150" s="56" t="n">
        <f aca="false">D77*1000000</f>
        <v>83600937.8142475</v>
      </c>
      <c r="E150" s="19" t="s">
        <v>161</v>
      </c>
      <c r="F150" s="82" t="n">
        <f aca="false">F77</f>
        <v>20</v>
      </c>
      <c r="G150" s="54"/>
      <c r="H150" s="64"/>
      <c r="I150" s="64"/>
      <c r="J150" s="64"/>
      <c r="K150" s="64"/>
      <c r="L150" s="64"/>
      <c r="M150" s="73"/>
      <c r="N150" s="64"/>
      <c r="O150" s="64"/>
      <c r="P150" s="62"/>
    </row>
    <row r="151" s="64" customFormat="true" ht="11.55" hidden="false" customHeight="true" outlineLevel="0" collapsed="false">
      <c r="A151" s="24"/>
      <c r="B151" s="19"/>
      <c r="C151" s="73" t="s">
        <v>295</v>
      </c>
      <c r="D151" s="120" t="n">
        <f aca="false">SUM(143:150)/(1-D18/100)</f>
        <v>1376923833.9095</v>
      </c>
      <c r="E151" s="19" t="s">
        <v>161</v>
      </c>
      <c r="F151" s="82"/>
      <c r="G151" s="54"/>
      <c r="M151" s="73"/>
      <c r="P151" s="62"/>
      <c r="AMJ151" s="8"/>
    </row>
    <row r="152" s="64" customFormat="true" ht="11.55" hidden="false" customHeight="true" outlineLevel="0" collapsed="false">
      <c r="A152" s="24"/>
      <c r="B152" s="19"/>
      <c r="D152" s="56"/>
      <c r="E152" s="19"/>
      <c r="F152" s="82"/>
      <c r="G152" s="54"/>
      <c r="M152" s="73"/>
      <c r="P152" s="62"/>
      <c r="AMJ152" s="8"/>
    </row>
    <row r="153" s="64" customFormat="true" ht="11.55" hidden="false" customHeight="true" outlineLevel="0" collapsed="false">
      <c r="A153" s="18"/>
      <c r="B153" s="19" t="s">
        <v>296</v>
      </c>
      <c r="C153" s="54" t="s">
        <v>297</v>
      </c>
      <c r="D153" s="56" t="n">
        <f aca="false">D123*D134</f>
        <v>3861272.13939951</v>
      </c>
      <c r="E153" s="19" t="s">
        <v>298</v>
      </c>
      <c r="F153" s="19" t="s">
        <v>13</v>
      </c>
      <c r="G153" s="54"/>
      <c r="M153" s="73"/>
      <c r="P153" s="62"/>
      <c r="AMJ153" s="8"/>
    </row>
    <row r="154" s="64" customFormat="true" ht="11.55" hidden="false" customHeight="true" outlineLevel="0" collapsed="false">
      <c r="A154" s="24"/>
      <c r="B154" s="19"/>
      <c r="C154" s="64" t="s">
        <v>299</v>
      </c>
      <c r="D154" s="56" t="n">
        <f aca="false">(D91-D89)*(100/(100-D75))*D133</f>
        <v>39574408.4327799</v>
      </c>
      <c r="E154" s="19" t="s">
        <v>298</v>
      </c>
      <c r="F154" s="82" t="s">
        <v>13</v>
      </c>
      <c r="G154" s="54"/>
      <c r="M154" s="73"/>
      <c r="P154" s="62"/>
      <c r="AMJ154" s="8"/>
    </row>
    <row r="155" s="64" customFormat="true" ht="11.55" hidden="false" customHeight="true" outlineLevel="0" collapsed="false">
      <c r="A155" s="24"/>
      <c r="B155" s="19"/>
      <c r="C155" s="64" t="s">
        <v>300</v>
      </c>
      <c r="D155" s="56" t="n">
        <f aca="false">-(D91-D89)*(D75/(100-D75))*D135</f>
        <v>-15434019.2887842</v>
      </c>
      <c r="E155" s="19" t="s">
        <v>298</v>
      </c>
      <c r="F155" s="82" t="s">
        <v>13</v>
      </c>
      <c r="G155" s="54" t="s">
        <v>301</v>
      </c>
      <c r="M155" s="73"/>
      <c r="P155" s="62"/>
      <c r="AMJ155" s="8"/>
    </row>
    <row r="156" s="64" customFormat="true" ht="11.55" hidden="false" customHeight="true" outlineLevel="0" collapsed="false">
      <c r="A156" s="19" t="s">
        <v>13</v>
      </c>
      <c r="B156" s="19" t="s">
        <v>13</v>
      </c>
      <c r="C156" s="64" t="s">
        <v>302</v>
      </c>
      <c r="D156" s="56" t="n">
        <f aca="false">D79*D80</f>
        <v>213528.407227366</v>
      </c>
      <c r="E156" s="19" t="s">
        <v>298</v>
      </c>
      <c r="F156" s="19" t="s">
        <v>13</v>
      </c>
      <c r="G156" s="54"/>
      <c r="M156" s="73"/>
      <c r="P156" s="62"/>
      <c r="AMJ156" s="8"/>
    </row>
    <row r="157" s="64" customFormat="true" ht="11.55" hidden="false" customHeight="true" outlineLevel="0" collapsed="false">
      <c r="A157" s="19"/>
      <c r="B157" s="19"/>
      <c r="C157" s="64" t="s">
        <v>303</v>
      </c>
      <c r="D157" s="56" t="n">
        <f aca="false">D136/D25*E3</f>
        <v>8131181.67938931</v>
      </c>
      <c r="E157" s="19" t="s">
        <v>298</v>
      </c>
      <c r="F157" s="19"/>
      <c r="G157" s="54"/>
      <c r="M157" s="73"/>
      <c r="P157" s="62"/>
      <c r="AMJ157" s="8"/>
    </row>
    <row r="158" s="64" customFormat="true" ht="11.55" hidden="false" customHeight="true" outlineLevel="0" collapsed="false">
      <c r="A158" s="19"/>
      <c r="B158" s="19"/>
      <c r="D158" s="56"/>
      <c r="E158" s="19"/>
      <c r="F158" s="19"/>
      <c r="G158" s="54"/>
      <c r="M158" s="73"/>
      <c r="P158" s="62"/>
      <c r="AMJ158" s="8"/>
    </row>
    <row r="159" s="64" customFormat="true" ht="11.55" hidden="false" customHeight="true" outlineLevel="0" collapsed="false">
      <c r="A159" s="19"/>
      <c r="B159" s="20" t="s">
        <v>304</v>
      </c>
      <c r="C159" s="3" t="s">
        <v>305</v>
      </c>
      <c r="D159" s="56" t="n">
        <f aca="false">D143/F143/E$3</f>
        <v>7.5819136664231</v>
      </c>
      <c r="E159" s="19" t="s">
        <v>306</v>
      </c>
      <c r="F159" s="19"/>
      <c r="G159" s="122" t="n">
        <f aca="false">D159/D$178</f>
        <v>0.0137104138467171</v>
      </c>
      <c r="M159" s="73"/>
      <c r="P159" s="62"/>
      <c r="AMJ159" s="8"/>
    </row>
    <row r="160" s="64" customFormat="true" ht="11.55" hidden="false" customHeight="true" outlineLevel="0" collapsed="false">
      <c r="A160" s="19"/>
      <c r="B160" s="19"/>
      <c r="C160" s="3" t="s">
        <v>289</v>
      </c>
      <c r="D160" s="56" t="n">
        <f aca="false">D144/F144/E$3</f>
        <v>2.08056514820843</v>
      </c>
      <c r="E160" s="19" t="s">
        <v>306</v>
      </c>
      <c r="F160" s="19"/>
      <c r="G160" s="122" t="n">
        <f aca="false">D160/D$178</f>
        <v>0.00376229675936831</v>
      </c>
      <c r="M160" s="73"/>
      <c r="P160" s="62"/>
      <c r="AMJ160" s="8"/>
    </row>
    <row r="161" s="64" customFormat="true" ht="11.55" hidden="false" customHeight="true" outlineLevel="0" collapsed="false">
      <c r="A161" s="19"/>
      <c r="B161" s="19"/>
      <c r="C161" s="54" t="s">
        <v>307</v>
      </c>
      <c r="D161" s="56" t="n">
        <f aca="false">D145/F145/E$3</f>
        <v>126.437615148991</v>
      </c>
      <c r="E161" s="19" t="s">
        <v>306</v>
      </c>
      <c r="F161" s="19"/>
      <c r="G161" s="122" t="n">
        <f aca="false">D161/D$178</f>
        <v>0.228637795911812</v>
      </c>
      <c r="M161" s="73"/>
      <c r="P161" s="62"/>
      <c r="AMJ161" s="8"/>
    </row>
    <row r="162" s="64" customFormat="true" ht="11.55" hidden="false" customHeight="true" outlineLevel="0" collapsed="false">
      <c r="A162" s="19"/>
      <c r="B162" s="19"/>
      <c r="C162" s="54" t="s">
        <v>290</v>
      </c>
      <c r="D162" s="56" t="n">
        <f aca="false">D146/F146/E$3</f>
        <v>76.2649886037293</v>
      </c>
      <c r="E162" s="19" t="s">
        <v>306</v>
      </c>
      <c r="F162" s="19"/>
      <c r="G162" s="122" t="n">
        <f aca="false">D162/D$178</f>
        <v>0.137910374844137</v>
      </c>
      <c r="H162" s="73"/>
      <c r="I162" s="73"/>
      <c r="J162" s="73"/>
      <c r="K162" s="73"/>
      <c r="L162" s="73"/>
      <c r="M162" s="73"/>
      <c r="N162" s="73"/>
      <c r="O162" s="73"/>
      <c r="P162" s="114"/>
      <c r="AMJ162" s="8"/>
    </row>
    <row r="163" s="73" customFormat="true" ht="11.55" hidden="false" customHeight="true" outlineLevel="0" collapsed="false">
      <c r="A163" s="19"/>
      <c r="B163" s="19"/>
      <c r="C163" s="54" t="s">
        <v>291</v>
      </c>
      <c r="D163" s="56" t="n">
        <f aca="false">D147/F147/E$3</f>
        <v>5.5778914537302</v>
      </c>
      <c r="E163" s="19" t="s">
        <v>306</v>
      </c>
      <c r="F163" s="19"/>
      <c r="G163" s="122" t="n">
        <f aca="false">D163/D$178</f>
        <v>0.0100865300750366</v>
      </c>
      <c r="H163" s="64"/>
      <c r="I163" s="64"/>
      <c r="AKT163" s="8"/>
      <c r="AKU163" s="0"/>
      <c r="AKV163" s="0"/>
      <c r="AKW163" s="0"/>
      <c r="AKX163" s="0"/>
      <c r="AKY163" s="0"/>
      <c r="AKZ163" s="0"/>
      <c r="ALA163" s="0"/>
      <c r="ALB163" s="0"/>
      <c r="ALC163" s="0"/>
      <c r="ALD163" s="0"/>
      <c r="ALE163" s="0"/>
      <c r="ALF163" s="0"/>
      <c r="ALG163" s="0"/>
      <c r="ALH163" s="0"/>
      <c r="ALI163" s="0"/>
      <c r="ALJ163" s="0"/>
      <c r="ALK163" s="0"/>
      <c r="ALL163" s="0"/>
      <c r="ALM163" s="0"/>
      <c r="ALN163" s="0"/>
      <c r="ALO163" s="0"/>
      <c r="ALP163" s="0"/>
      <c r="ALQ163" s="0"/>
      <c r="ALR163" s="0"/>
      <c r="ALS163" s="0"/>
      <c r="ALT163" s="0"/>
      <c r="ALU163" s="0"/>
      <c r="ALV163" s="0"/>
      <c r="ALW163" s="0"/>
      <c r="ALX163" s="0"/>
      <c r="ALY163" s="0"/>
      <c r="ALZ163" s="0"/>
      <c r="AMA163" s="0"/>
      <c r="AMB163" s="0"/>
      <c r="AMC163" s="0"/>
      <c r="AMD163" s="0"/>
      <c r="AME163" s="0"/>
      <c r="AMF163" s="0"/>
      <c r="AMG163" s="0"/>
      <c r="AMH163" s="0"/>
      <c r="AMI163" s="0"/>
      <c r="AMJ163" s="0"/>
    </row>
    <row r="164" s="73" customFormat="true" ht="11.55" hidden="false" customHeight="true" outlineLevel="0" collapsed="false">
      <c r="A164" s="19"/>
      <c r="B164" s="19"/>
      <c r="C164" s="54" t="s">
        <v>292</v>
      </c>
      <c r="D164" s="56" t="n">
        <f aca="false">D148/F148/E$3</f>
        <v>4.98907392809747</v>
      </c>
      <c r="E164" s="19" t="s">
        <v>306</v>
      </c>
      <c r="F164" s="19"/>
      <c r="G164" s="122" t="n">
        <f aca="false">D164/D$178</f>
        <v>0.00902176828641639</v>
      </c>
      <c r="H164" s="64"/>
      <c r="I164" s="64"/>
      <c r="AKT164" s="8"/>
      <c r="AKU164" s="0"/>
      <c r="AKV164" s="0"/>
      <c r="AKW164" s="0"/>
      <c r="AKX164" s="0"/>
      <c r="AKY164" s="0"/>
      <c r="AKZ164" s="0"/>
      <c r="ALA164" s="0"/>
      <c r="ALB164" s="0"/>
      <c r="ALC164" s="0"/>
      <c r="ALD164" s="0"/>
      <c r="ALE164" s="0"/>
      <c r="ALF164" s="0"/>
      <c r="ALG164" s="0"/>
      <c r="ALH164" s="0"/>
      <c r="ALI164" s="0"/>
      <c r="ALJ164" s="0"/>
      <c r="ALK164" s="0"/>
      <c r="ALL164" s="0"/>
      <c r="ALM164" s="0"/>
      <c r="ALN164" s="0"/>
      <c r="ALO164" s="0"/>
      <c r="ALP164" s="0"/>
      <c r="ALQ164" s="0"/>
      <c r="ALR164" s="0"/>
      <c r="ALS164" s="0"/>
      <c r="ALT164" s="0"/>
      <c r="ALU164" s="0"/>
      <c r="ALV164" s="0"/>
      <c r="ALW164" s="0"/>
      <c r="ALX164" s="0"/>
      <c r="ALY164" s="0"/>
      <c r="ALZ164" s="0"/>
      <c r="AMA164" s="0"/>
      <c r="AMB164" s="0"/>
      <c r="AMC164" s="0"/>
      <c r="AMD164" s="0"/>
      <c r="AME164" s="0"/>
      <c r="AMF164" s="0"/>
      <c r="AMG164" s="0"/>
      <c r="AMH164" s="0"/>
      <c r="AMI164" s="0"/>
      <c r="AMJ164" s="0"/>
    </row>
    <row r="165" s="64" customFormat="true" ht="11.55" hidden="false" customHeight="true" outlineLevel="0" collapsed="false">
      <c r="A165" s="19"/>
      <c r="B165" s="19"/>
      <c r="C165" s="54" t="s">
        <v>308</v>
      </c>
      <c r="D165" s="56" t="n">
        <f aca="false">D149/F149/E$3</f>
        <v>113.694848667092</v>
      </c>
      <c r="E165" s="19" t="s">
        <v>306</v>
      </c>
      <c r="F165" s="19"/>
      <c r="G165" s="122" t="n">
        <f aca="false">D165/D$178</f>
        <v>0.205594985124792</v>
      </c>
      <c r="H165" s="73"/>
      <c r="I165" s="73"/>
      <c r="AKT165" s="123"/>
      <c r="AKU165" s="124"/>
      <c r="AKV165" s="124"/>
      <c r="AKW165" s="124"/>
      <c r="AKX165" s="124"/>
      <c r="AKY165" s="124"/>
      <c r="AKZ165" s="124"/>
      <c r="ALA165" s="124"/>
      <c r="ALB165" s="124"/>
      <c r="ALC165" s="124"/>
      <c r="ALD165" s="124"/>
      <c r="ALE165" s="124"/>
      <c r="ALF165" s="124"/>
      <c r="ALG165" s="124"/>
      <c r="ALH165" s="124"/>
      <c r="ALI165" s="124"/>
      <c r="ALJ165" s="124"/>
      <c r="ALK165" s="124"/>
      <c r="ALL165" s="124"/>
      <c r="ALM165" s="124"/>
      <c r="ALN165" s="124"/>
      <c r="ALO165" s="124"/>
      <c r="ALP165" s="124"/>
      <c r="ALQ165" s="124"/>
      <c r="ALR165" s="124"/>
      <c r="ALS165" s="124"/>
      <c r="ALT165" s="124"/>
      <c r="ALU165" s="124"/>
      <c r="ALV165" s="124"/>
      <c r="ALW165" s="124"/>
      <c r="ALX165" s="124"/>
      <c r="ALY165" s="124"/>
      <c r="ALZ165" s="124"/>
      <c r="AMA165" s="124"/>
      <c r="AMB165" s="124"/>
      <c r="AMC165" s="124"/>
      <c r="AMD165" s="124"/>
      <c r="AME165" s="124"/>
      <c r="AMF165" s="124"/>
      <c r="AMG165" s="124"/>
      <c r="AMH165" s="124"/>
      <c r="AMI165" s="124"/>
      <c r="AMJ165" s="0"/>
    </row>
    <row r="166" s="73" customFormat="true" ht="11.55" hidden="false" customHeight="true" outlineLevel="0" collapsed="false">
      <c r="A166" s="19"/>
      <c r="B166" s="19"/>
      <c r="C166" s="64" t="s">
        <v>294</v>
      </c>
      <c r="D166" s="56" t="n">
        <f aca="false">D150/F150/E$3</f>
        <v>41.709125921356</v>
      </c>
      <c r="E166" s="19" t="s">
        <v>306</v>
      </c>
      <c r="F166" s="19"/>
      <c r="G166" s="122" t="n">
        <f aca="false">D166/D$178</f>
        <v>0.0754228289487247</v>
      </c>
      <c r="AKT166" s="123"/>
      <c r="AKU166" s="124"/>
      <c r="AKV166" s="124"/>
      <c r="AKW166" s="124"/>
      <c r="AKX166" s="124"/>
      <c r="AKY166" s="124"/>
      <c r="AKZ166" s="124"/>
      <c r="ALA166" s="124"/>
      <c r="ALB166" s="124"/>
      <c r="ALC166" s="124"/>
      <c r="ALD166" s="124"/>
      <c r="ALE166" s="124"/>
      <c r="ALF166" s="124"/>
      <c r="ALG166" s="124"/>
      <c r="ALH166" s="124"/>
      <c r="ALI166" s="124"/>
      <c r="ALJ166" s="124"/>
      <c r="ALK166" s="124"/>
      <c r="ALL166" s="124"/>
      <c r="ALM166" s="124"/>
      <c r="ALN166" s="124"/>
      <c r="ALO166" s="124"/>
      <c r="ALP166" s="124"/>
      <c r="ALQ166" s="124"/>
      <c r="ALR166" s="124"/>
      <c r="ALS166" s="124"/>
      <c r="ALT166" s="124"/>
      <c r="ALU166" s="124"/>
      <c r="ALV166" s="124"/>
      <c r="ALW166" s="124"/>
      <c r="ALX166" s="124"/>
      <c r="ALY166" s="124"/>
      <c r="ALZ166" s="124"/>
      <c r="AMA166" s="124"/>
      <c r="AMB166" s="124"/>
      <c r="AMC166" s="124"/>
      <c r="AMD166" s="124"/>
      <c r="AME166" s="124"/>
      <c r="AMF166" s="124"/>
      <c r="AMG166" s="124"/>
      <c r="AMH166" s="124"/>
      <c r="AMI166" s="124"/>
      <c r="AMJ166" s="0"/>
    </row>
    <row r="167" s="112" customFormat="true" ht="11.55" hidden="false" customHeight="true" outlineLevel="0" collapsed="false">
      <c r="A167" s="115"/>
      <c r="B167" s="115"/>
      <c r="C167" s="112" t="s">
        <v>309</v>
      </c>
      <c r="D167" s="125" t="n">
        <f aca="false">SUM(D159:D166)</f>
        <v>378.336022537628</v>
      </c>
      <c r="E167" s="115" t="s">
        <v>306</v>
      </c>
      <c r="F167" s="115" t="s">
        <v>13</v>
      </c>
      <c r="G167" s="116" t="s">
        <v>310</v>
      </c>
      <c r="H167" s="111"/>
      <c r="I167" s="111"/>
      <c r="AKT167" s="126"/>
      <c r="AKU167" s="127"/>
      <c r="AKV167" s="127"/>
      <c r="AKW167" s="127"/>
      <c r="AKX167" s="127"/>
      <c r="AKY167" s="127"/>
      <c r="AKZ167" s="127"/>
      <c r="ALA167" s="127"/>
      <c r="ALB167" s="127"/>
      <c r="ALC167" s="127"/>
      <c r="ALD167" s="127"/>
      <c r="ALE167" s="127"/>
      <c r="ALF167" s="127"/>
      <c r="ALG167" s="127"/>
      <c r="ALH167" s="127"/>
      <c r="ALI167" s="127"/>
      <c r="ALJ167" s="127"/>
      <c r="ALK167" s="127"/>
      <c r="ALL167" s="127"/>
      <c r="ALM167" s="127"/>
      <c r="ALN167" s="127"/>
      <c r="ALO167" s="127"/>
      <c r="ALP167" s="127"/>
      <c r="ALQ167" s="127"/>
      <c r="ALR167" s="127"/>
      <c r="ALS167" s="127"/>
      <c r="ALT167" s="127"/>
      <c r="ALU167" s="127"/>
      <c r="ALV167" s="127"/>
      <c r="ALW167" s="127"/>
      <c r="ALX167" s="127"/>
      <c r="ALY167" s="127"/>
      <c r="ALZ167" s="127"/>
      <c r="AMA167" s="127"/>
      <c r="AMB167" s="127"/>
      <c r="AMC167" s="127"/>
      <c r="AMD167" s="127"/>
      <c r="AME167" s="127"/>
      <c r="AMF167" s="127"/>
      <c r="AMG167" s="127"/>
      <c r="AMH167" s="127"/>
      <c r="AMI167" s="127"/>
      <c r="AMJ167" s="127"/>
    </row>
    <row r="168" customFormat="false" ht="11.55" hidden="false" customHeight="true" outlineLevel="0" collapsed="false">
      <c r="A168" s="115"/>
      <c r="B168" s="115"/>
      <c r="C168" s="112" t="s">
        <v>295</v>
      </c>
      <c r="D168" s="125" t="n">
        <f aca="false">D167/(1-D18/100)</f>
        <v>472.920028172035</v>
      </c>
      <c r="E168" s="115" t="s">
        <v>306</v>
      </c>
      <c r="F168" s="115"/>
      <c r="G168" s="116" t="s">
        <v>310</v>
      </c>
      <c r="H168" s="111"/>
      <c r="I168" s="111"/>
      <c r="J168" s="111"/>
      <c r="K168" s="111"/>
      <c r="L168" s="111"/>
      <c r="M168" s="111"/>
      <c r="N168" s="111"/>
      <c r="O168" s="111"/>
      <c r="P168" s="111"/>
      <c r="Q168" s="111"/>
      <c r="R168" s="111"/>
      <c r="S168" s="111"/>
      <c r="T168" s="111"/>
      <c r="U168" s="111"/>
      <c r="V168" s="111"/>
      <c r="W168" s="111"/>
      <c r="X168" s="111"/>
      <c r="Y168" s="111"/>
      <c r="Z168" s="111"/>
      <c r="AA168" s="111"/>
      <c r="AB168" s="111"/>
      <c r="AC168" s="111"/>
      <c r="AD168" s="111"/>
      <c r="AE168" s="111"/>
      <c r="AF168" s="111"/>
      <c r="AG168" s="111"/>
      <c r="AH168" s="111"/>
      <c r="AI168" s="111"/>
      <c r="AJ168" s="111"/>
      <c r="AK168" s="111"/>
      <c r="AL168" s="111"/>
      <c r="AM168" s="111"/>
      <c r="AN168" s="111"/>
      <c r="AO168" s="111"/>
      <c r="AP168" s="111"/>
      <c r="AQ168" s="111"/>
      <c r="AR168" s="111"/>
      <c r="AS168" s="111"/>
      <c r="AT168" s="111"/>
      <c r="AU168" s="111"/>
      <c r="AV168" s="111"/>
      <c r="AW168" s="111"/>
      <c r="AX168" s="111"/>
      <c r="AY168" s="111"/>
      <c r="AZ168" s="111"/>
      <c r="BA168" s="111"/>
      <c r="BB168" s="111"/>
      <c r="BC168" s="111"/>
      <c r="BD168" s="111"/>
      <c r="BE168" s="111"/>
      <c r="BF168" s="111"/>
      <c r="BG168" s="111"/>
      <c r="BH168" s="111"/>
      <c r="BI168" s="111"/>
      <c r="BJ168" s="111"/>
      <c r="BK168" s="111"/>
      <c r="BL168" s="111"/>
      <c r="AKT168" s="126"/>
      <c r="AKU168" s="127"/>
      <c r="AKV168" s="127"/>
      <c r="AKW168" s="127"/>
      <c r="AKX168" s="127"/>
      <c r="AKY168" s="127"/>
      <c r="AKZ168" s="127"/>
      <c r="ALA168" s="127"/>
      <c r="ALB168" s="127"/>
      <c r="ALC168" s="127"/>
      <c r="ALD168" s="127"/>
      <c r="ALE168" s="127"/>
      <c r="ALF168" s="127"/>
      <c r="ALG168" s="127"/>
      <c r="ALH168" s="127"/>
      <c r="ALI168" s="127"/>
      <c r="ALJ168" s="127"/>
      <c r="ALK168" s="127"/>
      <c r="ALL168" s="127"/>
      <c r="ALM168" s="127"/>
      <c r="ALN168" s="127"/>
      <c r="ALO168" s="127"/>
      <c r="ALP168" s="127"/>
      <c r="ALQ168" s="127"/>
      <c r="ALR168" s="127"/>
      <c r="ALS168" s="127"/>
      <c r="ALT168" s="127"/>
      <c r="ALU168" s="127"/>
      <c r="ALV168" s="127"/>
      <c r="ALW168" s="127"/>
      <c r="ALX168" s="127"/>
      <c r="ALY168" s="127"/>
      <c r="ALZ168" s="127"/>
      <c r="AMA168" s="127"/>
      <c r="AMB168" s="127"/>
      <c r="AMC168" s="127"/>
      <c r="AMD168" s="127"/>
      <c r="AME168" s="127"/>
      <c r="AMF168" s="127"/>
      <c r="AMG168" s="127"/>
      <c r="AMH168" s="127"/>
      <c r="AMI168" s="127"/>
      <c r="AMJ168" s="127"/>
    </row>
    <row r="169" s="64" customFormat="true" ht="11.55" hidden="false" customHeight="true" outlineLevel="0" collapsed="false">
      <c r="A169" s="19" t="s">
        <v>13</v>
      </c>
      <c r="B169" s="19"/>
      <c r="D169" s="56" t="s">
        <v>13</v>
      </c>
      <c r="E169" s="19" t="s">
        <v>13</v>
      </c>
      <c r="F169" s="19"/>
      <c r="G169" s="54"/>
      <c r="AKT169" s="123"/>
      <c r="AKU169" s="124"/>
      <c r="AKV169" s="124"/>
      <c r="AKW169" s="124"/>
      <c r="AKX169" s="124"/>
      <c r="AKY169" s="124"/>
      <c r="AKZ169" s="124"/>
      <c r="ALA169" s="124"/>
      <c r="ALB169" s="124"/>
      <c r="ALC169" s="124"/>
      <c r="ALD169" s="124"/>
      <c r="ALE169" s="124"/>
      <c r="ALF169" s="124"/>
      <c r="ALG169" s="124"/>
      <c r="ALH169" s="124"/>
      <c r="ALI169" s="124"/>
      <c r="ALJ169" s="124"/>
      <c r="ALK169" s="124"/>
      <c r="ALL169" s="124"/>
      <c r="ALM169" s="124"/>
      <c r="ALN169" s="124"/>
      <c r="ALO169" s="124"/>
      <c r="ALP169" s="124"/>
      <c r="ALQ169" s="124"/>
      <c r="ALR169" s="124"/>
      <c r="ALS169" s="124"/>
      <c r="ALT169" s="124"/>
      <c r="ALU169" s="124"/>
      <c r="ALV169" s="124"/>
      <c r="ALW169" s="124"/>
      <c r="ALX169" s="124"/>
      <c r="ALY169" s="124"/>
      <c r="ALZ169" s="124"/>
      <c r="AMA169" s="124"/>
      <c r="AMB169" s="124"/>
      <c r="AMC169" s="124"/>
      <c r="AMD169" s="124"/>
      <c r="AME169" s="124"/>
      <c r="AMF169" s="124"/>
      <c r="AMG169" s="124"/>
      <c r="AMH169" s="124"/>
      <c r="AMI169" s="124"/>
      <c r="AMJ169" s="0"/>
    </row>
    <row r="170" s="64" customFormat="true" ht="11.55" hidden="false" customHeight="true" outlineLevel="0" collapsed="false">
      <c r="A170" s="19"/>
      <c r="B170" s="19"/>
      <c r="C170" s="54" t="s">
        <v>297</v>
      </c>
      <c r="D170" s="56" t="n">
        <f aca="false">D153/E$3</f>
        <v>38.5283443199344</v>
      </c>
      <c r="E170" s="19" t="s">
        <v>306</v>
      </c>
      <c r="F170" s="19"/>
      <c r="G170" s="54"/>
      <c r="H170" s="64" t="s">
        <v>13</v>
      </c>
      <c r="AKT170" s="123"/>
      <c r="AKU170" s="124"/>
      <c r="AKV170" s="124"/>
      <c r="AKW170" s="124"/>
      <c r="AKX170" s="124"/>
      <c r="AKY170" s="124"/>
      <c r="AKZ170" s="124"/>
      <c r="ALA170" s="124"/>
      <c r="ALB170" s="124"/>
      <c r="ALC170" s="124"/>
      <c r="ALD170" s="124"/>
      <c r="ALE170" s="124"/>
      <c r="ALF170" s="124"/>
      <c r="ALG170" s="124"/>
      <c r="ALH170" s="124"/>
      <c r="ALI170" s="124"/>
      <c r="ALJ170" s="124"/>
      <c r="ALK170" s="124"/>
      <c r="ALL170" s="124"/>
      <c r="ALM170" s="124"/>
      <c r="ALN170" s="124"/>
      <c r="ALO170" s="124"/>
      <c r="ALP170" s="124"/>
      <c r="ALQ170" s="124"/>
      <c r="ALR170" s="124"/>
      <c r="ALS170" s="124"/>
      <c r="ALT170" s="124"/>
      <c r="ALU170" s="124"/>
      <c r="ALV170" s="124"/>
      <c r="ALW170" s="124"/>
      <c r="ALX170" s="124"/>
      <c r="ALY170" s="124"/>
      <c r="ALZ170" s="124"/>
      <c r="AMA170" s="124"/>
      <c r="AMB170" s="124"/>
      <c r="AMC170" s="124"/>
      <c r="AMD170" s="124"/>
      <c r="AME170" s="124"/>
      <c r="AMF170" s="124"/>
      <c r="AMG170" s="124"/>
      <c r="AMH170" s="124"/>
      <c r="AMI170" s="124"/>
      <c r="AMJ170" s="0"/>
    </row>
    <row r="171" s="64" customFormat="true" ht="11.55" hidden="false" customHeight="true" outlineLevel="0" collapsed="false">
      <c r="A171" s="19"/>
      <c r="B171" s="19"/>
      <c r="C171" s="64" t="s">
        <v>299</v>
      </c>
      <c r="D171" s="56" t="n">
        <f aca="false">D154/E$3</f>
        <v>394.879298663725</v>
      </c>
      <c r="E171" s="19" t="s">
        <v>306</v>
      </c>
      <c r="F171" s="19"/>
      <c r="G171" s="54"/>
      <c r="H171" s="73"/>
      <c r="I171" s="73"/>
      <c r="AKT171" s="123"/>
      <c r="AKU171" s="124"/>
      <c r="AKV171" s="124"/>
      <c r="AKW171" s="124"/>
      <c r="AKX171" s="124"/>
      <c r="AKY171" s="124"/>
      <c r="AKZ171" s="124"/>
      <c r="ALA171" s="124"/>
      <c r="ALB171" s="124"/>
      <c r="ALC171" s="124"/>
      <c r="ALD171" s="124"/>
      <c r="ALE171" s="124"/>
      <c r="ALF171" s="124"/>
      <c r="ALG171" s="124"/>
      <c r="ALH171" s="124"/>
      <c r="ALI171" s="124"/>
      <c r="ALJ171" s="124"/>
      <c r="ALK171" s="124"/>
      <c r="ALL171" s="124"/>
      <c r="ALM171" s="124"/>
      <c r="ALN171" s="124"/>
      <c r="ALO171" s="124"/>
      <c r="ALP171" s="124"/>
      <c r="ALQ171" s="124"/>
      <c r="ALR171" s="124"/>
      <c r="ALS171" s="124"/>
      <c r="ALT171" s="124"/>
      <c r="ALU171" s="124"/>
      <c r="ALV171" s="124"/>
      <c r="ALW171" s="124"/>
      <c r="ALX171" s="124"/>
      <c r="ALY171" s="124"/>
      <c r="ALZ171" s="124"/>
      <c r="AMA171" s="124"/>
      <c r="AMB171" s="124"/>
      <c r="AMC171" s="124"/>
      <c r="AMD171" s="124"/>
      <c r="AME171" s="124"/>
      <c r="AMF171" s="124"/>
      <c r="AMG171" s="124"/>
      <c r="AMH171" s="124"/>
      <c r="AMI171" s="124"/>
      <c r="AMJ171" s="0"/>
    </row>
    <row r="172" s="73" customFormat="true" ht="11.55" hidden="false" customHeight="true" outlineLevel="0" collapsed="false">
      <c r="A172" s="19"/>
      <c r="B172" s="19"/>
      <c r="C172" s="64" t="s">
        <v>300</v>
      </c>
      <c r="D172" s="56" t="n">
        <f aca="false">D155/E$3</f>
        <v>-154.002926478853</v>
      </c>
      <c r="E172" s="19" t="s">
        <v>306</v>
      </c>
      <c r="F172" s="19"/>
      <c r="G172" s="54" t="s">
        <v>301</v>
      </c>
      <c r="AKT172" s="123"/>
      <c r="AKU172" s="124"/>
      <c r="AKV172" s="124"/>
      <c r="AKW172" s="124"/>
      <c r="AKX172" s="124"/>
      <c r="AKY172" s="124"/>
      <c r="AKZ172" s="124"/>
      <c r="ALA172" s="124"/>
      <c r="ALB172" s="124"/>
      <c r="ALC172" s="124"/>
      <c r="ALD172" s="124"/>
      <c r="ALE172" s="124"/>
      <c r="ALF172" s="124"/>
      <c r="ALG172" s="124"/>
      <c r="ALH172" s="124"/>
      <c r="ALI172" s="124"/>
      <c r="ALJ172" s="124"/>
      <c r="ALK172" s="124"/>
      <c r="ALL172" s="124"/>
      <c r="ALM172" s="124"/>
      <c r="ALN172" s="124"/>
      <c r="ALO172" s="124"/>
      <c r="ALP172" s="124"/>
      <c r="ALQ172" s="124"/>
      <c r="ALR172" s="124"/>
      <c r="ALS172" s="124"/>
      <c r="ALT172" s="124"/>
      <c r="ALU172" s="124"/>
      <c r="ALV172" s="124"/>
      <c r="ALW172" s="124"/>
      <c r="ALX172" s="124"/>
      <c r="ALY172" s="124"/>
      <c r="ALZ172" s="124"/>
      <c r="AMA172" s="124"/>
      <c r="AMB172" s="124"/>
      <c r="AMC172" s="124"/>
      <c r="AMD172" s="124"/>
      <c r="AME172" s="124"/>
      <c r="AMF172" s="124"/>
      <c r="AMG172" s="124"/>
      <c r="AMH172" s="124"/>
      <c r="AMI172" s="124"/>
      <c r="AMJ172" s="0"/>
    </row>
    <row r="173" s="73" customFormat="true" ht="11.55" hidden="false" customHeight="true" outlineLevel="0" collapsed="false">
      <c r="A173" s="19"/>
      <c r="B173" s="19"/>
      <c r="C173" s="64" t="s">
        <v>302</v>
      </c>
      <c r="D173" s="56" t="n">
        <f aca="false">D156/E$3</f>
        <v>2.13061801881246</v>
      </c>
      <c r="E173" s="19" t="s">
        <v>306</v>
      </c>
      <c r="F173" s="19"/>
      <c r="G173" s="54"/>
      <c r="AKT173" s="123"/>
      <c r="AKU173" s="124"/>
      <c r="AKV173" s="124"/>
      <c r="AKW173" s="124"/>
      <c r="AKX173" s="124"/>
      <c r="AKY173" s="124"/>
      <c r="AKZ173" s="124"/>
      <c r="ALA173" s="124"/>
      <c r="ALB173" s="124"/>
      <c r="ALC173" s="124"/>
      <c r="ALD173" s="124"/>
      <c r="ALE173" s="124"/>
      <c r="ALF173" s="124"/>
      <c r="ALG173" s="124"/>
      <c r="ALH173" s="124"/>
      <c r="ALI173" s="124"/>
      <c r="ALJ173" s="124"/>
      <c r="ALK173" s="124"/>
      <c r="ALL173" s="124"/>
      <c r="ALM173" s="124"/>
      <c r="ALN173" s="124"/>
      <c r="ALO173" s="124"/>
      <c r="ALP173" s="124"/>
      <c r="ALQ173" s="124"/>
      <c r="ALR173" s="124"/>
      <c r="ALS173" s="124"/>
      <c r="ALT173" s="124"/>
      <c r="ALU173" s="124"/>
      <c r="ALV173" s="124"/>
      <c r="ALW173" s="124"/>
      <c r="ALX173" s="124"/>
      <c r="ALY173" s="124"/>
      <c r="ALZ173" s="124"/>
      <c r="AMA173" s="124"/>
      <c r="AMB173" s="124"/>
      <c r="AMC173" s="124"/>
      <c r="AMD173" s="124"/>
      <c r="AME173" s="124"/>
      <c r="AMF173" s="124"/>
      <c r="AMG173" s="124"/>
      <c r="AMH173" s="124"/>
      <c r="AMI173" s="124"/>
      <c r="AMJ173" s="0"/>
    </row>
    <row r="174" s="73" customFormat="true" ht="17.2" hidden="false" customHeight="true" outlineLevel="0" collapsed="false">
      <c r="A174" s="19" t="s">
        <v>13</v>
      </c>
      <c r="B174" s="19"/>
      <c r="C174" s="64" t="s">
        <v>303</v>
      </c>
      <c r="D174" s="56" t="n">
        <f aca="false">D157/E$3</f>
        <v>81.13413304253</v>
      </c>
      <c r="E174" s="19" t="s">
        <v>306</v>
      </c>
      <c r="F174" s="19"/>
      <c r="G174" s="54"/>
      <c r="AKT174" s="123"/>
      <c r="AKU174" s="124"/>
      <c r="AKV174" s="124"/>
      <c r="AKW174" s="124"/>
      <c r="AKX174" s="124"/>
      <c r="AKY174" s="124"/>
      <c r="AKZ174" s="124"/>
      <c r="ALA174" s="124"/>
      <c r="ALB174" s="124"/>
      <c r="ALC174" s="124"/>
      <c r="ALD174" s="124"/>
      <c r="ALE174" s="124"/>
      <c r="ALF174" s="124"/>
      <c r="ALG174" s="124"/>
      <c r="ALH174" s="124"/>
      <c r="ALI174" s="124"/>
      <c r="ALJ174" s="124"/>
      <c r="ALK174" s="124"/>
      <c r="ALL174" s="124"/>
      <c r="ALM174" s="124"/>
      <c r="ALN174" s="124"/>
      <c r="ALO174" s="124"/>
      <c r="ALP174" s="124"/>
      <c r="ALQ174" s="124"/>
      <c r="ALR174" s="124"/>
      <c r="ALS174" s="124"/>
      <c r="ALT174" s="124"/>
      <c r="ALU174" s="124"/>
      <c r="ALV174" s="124"/>
      <c r="ALW174" s="124"/>
      <c r="ALX174" s="124"/>
      <c r="ALY174" s="124"/>
      <c r="ALZ174" s="124"/>
      <c r="AMA174" s="124"/>
      <c r="AMB174" s="124"/>
      <c r="AMC174" s="124"/>
      <c r="AMD174" s="124"/>
      <c r="AME174" s="124"/>
      <c r="AMF174" s="124"/>
      <c r="AMG174" s="124"/>
      <c r="AMH174" s="124"/>
      <c r="AMI174" s="124"/>
      <c r="AMJ174" s="0"/>
    </row>
    <row r="175" s="112" customFormat="true" ht="17.2" hidden="false" customHeight="true" outlineLevel="0" collapsed="false">
      <c r="A175" s="115"/>
      <c r="B175" s="115"/>
      <c r="C175" s="112" t="s">
        <v>296</v>
      </c>
      <c r="D175" s="125" t="n">
        <f aca="false">SUM(D170:D174)</f>
        <v>362.669467566149</v>
      </c>
      <c r="E175" s="115" t="s">
        <v>306</v>
      </c>
      <c r="F175" s="115"/>
      <c r="G175" s="116"/>
      <c r="J175" s="128"/>
      <c r="K175" s="128"/>
      <c r="L175" s="128"/>
      <c r="M175" s="128"/>
      <c r="N175" s="128"/>
      <c r="O175" s="128"/>
      <c r="P175" s="129"/>
      <c r="AMJ175" s="0"/>
    </row>
    <row r="176" customFormat="false" ht="23.95" hidden="false" customHeight="true" outlineLevel="0" collapsed="false">
      <c r="A176" s="24"/>
      <c r="B176" s="24"/>
      <c r="C176" s="73"/>
      <c r="D176" s="120"/>
      <c r="E176" s="24"/>
      <c r="F176" s="24"/>
      <c r="G176" s="130"/>
      <c r="H176" s="73"/>
      <c r="I176" s="73"/>
      <c r="J176" s="131"/>
      <c r="K176" s="131"/>
      <c r="L176" s="131"/>
      <c r="M176" s="131"/>
      <c r="N176" s="131"/>
      <c r="O176" s="131"/>
      <c r="P176" s="132"/>
      <c r="Q176" s="131"/>
      <c r="R176" s="131"/>
      <c r="S176" s="131"/>
      <c r="T176" s="131"/>
      <c r="U176" s="131"/>
      <c r="V176" s="131"/>
      <c r="W176" s="131"/>
      <c r="X176" s="131"/>
      <c r="Y176" s="131"/>
      <c r="Z176" s="131"/>
      <c r="AA176" s="131"/>
      <c r="AB176" s="131"/>
      <c r="AC176" s="131"/>
      <c r="AD176" s="131"/>
      <c r="AE176" s="131"/>
      <c r="AF176" s="131"/>
      <c r="AG176" s="131"/>
      <c r="AH176" s="131"/>
      <c r="AI176" s="131"/>
      <c r="AJ176" s="131"/>
      <c r="AK176" s="131"/>
      <c r="AL176" s="131"/>
      <c r="AM176" s="131"/>
      <c r="AN176" s="131"/>
      <c r="AO176" s="131"/>
      <c r="AP176" s="131"/>
      <c r="AQ176" s="131"/>
      <c r="AR176" s="131"/>
      <c r="AS176" s="131"/>
      <c r="AT176" s="131"/>
      <c r="AU176" s="131"/>
      <c r="AV176" s="131"/>
      <c r="AW176" s="131"/>
      <c r="AX176" s="131"/>
      <c r="AY176" s="131"/>
      <c r="AZ176" s="131"/>
      <c r="BA176" s="131"/>
      <c r="BB176" s="131"/>
      <c r="BC176" s="131"/>
      <c r="BD176" s="131"/>
      <c r="BE176" s="131"/>
      <c r="BF176" s="131"/>
      <c r="BG176" s="131"/>
      <c r="BH176" s="131"/>
      <c r="BI176" s="131"/>
      <c r="BJ176" s="131"/>
      <c r="BK176" s="131"/>
      <c r="BL176" s="131"/>
      <c r="AMJ176" s="131"/>
    </row>
    <row r="177" customFormat="false" ht="28.6" hidden="false" customHeight="true" outlineLevel="0" collapsed="false">
      <c r="A177" s="133" t="s">
        <v>311</v>
      </c>
      <c r="B177" s="133"/>
      <c r="C177" s="134" t="s">
        <v>312</v>
      </c>
      <c r="D177" s="135" t="n">
        <f aca="false">D168+D175</f>
        <v>835.589495738184</v>
      </c>
      <c r="E177" s="133" t="s">
        <v>306</v>
      </c>
      <c r="F177" s="136"/>
      <c r="G177" s="136" t="s">
        <v>313</v>
      </c>
      <c r="H177" s="137" t="n">
        <f aca="false">(D123+(D91-D89))/(E3*D11)*100</f>
        <v>46.9190516071359</v>
      </c>
      <c r="I177" s="136" t="s">
        <v>41</v>
      </c>
      <c r="J177" s="138"/>
      <c r="K177" s="138"/>
      <c r="L177" s="138"/>
      <c r="M177" s="136"/>
      <c r="N177" s="138"/>
      <c r="O177" s="138"/>
      <c r="P177" s="139"/>
      <c r="Q177" s="136"/>
      <c r="R177" s="136"/>
      <c r="S177" s="136"/>
      <c r="T177" s="136"/>
      <c r="U177" s="136"/>
      <c r="V177" s="136"/>
      <c r="W177" s="136"/>
      <c r="X177" s="136"/>
      <c r="Y177" s="136"/>
      <c r="Z177" s="136"/>
      <c r="AA177" s="136"/>
      <c r="AB177" s="136"/>
      <c r="AC177" s="136"/>
      <c r="AD177" s="136"/>
      <c r="AE177" s="136"/>
      <c r="AF177" s="136"/>
      <c r="AG177" s="136"/>
      <c r="AH177" s="136"/>
      <c r="AI177" s="136"/>
      <c r="AJ177" s="136"/>
      <c r="AK177" s="136"/>
      <c r="AL177" s="136"/>
      <c r="AM177" s="136"/>
      <c r="AN177" s="136"/>
      <c r="AO177" s="136"/>
      <c r="AP177" s="136"/>
      <c r="AQ177" s="136"/>
      <c r="AR177" s="136"/>
      <c r="AS177" s="136"/>
      <c r="AT177" s="136"/>
      <c r="AU177" s="136"/>
      <c r="AV177" s="136"/>
      <c r="AW177" s="136"/>
      <c r="AX177" s="136"/>
      <c r="AY177" s="136"/>
      <c r="AZ177" s="136"/>
      <c r="BA177" s="136"/>
      <c r="BB177" s="136"/>
      <c r="BC177" s="136"/>
      <c r="BD177" s="136"/>
      <c r="BE177" s="136"/>
      <c r="BF177" s="136"/>
      <c r="BG177" s="136"/>
      <c r="BH177" s="136"/>
      <c r="BI177" s="136"/>
      <c r="BJ177" s="136"/>
      <c r="BK177" s="136"/>
      <c r="BL177" s="136"/>
      <c r="AMJ177" s="0"/>
    </row>
    <row r="178" customFormat="false" ht="28.6" hidden="false" customHeight="true" outlineLevel="0" collapsed="false">
      <c r="A178" s="133"/>
      <c r="B178" s="133"/>
      <c r="C178" s="134" t="s">
        <v>314</v>
      </c>
      <c r="D178" s="135" t="n">
        <f aca="false">D168+D175-D166-D171-D172</f>
        <v>553.003997631956</v>
      </c>
      <c r="E178" s="133" t="s">
        <v>306</v>
      </c>
      <c r="F178" s="136"/>
      <c r="G178" s="136" t="s">
        <v>315</v>
      </c>
      <c r="H178" s="137" t="n">
        <f aca="false">D123/(E3*D10)*100</f>
        <v>3.29150262008552</v>
      </c>
      <c r="I178" s="136" t="s">
        <v>41</v>
      </c>
      <c r="J178" s="140"/>
      <c r="K178" s="140"/>
      <c r="L178" s="140"/>
      <c r="M178" s="141"/>
      <c r="N178" s="140"/>
      <c r="O178" s="140"/>
      <c r="P178" s="142"/>
      <c r="Q178" s="138"/>
      <c r="R178" s="138"/>
      <c r="S178" s="138"/>
      <c r="T178" s="138"/>
      <c r="U178" s="138"/>
      <c r="V178" s="138"/>
      <c r="W178" s="138"/>
      <c r="X178" s="138"/>
      <c r="Y178" s="138"/>
      <c r="Z178" s="138"/>
      <c r="AA178" s="138"/>
      <c r="AB178" s="138"/>
      <c r="AC178" s="138"/>
      <c r="AD178" s="138"/>
      <c r="AE178" s="138"/>
      <c r="AF178" s="138"/>
      <c r="AG178" s="138"/>
      <c r="AH178" s="138"/>
      <c r="AI178" s="138"/>
      <c r="AJ178" s="138"/>
      <c r="AK178" s="138"/>
      <c r="AL178" s="138"/>
      <c r="AM178" s="138"/>
      <c r="AN178" s="138"/>
      <c r="AO178" s="138"/>
      <c r="AP178" s="138"/>
      <c r="AQ178" s="138"/>
      <c r="AR178" s="138"/>
      <c r="AS178" s="138"/>
      <c r="AT178" s="138"/>
      <c r="AU178" s="138"/>
      <c r="AV178" s="138"/>
      <c r="AW178" s="138"/>
      <c r="AX178" s="138"/>
      <c r="AY178" s="138"/>
      <c r="AZ178" s="138"/>
      <c r="BA178" s="138"/>
      <c r="BB178" s="138"/>
      <c r="BC178" s="138"/>
      <c r="BD178" s="138"/>
      <c r="BE178" s="138"/>
      <c r="BF178" s="138"/>
      <c r="BG178" s="138"/>
      <c r="BH178" s="138"/>
      <c r="BI178" s="138"/>
      <c r="BJ178" s="138"/>
      <c r="BK178" s="138"/>
      <c r="BL178" s="138"/>
      <c r="AMJ178" s="143"/>
    </row>
    <row r="179" customFormat="false" ht="85.2" hidden="false" customHeight="true" outlineLevel="0" collapsed="false">
      <c r="A179" s="144"/>
      <c r="B179" s="145"/>
      <c r="C179" s="146" t="s">
        <v>316</v>
      </c>
      <c r="D179" s="147"/>
      <c r="E179" s="145"/>
      <c r="F179" s="148"/>
      <c r="G179" s="5" t="s">
        <v>317</v>
      </c>
      <c r="H179" s="148"/>
      <c r="I179" s="148"/>
    </row>
    <row r="180" customFormat="false" ht="8.95" hidden="false" customHeight="true" outlineLevel="0" collapsed="false">
      <c r="A180" s="13"/>
      <c r="F180" s="5"/>
    </row>
    <row r="181" customFormat="false" ht="8.95" hidden="false" customHeight="true" outlineLevel="0" collapsed="false">
      <c r="A181" s="13"/>
      <c r="F181" s="5"/>
    </row>
    <row r="182" customFormat="false" ht="8.95" hidden="false" customHeight="true" outlineLevel="0" collapsed="false">
      <c r="A182" s="13"/>
      <c r="F182" s="5"/>
    </row>
    <row r="183" customFormat="false" ht="8.95" hidden="false" customHeight="true" outlineLevel="0" collapsed="false">
      <c r="A183" s="13"/>
      <c r="F183" s="5"/>
    </row>
    <row r="184" customFormat="false" ht="8.95" hidden="false" customHeight="true" outlineLevel="0" collapsed="false">
      <c r="A184" s="13"/>
      <c r="F184" s="5"/>
    </row>
    <row r="185" customFormat="false" ht="8.95" hidden="false" customHeight="true" outlineLevel="0" collapsed="false">
      <c r="A185" s="13"/>
      <c r="F185" s="5"/>
    </row>
    <row r="186" customFormat="false" ht="8.95" hidden="false" customHeight="true" outlineLevel="0" collapsed="false">
      <c r="A186" s="13"/>
      <c r="F186" s="5"/>
    </row>
    <row r="187" customFormat="false" ht="8.95" hidden="false" customHeight="true" outlineLevel="0" collapsed="false">
      <c r="A187" s="13"/>
      <c r="F187" s="5"/>
    </row>
    <row r="188" customFormat="false" ht="8.95" hidden="false" customHeight="true" outlineLevel="0" collapsed="false">
      <c r="A188" s="13"/>
      <c r="F188" s="5"/>
    </row>
    <row r="189" customFormat="false" ht="8.95" hidden="false" customHeight="true" outlineLevel="0" collapsed="false">
      <c r="A189" s="13"/>
      <c r="F189" s="5"/>
    </row>
    <row r="190" customFormat="false" ht="8.95" hidden="false" customHeight="true" outlineLevel="0" collapsed="false">
      <c r="A190" s="13"/>
      <c r="F190" s="5"/>
    </row>
    <row r="191" customFormat="false" ht="8.95" hidden="false" customHeight="true" outlineLevel="0" collapsed="false">
      <c r="A191" s="13"/>
      <c r="F191" s="5"/>
    </row>
    <row r="192" customFormat="false" ht="8.95" hidden="false" customHeight="true" outlineLevel="0" collapsed="false">
      <c r="A192" s="13"/>
      <c r="F192" s="5"/>
    </row>
    <row r="193" customFormat="false" ht="8.95" hidden="false" customHeight="true" outlineLevel="0" collapsed="false">
      <c r="A193" s="13"/>
      <c r="F193" s="5"/>
    </row>
    <row r="194" customFormat="false" ht="8.95" hidden="false" customHeight="true" outlineLevel="0" collapsed="false">
      <c r="A194" s="13"/>
      <c r="F194" s="5"/>
    </row>
    <row r="195" customFormat="false" ht="8.95" hidden="false" customHeight="true" outlineLevel="0" collapsed="false">
      <c r="A195" s="13"/>
      <c r="F195" s="5"/>
    </row>
    <row r="196" customFormat="false" ht="8.95" hidden="false" customHeight="true" outlineLevel="0" collapsed="false">
      <c r="A196" s="13"/>
      <c r="F196" s="5"/>
    </row>
    <row r="197" customFormat="false" ht="8.95" hidden="false" customHeight="true" outlineLevel="0" collapsed="false">
      <c r="A197" s="13"/>
      <c r="F197" s="5"/>
    </row>
    <row r="198" customFormat="false" ht="8.95" hidden="false" customHeight="true" outlineLevel="0" collapsed="false">
      <c r="A198" s="13"/>
      <c r="F198" s="5"/>
    </row>
    <row r="199" customFormat="false" ht="8.95" hidden="false" customHeight="true" outlineLevel="0" collapsed="false">
      <c r="A199" s="13"/>
      <c r="F199" s="5"/>
    </row>
    <row r="200" customFormat="false" ht="8.95" hidden="false" customHeight="true" outlineLevel="0" collapsed="false">
      <c r="A200" s="13"/>
      <c r="F200" s="5"/>
    </row>
    <row r="201" customFormat="false" ht="8.95" hidden="false" customHeight="true" outlineLevel="0" collapsed="false">
      <c r="A201" s="13"/>
      <c r="F201" s="5"/>
    </row>
    <row r="202" customFormat="false" ht="8.95" hidden="false" customHeight="true" outlineLevel="0" collapsed="false">
      <c r="A202" s="13"/>
      <c r="F202" s="5"/>
    </row>
    <row r="203" customFormat="false" ht="8.95" hidden="false" customHeight="true" outlineLevel="0" collapsed="false">
      <c r="A203" s="13"/>
      <c r="F203" s="5"/>
    </row>
    <row r="204" customFormat="false" ht="8.95" hidden="false" customHeight="true" outlineLevel="0" collapsed="false">
      <c r="A204" s="13"/>
      <c r="F204" s="5"/>
    </row>
    <row r="205" customFormat="false" ht="8.95" hidden="false" customHeight="true" outlineLevel="0" collapsed="false">
      <c r="A205" s="13"/>
      <c r="F205" s="5"/>
    </row>
    <row r="206" customFormat="false" ht="8.95" hidden="false" customHeight="true" outlineLevel="0" collapsed="false">
      <c r="A206" s="13"/>
      <c r="F206" s="5"/>
    </row>
    <row r="207" customFormat="false" ht="8.95" hidden="false" customHeight="true" outlineLevel="0" collapsed="false">
      <c r="A207" s="13"/>
      <c r="F207" s="5"/>
    </row>
    <row r="208" customFormat="false" ht="8.95" hidden="false" customHeight="true" outlineLevel="0" collapsed="false">
      <c r="A208" s="13"/>
      <c r="F208" s="5"/>
    </row>
    <row r="209" customFormat="false" ht="8.95" hidden="false" customHeight="true" outlineLevel="0" collapsed="false">
      <c r="A209" s="13"/>
      <c r="F209" s="5"/>
    </row>
    <row r="210" customFormat="false" ht="8.95" hidden="false" customHeight="true" outlineLevel="0" collapsed="false">
      <c r="A210" s="13"/>
      <c r="F210" s="5"/>
    </row>
    <row r="211" customFormat="false" ht="8.95" hidden="false" customHeight="true" outlineLevel="0" collapsed="false">
      <c r="A211" s="13"/>
      <c r="F211" s="5"/>
    </row>
    <row r="212" customFormat="false" ht="8.95" hidden="false" customHeight="true" outlineLevel="0" collapsed="false">
      <c r="A212" s="13"/>
      <c r="F212" s="5"/>
    </row>
    <row r="213" customFormat="false" ht="8.95" hidden="false" customHeight="true" outlineLevel="0" collapsed="false">
      <c r="A213" s="13"/>
      <c r="F213" s="5"/>
    </row>
    <row r="214" customFormat="false" ht="8.95" hidden="false" customHeight="true" outlineLevel="0" collapsed="false">
      <c r="A214" s="13"/>
      <c r="F214" s="5"/>
    </row>
    <row r="215" customFormat="false" ht="8.95" hidden="false" customHeight="true" outlineLevel="0" collapsed="false">
      <c r="A215" s="13"/>
      <c r="F215" s="5"/>
    </row>
    <row r="216" customFormat="false" ht="8.95" hidden="false" customHeight="true" outlineLevel="0" collapsed="false">
      <c r="A216" s="13"/>
      <c r="F216" s="5"/>
    </row>
    <row r="217" customFormat="false" ht="8.95" hidden="false" customHeight="true" outlineLevel="0" collapsed="false">
      <c r="A217" s="13"/>
      <c r="F217" s="5"/>
    </row>
    <row r="218" customFormat="false" ht="8.95" hidden="false" customHeight="true" outlineLevel="0" collapsed="false">
      <c r="A218" s="13"/>
      <c r="F218" s="5"/>
    </row>
    <row r="219" customFormat="false" ht="8.95" hidden="false" customHeight="true" outlineLevel="0" collapsed="false">
      <c r="A219" s="13"/>
      <c r="F219" s="5"/>
    </row>
    <row r="220" customFormat="false" ht="8.95" hidden="false" customHeight="true" outlineLevel="0" collapsed="false">
      <c r="A220" s="13"/>
      <c r="F220" s="5"/>
    </row>
    <row r="221" customFormat="false" ht="8.95" hidden="false" customHeight="true" outlineLevel="0" collapsed="false">
      <c r="A221" s="13"/>
      <c r="F221" s="5"/>
    </row>
    <row r="222" customFormat="false" ht="8.95" hidden="false" customHeight="true" outlineLevel="0" collapsed="false">
      <c r="A222" s="13"/>
      <c r="F222" s="5"/>
    </row>
    <row r="223" customFormat="false" ht="8.95" hidden="false" customHeight="true" outlineLevel="0" collapsed="false">
      <c r="A223" s="13"/>
      <c r="F223" s="5"/>
    </row>
    <row r="224" customFormat="false" ht="8.95" hidden="false" customHeight="true" outlineLevel="0" collapsed="false">
      <c r="A224" s="13"/>
      <c r="F224" s="5"/>
    </row>
    <row r="225" customFormat="false" ht="8.95" hidden="false" customHeight="true" outlineLevel="0" collapsed="false">
      <c r="A225" s="13"/>
      <c r="F225" s="5"/>
    </row>
    <row r="226" customFormat="false" ht="8.95" hidden="false" customHeight="true" outlineLevel="0" collapsed="false">
      <c r="A226" s="13"/>
      <c r="F226" s="5"/>
    </row>
    <row r="227" customFormat="false" ht="8.95" hidden="false" customHeight="true" outlineLevel="0" collapsed="false">
      <c r="A227" s="13"/>
      <c r="F227" s="5"/>
    </row>
    <row r="228" customFormat="false" ht="8.95" hidden="false" customHeight="true" outlineLevel="0" collapsed="false">
      <c r="A228" s="13"/>
      <c r="F228" s="5"/>
    </row>
    <row r="229" customFormat="false" ht="8.95" hidden="false" customHeight="true" outlineLevel="0" collapsed="false">
      <c r="A229" s="13"/>
      <c r="F229" s="5"/>
    </row>
    <row r="230" customFormat="false" ht="8.95" hidden="false" customHeight="true" outlineLevel="0" collapsed="false">
      <c r="A230" s="13"/>
      <c r="F230" s="5"/>
    </row>
    <row r="231" customFormat="false" ht="8.95" hidden="false" customHeight="true" outlineLevel="0" collapsed="false">
      <c r="A231" s="13"/>
      <c r="F231" s="5"/>
    </row>
    <row r="232" customFormat="false" ht="8.95" hidden="false" customHeight="true" outlineLevel="0" collapsed="false">
      <c r="A232" s="13"/>
      <c r="F232" s="5"/>
    </row>
    <row r="233" customFormat="false" ht="8.95" hidden="false" customHeight="true" outlineLevel="0" collapsed="false">
      <c r="A233" s="13"/>
      <c r="F233" s="5"/>
    </row>
    <row r="234" customFormat="false" ht="8.95" hidden="false" customHeight="true" outlineLevel="0" collapsed="false">
      <c r="A234" s="13"/>
      <c r="F234" s="5"/>
    </row>
    <row r="235" customFormat="false" ht="8.95" hidden="false" customHeight="true" outlineLevel="0" collapsed="false">
      <c r="A235" s="13"/>
      <c r="F235" s="5"/>
    </row>
    <row r="236" customFormat="false" ht="8.95" hidden="false" customHeight="true" outlineLevel="0" collapsed="false">
      <c r="A236" s="13"/>
      <c r="F236" s="5"/>
    </row>
    <row r="237" customFormat="false" ht="8.95" hidden="false" customHeight="true" outlineLevel="0" collapsed="false">
      <c r="A237" s="13"/>
      <c r="F237" s="5"/>
    </row>
    <row r="238" customFormat="false" ht="8.95" hidden="false" customHeight="true" outlineLevel="0" collapsed="false">
      <c r="A238" s="13"/>
      <c r="F238" s="5"/>
    </row>
    <row r="239" customFormat="false" ht="8.95" hidden="false" customHeight="true" outlineLevel="0" collapsed="false">
      <c r="A239" s="13"/>
      <c r="F239" s="5"/>
    </row>
    <row r="240" customFormat="false" ht="8.95" hidden="false" customHeight="true" outlineLevel="0" collapsed="false">
      <c r="A240" s="13"/>
      <c r="F240" s="5"/>
    </row>
    <row r="241" customFormat="false" ht="8.95" hidden="false" customHeight="true" outlineLevel="0" collapsed="false">
      <c r="A241" s="13"/>
      <c r="F241" s="5"/>
    </row>
    <row r="242" customFormat="false" ht="8.95" hidden="false" customHeight="true" outlineLevel="0" collapsed="false">
      <c r="A242" s="13"/>
      <c r="F242" s="5"/>
    </row>
    <row r="243" customFormat="false" ht="8.95" hidden="false" customHeight="true" outlineLevel="0" collapsed="false">
      <c r="A243" s="13"/>
      <c r="F243" s="5"/>
    </row>
    <row r="244" customFormat="false" ht="8.95" hidden="false" customHeight="true" outlineLevel="0" collapsed="false">
      <c r="A244" s="13"/>
      <c r="F244" s="5"/>
    </row>
    <row r="245" customFormat="false" ht="8.95" hidden="false" customHeight="true" outlineLevel="0" collapsed="false">
      <c r="A245" s="13"/>
      <c r="F245" s="5"/>
    </row>
    <row r="246" customFormat="false" ht="8.95" hidden="false" customHeight="true" outlineLevel="0" collapsed="false">
      <c r="A246" s="13"/>
      <c r="F246" s="5"/>
    </row>
    <row r="247" customFormat="false" ht="8.95" hidden="false" customHeight="true" outlineLevel="0" collapsed="false">
      <c r="A247" s="13"/>
      <c r="F247" s="5"/>
    </row>
    <row r="248" customFormat="false" ht="8.95" hidden="false" customHeight="true" outlineLevel="0" collapsed="false">
      <c r="A248" s="13"/>
      <c r="F248" s="5"/>
    </row>
    <row r="249" customFormat="false" ht="8.95" hidden="false" customHeight="true" outlineLevel="0" collapsed="false">
      <c r="A249" s="13"/>
      <c r="F249" s="5"/>
    </row>
    <row r="250" customFormat="false" ht="8.95" hidden="false" customHeight="true" outlineLevel="0" collapsed="false">
      <c r="A250" s="13"/>
      <c r="F250" s="5"/>
    </row>
    <row r="251" customFormat="false" ht="8.95" hidden="false" customHeight="true" outlineLevel="0" collapsed="false">
      <c r="A251" s="13"/>
      <c r="F251" s="5"/>
    </row>
    <row r="252" customFormat="false" ht="8.95" hidden="false" customHeight="true" outlineLevel="0" collapsed="false">
      <c r="A252" s="13"/>
      <c r="F252" s="5"/>
    </row>
    <row r="253" customFormat="false" ht="8.95" hidden="false" customHeight="true" outlineLevel="0" collapsed="false">
      <c r="A253" s="13"/>
      <c r="F253" s="5"/>
    </row>
    <row r="254" customFormat="false" ht="8.95" hidden="false" customHeight="true" outlineLevel="0" collapsed="false">
      <c r="A254" s="13"/>
      <c r="F254" s="5"/>
    </row>
    <row r="255" customFormat="false" ht="8.95" hidden="false" customHeight="true" outlineLevel="0" collapsed="false">
      <c r="A255" s="13"/>
      <c r="F255" s="5"/>
    </row>
    <row r="256" customFormat="false" ht="8.95" hidden="false" customHeight="true" outlineLevel="0" collapsed="false">
      <c r="A256" s="13"/>
      <c r="F256" s="5"/>
    </row>
    <row r="257" customFormat="false" ht="8.95" hidden="false" customHeight="true" outlineLevel="0" collapsed="false">
      <c r="A257" s="13"/>
      <c r="F257" s="5"/>
    </row>
    <row r="258" customFormat="false" ht="8.95" hidden="false" customHeight="true" outlineLevel="0" collapsed="false">
      <c r="A258" s="13"/>
      <c r="F258" s="5"/>
    </row>
    <row r="259" customFormat="false" ht="8.95" hidden="false" customHeight="true" outlineLevel="0" collapsed="false">
      <c r="A259" s="13"/>
      <c r="F259" s="5"/>
    </row>
    <row r="260" customFormat="false" ht="8.95" hidden="false" customHeight="true" outlineLevel="0" collapsed="false">
      <c r="A260" s="13"/>
      <c r="F260" s="5"/>
    </row>
    <row r="261" customFormat="false" ht="8.95" hidden="false" customHeight="true" outlineLevel="0" collapsed="false">
      <c r="A261" s="13"/>
      <c r="F261" s="5"/>
    </row>
    <row r="262" customFormat="false" ht="8.95" hidden="false" customHeight="true" outlineLevel="0" collapsed="false">
      <c r="A262" s="13"/>
      <c r="F262" s="5"/>
    </row>
    <row r="263" customFormat="false" ht="8.95" hidden="false" customHeight="true" outlineLevel="0" collapsed="false">
      <c r="A263" s="13"/>
      <c r="F263" s="5"/>
    </row>
    <row r="264" customFormat="false" ht="8.95" hidden="false" customHeight="true" outlineLevel="0" collapsed="false">
      <c r="A264" s="13"/>
      <c r="F264" s="5"/>
    </row>
    <row r="265" customFormat="false" ht="8.95" hidden="false" customHeight="true" outlineLevel="0" collapsed="false">
      <c r="A265" s="13"/>
      <c r="F265" s="5"/>
    </row>
    <row r="266" customFormat="false" ht="8.95" hidden="false" customHeight="true" outlineLevel="0" collapsed="false">
      <c r="A266" s="13"/>
      <c r="F266" s="5"/>
    </row>
    <row r="267" customFormat="false" ht="8.95" hidden="false" customHeight="true" outlineLevel="0" collapsed="false">
      <c r="A267" s="13"/>
      <c r="F267" s="5"/>
    </row>
    <row r="268" customFormat="false" ht="8.95" hidden="false" customHeight="true" outlineLevel="0" collapsed="false">
      <c r="A268" s="13"/>
      <c r="F268" s="5"/>
    </row>
    <row r="269" customFormat="false" ht="8.95" hidden="false" customHeight="true" outlineLevel="0" collapsed="false">
      <c r="A269" s="13"/>
      <c r="F269" s="5"/>
    </row>
    <row r="270" customFormat="false" ht="8.95" hidden="false" customHeight="true" outlineLevel="0" collapsed="false">
      <c r="A270" s="13"/>
      <c r="F270" s="5"/>
    </row>
    <row r="271" customFormat="false" ht="8.95" hidden="false" customHeight="true" outlineLevel="0" collapsed="false">
      <c r="A271" s="13"/>
      <c r="F271" s="5"/>
    </row>
    <row r="272" customFormat="false" ht="8.95" hidden="false" customHeight="true" outlineLevel="0" collapsed="false">
      <c r="A272" s="13"/>
      <c r="F272" s="5"/>
    </row>
    <row r="273" customFormat="false" ht="8.95" hidden="false" customHeight="true" outlineLevel="0" collapsed="false">
      <c r="A273" s="13"/>
      <c r="F273" s="5"/>
    </row>
    <row r="274" customFormat="false" ht="8.95" hidden="false" customHeight="true" outlineLevel="0" collapsed="false">
      <c r="A274" s="13"/>
      <c r="F274" s="5"/>
    </row>
    <row r="275" customFormat="false" ht="8.95" hidden="false" customHeight="true" outlineLevel="0" collapsed="false">
      <c r="A275" s="13"/>
      <c r="F275" s="5"/>
    </row>
    <row r="276" customFormat="false" ht="8.95" hidden="false" customHeight="true" outlineLevel="0" collapsed="false">
      <c r="A276" s="13"/>
      <c r="F276" s="5"/>
    </row>
    <row r="277" customFormat="false" ht="8.95" hidden="false" customHeight="true" outlineLevel="0" collapsed="false">
      <c r="A277" s="13"/>
      <c r="F277" s="5"/>
    </row>
    <row r="278" customFormat="false" ht="8.95" hidden="false" customHeight="true" outlineLevel="0" collapsed="false">
      <c r="A278" s="13"/>
      <c r="F278" s="5"/>
    </row>
    <row r="279" customFormat="false" ht="8.95" hidden="false" customHeight="true" outlineLevel="0" collapsed="false">
      <c r="A279" s="13"/>
      <c r="F279" s="5"/>
    </row>
    <row r="280" customFormat="false" ht="8.95" hidden="false" customHeight="true" outlineLevel="0" collapsed="false">
      <c r="A280" s="13"/>
      <c r="F280" s="5"/>
    </row>
    <row r="281" customFormat="false" ht="8.95" hidden="false" customHeight="true" outlineLevel="0" collapsed="false">
      <c r="A281" s="13"/>
      <c r="F281" s="5"/>
    </row>
    <row r="282" customFormat="false" ht="8.95" hidden="false" customHeight="true" outlineLevel="0" collapsed="false">
      <c r="A282" s="13"/>
      <c r="F282" s="5"/>
    </row>
    <row r="283" customFormat="false" ht="8.95" hidden="false" customHeight="true" outlineLevel="0" collapsed="false">
      <c r="A283" s="13"/>
      <c r="F283" s="5"/>
    </row>
    <row r="284" customFormat="false" ht="8.95" hidden="false" customHeight="true" outlineLevel="0" collapsed="false">
      <c r="A284" s="13"/>
      <c r="F284" s="5"/>
    </row>
    <row r="285" customFormat="false" ht="8.95" hidden="false" customHeight="true" outlineLevel="0" collapsed="false">
      <c r="A285" s="13"/>
      <c r="F285" s="5"/>
    </row>
    <row r="286" customFormat="false" ht="8.95" hidden="false" customHeight="true" outlineLevel="0" collapsed="false">
      <c r="A286" s="13"/>
      <c r="F286" s="5"/>
    </row>
    <row r="287" customFormat="false" ht="8.95" hidden="false" customHeight="true" outlineLevel="0" collapsed="false">
      <c r="A287" s="13"/>
      <c r="F287" s="5"/>
    </row>
    <row r="288" customFormat="false" ht="8.95" hidden="false" customHeight="true" outlineLevel="0" collapsed="false">
      <c r="A288" s="13"/>
      <c r="F288" s="5"/>
    </row>
    <row r="289" customFormat="false" ht="8.95" hidden="false" customHeight="true" outlineLevel="0" collapsed="false">
      <c r="A289" s="13"/>
      <c r="F289" s="5"/>
    </row>
    <row r="290" customFormat="false" ht="8.95" hidden="false" customHeight="true" outlineLevel="0" collapsed="false">
      <c r="A290" s="13"/>
      <c r="F290" s="5"/>
    </row>
    <row r="291" customFormat="false" ht="8.95" hidden="false" customHeight="true" outlineLevel="0" collapsed="false">
      <c r="A291" s="13"/>
      <c r="F291" s="5"/>
    </row>
    <row r="292" customFormat="false" ht="8.95" hidden="false" customHeight="true" outlineLevel="0" collapsed="false">
      <c r="A292" s="13"/>
      <c r="F292" s="5"/>
    </row>
    <row r="293" customFormat="false" ht="8.95" hidden="false" customHeight="true" outlineLevel="0" collapsed="false">
      <c r="A293" s="13"/>
      <c r="F293" s="5"/>
    </row>
    <row r="294" customFormat="false" ht="8.95" hidden="false" customHeight="true" outlineLevel="0" collapsed="false">
      <c r="A294" s="13"/>
      <c r="F294" s="5"/>
    </row>
    <row r="295" customFormat="false" ht="8.95" hidden="false" customHeight="true" outlineLevel="0" collapsed="false">
      <c r="A295" s="13"/>
      <c r="F295" s="5"/>
    </row>
    <row r="296" customFormat="false" ht="8.95" hidden="false" customHeight="true" outlineLevel="0" collapsed="false">
      <c r="A296" s="13"/>
      <c r="F296" s="5"/>
    </row>
    <row r="297" customFormat="false" ht="8.95" hidden="false" customHeight="true" outlineLevel="0" collapsed="false">
      <c r="A297" s="13"/>
      <c r="F297" s="5"/>
    </row>
    <row r="298" customFormat="false" ht="8.95" hidden="false" customHeight="true" outlineLevel="0" collapsed="false">
      <c r="A298" s="13"/>
      <c r="F298" s="5"/>
    </row>
    <row r="299" customFormat="false" ht="8.95" hidden="false" customHeight="true" outlineLevel="0" collapsed="false">
      <c r="A299" s="13"/>
      <c r="F299" s="5"/>
    </row>
    <row r="300" customFormat="false" ht="8.95" hidden="false" customHeight="true" outlineLevel="0" collapsed="false">
      <c r="A300" s="13"/>
      <c r="F300" s="5"/>
    </row>
    <row r="301" customFormat="false" ht="8.95" hidden="false" customHeight="true" outlineLevel="0" collapsed="false">
      <c r="A301" s="13"/>
      <c r="F301" s="5"/>
    </row>
    <row r="302" customFormat="false" ht="8.95" hidden="false" customHeight="true" outlineLevel="0" collapsed="false">
      <c r="A302" s="13"/>
      <c r="F302" s="5"/>
    </row>
    <row r="303" customFormat="false" ht="8.95" hidden="false" customHeight="true" outlineLevel="0" collapsed="false">
      <c r="A303" s="13"/>
      <c r="F303" s="5"/>
    </row>
    <row r="304" customFormat="false" ht="8.95" hidden="false" customHeight="true" outlineLevel="0" collapsed="false">
      <c r="A304" s="13"/>
      <c r="F304" s="5"/>
    </row>
    <row r="305" customFormat="false" ht="8.95" hidden="false" customHeight="true" outlineLevel="0" collapsed="false">
      <c r="A305" s="13"/>
      <c r="F305" s="5"/>
    </row>
    <row r="306" customFormat="false" ht="8.95" hidden="false" customHeight="true" outlineLevel="0" collapsed="false">
      <c r="A306" s="13"/>
      <c r="F306" s="5"/>
    </row>
    <row r="307" customFormat="false" ht="8.95" hidden="false" customHeight="true" outlineLevel="0" collapsed="false">
      <c r="A307" s="13"/>
      <c r="F307" s="5"/>
    </row>
    <row r="308" customFormat="false" ht="8.95" hidden="false" customHeight="true" outlineLevel="0" collapsed="false">
      <c r="A308" s="13"/>
      <c r="F308" s="5"/>
    </row>
    <row r="309" customFormat="false" ht="8.95" hidden="false" customHeight="true" outlineLevel="0" collapsed="false">
      <c r="A309" s="13"/>
      <c r="F309" s="5"/>
    </row>
    <row r="310" customFormat="false" ht="8.95" hidden="false" customHeight="true" outlineLevel="0" collapsed="false">
      <c r="A310" s="13"/>
      <c r="F310" s="5"/>
    </row>
    <row r="311" customFormat="false" ht="8.95" hidden="false" customHeight="true" outlineLevel="0" collapsed="false">
      <c r="A311" s="13"/>
      <c r="F311" s="5"/>
    </row>
    <row r="312" customFormat="false" ht="8.95" hidden="false" customHeight="true" outlineLevel="0" collapsed="false">
      <c r="A312" s="13"/>
      <c r="F312" s="5"/>
    </row>
    <row r="313" customFormat="false" ht="8.95" hidden="false" customHeight="true" outlineLevel="0" collapsed="false">
      <c r="A313" s="13"/>
      <c r="F313" s="5"/>
    </row>
    <row r="314" customFormat="false" ht="8.95" hidden="false" customHeight="true" outlineLevel="0" collapsed="false">
      <c r="A314" s="13"/>
      <c r="F314" s="5"/>
    </row>
    <row r="315" customFormat="false" ht="8.95" hidden="false" customHeight="true" outlineLevel="0" collapsed="false">
      <c r="A315" s="13"/>
      <c r="F315" s="5"/>
    </row>
    <row r="316" customFormat="false" ht="8.95" hidden="false" customHeight="true" outlineLevel="0" collapsed="false">
      <c r="A316" s="13"/>
      <c r="F316" s="5"/>
    </row>
    <row r="317" customFormat="false" ht="8.95" hidden="false" customHeight="true" outlineLevel="0" collapsed="false">
      <c r="A317" s="13"/>
      <c r="F317" s="5"/>
    </row>
    <row r="318" customFormat="false" ht="8.95" hidden="false" customHeight="true" outlineLevel="0" collapsed="false">
      <c r="A318" s="13"/>
      <c r="F318" s="5"/>
    </row>
    <row r="319" customFormat="false" ht="8.95" hidden="false" customHeight="true" outlineLevel="0" collapsed="false">
      <c r="A319" s="13"/>
      <c r="F319" s="5"/>
    </row>
    <row r="320" customFormat="false" ht="8.95" hidden="false" customHeight="true" outlineLevel="0" collapsed="false">
      <c r="A320" s="13"/>
      <c r="F320" s="5"/>
    </row>
    <row r="321" customFormat="false" ht="8.95" hidden="false" customHeight="true" outlineLevel="0" collapsed="false">
      <c r="A321" s="13"/>
      <c r="F321" s="5"/>
    </row>
    <row r="322" customFormat="false" ht="8.95" hidden="false" customHeight="true" outlineLevel="0" collapsed="false">
      <c r="A322" s="13"/>
      <c r="F322" s="5"/>
    </row>
    <row r="323" customFormat="false" ht="8.95" hidden="false" customHeight="true" outlineLevel="0" collapsed="false">
      <c r="A323" s="13"/>
      <c r="F323" s="5"/>
    </row>
    <row r="324" customFormat="false" ht="8.95" hidden="false" customHeight="true" outlineLevel="0" collapsed="false">
      <c r="A324" s="13"/>
      <c r="F324" s="5"/>
    </row>
    <row r="325" customFormat="false" ht="8.95" hidden="false" customHeight="true" outlineLevel="0" collapsed="false">
      <c r="A325" s="13"/>
      <c r="F325" s="5"/>
    </row>
    <row r="326" customFormat="false" ht="8.95" hidden="false" customHeight="true" outlineLevel="0" collapsed="false">
      <c r="A326" s="13"/>
      <c r="F326" s="5"/>
    </row>
    <row r="327" customFormat="false" ht="8.95" hidden="false" customHeight="true" outlineLevel="0" collapsed="false">
      <c r="A327" s="13"/>
      <c r="F327" s="5"/>
    </row>
    <row r="328" customFormat="false" ht="8.95" hidden="false" customHeight="true" outlineLevel="0" collapsed="false">
      <c r="A328" s="13"/>
      <c r="F328" s="5"/>
    </row>
    <row r="329" customFormat="false" ht="8.95" hidden="false" customHeight="true" outlineLevel="0" collapsed="false">
      <c r="A329" s="13"/>
      <c r="F329" s="5"/>
    </row>
    <row r="330" customFormat="false" ht="8.95" hidden="false" customHeight="true" outlineLevel="0" collapsed="false">
      <c r="A330" s="13"/>
      <c r="F330" s="5"/>
    </row>
    <row r="331" customFormat="false" ht="8.95" hidden="false" customHeight="true" outlineLevel="0" collapsed="false">
      <c r="A331" s="13"/>
      <c r="F331" s="5"/>
    </row>
    <row r="332" customFormat="false" ht="8.95" hidden="false" customHeight="true" outlineLevel="0" collapsed="false">
      <c r="A332" s="13"/>
      <c r="F332" s="5"/>
    </row>
    <row r="333" customFormat="false" ht="8.95" hidden="false" customHeight="true" outlineLevel="0" collapsed="false">
      <c r="A333" s="13"/>
      <c r="F333" s="5"/>
    </row>
    <row r="334" customFormat="false" ht="8.95" hidden="false" customHeight="true" outlineLevel="0" collapsed="false">
      <c r="A334" s="13"/>
      <c r="F334" s="5"/>
    </row>
    <row r="335" customFormat="false" ht="8.95" hidden="false" customHeight="true" outlineLevel="0" collapsed="false">
      <c r="A335" s="13"/>
      <c r="F335" s="5"/>
    </row>
    <row r="336" customFormat="false" ht="8.95" hidden="false" customHeight="true" outlineLevel="0" collapsed="false">
      <c r="A336" s="13"/>
      <c r="F336" s="5"/>
    </row>
    <row r="337" customFormat="false" ht="8.95" hidden="false" customHeight="true" outlineLevel="0" collapsed="false">
      <c r="A337" s="13"/>
      <c r="F337" s="5"/>
    </row>
    <row r="338" customFormat="false" ht="8.95" hidden="false" customHeight="true" outlineLevel="0" collapsed="false">
      <c r="A338" s="13"/>
      <c r="F338" s="5"/>
    </row>
    <row r="339" customFormat="false" ht="8.95" hidden="false" customHeight="true" outlineLevel="0" collapsed="false">
      <c r="A339" s="13"/>
      <c r="F339" s="5"/>
    </row>
    <row r="340" customFormat="false" ht="8.95" hidden="false" customHeight="true" outlineLevel="0" collapsed="false">
      <c r="A340" s="13"/>
      <c r="F340" s="5"/>
    </row>
    <row r="341" customFormat="false" ht="8.95" hidden="false" customHeight="true" outlineLevel="0" collapsed="false">
      <c r="A341" s="13"/>
      <c r="F341" s="5"/>
    </row>
    <row r="342" customFormat="false" ht="8.95" hidden="false" customHeight="true" outlineLevel="0" collapsed="false">
      <c r="A342" s="13"/>
      <c r="F342" s="5"/>
    </row>
    <row r="343" customFormat="false" ht="8.95" hidden="false" customHeight="true" outlineLevel="0" collapsed="false">
      <c r="A343" s="13"/>
      <c r="F343" s="5"/>
    </row>
    <row r="344" customFormat="false" ht="8.95" hidden="false" customHeight="true" outlineLevel="0" collapsed="false">
      <c r="A344" s="13"/>
      <c r="F344" s="5"/>
    </row>
    <row r="345" customFormat="false" ht="8.95" hidden="false" customHeight="true" outlineLevel="0" collapsed="false">
      <c r="A345" s="13"/>
      <c r="F345" s="5"/>
    </row>
    <row r="346" customFormat="false" ht="8.95" hidden="false" customHeight="true" outlineLevel="0" collapsed="false">
      <c r="A346" s="13"/>
      <c r="F346" s="5"/>
    </row>
    <row r="347" customFormat="false" ht="8.95" hidden="false" customHeight="true" outlineLevel="0" collapsed="false">
      <c r="A347" s="13"/>
      <c r="F347" s="5"/>
    </row>
    <row r="348" customFormat="false" ht="8.95" hidden="false" customHeight="true" outlineLevel="0" collapsed="false">
      <c r="A348" s="13"/>
      <c r="F348" s="5"/>
    </row>
    <row r="349" customFormat="false" ht="8.95" hidden="false" customHeight="true" outlineLevel="0" collapsed="false">
      <c r="A349" s="13"/>
      <c r="F349" s="5"/>
    </row>
    <row r="350" customFormat="false" ht="8.95" hidden="false" customHeight="true" outlineLevel="0" collapsed="false">
      <c r="A350" s="13"/>
      <c r="F350" s="5"/>
    </row>
    <row r="351" customFormat="false" ht="8.95" hidden="false" customHeight="true" outlineLevel="0" collapsed="false">
      <c r="A351" s="13"/>
      <c r="F351" s="5"/>
    </row>
    <row r="352" customFormat="false" ht="8.95" hidden="false" customHeight="true" outlineLevel="0" collapsed="false">
      <c r="A352" s="13"/>
      <c r="F352" s="5"/>
    </row>
    <row r="353" customFormat="false" ht="8.95" hidden="false" customHeight="true" outlineLevel="0" collapsed="false">
      <c r="A353" s="13"/>
      <c r="F353" s="5"/>
    </row>
    <row r="354" customFormat="false" ht="8.95" hidden="false" customHeight="true" outlineLevel="0" collapsed="false">
      <c r="A354" s="13"/>
      <c r="F354" s="5"/>
    </row>
    <row r="355" customFormat="false" ht="8.95" hidden="false" customHeight="true" outlineLevel="0" collapsed="false">
      <c r="A355" s="13"/>
      <c r="F355" s="5"/>
    </row>
    <row r="356" customFormat="false" ht="8.95" hidden="false" customHeight="true" outlineLevel="0" collapsed="false">
      <c r="A356" s="13"/>
      <c r="F356" s="5"/>
    </row>
    <row r="357" customFormat="false" ht="8.95" hidden="false" customHeight="true" outlineLevel="0" collapsed="false">
      <c r="A357" s="13"/>
      <c r="F357" s="5"/>
    </row>
    <row r="358" customFormat="false" ht="8.95" hidden="false" customHeight="true" outlineLevel="0" collapsed="false">
      <c r="A358" s="13"/>
      <c r="F358" s="5"/>
    </row>
    <row r="359" customFormat="false" ht="8.95" hidden="false" customHeight="true" outlineLevel="0" collapsed="false">
      <c r="A359" s="13"/>
      <c r="F359" s="5"/>
    </row>
    <row r="360" customFormat="false" ht="8.95" hidden="false" customHeight="true" outlineLevel="0" collapsed="false">
      <c r="A360" s="13"/>
      <c r="F360" s="5"/>
    </row>
    <row r="361" customFormat="false" ht="8.95" hidden="false" customHeight="true" outlineLevel="0" collapsed="false">
      <c r="A361" s="13"/>
      <c r="F361" s="5"/>
    </row>
    <row r="362" customFormat="false" ht="8.95" hidden="false" customHeight="true" outlineLevel="0" collapsed="false">
      <c r="A362" s="13"/>
      <c r="F362" s="5"/>
    </row>
    <row r="363" customFormat="false" ht="8.95" hidden="false" customHeight="true" outlineLevel="0" collapsed="false">
      <c r="A363" s="13"/>
      <c r="F363" s="5"/>
    </row>
    <row r="364" customFormat="false" ht="8.95" hidden="false" customHeight="true" outlineLevel="0" collapsed="false">
      <c r="A364" s="13"/>
      <c r="F364" s="5"/>
    </row>
    <row r="365" customFormat="false" ht="8.95" hidden="false" customHeight="true" outlineLevel="0" collapsed="false">
      <c r="A365" s="13"/>
      <c r="F365" s="5"/>
    </row>
    <row r="366" customFormat="false" ht="8.95" hidden="false" customHeight="true" outlineLevel="0" collapsed="false">
      <c r="A366" s="13"/>
      <c r="F366" s="5"/>
    </row>
    <row r="367" customFormat="false" ht="8.95" hidden="false" customHeight="true" outlineLevel="0" collapsed="false">
      <c r="A367" s="13"/>
      <c r="F367" s="5"/>
    </row>
    <row r="368" customFormat="false" ht="8.95" hidden="false" customHeight="true" outlineLevel="0" collapsed="false">
      <c r="A368" s="13"/>
      <c r="F368" s="5"/>
    </row>
    <row r="369" customFormat="false" ht="8.95" hidden="false" customHeight="true" outlineLevel="0" collapsed="false">
      <c r="A369" s="13"/>
      <c r="F369" s="5"/>
    </row>
    <row r="370" customFormat="false" ht="8.95" hidden="false" customHeight="true" outlineLevel="0" collapsed="false">
      <c r="A370" s="13"/>
      <c r="F370" s="5"/>
    </row>
    <row r="371" customFormat="false" ht="8.95" hidden="false" customHeight="true" outlineLevel="0" collapsed="false">
      <c r="A371" s="13"/>
      <c r="F371" s="5"/>
    </row>
    <row r="372" customFormat="false" ht="8.95" hidden="false" customHeight="true" outlineLevel="0" collapsed="false">
      <c r="A372" s="13"/>
      <c r="F372" s="5"/>
    </row>
    <row r="373" customFormat="false" ht="8.95" hidden="false" customHeight="true" outlineLevel="0" collapsed="false">
      <c r="A373" s="13"/>
      <c r="F373" s="5"/>
    </row>
    <row r="374" customFormat="false" ht="8.95" hidden="false" customHeight="true" outlineLevel="0" collapsed="false">
      <c r="A374" s="13"/>
      <c r="F374" s="5"/>
    </row>
    <row r="375" customFormat="false" ht="8.95" hidden="false" customHeight="true" outlineLevel="0" collapsed="false">
      <c r="A375" s="13"/>
      <c r="F375" s="5"/>
    </row>
    <row r="376" customFormat="false" ht="8.95" hidden="false" customHeight="true" outlineLevel="0" collapsed="false">
      <c r="A376" s="13"/>
      <c r="F376" s="5"/>
    </row>
    <row r="377" customFormat="false" ht="8.95" hidden="false" customHeight="true" outlineLevel="0" collapsed="false">
      <c r="A377" s="13"/>
      <c r="F377" s="5"/>
    </row>
    <row r="378" customFormat="false" ht="8.95" hidden="false" customHeight="true" outlineLevel="0" collapsed="false">
      <c r="A378" s="13"/>
      <c r="F378" s="5"/>
    </row>
    <row r="379" customFormat="false" ht="8.95" hidden="false" customHeight="true" outlineLevel="0" collapsed="false">
      <c r="A379" s="13"/>
      <c r="F379" s="5"/>
    </row>
    <row r="380" customFormat="false" ht="8.95" hidden="false" customHeight="true" outlineLevel="0" collapsed="false">
      <c r="A380" s="13"/>
      <c r="F380" s="5"/>
    </row>
    <row r="381" customFormat="false" ht="8.95" hidden="false" customHeight="true" outlineLevel="0" collapsed="false">
      <c r="A381" s="13"/>
      <c r="F381" s="5"/>
    </row>
    <row r="382" customFormat="false" ht="8.95" hidden="false" customHeight="true" outlineLevel="0" collapsed="false">
      <c r="A382" s="13"/>
      <c r="F382" s="5"/>
    </row>
    <row r="383" customFormat="false" ht="8.95" hidden="false" customHeight="true" outlineLevel="0" collapsed="false">
      <c r="A383" s="13"/>
      <c r="F383" s="5"/>
    </row>
    <row r="384" customFormat="false" ht="8.95" hidden="false" customHeight="true" outlineLevel="0" collapsed="false">
      <c r="A384" s="13"/>
      <c r="F384" s="5"/>
    </row>
    <row r="385" customFormat="false" ht="8.95" hidden="false" customHeight="true" outlineLevel="0" collapsed="false">
      <c r="A385" s="13"/>
      <c r="F385" s="5"/>
    </row>
    <row r="386" customFormat="false" ht="8.95" hidden="false" customHeight="true" outlineLevel="0" collapsed="false">
      <c r="A386" s="13"/>
      <c r="F386" s="5"/>
    </row>
    <row r="387" customFormat="false" ht="8.95" hidden="false" customHeight="true" outlineLevel="0" collapsed="false">
      <c r="A387" s="13"/>
      <c r="F387" s="5"/>
    </row>
    <row r="388" customFormat="false" ht="8.95" hidden="false" customHeight="true" outlineLevel="0" collapsed="false">
      <c r="A388" s="13"/>
      <c r="F388" s="5"/>
    </row>
    <row r="389" customFormat="false" ht="8.95" hidden="false" customHeight="true" outlineLevel="0" collapsed="false">
      <c r="A389" s="13"/>
      <c r="F389" s="5"/>
    </row>
    <row r="390" customFormat="false" ht="8.95" hidden="false" customHeight="true" outlineLevel="0" collapsed="false">
      <c r="A390" s="13"/>
      <c r="F390" s="5"/>
    </row>
    <row r="391" customFormat="false" ht="8.95" hidden="false" customHeight="true" outlineLevel="0" collapsed="false">
      <c r="A391" s="13"/>
      <c r="F391" s="5"/>
    </row>
    <row r="392" customFormat="false" ht="8.95" hidden="false" customHeight="true" outlineLevel="0" collapsed="false">
      <c r="A392" s="13"/>
      <c r="F392" s="5"/>
    </row>
    <row r="393" customFormat="false" ht="8.95" hidden="false" customHeight="true" outlineLevel="0" collapsed="false">
      <c r="A393" s="13"/>
      <c r="F393" s="5"/>
    </row>
    <row r="394" customFormat="false" ht="8.95" hidden="false" customHeight="true" outlineLevel="0" collapsed="false">
      <c r="A394" s="13"/>
      <c r="F394" s="5"/>
    </row>
    <row r="395" customFormat="false" ht="8.95" hidden="false" customHeight="true" outlineLevel="0" collapsed="false">
      <c r="A395" s="13"/>
      <c r="F395" s="5"/>
    </row>
    <row r="396" customFormat="false" ht="8.95" hidden="false" customHeight="true" outlineLevel="0" collapsed="false">
      <c r="A396" s="13"/>
      <c r="F396" s="5"/>
    </row>
    <row r="397" customFormat="false" ht="8.95" hidden="false" customHeight="true" outlineLevel="0" collapsed="false">
      <c r="A397" s="13"/>
      <c r="F397" s="5"/>
    </row>
    <row r="398" customFormat="false" ht="8.95" hidden="false" customHeight="true" outlineLevel="0" collapsed="false">
      <c r="A398" s="13"/>
      <c r="F398" s="5"/>
    </row>
    <row r="399" customFormat="false" ht="8.95" hidden="false" customHeight="true" outlineLevel="0" collapsed="false">
      <c r="A399" s="13"/>
      <c r="F399" s="5"/>
    </row>
    <row r="400" customFormat="false" ht="8.95" hidden="false" customHeight="true" outlineLevel="0" collapsed="false">
      <c r="A400" s="13"/>
      <c r="F400" s="5"/>
    </row>
    <row r="401" customFormat="false" ht="8.95" hidden="false" customHeight="true" outlineLevel="0" collapsed="false">
      <c r="A401" s="13"/>
      <c r="F401" s="5"/>
    </row>
    <row r="402" customFormat="false" ht="8.95" hidden="false" customHeight="true" outlineLevel="0" collapsed="false">
      <c r="A402" s="13"/>
      <c r="F402" s="5"/>
    </row>
    <row r="403" customFormat="false" ht="8.95" hidden="false" customHeight="true" outlineLevel="0" collapsed="false">
      <c r="A403" s="13"/>
      <c r="F403" s="5"/>
    </row>
    <row r="404" customFormat="false" ht="8.95" hidden="false" customHeight="true" outlineLevel="0" collapsed="false">
      <c r="A404" s="13"/>
      <c r="F404" s="5"/>
    </row>
    <row r="405" customFormat="false" ht="8.95" hidden="false" customHeight="true" outlineLevel="0" collapsed="false">
      <c r="A405" s="13"/>
      <c r="F405" s="5"/>
    </row>
    <row r="406" customFormat="false" ht="8.95" hidden="false" customHeight="true" outlineLevel="0" collapsed="false">
      <c r="A406" s="13"/>
      <c r="F406" s="5"/>
    </row>
    <row r="407" customFormat="false" ht="8.95" hidden="false" customHeight="true" outlineLevel="0" collapsed="false">
      <c r="A407" s="13"/>
      <c r="F407" s="5"/>
    </row>
    <row r="408" customFormat="false" ht="8.95" hidden="false" customHeight="true" outlineLevel="0" collapsed="false">
      <c r="A408" s="13"/>
      <c r="F408" s="5"/>
    </row>
    <row r="409" customFormat="false" ht="8.95" hidden="false" customHeight="true" outlineLevel="0" collapsed="false">
      <c r="A409" s="13"/>
      <c r="F409" s="5"/>
    </row>
    <row r="410" customFormat="false" ht="8.95" hidden="false" customHeight="true" outlineLevel="0" collapsed="false">
      <c r="A410" s="13"/>
      <c r="F410" s="5"/>
    </row>
    <row r="411" customFormat="false" ht="8.95" hidden="false" customHeight="true" outlineLevel="0" collapsed="false">
      <c r="A411" s="13"/>
      <c r="F411" s="5"/>
    </row>
    <row r="412" customFormat="false" ht="8.95" hidden="false" customHeight="true" outlineLevel="0" collapsed="false">
      <c r="A412" s="13"/>
      <c r="F412" s="5"/>
    </row>
    <row r="413" customFormat="false" ht="8.95" hidden="false" customHeight="true" outlineLevel="0" collapsed="false">
      <c r="A413" s="13"/>
      <c r="F413" s="5"/>
    </row>
    <row r="414" customFormat="false" ht="8.95" hidden="false" customHeight="true" outlineLevel="0" collapsed="false">
      <c r="A414" s="13"/>
      <c r="F414" s="5"/>
    </row>
    <row r="415" customFormat="false" ht="8.95" hidden="false" customHeight="true" outlineLevel="0" collapsed="false">
      <c r="A415" s="13"/>
      <c r="F415" s="5"/>
    </row>
    <row r="416" customFormat="false" ht="8.95" hidden="false" customHeight="true" outlineLevel="0" collapsed="false">
      <c r="A416" s="13"/>
      <c r="F416" s="5"/>
    </row>
    <row r="417" customFormat="false" ht="8.95" hidden="false" customHeight="true" outlineLevel="0" collapsed="false">
      <c r="A417" s="13"/>
      <c r="F417" s="5"/>
    </row>
    <row r="418" customFormat="false" ht="8.95" hidden="false" customHeight="true" outlineLevel="0" collapsed="false">
      <c r="A418" s="13"/>
      <c r="F418" s="5"/>
    </row>
    <row r="419" customFormat="false" ht="8.95" hidden="false" customHeight="true" outlineLevel="0" collapsed="false">
      <c r="A419" s="13"/>
      <c r="F419" s="5"/>
    </row>
    <row r="420" customFormat="false" ht="8.95" hidden="false" customHeight="true" outlineLevel="0" collapsed="false">
      <c r="A420" s="13"/>
      <c r="F420" s="5"/>
    </row>
    <row r="421" customFormat="false" ht="8.95" hidden="false" customHeight="true" outlineLevel="0" collapsed="false">
      <c r="A421" s="13"/>
      <c r="F421" s="5"/>
    </row>
    <row r="422" customFormat="false" ht="8.95" hidden="false" customHeight="true" outlineLevel="0" collapsed="false">
      <c r="A422" s="13"/>
      <c r="F422" s="5"/>
    </row>
    <row r="423" customFormat="false" ht="8.95" hidden="false" customHeight="true" outlineLevel="0" collapsed="false">
      <c r="A423" s="13"/>
      <c r="F423" s="5"/>
    </row>
    <row r="424" customFormat="false" ht="8.95" hidden="false" customHeight="true" outlineLevel="0" collapsed="false">
      <c r="A424" s="13"/>
      <c r="F424" s="5"/>
    </row>
    <row r="425" customFormat="false" ht="8.95" hidden="false" customHeight="true" outlineLevel="0" collapsed="false">
      <c r="A425" s="13"/>
      <c r="F425" s="5"/>
    </row>
    <row r="426" customFormat="false" ht="8.95" hidden="false" customHeight="true" outlineLevel="0" collapsed="false">
      <c r="A426" s="13"/>
      <c r="F426" s="5"/>
    </row>
    <row r="427" customFormat="false" ht="8.95" hidden="false" customHeight="true" outlineLevel="0" collapsed="false">
      <c r="A427" s="13"/>
      <c r="F427" s="5"/>
    </row>
    <row r="428" customFormat="false" ht="8.95" hidden="false" customHeight="true" outlineLevel="0" collapsed="false">
      <c r="A428" s="13"/>
      <c r="F428" s="5"/>
    </row>
    <row r="429" customFormat="false" ht="8.95" hidden="false" customHeight="true" outlineLevel="0" collapsed="false">
      <c r="A429" s="13"/>
      <c r="F429" s="5"/>
    </row>
    <row r="430" customFormat="false" ht="8.95" hidden="false" customHeight="true" outlineLevel="0" collapsed="false">
      <c r="A430" s="13"/>
      <c r="F430" s="5"/>
    </row>
    <row r="431" customFormat="false" ht="8.95" hidden="false" customHeight="true" outlineLevel="0" collapsed="false">
      <c r="A431" s="13"/>
      <c r="F431" s="5"/>
    </row>
    <row r="432" customFormat="false" ht="8.95" hidden="false" customHeight="true" outlineLevel="0" collapsed="false">
      <c r="A432" s="13"/>
      <c r="F432" s="5"/>
    </row>
    <row r="433" customFormat="false" ht="8.95" hidden="false" customHeight="true" outlineLevel="0" collapsed="false">
      <c r="A433" s="13"/>
      <c r="F433" s="5"/>
    </row>
    <row r="434" customFormat="false" ht="8.95" hidden="false" customHeight="true" outlineLevel="0" collapsed="false">
      <c r="A434" s="13"/>
      <c r="F434" s="5"/>
    </row>
    <row r="435" customFormat="false" ht="8.95" hidden="false" customHeight="true" outlineLevel="0" collapsed="false">
      <c r="A435" s="13"/>
      <c r="F435" s="5"/>
    </row>
    <row r="436" customFormat="false" ht="8.95" hidden="false" customHeight="true" outlineLevel="0" collapsed="false">
      <c r="A436" s="13"/>
      <c r="F436" s="5"/>
    </row>
    <row r="437" customFormat="false" ht="8.95" hidden="false" customHeight="true" outlineLevel="0" collapsed="false">
      <c r="A437" s="13"/>
      <c r="F437" s="5"/>
    </row>
    <row r="438" customFormat="false" ht="8.95" hidden="false" customHeight="true" outlineLevel="0" collapsed="false">
      <c r="A438" s="13"/>
      <c r="F438" s="5"/>
    </row>
    <row r="439" customFormat="false" ht="8.95" hidden="false" customHeight="true" outlineLevel="0" collapsed="false">
      <c r="A439" s="13"/>
      <c r="F439" s="5"/>
    </row>
    <row r="440" customFormat="false" ht="8.95" hidden="false" customHeight="true" outlineLevel="0" collapsed="false">
      <c r="A440" s="13"/>
      <c r="F440" s="5"/>
    </row>
    <row r="441" customFormat="false" ht="8.95" hidden="false" customHeight="true" outlineLevel="0" collapsed="false">
      <c r="A441" s="13"/>
      <c r="F441" s="5"/>
    </row>
    <row r="442" customFormat="false" ht="8.95" hidden="false" customHeight="true" outlineLevel="0" collapsed="false">
      <c r="A442" s="13"/>
      <c r="F442" s="5"/>
    </row>
    <row r="443" customFormat="false" ht="8.95" hidden="false" customHeight="true" outlineLevel="0" collapsed="false">
      <c r="A443" s="13"/>
      <c r="F443" s="5"/>
    </row>
    <row r="444" customFormat="false" ht="8.95" hidden="false" customHeight="true" outlineLevel="0" collapsed="false">
      <c r="A444" s="13"/>
      <c r="F444" s="5"/>
    </row>
    <row r="445" customFormat="false" ht="8.95" hidden="false" customHeight="true" outlineLevel="0" collapsed="false">
      <c r="A445" s="13"/>
      <c r="F445" s="5"/>
    </row>
    <row r="446" customFormat="false" ht="8.95" hidden="false" customHeight="true" outlineLevel="0" collapsed="false">
      <c r="A446" s="13"/>
      <c r="F446" s="5"/>
    </row>
    <row r="447" customFormat="false" ht="8.95" hidden="false" customHeight="true" outlineLevel="0" collapsed="false">
      <c r="A447" s="13"/>
      <c r="F447" s="5"/>
    </row>
    <row r="448" customFormat="false" ht="8.95" hidden="false" customHeight="true" outlineLevel="0" collapsed="false">
      <c r="A448" s="13"/>
      <c r="F448" s="5"/>
    </row>
    <row r="449" customFormat="false" ht="8.95" hidden="false" customHeight="true" outlineLevel="0" collapsed="false">
      <c r="A449" s="13"/>
      <c r="F449" s="5"/>
    </row>
    <row r="450" customFormat="false" ht="8.95" hidden="false" customHeight="true" outlineLevel="0" collapsed="false">
      <c r="A450" s="13"/>
      <c r="F450" s="5"/>
    </row>
    <row r="451" customFormat="false" ht="8.95" hidden="false" customHeight="true" outlineLevel="0" collapsed="false">
      <c r="A451" s="13"/>
      <c r="F451" s="5"/>
    </row>
    <row r="452" customFormat="false" ht="8.95" hidden="false" customHeight="true" outlineLevel="0" collapsed="false">
      <c r="A452" s="13"/>
      <c r="F452" s="5"/>
    </row>
    <row r="453" customFormat="false" ht="8.95" hidden="false" customHeight="true" outlineLevel="0" collapsed="false">
      <c r="A453" s="13"/>
      <c r="F453" s="5"/>
    </row>
    <row r="454" customFormat="false" ht="8.95" hidden="false" customHeight="true" outlineLevel="0" collapsed="false">
      <c r="A454" s="13"/>
      <c r="F454" s="5"/>
    </row>
    <row r="455" customFormat="false" ht="8.95" hidden="false" customHeight="true" outlineLevel="0" collapsed="false">
      <c r="A455" s="13"/>
      <c r="F455" s="5"/>
    </row>
    <row r="456" customFormat="false" ht="8.95" hidden="false" customHeight="true" outlineLevel="0" collapsed="false">
      <c r="A456" s="13"/>
      <c r="F456" s="5"/>
    </row>
    <row r="457" customFormat="false" ht="8.95" hidden="false" customHeight="true" outlineLevel="0" collapsed="false">
      <c r="A457" s="13"/>
      <c r="F457" s="5"/>
    </row>
    <row r="458" customFormat="false" ht="8.95" hidden="false" customHeight="true" outlineLevel="0" collapsed="false">
      <c r="A458" s="13"/>
      <c r="F458" s="5"/>
    </row>
    <row r="459" customFormat="false" ht="8.95" hidden="false" customHeight="true" outlineLevel="0" collapsed="false">
      <c r="A459" s="13"/>
      <c r="F459" s="5"/>
    </row>
    <row r="460" customFormat="false" ht="8.95" hidden="false" customHeight="true" outlineLevel="0" collapsed="false">
      <c r="A460" s="13"/>
      <c r="F460" s="5"/>
    </row>
    <row r="461" customFormat="false" ht="8.95" hidden="false" customHeight="true" outlineLevel="0" collapsed="false">
      <c r="A461" s="13"/>
      <c r="F461" s="5"/>
    </row>
    <row r="462" customFormat="false" ht="8.95" hidden="false" customHeight="true" outlineLevel="0" collapsed="false">
      <c r="A462" s="13"/>
      <c r="F462" s="5"/>
    </row>
    <row r="463" customFormat="false" ht="8.95" hidden="false" customHeight="true" outlineLevel="0" collapsed="false">
      <c r="A463" s="13"/>
      <c r="F463" s="5"/>
    </row>
    <row r="464" customFormat="false" ht="8.95" hidden="false" customHeight="true" outlineLevel="0" collapsed="false">
      <c r="A464" s="13"/>
      <c r="F464" s="5"/>
    </row>
    <row r="465" customFormat="false" ht="8.95" hidden="false" customHeight="true" outlineLevel="0" collapsed="false">
      <c r="A465" s="13"/>
      <c r="F465" s="5"/>
    </row>
    <row r="466" customFormat="false" ht="8.95" hidden="false" customHeight="true" outlineLevel="0" collapsed="false">
      <c r="A466" s="13"/>
      <c r="F466" s="5"/>
    </row>
    <row r="467" customFormat="false" ht="8.95" hidden="false" customHeight="true" outlineLevel="0" collapsed="false">
      <c r="A467" s="13"/>
      <c r="F467" s="5"/>
    </row>
    <row r="468" customFormat="false" ht="8.95" hidden="false" customHeight="true" outlineLevel="0" collapsed="false">
      <c r="A468" s="13"/>
      <c r="F468" s="5"/>
    </row>
    <row r="469" customFormat="false" ht="8.95" hidden="false" customHeight="true" outlineLevel="0" collapsed="false">
      <c r="A469" s="13"/>
      <c r="F469" s="5"/>
    </row>
    <row r="470" customFormat="false" ht="8.95" hidden="false" customHeight="true" outlineLevel="0" collapsed="false">
      <c r="A470" s="13"/>
      <c r="F470" s="5"/>
    </row>
    <row r="471" customFormat="false" ht="8.95" hidden="false" customHeight="true" outlineLevel="0" collapsed="false">
      <c r="A471" s="13"/>
      <c r="F471" s="5"/>
    </row>
    <row r="472" customFormat="false" ht="8.95" hidden="false" customHeight="true" outlineLevel="0" collapsed="false">
      <c r="A472" s="13"/>
      <c r="F472" s="5"/>
    </row>
    <row r="473" customFormat="false" ht="8.95" hidden="false" customHeight="true" outlineLevel="0" collapsed="false">
      <c r="A473" s="13"/>
      <c r="F473" s="5"/>
    </row>
    <row r="474" customFormat="false" ht="8.95" hidden="false" customHeight="true" outlineLevel="0" collapsed="false">
      <c r="A474" s="13"/>
      <c r="F474" s="5"/>
    </row>
    <row r="475" customFormat="false" ht="8.95" hidden="false" customHeight="true" outlineLevel="0" collapsed="false">
      <c r="A475" s="13"/>
      <c r="F475" s="5"/>
    </row>
    <row r="476" customFormat="false" ht="8.95" hidden="false" customHeight="true" outlineLevel="0" collapsed="false">
      <c r="A476" s="13"/>
      <c r="F476" s="5"/>
    </row>
    <row r="477" customFormat="false" ht="8.95" hidden="false" customHeight="true" outlineLevel="0" collapsed="false">
      <c r="A477" s="13"/>
      <c r="F477" s="5"/>
    </row>
    <row r="478" customFormat="false" ht="8.95" hidden="false" customHeight="true" outlineLevel="0" collapsed="false">
      <c r="A478" s="13"/>
      <c r="F478" s="5"/>
    </row>
    <row r="479" customFormat="false" ht="8.95" hidden="false" customHeight="true" outlineLevel="0" collapsed="false">
      <c r="A479" s="13"/>
      <c r="F479" s="5"/>
    </row>
    <row r="480" customFormat="false" ht="8.95" hidden="false" customHeight="true" outlineLevel="0" collapsed="false">
      <c r="A480" s="13"/>
      <c r="F480" s="5"/>
    </row>
    <row r="481" customFormat="false" ht="8.95" hidden="false" customHeight="true" outlineLevel="0" collapsed="false">
      <c r="A481" s="13"/>
      <c r="F481" s="5"/>
    </row>
    <row r="482" customFormat="false" ht="8.95" hidden="false" customHeight="true" outlineLevel="0" collapsed="false">
      <c r="A482" s="13"/>
      <c r="F482" s="5"/>
    </row>
    <row r="483" customFormat="false" ht="8.95" hidden="false" customHeight="true" outlineLevel="0" collapsed="false">
      <c r="A483" s="13"/>
      <c r="F483" s="5"/>
    </row>
    <row r="484" customFormat="false" ht="8.95" hidden="false" customHeight="true" outlineLevel="0" collapsed="false">
      <c r="A484" s="13"/>
      <c r="F484" s="5"/>
    </row>
    <row r="485" customFormat="false" ht="8.95" hidden="false" customHeight="true" outlineLevel="0" collapsed="false">
      <c r="A485" s="13"/>
      <c r="F485" s="5"/>
    </row>
    <row r="486" customFormat="false" ht="8.95" hidden="false" customHeight="true" outlineLevel="0" collapsed="false">
      <c r="A486" s="13"/>
      <c r="F486" s="5"/>
    </row>
    <row r="487" customFormat="false" ht="8.95" hidden="false" customHeight="true" outlineLevel="0" collapsed="false">
      <c r="A487" s="13"/>
      <c r="F487" s="5"/>
    </row>
    <row r="488" customFormat="false" ht="8.95" hidden="false" customHeight="true" outlineLevel="0" collapsed="false">
      <c r="A488" s="13"/>
      <c r="F488" s="5"/>
    </row>
    <row r="489" customFormat="false" ht="8.95" hidden="false" customHeight="true" outlineLevel="0" collapsed="false">
      <c r="A489" s="13"/>
      <c r="F489" s="5"/>
    </row>
    <row r="490" customFormat="false" ht="8.95" hidden="false" customHeight="true" outlineLevel="0" collapsed="false">
      <c r="A490" s="13"/>
      <c r="F490" s="5"/>
    </row>
    <row r="491" customFormat="false" ht="8.95" hidden="false" customHeight="true" outlineLevel="0" collapsed="false">
      <c r="A491" s="13"/>
      <c r="F491" s="5"/>
    </row>
    <row r="492" customFormat="false" ht="8.95" hidden="false" customHeight="true" outlineLevel="0" collapsed="false">
      <c r="A492" s="13"/>
      <c r="F492" s="5"/>
    </row>
    <row r="493" customFormat="false" ht="8.95" hidden="false" customHeight="true" outlineLevel="0" collapsed="false">
      <c r="A493" s="13"/>
      <c r="F493" s="5"/>
    </row>
    <row r="494" customFormat="false" ht="8.95" hidden="false" customHeight="true" outlineLevel="0" collapsed="false">
      <c r="A494" s="13"/>
    </row>
    <row r="495" customFormat="false" ht="8.95" hidden="false" customHeight="true" outlineLevel="0" collapsed="false">
      <c r="A495" s="13"/>
    </row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">
    <mergeCell ref="H1:P1"/>
    <mergeCell ref="H5:O5"/>
    <mergeCell ref="H15:O15"/>
  </mergeCells>
  <hyperlinks>
    <hyperlink ref="H3" r:id="rId2" location="cite_note-Metadaten_Einwohnerzahl_DE-BB-1" display="https://de.wikipedia.org/wiki/Cottbus#cite_note-Metadaten_Einwohnerzahl_DE-BB-1"/>
    <hyperlink ref="G7" r:id="rId3" display="https://www.cottbus.de/.files/storage/file/344a9f1d-5dfd-430d-9366-c43ea10e0b3c/Jahrbuch2018-2.pdf"/>
    <hyperlink ref="G8" r:id="rId4" display="https://heliogaia.de/Heizspiegel-fuer-Deutschland-2018.pdf"/>
    <hyperlink ref="G11" r:id="rId5" display="www.umweltbundesamt.de/sites/default/files/medien/384/bilder/dateien/3_tab_energieverbrauch-eev-sektor-waermezwecke_2018-02-14.pdf"/>
    <hyperlink ref="G12" r:id="rId6" display="https://www.dena.de/fileadmin/dena/Bilder/Newsroom/Meldungen/2018Q2/Grafik-dena-Gebaeudereport-kompakt-2018-Endenergiebezogener-Gebaeudeenergieverbrauch.jpg"/>
    <hyperlink ref="G18" r:id="rId7" display="https://www-docs.b-tu.de/fg-bauoekonomie/public/Forschung/Publikationen/Kalusche-Wolfdietrich/2016/orientierungswerte.pdf"/>
    <hyperlink ref="G19" r:id="rId8" display="https://de.wikipedia.org/wiki/Deutschland"/>
    <hyperlink ref="G20" r:id="rId9" display="https://www.dena.de/newsroom/publikationsdetailansicht/pub/broschuere-dena-gebaeudereport-kompakt-2018/"/>
    <hyperlink ref="G22" r:id="rId10" location="textpart-1" display="https://www.umweltbundesamt.de/daten/private-haushalte-konsum/wohnen/wohnflaeche#textpart-1"/>
    <hyperlink ref="G23" r:id="rId11" display="https://www.destatis.de/DE/Themen/Gesellschaft-Umwelt/Wohnen/_inhalt.html;jsessionid=B06932BB79EC6A4F1C300E19A2E9934B.internet731"/>
    <hyperlink ref="G26" r:id="rId12" display="https://www.dwd.de/DE/leistungen/solarenergie/strahlungskarten_mvs.html?nn=16102"/>
    <hyperlink ref="G27" r:id="rId13" display="https://www.dwd.de/DE/leistungen/solarenergie/strahlungskarten_mvs.html?nn=16102"/>
    <hyperlink ref="G28" r:id="rId14" display="https://www.dwd.de/DE/leistungen/solarenergie/strahlungskarten_sum.html?nn=16102"/>
    <hyperlink ref="G29" r:id="rId15" display="http://www.solarkeymark.nl/DBF/PDF_Downloads/DS_47.pdf"/>
    <hyperlink ref="G30" r:id="rId16" display="http://www.solarkeymark.nl/DBF/PDF_Downloads/DS_1575.pdf"/>
    <hyperlink ref="G31" r:id="rId17" display="[39]"/>
    <hyperlink ref="H31" r:id="rId18" display="https://www.swissolar.ch/fileadmin/user_upload/Markterhebung/Marktumfrage_2017.pdf"/>
    <hyperlink ref="G32" r:id="rId19" display="[1]"/>
    <hyperlink ref="H32" r:id="rId20" display="https://www.swissolar.ch/fileadmin/user_upload/Markterhebung/Marktumfrage_2017.pdf"/>
    <hyperlink ref="G36" r:id="rId21" display="https://www.solaranlagen-portal.de/thermische-solaranlage/solarkollektor-preis.html"/>
    <hyperlink ref="G38" r:id="rId22" display="https://www.bodenrichtwerte-boris.de/borisde/?lang=de"/>
    <hyperlink ref="G47" r:id="rId23" location="cite_note-Metadaten_Einwohnerzahl_DE-BB-1" display="https://de.wikipedia.org/wiki/Cottbus#cite_note-Metadaten_Einwohnerzahl_DE-BB-1"/>
    <hyperlink ref="G56" r:id="rId24" location="accordion-1-3" display="https://www.straelen.de/rathaus-politik/dienstleistungen/wasserversorgung/wasserversorgung/#accordion-1-3"/>
    <hyperlink ref="G57" r:id="rId25" display="http://baupreise24.de/baupreise/erdarbeiten"/>
    <hyperlink ref="H59" r:id="rId26" location="v=onepage&amp;q&amp;f=false" display="https://books.google.de/books?id=hRmYJX_u7ykC&amp;printsec=frontcover&amp;hl=de#v=onepage&amp;q&amp;f=false"/>
    <hyperlink ref="G66" r:id="rId27" display="https://www.ikz.de/uploads/media/50-55_Daemmstandards.pdf"/>
    <hyperlink ref="G71" r:id="rId28" display="https://enerko.de/wp-content/uploads/2020/01/191212-Kurzbericht-FW-Schiene-Rheinland.pdf"/>
    <hyperlink ref="G72" r:id="rId29" display="https://www.borderstep.de/wp-content/uploads/2014/07/Clausen-Kosten_-laendliche_-Waermenetze-2012.pdf"/>
    <hyperlink ref="G73" r:id="rId30" display="https://www.borderstep.de/wp-content/uploads/2014/07/Clausen-Kosten_-laendliche_-Waermenetze-2012.pdf"/>
    <hyperlink ref="G78" r:id="rId31" display="https://www.ier.uni-stuttgart.de/publikationen/arbeitsberichte/downloads/Arbeitsbericht_04.pdf"/>
    <hyperlink ref="H78" r:id="rId32" display="https://enerko.de/wp-content/uploads/2015/06/Endbericht_GKK_Kiel.pdf"/>
    <hyperlink ref="G81" r:id="rId33" display="https://www.ksb.com/de-global/kreiselpumpenlexikon/artikel/pumpenwirkungsgrad-1074676"/>
    <hyperlink ref="G82" r:id="rId34" display="http://seitzpumpen.homepage.t-online.de/PDF-Dateien/Preisliste/NM.pdf"/>
    <hyperlink ref="G84" r:id="rId35" display="https://www.cottbus.de/.files/storage/file/003970be-d37a-4e7c-938d-ce65353f2169/Energiekonzept_CB_Endbericht_30-09-2013.pdf"/>
    <hyperlink ref="G89" r:id="rId36" display="https://www.cottbus.de/.files/storage/file/003970be-d37a-4e7c-938d-ce65353f2169/Energiekonzept_CB_Endbericht_30-09-2013.pdf"/>
    <hyperlink ref="G106" r:id="rId37" display="https://www.cottbus.de/.files/storage/file/003970be-d37a-4e7c-938d-ce65353f2169/Energiekonzept_CB_Endbericht_30-09-2013.pdf"/>
    <hyperlink ref="G136" r:id="rId38" display="https://www.heizspiegel.de/heizkosten-senken/heizungswartung/"/>
  </hyperlinks>
  <printOptions headings="true" gridLines="true" gridLinesSet="true" horizontalCentered="true" verticalCentered="true"/>
  <pageMargins left="0.236111111111111" right="0.236111111111111" top="0.0784722222222222" bottom="0.254861111111111" header="0.511805555555555" footer="0.157638888888889"/>
  <pageSetup paperSize="9" scale="100" firstPageNumber="1" fitToWidth="1" fitToHeight="8" pageOrder="downThenOver" orientation="portrait" blackAndWhite="false" draft="false" cellComments="none" useFirstPageNumber="true" horizontalDpi="300" verticalDpi="300" copies="1"/>
  <headerFooter differentFirst="false" differentOddEven="false">
    <oddHeader/>
    <oddFooter>&amp;R&amp;7&amp;D &amp;T &amp;F</oddFooter>
  </headerFooter>
  <drawing r:id="rId39"/>
  <legacyDrawing r:id="rId4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8.9140625" defaultRowHeight="21.95" zeroHeight="false" outlineLevelRow="0" outlineLevelCol="0"/>
  <cols>
    <col collapsed="false" customWidth="true" hidden="false" outlineLevel="0" max="1" min="1" style="0" width="22.23"/>
    <col collapsed="false" customWidth="true" hidden="false" outlineLevel="0" max="6" min="2" style="0" width="8.47"/>
    <col collapsed="false" customWidth="true" hidden="false" outlineLevel="0" max="7" min="7" style="0" width="13.06"/>
    <col collapsed="false" customWidth="true" hidden="false" outlineLevel="0" max="12" min="8" style="0" width="7.78"/>
    <col collapsed="false" customWidth="true" hidden="false" outlineLevel="0" max="14" min="13" style="0" width="8.61"/>
    <col collapsed="false" customWidth="true" hidden="false" outlineLevel="0" max="1024" min="1023" style="0" width="11.52"/>
  </cols>
  <sheetData>
    <row r="1" customFormat="false" ht="21.95" hidden="false" customHeight="true" outlineLevel="0" collapsed="false">
      <c r="C1" s="149" t="s">
        <v>318</v>
      </c>
      <c r="D1" s="149"/>
      <c r="E1" s="149"/>
      <c r="F1" s="149"/>
    </row>
    <row r="2" s="150" customFormat="true" ht="21.95" hidden="false" customHeight="true" outlineLevel="0" collapsed="false">
      <c r="B2" s="150" t="s">
        <v>319</v>
      </c>
      <c r="C2" s="150" t="s">
        <v>320</v>
      </c>
      <c r="D2" s="150" t="s">
        <v>320</v>
      </c>
      <c r="E2" s="150" t="s">
        <v>135</v>
      </c>
      <c r="F2" s="150" t="s">
        <v>135</v>
      </c>
      <c r="G2" s="150" t="s">
        <v>76</v>
      </c>
      <c r="AMI2" s="0"/>
      <c r="AMJ2" s="0"/>
    </row>
    <row r="3" customFormat="false" ht="21.95" hidden="false" customHeight="true" outlineLevel="0" collapsed="false">
      <c r="A3" s="151" t="s">
        <v>321</v>
      </c>
      <c r="B3" s="0" t="n">
        <v>1</v>
      </c>
      <c r="C3" s="0" t="n">
        <v>331</v>
      </c>
      <c r="D3" s="0" t="n">
        <v>275</v>
      </c>
      <c r="E3" s="152" t="n">
        <f aca="false">C3/87*1000</f>
        <v>3804.59770114943</v>
      </c>
      <c r="F3" s="152" t="n">
        <f aca="false">D3/87*1000</f>
        <v>3160.91954022988</v>
      </c>
      <c r="G3" s="152" t="n">
        <f aca="false">E3*F3</f>
        <v>12026027.2162769</v>
      </c>
    </row>
    <row r="4" customFormat="false" ht="21.95" hidden="false" customHeight="true" outlineLevel="0" collapsed="false">
      <c r="A4" s="151" t="s">
        <v>322</v>
      </c>
      <c r="B4" s="0" t="n">
        <v>2</v>
      </c>
      <c r="C4" s="0" t="n">
        <v>39</v>
      </c>
      <c r="D4" s="0" t="n">
        <v>103</v>
      </c>
      <c r="E4" s="152" t="n">
        <f aca="false">C4/87*1000</f>
        <v>448.275862068966</v>
      </c>
      <c r="F4" s="152" t="n">
        <f aca="false">D4/87*1000</f>
        <v>1183.90804597701</v>
      </c>
      <c r="G4" s="152" t="n">
        <f aca="false">E4*F4</f>
        <v>530717.399920729</v>
      </c>
    </row>
    <row r="5" customFormat="false" ht="21.95" hidden="false" customHeight="true" outlineLevel="0" collapsed="false">
      <c r="A5" s="153" t="s">
        <v>323</v>
      </c>
      <c r="B5" s="0" t="n">
        <v>3</v>
      </c>
      <c r="C5" s="0" t="n">
        <v>63</v>
      </c>
      <c r="D5" s="0" t="n">
        <v>71</v>
      </c>
      <c r="E5" s="152" t="n">
        <f aca="false">C5/87*1000</f>
        <v>724.137931034483</v>
      </c>
      <c r="F5" s="152" t="n">
        <f aca="false">D5/87*1000</f>
        <v>816.091954022989</v>
      </c>
      <c r="G5" s="152" t="n">
        <f aca="false">E5*F5</f>
        <v>590963.139120095</v>
      </c>
    </row>
    <row r="6" customFormat="false" ht="21.95" hidden="false" customHeight="true" outlineLevel="0" collapsed="false">
      <c r="A6" s="153" t="s">
        <v>324</v>
      </c>
      <c r="B6" s="0" t="n">
        <v>4</v>
      </c>
      <c r="C6" s="0" t="n">
        <v>529</v>
      </c>
      <c r="D6" s="0" t="n">
        <v>330</v>
      </c>
      <c r="E6" s="152" t="n">
        <f aca="false">C6/87*1000</f>
        <v>6080.45977011494</v>
      </c>
      <c r="F6" s="152" t="n">
        <f aca="false">D6/87*1000</f>
        <v>3793.10344827586</v>
      </c>
      <c r="G6" s="152" t="n">
        <f aca="false">E6*F6</f>
        <v>23063812.9211256</v>
      </c>
    </row>
    <row r="7" customFormat="false" ht="21.95" hidden="false" customHeight="true" outlineLevel="0" collapsed="false">
      <c r="A7" s="153" t="s">
        <v>325</v>
      </c>
      <c r="B7" s="0" t="n">
        <v>5</v>
      </c>
      <c r="C7" s="0" t="n">
        <v>256</v>
      </c>
      <c r="D7" s="0" t="n">
        <v>109</v>
      </c>
      <c r="E7" s="152" t="n">
        <f aca="false">C7/87*1000</f>
        <v>2942.52873563218</v>
      </c>
      <c r="F7" s="152" t="n">
        <f aca="false">D7/87*1000</f>
        <v>1252.87356321839</v>
      </c>
      <c r="G7" s="152" t="n">
        <f aca="false">E7*F7</f>
        <v>3686616.461884</v>
      </c>
    </row>
    <row r="8" customFormat="false" ht="21.95" hidden="false" customHeight="true" outlineLevel="0" collapsed="false">
      <c r="A8" s="153" t="s">
        <v>326</v>
      </c>
      <c r="B8" s="0" t="n">
        <v>6</v>
      </c>
      <c r="C8" s="0" t="n">
        <v>59</v>
      </c>
      <c r="D8" s="0" t="n">
        <v>159</v>
      </c>
      <c r="E8" s="152" t="n">
        <f aca="false">C8/87*1000</f>
        <v>678.16091954023</v>
      </c>
      <c r="F8" s="152" t="n">
        <f aca="false">D8/87*1000</f>
        <v>1827.58620689655</v>
      </c>
      <c r="G8" s="152" t="n">
        <f aca="false">E8*F8</f>
        <v>1239397.54260801</v>
      </c>
    </row>
    <row r="9" customFormat="false" ht="21.95" hidden="false" customHeight="true" outlineLevel="0" collapsed="false">
      <c r="A9" s="154" t="s">
        <v>327</v>
      </c>
      <c r="B9" s="0" t="n">
        <v>7</v>
      </c>
      <c r="C9" s="0" t="n">
        <v>38</v>
      </c>
      <c r="D9" s="0" t="n">
        <v>62</v>
      </c>
      <c r="E9" s="152" t="n">
        <f aca="false">C9/87*1000</f>
        <v>436.781609195402</v>
      </c>
      <c r="F9" s="152" t="n">
        <f aca="false">D9/87*1000</f>
        <v>712.64367816092</v>
      </c>
      <c r="G9" s="152" t="n">
        <f aca="false">E9*F9</f>
        <v>311269.652530057</v>
      </c>
    </row>
    <row r="10" customFormat="false" ht="21.95" hidden="false" customHeight="true" outlineLevel="0" collapsed="false">
      <c r="A10" s="154" t="s">
        <v>328</v>
      </c>
      <c r="B10" s="0" t="n">
        <v>8</v>
      </c>
      <c r="C10" s="0" t="n">
        <v>54</v>
      </c>
      <c r="D10" s="0" t="n">
        <v>94</v>
      </c>
      <c r="E10" s="152" t="n">
        <f aca="false">C10/87*1000</f>
        <v>620.689655172414</v>
      </c>
      <c r="F10" s="152" t="n">
        <f aca="false">D10/87*1000</f>
        <v>1080.45977011494</v>
      </c>
      <c r="G10" s="152" t="n">
        <f aca="false">E10*F10</f>
        <v>670630.202140309</v>
      </c>
    </row>
    <row r="11" customFormat="false" ht="21.95" hidden="false" customHeight="true" outlineLevel="0" collapsed="false">
      <c r="A11" s="154" t="s">
        <v>329</v>
      </c>
      <c r="B11" s="0" t="n">
        <v>9</v>
      </c>
      <c r="C11" s="0" t="n">
        <v>41</v>
      </c>
      <c r="D11" s="0" t="n">
        <v>102</v>
      </c>
      <c r="E11" s="152" t="n">
        <f aca="false">C11/87*1000</f>
        <v>471.264367816092</v>
      </c>
      <c r="F11" s="152" t="n">
        <f aca="false">D11/87*1000</f>
        <v>1172.41379310345</v>
      </c>
      <c r="G11" s="152" t="n">
        <f aca="false">E11*F11</f>
        <v>552516.845025763</v>
      </c>
    </row>
    <row r="12" customFormat="false" ht="21.95" hidden="false" customHeight="true" outlineLevel="0" collapsed="false">
      <c r="A12" s="155" t="s">
        <v>330</v>
      </c>
      <c r="B12" s="155" t="s">
        <v>13</v>
      </c>
      <c r="C12" s="155"/>
      <c r="D12" s="155"/>
      <c r="E12" s="156" t="s">
        <v>13</v>
      </c>
      <c r="F12" s="157" t="n">
        <f aca="false">SUM(E3:F11)/18</f>
        <v>1733.71647509579</v>
      </c>
      <c r="G12" s="156" t="n">
        <f aca="false">SUM(G3:G11)</f>
        <v>42671951.3806315</v>
      </c>
      <c r="H12" s="0" t="n">
        <f aca="false">(G12/9)^0.5</f>
        <v>2177.45905384723</v>
      </c>
    </row>
    <row r="13" customFormat="false" ht="21.95" hidden="false" customHeight="true" outlineLevel="0" collapsed="false">
      <c r="B13" s="0" t="s">
        <v>13</v>
      </c>
      <c r="G13" s="0" t="n">
        <f aca="false">G12^0.5</f>
        <v>6532.37716154169</v>
      </c>
    </row>
    <row r="14" customFormat="false" ht="21.95" hidden="false" customHeight="true" outlineLevel="0" collapsed="false">
      <c r="A14" s="0" t="s">
        <v>331</v>
      </c>
      <c r="B14" s="0" t="s">
        <v>332</v>
      </c>
    </row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">
    <mergeCell ref="C1:F1"/>
  </mergeCells>
  <printOptions headings="true" gridLines="true" gridLinesSet="true" horizontalCentered="true" verticalCentered="true"/>
  <pageMargins left="0.236111111111111" right="0.236111111111111" top="0.0784722222222222" bottom="0.254861111111111" header="0.511805555555555" footer="0.157638888888889"/>
  <pageSetup paperSize="9" scale="100" firstPageNumber="1" fitToWidth="1" fitToHeight="8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&amp;R&amp;7&amp;D &amp;T 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17770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2019-03-02T07:48:59Z</dcterms:created>
  <dc:creator/>
  <dc:description/>
  <dc:language>de-DE</dc:language>
  <cp:lastModifiedBy/>
  <cp:lastPrinted>2019-11-29T09:25:15Z</cp:lastPrinted>
  <dcterms:modified xsi:type="dcterms:W3CDTF">2023-11-29T12:00:31Z</dcterms:modified>
  <cp:revision>289</cp:revision>
  <dc:subject/>
  <dc:title/>
</cp:coreProperties>
</file>