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Print_Area" vbProcedure="false">Tabelle1!$A$1:$R$100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<sst xmlns="http://schemas.openxmlformats.org/spreadsheetml/2006/main" count="409" uniqueCount="102">
  <si>
    <t xml:space="preserve"> </t>
  </si>
  <si>
    <t xml:space="preserve">Parametereingabe:</t>
  </si>
  <si>
    <t xml:space="preserve">Wert</t>
  </si>
  <si>
    <t xml:space="preserve">Einheit</t>
  </si>
  <si>
    <t xml:space="preserve">Quelle / Bemerkungen</t>
  </si>
  <si>
    <t xml:space="preserve">Innentemperatur</t>
  </si>
  <si>
    <t xml:space="preserve">°C</t>
  </si>
  <si>
    <t xml:space="preserve">gesetzt</t>
  </si>
  <si>
    <t xml:space="preserve">Temperatur Untergrund</t>
  </si>
  <si>
    <t xml:space="preserve">Mittlere Lufttemperatur; Berlin; Nov.bis Apr.</t>
  </si>
  <si>
    <r>
      <rPr>
        <sz val="6"/>
        <color rgb="FF0000FF"/>
        <rFont val="Liberation Sans Narrow"/>
        <family val="2"/>
      </rPr>
      <t xml:space="preserve">https://www.dwd.de/DE/leistungen/klimadatendeutschland/mittelwerte/temp_8110_fest_html.html?view=nasPublication&amp;nn=16102</t>
    </r>
    <r>
      <rPr>
        <sz val="6"/>
        <rFont val="Liberation Sans Narrow"/>
        <family val="2"/>
      </rPr>
      <t xml:space="preserve">; Tegel</t>
    </r>
  </si>
  <si>
    <t xml:space="preserve">Luftwechselrate</t>
  </si>
  <si>
    <t xml:space="preserve">m³/h/Kopf</t>
  </si>
  <si>
    <t xml:space="preserve">Pettenkofer-Wert;  DIN 1946-6</t>
  </si>
  <si>
    <t xml:space="preserve">Spezifische Wärmekapazität der Luft </t>
  </si>
  <si>
    <t xml:space="preserve">KJ/kg/K</t>
  </si>
  <si>
    <t xml:space="preserve">Dichte der Luft bei Zimmertemperatur</t>
  </si>
  <si>
    <t xml:space="preserve">kg/m³</t>
  </si>
  <si>
    <t xml:space="preserve">Durchschnittliche Wohnfläche pro Kopf</t>
  </si>
  <si>
    <t xml:space="preserve">m²/Kopf</t>
  </si>
  <si>
    <t xml:space="preserve">Jährliche Globalstrahlung am Ort</t>
  </si>
  <si>
    <t xml:space="preserve">kWh/a/m²</t>
  </si>
  <si>
    <t xml:space="preserve">https://www.dwd.de/DE/leistungen/solarenergie/lstrahlungskarten_mi.html</t>
  </si>
  <si>
    <t xml:space="preserve">Jahresertrag der Kollektoren</t>
  </si>
  <si>
    <t xml:space="preserve">Röhrenkollektoren Ritter CPC XL 1921, Würzburg bei T=75°C</t>
  </si>
  <si>
    <t xml:space="preserve">Ausnutzung der Dachfläche</t>
  </si>
  <si>
    <t xml:space="preserve">%</t>
  </si>
  <si>
    <t xml:space="preserve">Effizienznachlass der Kollektoren auf</t>
  </si>
  <si>
    <t xml:space="preserve">Faktor für Brutto-Grundfläche</t>
  </si>
  <si>
    <r>
      <rPr>
        <sz val="12"/>
        <color rgb="FF0000FF"/>
        <rFont val="Liberation Sans Narrow"/>
        <family val="0"/>
      </rPr>
      <t xml:space="preserve">https://de.wikipedia.org/wiki/Energiebezugsfläche</t>
    </r>
    <r>
      <rPr>
        <sz val="12"/>
        <rFont val="Liberation Sans Narrow"/>
        <family val="0"/>
      </rPr>
      <t xml:space="preserve">;  BGF/NGF</t>
    </r>
  </si>
  <si>
    <t xml:space="preserve">Wärmeleitwert λ für Ziegel</t>
  </si>
  <si>
    <t xml:space="preserve">W/m/K</t>
  </si>
  <si>
    <r>
      <rPr>
        <sz val="12"/>
        <rFont val="Liberation Sans Narrow"/>
        <family val="0"/>
      </rPr>
      <t xml:space="preserve">Wärmeleitwert  λ für </t>
    </r>
    <r>
      <rPr>
        <sz val="12"/>
        <rFont val="Liberation Sans Narrow"/>
        <family val="2"/>
      </rPr>
      <t xml:space="preserve">Dämmstoff</t>
    </r>
  </si>
  <si>
    <r>
      <rPr>
        <sz val="12"/>
        <rFont val="Liberation Sans Narrow"/>
        <family val="0"/>
      </rPr>
      <t xml:space="preserve">Wärmeleitwert  λ für </t>
    </r>
    <r>
      <rPr>
        <sz val="12"/>
        <rFont val="Liberation Sans Narrow"/>
        <family val="2"/>
      </rPr>
      <t xml:space="preserve">trockenen Füllboden</t>
    </r>
  </si>
  <si>
    <t xml:space="preserve">Stärke der Dämmschicht, Grund</t>
  </si>
  <si>
    <t xml:space="preserve">m </t>
  </si>
  <si>
    <t xml:space="preserve">Stärke der Dämmschicht, Wand</t>
  </si>
  <si>
    <t xml:space="preserve">Stärke der Dämmschicht, Dach</t>
  </si>
  <si>
    <t xml:space="preserve">Wärmewiderstand für 1m² Hüllfläche</t>
  </si>
  <si>
    <t xml:space="preserve">Standardhaus; Wohnung für 2 Personen, eingeschossig</t>
  </si>
  <si>
    <t xml:space="preserve">Flächen- inhalt</t>
  </si>
  <si>
    <t xml:space="preserve">Übergang extern</t>
  </si>
  <si>
    <t xml:space="preserve">Konstruktion</t>
  </si>
  <si>
    <t xml:space="preserve">Dämmung</t>
  </si>
  <si>
    <t xml:space="preserve">Zusatz, z.B.Parkett Paneele</t>
  </si>
  <si>
    <t xml:space="preserve">Übergang intern</t>
  </si>
  <si>
    <t xml:space="preserve">Summe</t>
  </si>
  <si>
    <t xml:space="preserve">U-Wert</t>
  </si>
  <si>
    <t xml:space="preserve">Leistung für alle m² dieser Hüllfläche</t>
  </si>
  <si>
    <t xml:space="preserve">Heizenergie für diese Hüllfläche pro Jahr</t>
  </si>
  <si>
    <t xml:space="preserve">Heizenergie pro m² Wohnfläche pro Jahr</t>
  </si>
  <si>
    <t xml:space="preserve">Ergebnis</t>
  </si>
  <si>
    <t xml:space="preserve">kWh/m²/a</t>
  </si>
  <si>
    <t xml:space="preserve">A</t>
  </si>
  <si>
    <t xml:space="preserve">Rüe</t>
  </si>
  <si>
    <t xml:space="preserve">R1</t>
  </si>
  <si>
    <t xml:space="preserve">R2</t>
  </si>
  <si>
    <t xml:space="preserve">R3</t>
  </si>
  <si>
    <t xml:space="preserve">Rüi</t>
  </si>
  <si>
    <t xml:space="preserve">Rges</t>
  </si>
  <si>
    <t xml:space="preserve">U</t>
  </si>
  <si>
    <t xml:space="preserve">P</t>
  </si>
  <si>
    <t xml:space="preserve">E</t>
  </si>
  <si>
    <t xml:space="preserve">Größe</t>
  </si>
  <si>
    <t xml:space="preserve">m²</t>
  </si>
  <si>
    <t xml:space="preserve">m²*K/W</t>
  </si>
  <si>
    <t xml:space="preserve">W/m²/K</t>
  </si>
  <si>
    <t xml:space="preserve">W/K</t>
  </si>
  <si>
    <t xml:space="preserve">kWh/a</t>
  </si>
  <si>
    <t xml:space="preserve">Grund</t>
  </si>
  <si>
    <t xml:space="preserve">Dachfläche pro Kopf</t>
  </si>
  <si>
    <t xml:space="preserve">Wand</t>
  </si>
  <si>
    <t xml:space="preserve">Solarwärme pro Kopf, Jahresernte Dach Standardgebäude</t>
  </si>
  <si>
    <t xml:space="preserve">kWh/a/Kopf</t>
  </si>
  <si>
    <t xml:space="preserve">Dach</t>
  </si>
  <si>
    <t xml:space="preserve">Solarwärme pro m² Brutto-Wohnfläche, Jahresernte </t>
  </si>
  <si>
    <t xml:space="preserve">Fenster</t>
  </si>
  <si>
    <t xml:space="preserve">Tür</t>
  </si>
  <si>
    <t xml:space="preserve">nötige Auslegungsleistung einer Flächenheizung pro m² *)</t>
  </si>
  <si>
    <t xml:space="preserve">W/m²</t>
  </si>
  <si>
    <t xml:space="preserve">Dazu der Luftwechsel, gesamt</t>
  </si>
  <si>
    <t xml:space="preserve">Heizwärmebedarf zur Heizperiode in 2-Personen-Standardwohnung</t>
  </si>
  <si>
    <t xml:space="preserve">Heizwärmebedarf zur Heizperiode pro Kopf</t>
  </si>
  <si>
    <t xml:space="preserve">Wohnung für 2 Personen, zweigeschossig</t>
  </si>
  <si>
    <t xml:space="preserve">Solarwärme pro Kopf,Jahresernte auf dem Dach des Gebäudes</t>
  </si>
  <si>
    <t xml:space="preserve">Heizwärmebedarf zur Heizperiode pro 2-Personen-Haushalt</t>
  </si>
  <si>
    <t xml:space="preserve">Wohnung für 4 Personen, Einfamilienhaus, zweigeschossig</t>
  </si>
  <si>
    <t xml:space="preserve">Solarwärme pro Kopf,Jahresernte auf dem Dach des  Gebäudes</t>
  </si>
  <si>
    <t xml:space="preserve">Wohnungen für 8 Personen, Doppelhaus, zweigeschossig</t>
  </si>
  <si>
    <t xml:space="preserve">Wohnungen für 12 Personen, Doppelhaus, dreigeschossig</t>
  </si>
  <si>
    <t xml:space="preserve">dazu die Sanierungskosten:</t>
  </si>
  <si>
    <r>
      <rPr>
        <sz val="10.5"/>
        <rFont val="Liberation Sans Narrow"/>
        <family val="2"/>
      </rPr>
      <t xml:space="preserve">*) Die Auslegungsleistung von 36 W/m² wird mit Fußbodenheizung  bei Zimmertemperaturen von 20 °C und  40°C Vorlauf/ 30°C Rücklauf mit Teppichboden bei einem Verlegeabstand von 250mm bereits erreicht </t>
    </r>
    <r>
      <rPr>
        <sz val="10.5"/>
        <color rgb="FF0000FF"/>
        <rFont val="Liberation Sans Narrow"/>
        <family val="2"/>
      </rPr>
      <t xml:space="preserve">[90]</t>
    </r>
  </si>
  <si>
    <t xml:space="preserve">Fläche</t>
  </si>
  <si>
    <t xml:space="preserve">Kosten </t>
  </si>
  <si>
    <t xml:space="preserve">Kosten</t>
  </si>
  <si>
    <t xml:space="preserve">€/m²</t>
  </si>
  <si>
    <t xml:space="preserve">€</t>
  </si>
  <si>
    <t xml:space="preserve">€/Kopf</t>
  </si>
  <si>
    <t xml:space="preserve">Grund mit Fußbodenheizung</t>
  </si>
  <si>
    <t xml:space="preserve">https://www.sparkasse.de/themen/sanierung-modernisierung-renovierung/was-kostet-eine-modernisierung.html</t>
  </si>
  <si>
    <t xml:space="preserve">https://kostencheck.de/kosten-fussbodenheizung-100-qm</t>
  </si>
  <si>
    <t xml:space="preserve">https://www.energieheld.de/heizung/heizkoerper/flaechenheizung/fussbodenheizung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</si>
</sst>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407];[RED]\-#,##0.00\ [$€-407]"/>
    <numFmt numFmtId="166" formatCode="0.0"/>
    <numFmt numFmtId="167" formatCode="0.00"/>
    <numFmt numFmtId="168" formatCode="General"/>
    <numFmt numFmtId="169" formatCode="#,##0"/>
    <numFmt numFmtId="170" formatCode="0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6"/>
      <name val="Liberation Sans Narrow"/>
      <family val="2"/>
    </font>
    <font>
      <sz val="12"/>
      <name val="Liberation Sans Narrow"/>
      <family val="2"/>
    </font>
    <font>
      <b val="true"/>
      <sz val="10"/>
      <name val="Liberation Sans Narrow"/>
      <family val="2"/>
    </font>
    <font>
      <b val="true"/>
      <sz val="12"/>
      <name val="Liberation Sans Narrow"/>
      <family val="2"/>
    </font>
    <font>
      <b val="true"/>
      <sz val="10"/>
      <name val="Arial"/>
      <family val="2"/>
    </font>
    <font>
      <sz val="6"/>
      <color rgb="FF0000FF"/>
      <name val="Liberation Sans Narrow"/>
      <family val="2"/>
    </font>
    <font>
      <sz val="6"/>
      <name val="Liberation Sans Narrow"/>
      <family val="2"/>
    </font>
    <font>
      <sz val="8"/>
      <name val="Liberation Sans Narrow"/>
      <family val="2"/>
    </font>
    <font>
      <sz val="12"/>
      <color rgb="FF0000FF"/>
      <name val="Liberation Sans Narrow"/>
      <family val="2"/>
    </font>
    <font>
      <sz val="12"/>
      <color rgb="FF0000FF"/>
      <name val="Liberation Sans Narrow"/>
      <family val="0"/>
    </font>
    <font>
      <sz val="12"/>
      <name val="Liberation Sans Narrow"/>
      <family val="0"/>
    </font>
    <font>
      <b val="true"/>
      <sz val="9"/>
      <name val="Liberation Sans Narrow"/>
      <family val="2"/>
    </font>
    <font>
      <b val="true"/>
      <i val="true"/>
      <sz val="9"/>
      <name val="Liberation Sans Narrow"/>
      <family val="2"/>
    </font>
    <font>
      <b val="true"/>
      <sz val="22"/>
      <name val="Liberation Sans Narrow"/>
      <family val="2"/>
    </font>
    <font>
      <b val="true"/>
      <i val="true"/>
      <sz val="10"/>
      <name val="Liberation Sans Narrow"/>
      <family val="2"/>
    </font>
    <font>
      <i val="true"/>
      <sz val="10"/>
      <name val="Liberation Sans Narrow"/>
      <family val="2"/>
    </font>
    <font>
      <sz val="10"/>
      <name val="Liberation Sans Narrow"/>
      <family val="2"/>
    </font>
    <font>
      <b val="true"/>
      <u val="single"/>
      <sz val="12"/>
      <name val="Liberation Sans Narrow"/>
      <family val="2"/>
    </font>
    <font>
      <b val="true"/>
      <sz val="14"/>
      <name val="Liberation Sans Narrow"/>
      <family val="2"/>
    </font>
    <font>
      <sz val="10.5"/>
      <name val="Liberation Sans Narrow"/>
      <family val="2"/>
    </font>
    <font>
      <sz val="10.5"/>
      <color rgb="FF0000FF"/>
      <name val="Liberation Sans Narrow"/>
      <family val="2"/>
    </font>
    <font>
      <sz val="7"/>
      <color rgb="FF0000FF"/>
      <name val="Liberation Sans Narrow"/>
      <family val="0"/>
    </font>
  </fonts>
  <fills count="13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FFA6A6"/>
        <bgColor rgb="FFFF9999"/>
      </patternFill>
    </fill>
    <fill>
      <patternFill patternType="solid">
        <fgColor rgb="FFB2B2B2"/>
        <bgColor rgb="FF969696"/>
      </patternFill>
    </fill>
    <fill>
      <patternFill patternType="solid">
        <fgColor rgb="FFFFD700"/>
        <bgColor rgb="FFFFFF00"/>
      </patternFill>
    </fill>
    <fill>
      <patternFill patternType="solid">
        <fgColor rgb="FFEEEEEE"/>
        <bgColor rgb="FFFFFFCC"/>
      </patternFill>
    </fill>
    <fill>
      <patternFill patternType="solid">
        <fgColor rgb="FFFF9999"/>
        <bgColor rgb="FFFFA6A6"/>
      </patternFill>
    </fill>
    <fill>
      <patternFill patternType="solid">
        <fgColor rgb="FFC8FAD5"/>
        <bgColor rgb="FFCCFFFF"/>
      </patternFill>
    </fill>
    <fill>
      <patternFill patternType="solid">
        <fgColor rgb="FFEC9BA4"/>
        <bgColor rgb="FFFF9999"/>
      </patternFill>
    </fill>
    <fill>
      <patternFill patternType="solid">
        <fgColor rgb="FFF0E68C"/>
        <bgColor rgb="FFFFCC99"/>
      </patternFill>
    </fill>
    <fill>
      <patternFill patternType="solid">
        <fgColor rgb="FFFF3333"/>
        <bgColor rgb="FFFF4000"/>
      </patternFill>
    </fill>
    <fill>
      <patternFill patternType="solid">
        <fgColor rgb="FFFF4000"/>
        <bgColor rgb="FFFF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89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89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89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89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99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AD5"/>
      <rgbColor rgb="FFF0E68C"/>
      <rgbColor rgb="FF66CCFF"/>
      <rgbColor rgb="FFFFA6A6"/>
      <rgbColor rgb="FFEC9BA4"/>
      <rgbColor rgb="FFFFCC99"/>
      <rgbColor rgb="FF3366FF"/>
      <rgbColor rgb="FF33CCCC"/>
      <rgbColor rgb="FF99CC00"/>
      <rgbColor rgb="FFFFD7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1460520</xdr:colOff>
      <xdr:row>21</xdr:row>
      <xdr:rowOff>255240</xdr:rowOff>
    </xdr:from>
    <xdr:to>
      <xdr:col>14</xdr:col>
      <xdr:colOff>2378520</xdr:colOff>
      <xdr:row>21</xdr:row>
      <xdr:rowOff>578160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11288880" y="4140000"/>
          <a:ext cx="918000" cy="32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1751760</xdr:colOff>
      <xdr:row>32</xdr:row>
      <xdr:rowOff>3240</xdr:rowOff>
    </xdr:from>
    <xdr:to>
      <xdr:col>14</xdr:col>
      <xdr:colOff>2215800</xdr:colOff>
      <xdr:row>32</xdr:row>
      <xdr:rowOff>583200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1580120" y="6273720"/>
          <a:ext cx="464040" cy="57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1628280</xdr:colOff>
      <xdr:row>43</xdr:row>
      <xdr:rowOff>2160</xdr:rowOff>
    </xdr:from>
    <xdr:to>
      <xdr:col>14</xdr:col>
      <xdr:colOff>2496960</xdr:colOff>
      <xdr:row>44</xdr:row>
      <xdr:rowOff>3600</xdr:rowOff>
    </xdr:to>
    <xdr:pic>
      <xdr:nvPicPr>
        <xdr:cNvPr id="2" name="Bild 3" descr=""/>
        <xdr:cNvPicPr/>
      </xdr:nvPicPr>
      <xdr:blipFill>
        <a:blip r:embed="rId3"/>
        <a:stretch/>
      </xdr:blipFill>
      <xdr:spPr>
        <a:xfrm>
          <a:off x="11456640" y="8658360"/>
          <a:ext cx="868680" cy="58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1233720</xdr:colOff>
      <xdr:row>54</xdr:row>
      <xdr:rowOff>2160</xdr:rowOff>
    </xdr:from>
    <xdr:to>
      <xdr:col>14</xdr:col>
      <xdr:colOff>2970720</xdr:colOff>
      <xdr:row>54</xdr:row>
      <xdr:rowOff>582120</xdr:rowOff>
    </xdr:to>
    <xdr:pic>
      <xdr:nvPicPr>
        <xdr:cNvPr id="3" name="Bild 4" descr=""/>
        <xdr:cNvPicPr/>
      </xdr:nvPicPr>
      <xdr:blipFill>
        <a:blip r:embed="rId4"/>
        <a:stretch/>
      </xdr:blipFill>
      <xdr:spPr>
        <a:xfrm>
          <a:off x="11062080" y="11044080"/>
          <a:ext cx="1737000" cy="57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1215720</xdr:colOff>
      <xdr:row>64</xdr:row>
      <xdr:rowOff>141840</xdr:rowOff>
    </xdr:from>
    <xdr:to>
      <xdr:col>14</xdr:col>
      <xdr:colOff>3047760</xdr:colOff>
      <xdr:row>65</xdr:row>
      <xdr:rowOff>902160</xdr:rowOff>
    </xdr:to>
    <xdr:pic>
      <xdr:nvPicPr>
        <xdr:cNvPr id="4" name="Bild 5" descr=""/>
        <xdr:cNvPicPr/>
      </xdr:nvPicPr>
      <xdr:blipFill>
        <a:blip r:embed="rId5"/>
        <a:stretch/>
      </xdr:blipFill>
      <xdr:spPr>
        <a:xfrm>
          <a:off x="11044080" y="13418280"/>
          <a:ext cx="1832040" cy="91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wd.de/DE/leistungen/klimadatendeutschland/mittelwerte/temp_8110_fest_html.html?view=nasPublication&amp;nn=16102" TargetMode="External"/><Relationship Id="rId2" Type="http://schemas.openxmlformats.org/officeDocument/2006/relationships/hyperlink" Target="https://www.dwd.de/DE/leistungen/solarenergie/lstrahlungskarten_mi.html" TargetMode="External"/><Relationship Id="rId3" Type="http://schemas.openxmlformats.org/officeDocument/2006/relationships/hyperlink" Target="https://de.wikipedia.org/wiki/Energiebezugsfl&#228;che" TargetMode="External"/><Relationship Id="rId4" Type="http://schemas.openxmlformats.org/officeDocument/2006/relationships/hyperlink" Target="https://heliogaia.de/t/quellen.html" TargetMode="External"/><Relationship Id="rId5" Type="http://schemas.openxmlformats.org/officeDocument/2006/relationships/hyperlink" Target="https://www.sparkasse.de/themen/sanierung-modernisierung-renovierung/was-kostet-eine-modernisierung.html" TargetMode="External"/><Relationship Id="rId6" Type="http://schemas.openxmlformats.org/officeDocument/2006/relationships/hyperlink" Target="https://kostencheck.de/kosten-fussbodenheizung-100-qm" TargetMode="External"/><Relationship Id="rId7" Type="http://schemas.openxmlformats.org/officeDocument/2006/relationships/hyperlink" Target="https://www.energieheld.de/heizung/heizkoerper/flaechenheizung/fussbodenheizung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8" activeCellId="0" sqref="O78"/>
    </sheetView>
  </sheetViews>
  <sheetFormatPr defaultColWidth="11.53515625" defaultRowHeight="14.45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2" width="37.92"/>
    <col collapsed="false" customWidth="true" hidden="false" outlineLevel="0" max="3" min="3" style="2" width="8.03"/>
    <col collapsed="false" customWidth="true" hidden="false" outlineLevel="0" max="4" min="4" style="2" width="8.2"/>
    <col collapsed="false" customWidth="true" hidden="false" outlineLevel="0" max="5" min="5" style="2" width="9.87"/>
    <col collapsed="false" customWidth="true" hidden="false" outlineLevel="0" max="7" min="6" style="3" width="8.86"/>
    <col collapsed="false" customWidth="true" hidden="false" outlineLevel="0" max="8" min="8" style="3" width="7.69"/>
    <col collapsed="false" customWidth="true" hidden="false" outlineLevel="0" max="9" min="9" style="3" width="7.03"/>
    <col collapsed="false" customWidth="true" hidden="false" outlineLevel="0" max="10" min="10" style="3" width="7.42"/>
    <col collapsed="false" customWidth="true" hidden="false" outlineLevel="0" max="11" min="11" style="3" width="9.7"/>
    <col collapsed="false" customWidth="true" hidden="false" outlineLevel="0" max="12" min="12" style="3" width="10.92"/>
    <col collapsed="false" customWidth="true" hidden="false" outlineLevel="0" max="13" min="13" style="3" width="10.71"/>
    <col collapsed="false" customWidth="true" hidden="false" outlineLevel="0" max="14" min="14" style="3" width="1.39"/>
    <col collapsed="false" customWidth="true" hidden="false" outlineLevel="0" max="15" min="15" style="3" width="55.29"/>
    <col collapsed="false" customWidth="true" hidden="false" outlineLevel="0" max="16" min="16" style="3" width="9.04"/>
    <col collapsed="false" customWidth="true" hidden="false" outlineLevel="0" max="17" min="17" style="3" width="10.63"/>
    <col collapsed="false" customWidth="true" hidden="false" outlineLevel="0" max="18" min="18" style="4" width="2.77"/>
    <col collapsed="false" customWidth="false" hidden="false" outlineLevel="0" max="56" min="19" style="2" width="11.52"/>
    <col collapsed="false" customWidth="false" hidden="false" outlineLevel="0" max="64" min="57" style="5" width="11.52"/>
  </cols>
  <sheetData>
    <row r="1" customFormat="false" ht="19.45" hidden="false" customHeight="true" outlineLevel="0" collapsed="false">
      <c r="A1" s="6" t="s">
        <v>0</v>
      </c>
      <c r="B1" s="7" t="s">
        <v>1</v>
      </c>
      <c r="C1" s="8"/>
      <c r="D1" s="7" t="s">
        <v>2</v>
      </c>
      <c r="E1" s="9" t="s">
        <v>3</v>
      </c>
      <c r="F1" s="9"/>
      <c r="G1" s="9"/>
      <c r="H1" s="9"/>
      <c r="I1" s="9"/>
      <c r="J1" s="9"/>
      <c r="K1" s="9"/>
      <c r="L1" s="9"/>
      <c r="M1" s="10"/>
      <c r="N1" s="11"/>
      <c r="O1" s="9" t="s">
        <v>4</v>
      </c>
      <c r="P1" s="9"/>
      <c r="Q1" s="9"/>
      <c r="R1" s="12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AJR1" s="13"/>
    </row>
    <row r="2" customFormat="false" ht="14.45" hidden="false" customHeight="true" outlineLevel="0" collapsed="false">
      <c r="A2" s="6" t="s">
        <v>0</v>
      </c>
      <c r="B2" s="14" t="s">
        <v>5</v>
      </c>
      <c r="C2" s="14" t="s">
        <v>0</v>
      </c>
      <c r="D2" s="15" t="n">
        <v>20</v>
      </c>
      <c r="E2" s="14" t="s">
        <v>6</v>
      </c>
      <c r="F2" s="14"/>
      <c r="G2" s="14"/>
      <c r="H2" s="14"/>
      <c r="I2" s="14"/>
      <c r="J2" s="14"/>
      <c r="K2" s="14"/>
      <c r="L2" s="14"/>
      <c r="M2" s="16"/>
      <c r="N2" s="17"/>
      <c r="O2" s="18" t="s">
        <v>7</v>
      </c>
      <c r="P2" s="18" t="s">
        <v>0</v>
      </c>
      <c r="Q2" s="14"/>
      <c r="R2" s="12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customFormat="false" ht="14.45" hidden="false" customHeight="true" outlineLevel="0" collapsed="false">
      <c r="A3" s="6"/>
      <c r="B3" s="14" t="s">
        <v>8</v>
      </c>
      <c r="C3" s="14"/>
      <c r="D3" s="15" t="n">
        <v>12</v>
      </c>
      <c r="E3" s="14" t="s">
        <v>6</v>
      </c>
      <c r="F3" s="14"/>
      <c r="G3" s="14"/>
      <c r="H3" s="14"/>
      <c r="I3" s="14"/>
      <c r="J3" s="14"/>
      <c r="K3" s="14"/>
      <c r="L3" s="14"/>
      <c r="M3" s="16"/>
      <c r="N3" s="17"/>
      <c r="O3" s="18" t="s">
        <v>7</v>
      </c>
      <c r="P3" s="18"/>
      <c r="Q3" s="14"/>
      <c r="R3" s="12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customFormat="false" ht="14.45" hidden="false" customHeight="true" outlineLevel="0" collapsed="false">
      <c r="A4" s="19"/>
      <c r="B4" s="14" t="s">
        <v>9</v>
      </c>
      <c r="C4" s="14" t="s">
        <v>0</v>
      </c>
      <c r="D4" s="15" t="n">
        <v>3.97</v>
      </c>
      <c r="E4" s="14" t="s">
        <v>6</v>
      </c>
      <c r="F4" s="14"/>
      <c r="G4" s="14"/>
      <c r="H4" s="14"/>
      <c r="I4" s="14"/>
      <c r="J4" s="14"/>
      <c r="K4" s="14"/>
      <c r="L4" s="14"/>
      <c r="M4" s="16"/>
      <c r="N4" s="17"/>
      <c r="O4" s="20" t="s">
        <v>10</v>
      </c>
      <c r="P4" s="14"/>
      <c r="Q4" s="14"/>
      <c r="R4" s="12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customFormat="false" ht="14.45" hidden="false" customHeight="true" outlineLevel="0" collapsed="false">
      <c r="A5" s="19"/>
      <c r="B5" s="14" t="s">
        <v>11</v>
      </c>
      <c r="C5" s="14" t="s">
        <v>0</v>
      </c>
      <c r="D5" s="15" t="n">
        <v>30</v>
      </c>
      <c r="E5" s="14" t="s">
        <v>12</v>
      </c>
      <c r="F5" s="14"/>
      <c r="G5" s="14"/>
      <c r="H5" s="14"/>
      <c r="I5" s="14"/>
      <c r="J5" s="14"/>
      <c r="K5" s="14"/>
      <c r="L5" s="14"/>
      <c r="M5" s="16"/>
      <c r="N5" s="17"/>
      <c r="O5" s="18" t="s">
        <v>13</v>
      </c>
      <c r="P5" s="14"/>
      <c r="Q5" s="14"/>
      <c r="R5" s="12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customFormat="false" ht="14.45" hidden="false" customHeight="true" outlineLevel="0" collapsed="false">
      <c r="A6" s="19"/>
      <c r="B6" s="14" t="s">
        <v>14</v>
      </c>
      <c r="C6" s="14" t="s">
        <v>0</v>
      </c>
      <c r="D6" s="15" t="n">
        <v>1.005</v>
      </c>
      <c r="E6" s="14" t="s">
        <v>15</v>
      </c>
      <c r="F6" s="14"/>
      <c r="G6" s="14"/>
      <c r="H6" s="21" t="s">
        <v>0</v>
      </c>
      <c r="I6" s="14"/>
      <c r="J6" s="14"/>
      <c r="K6" s="14"/>
      <c r="L6" s="14"/>
      <c r="M6" s="16"/>
      <c r="N6" s="17"/>
      <c r="O6" s="18"/>
      <c r="P6" s="14"/>
      <c r="Q6" s="14"/>
      <c r="R6" s="12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customFormat="false" ht="14.45" hidden="false" customHeight="true" outlineLevel="0" collapsed="false">
      <c r="A7" s="19"/>
      <c r="B7" s="14" t="s">
        <v>16</v>
      </c>
      <c r="C7" s="14" t="s">
        <v>0</v>
      </c>
      <c r="D7" s="15" t="n">
        <v>1.2</v>
      </c>
      <c r="E7" s="14" t="s">
        <v>17</v>
      </c>
      <c r="F7" s="14" t="s">
        <v>0</v>
      </c>
      <c r="G7" s="14"/>
      <c r="H7" s="22" t="s">
        <v>0</v>
      </c>
      <c r="I7" s="14"/>
      <c r="J7" s="14"/>
      <c r="K7" s="14"/>
      <c r="L7" s="14"/>
      <c r="M7" s="16"/>
      <c r="N7" s="17"/>
      <c r="O7" s="18"/>
      <c r="P7" s="14"/>
      <c r="Q7" s="14"/>
      <c r="R7" s="12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customFormat="false" ht="14.45" hidden="false" customHeight="true" outlineLevel="0" collapsed="false">
      <c r="A8" s="19"/>
      <c r="B8" s="14" t="s">
        <v>18</v>
      </c>
      <c r="C8" s="14" t="s">
        <v>0</v>
      </c>
      <c r="D8" s="15" t="n">
        <v>46.7</v>
      </c>
      <c r="E8" s="14" t="s">
        <v>19</v>
      </c>
      <c r="F8" s="14"/>
      <c r="G8" s="14"/>
      <c r="H8" s="14"/>
      <c r="I8" s="14"/>
      <c r="J8" s="14"/>
      <c r="K8" s="14"/>
      <c r="L8" s="14"/>
      <c r="M8" s="16"/>
      <c r="N8" s="17"/>
      <c r="O8" s="23"/>
      <c r="P8" s="14"/>
      <c r="Q8" s="14"/>
      <c r="R8" s="1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customFormat="false" ht="14.45" hidden="false" customHeight="true" outlineLevel="0" collapsed="false">
      <c r="A9" s="19"/>
      <c r="B9" s="14" t="s">
        <v>20</v>
      </c>
      <c r="C9" s="14"/>
      <c r="D9" s="15" t="n">
        <v>1050</v>
      </c>
      <c r="E9" s="14" t="s">
        <v>21</v>
      </c>
      <c r="F9" s="14"/>
      <c r="G9" s="14"/>
      <c r="H9" s="14"/>
      <c r="I9" s="14"/>
      <c r="J9" s="14"/>
      <c r="K9" s="24"/>
      <c r="L9" s="14"/>
      <c r="M9" s="16"/>
      <c r="N9" s="17"/>
      <c r="O9" s="25" t="s">
        <v>22</v>
      </c>
      <c r="P9" s="14"/>
      <c r="Q9" s="14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customFormat="false" ht="14.45" hidden="false" customHeight="true" outlineLevel="0" collapsed="false">
      <c r="A10" s="19"/>
      <c r="B10" s="14" t="s">
        <v>23</v>
      </c>
      <c r="C10" s="14"/>
      <c r="D10" s="15" t="n">
        <v>529</v>
      </c>
      <c r="E10" s="14" t="s">
        <v>21</v>
      </c>
      <c r="F10" s="14"/>
      <c r="G10" s="14"/>
      <c r="H10" s="14"/>
      <c r="I10" s="14"/>
      <c r="J10" s="14"/>
      <c r="K10" s="14"/>
      <c r="L10" s="14"/>
      <c r="M10" s="16"/>
      <c r="N10" s="17"/>
      <c r="O10" s="18" t="s">
        <v>24</v>
      </c>
      <c r="P10" s="14"/>
      <c r="Q10" s="14"/>
      <c r="R10" s="1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customFormat="false" ht="14.45" hidden="false" customHeight="true" outlineLevel="0" collapsed="false">
      <c r="A11" s="19"/>
      <c r="B11" s="14" t="s">
        <v>25</v>
      </c>
      <c r="C11" s="14"/>
      <c r="D11" s="15" t="n">
        <v>80</v>
      </c>
      <c r="E11" s="14" t="s">
        <v>26</v>
      </c>
      <c r="F11" s="14"/>
      <c r="G11" s="14"/>
      <c r="H11" s="14"/>
      <c r="I11" s="14"/>
      <c r="J11" s="14"/>
      <c r="K11" s="14"/>
      <c r="L11" s="14"/>
      <c r="M11" s="16"/>
      <c r="N11" s="17"/>
      <c r="O11" s="18" t="s">
        <v>7</v>
      </c>
      <c r="P11" s="14"/>
      <c r="Q11" s="14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customFormat="false" ht="14.45" hidden="false" customHeight="true" outlineLevel="0" collapsed="false">
      <c r="A12" s="19"/>
      <c r="B12" s="14" t="s">
        <v>27</v>
      </c>
      <c r="C12" s="14"/>
      <c r="D12" s="15" t="n">
        <v>80</v>
      </c>
      <c r="E12" s="14" t="s">
        <v>26</v>
      </c>
      <c r="F12" s="14"/>
      <c r="G12" s="14"/>
      <c r="H12" s="14"/>
      <c r="I12" s="14"/>
      <c r="J12" s="14"/>
      <c r="K12" s="14"/>
      <c r="L12" s="14"/>
      <c r="M12" s="16"/>
      <c r="N12" s="17"/>
      <c r="O12" s="18" t="s">
        <v>7</v>
      </c>
      <c r="P12" s="14"/>
      <c r="Q12" s="14"/>
      <c r="R12" s="12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customFormat="false" ht="14.45" hidden="false" customHeight="true" outlineLevel="0" collapsed="false">
      <c r="A13" s="19"/>
      <c r="B13" s="14" t="s">
        <v>28</v>
      </c>
      <c r="C13" s="14"/>
      <c r="D13" s="15" t="n">
        <v>1.15</v>
      </c>
      <c r="E13" s="26"/>
      <c r="F13" s="14"/>
      <c r="G13" s="14"/>
      <c r="H13" s="14"/>
      <c r="I13" s="14"/>
      <c r="J13" s="14"/>
      <c r="K13" s="14"/>
      <c r="L13" s="14"/>
      <c r="M13" s="16" t="s">
        <v>0</v>
      </c>
      <c r="N13" s="17"/>
      <c r="O13" s="27" t="s">
        <v>29</v>
      </c>
      <c r="P13" s="14"/>
      <c r="Q13" s="14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customFormat="false" ht="14.45" hidden="false" customHeight="true" outlineLevel="0" collapsed="false">
      <c r="A14" s="19"/>
      <c r="B14" s="28" t="s">
        <v>30</v>
      </c>
      <c r="C14" s="14"/>
      <c r="D14" s="15" t="n">
        <v>0.7</v>
      </c>
      <c r="E14" s="14" t="s">
        <v>31</v>
      </c>
      <c r="F14" s="14"/>
      <c r="G14" s="14"/>
      <c r="H14" s="14"/>
      <c r="I14" s="14"/>
      <c r="J14" s="14"/>
      <c r="K14" s="14"/>
      <c r="L14" s="14"/>
      <c r="M14" s="16"/>
      <c r="N14" s="17"/>
      <c r="O14" s="18" t="s">
        <v>0</v>
      </c>
      <c r="P14" s="14"/>
      <c r="Q14" s="14"/>
      <c r="R14" s="12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customFormat="false" ht="14.45" hidden="false" customHeight="true" outlineLevel="0" collapsed="false">
      <c r="A15" s="19"/>
      <c r="B15" s="28" t="s">
        <v>32</v>
      </c>
      <c r="C15" s="14"/>
      <c r="D15" s="15" t="n">
        <v>0.04</v>
      </c>
      <c r="E15" s="14" t="s">
        <v>31</v>
      </c>
      <c r="F15" s="14"/>
      <c r="G15" s="14"/>
      <c r="H15" s="14"/>
      <c r="I15" s="14"/>
      <c r="J15" s="14"/>
      <c r="K15" s="14"/>
      <c r="L15" s="14"/>
      <c r="M15" s="16"/>
      <c r="N15" s="17"/>
      <c r="O15" s="18"/>
      <c r="P15" s="14"/>
      <c r="Q15" s="14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customFormat="false" ht="14.45" hidden="false" customHeight="true" outlineLevel="0" collapsed="false">
      <c r="A16" s="19"/>
      <c r="B16" s="28" t="s">
        <v>33</v>
      </c>
      <c r="C16" s="14"/>
      <c r="D16" s="15" t="n">
        <v>0.4</v>
      </c>
      <c r="E16" s="14" t="s">
        <v>31</v>
      </c>
      <c r="F16" s="14"/>
      <c r="G16" s="14"/>
      <c r="H16" s="14"/>
      <c r="I16" s="14"/>
      <c r="J16" s="14"/>
      <c r="K16" s="14"/>
      <c r="L16" s="14"/>
      <c r="M16" s="16"/>
      <c r="N16" s="17"/>
      <c r="O16" s="18"/>
      <c r="P16" s="14"/>
      <c r="Q16" s="14"/>
      <c r="R16" s="12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customFormat="false" ht="14.45" hidden="false" customHeight="true" outlineLevel="0" collapsed="false">
      <c r="A17" s="19"/>
      <c r="B17" s="14" t="s">
        <v>34</v>
      </c>
      <c r="C17" s="14"/>
      <c r="D17" s="15" t="n">
        <v>0.06</v>
      </c>
      <c r="E17" s="14" t="s">
        <v>35</v>
      </c>
      <c r="F17" s="14"/>
      <c r="G17" s="14"/>
      <c r="H17" s="14"/>
      <c r="I17" s="14"/>
      <c r="J17" s="14"/>
      <c r="K17" s="14"/>
      <c r="L17" s="14"/>
      <c r="M17" s="16"/>
      <c r="N17" s="17"/>
      <c r="O17" s="18" t="s">
        <v>7</v>
      </c>
      <c r="P17" s="14"/>
      <c r="Q17" s="14"/>
      <c r="R17" s="12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customFormat="false" ht="14.45" hidden="false" customHeight="true" outlineLevel="0" collapsed="false">
      <c r="A18" s="19"/>
      <c r="B18" s="14" t="s">
        <v>36</v>
      </c>
      <c r="C18" s="14"/>
      <c r="D18" s="15" t="n">
        <v>0.06</v>
      </c>
      <c r="E18" s="14" t="s">
        <v>35</v>
      </c>
      <c r="F18" s="14"/>
      <c r="G18" s="14"/>
      <c r="H18" s="14"/>
      <c r="I18" s="14"/>
      <c r="J18" s="14"/>
      <c r="K18" s="14"/>
      <c r="L18" s="14"/>
      <c r="M18" s="16"/>
      <c r="N18" s="17"/>
      <c r="O18" s="18" t="s">
        <v>7</v>
      </c>
      <c r="P18" s="14"/>
      <c r="Q18" s="14"/>
      <c r="R18" s="12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customFormat="false" ht="14.45" hidden="false" customHeight="true" outlineLevel="0" collapsed="false">
      <c r="A19" s="19"/>
      <c r="B19" s="14" t="s">
        <v>37</v>
      </c>
      <c r="C19" s="14"/>
      <c r="D19" s="15" t="n">
        <v>0.2</v>
      </c>
      <c r="E19" s="14" t="s">
        <v>35</v>
      </c>
      <c r="F19" s="14"/>
      <c r="G19" s="14"/>
      <c r="H19" s="14"/>
      <c r="I19" s="14"/>
      <c r="J19" s="14"/>
      <c r="K19" s="14"/>
      <c r="L19" s="14"/>
      <c r="M19" s="16"/>
      <c r="N19" s="17"/>
      <c r="O19" s="18" t="s">
        <v>7</v>
      </c>
      <c r="P19" s="14"/>
      <c r="Q19" s="14"/>
      <c r="R19" s="1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customFormat="false" ht="11.9" hidden="false" customHeight="true" outlineLevel="0" collapsed="false">
      <c r="A20" s="1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6"/>
      <c r="N20" s="14"/>
      <c r="O20" s="14"/>
      <c r="P20" s="14"/>
      <c r="Q20" s="14"/>
      <c r="R20" s="12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29"/>
      <c r="BF20" s="29"/>
      <c r="BG20" s="29"/>
      <c r="BH20" s="29"/>
      <c r="BI20" s="29"/>
      <c r="BJ20" s="29"/>
      <c r="BK20" s="29"/>
      <c r="BL20" s="29"/>
    </row>
    <row r="21" customFormat="false" ht="14.45" hidden="false" customHeight="true" outlineLevel="0" collapsed="false">
      <c r="A21" s="19"/>
      <c r="B21" s="14"/>
      <c r="C21" s="14"/>
      <c r="D21" s="30" t="s">
        <v>38</v>
      </c>
      <c r="E21" s="30"/>
      <c r="F21" s="30"/>
      <c r="G21" s="30"/>
      <c r="H21" s="30"/>
      <c r="I21" s="30"/>
      <c r="J21" s="14"/>
      <c r="K21" s="14"/>
      <c r="L21" s="14"/>
      <c r="M21" s="16"/>
      <c r="N21" s="17"/>
      <c r="O21" s="14"/>
      <c r="P21" s="14"/>
      <c r="Q21" s="14"/>
      <c r="R21" s="12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customFormat="false" ht="45.9" hidden="false" customHeight="true" outlineLevel="0" collapsed="false">
      <c r="A22" s="31" t="n">
        <v>1</v>
      </c>
      <c r="B22" s="32" t="s">
        <v>39</v>
      </c>
      <c r="C22" s="33" t="s">
        <v>40</v>
      </c>
      <c r="D22" s="34" t="s">
        <v>41</v>
      </c>
      <c r="E22" s="34" t="s">
        <v>42</v>
      </c>
      <c r="F22" s="34" t="s">
        <v>43</v>
      </c>
      <c r="G22" s="34" t="s">
        <v>44</v>
      </c>
      <c r="H22" s="34" t="s">
        <v>45</v>
      </c>
      <c r="I22" s="35" t="s">
        <v>46</v>
      </c>
      <c r="J22" s="36" t="s">
        <v>47</v>
      </c>
      <c r="K22" s="36" t="s">
        <v>48</v>
      </c>
      <c r="L22" s="36" t="s">
        <v>49</v>
      </c>
      <c r="M22" s="37" t="s">
        <v>50</v>
      </c>
      <c r="N22" s="38"/>
      <c r="O22" s="39"/>
      <c r="P22" s="40" t="s">
        <v>51</v>
      </c>
      <c r="Q22" s="41" t="n">
        <f aca="false">M31</f>
        <v>78.7500667586044</v>
      </c>
      <c r="R22" s="42" t="s">
        <v>52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</row>
    <row r="23" customFormat="false" ht="14.45" hidden="false" customHeight="true" outlineLevel="0" collapsed="false">
      <c r="A23" s="19"/>
      <c r="B23" s="9" t="s">
        <v>0</v>
      </c>
      <c r="C23" s="9" t="s">
        <v>53</v>
      </c>
      <c r="D23" s="43" t="s">
        <v>54</v>
      </c>
      <c r="E23" s="43" t="s">
        <v>55</v>
      </c>
      <c r="F23" s="43" t="s">
        <v>56</v>
      </c>
      <c r="G23" s="43" t="s">
        <v>57</v>
      </c>
      <c r="H23" s="43" t="s">
        <v>58</v>
      </c>
      <c r="I23" s="43" t="s">
        <v>59</v>
      </c>
      <c r="J23" s="9" t="s">
        <v>60</v>
      </c>
      <c r="K23" s="9" t="s">
        <v>61</v>
      </c>
      <c r="L23" s="9" t="s">
        <v>62</v>
      </c>
      <c r="M23" s="10" t="s">
        <v>62</v>
      </c>
      <c r="N23" s="11"/>
      <c r="O23" s="9" t="s">
        <v>63</v>
      </c>
      <c r="P23" s="9" t="s">
        <v>2</v>
      </c>
      <c r="Q23" s="9" t="s">
        <v>3</v>
      </c>
      <c r="R23" s="12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</row>
    <row r="24" customFormat="false" ht="14.45" hidden="false" customHeight="true" outlineLevel="0" collapsed="false">
      <c r="A24" s="19"/>
      <c r="B24" s="9"/>
      <c r="C24" s="9" t="s">
        <v>64</v>
      </c>
      <c r="D24" s="43" t="s">
        <v>65</v>
      </c>
      <c r="E24" s="43" t="s">
        <v>65</v>
      </c>
      <c r="F24" s="43" t="s">
        <v>65</v>
      </c>
      <c r="G24" s="43" t="s">
        <v>65</v>
      </c>
      <c r="H24" s="43" t="s">
        <v>65</v>
      </c>
      <c r="I24" s="43" t="s">
        <v>65</v>
      </c>
      <c r="J24" s="9" t="s">
        <v>66</v>
      </c>
      <c r="K24" s="9" t="s">
        <v>67</v>
      </c>
      <c r="L24" s="9" t="s">
        <v>68</v>
      </c>
      <c r="M24" s="10" t="s">
        <v>52</v>
      </c>
      <c r="N24" s="11"/>
      <c r="O24" s="9"/>
      <c r="P24" s="9"/>
      <c r="Q24" s="9"/>
      <c r="R24" s="12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</row>
    <row r="25" customFormat="false" ht="14.45" hidden="false" customHeight="true" outlineLevel="0" collapsed="false">
      <c r="A25" s="19"/>
      <c r="B25" s="14" t="s">
        <v>69</v>
      </c>
      <c r="C25" s="16" t="n">
        <f aca="false">D$8*2*D$13</f>
        <v>107.41</v>
      </c>
      <c r="D25" s="44"/>
      <c r="E25" s="45" t="n">
        <f aca="false">0.5/D$16</f>
        <v>1.25</v>
      </c>
      <c r="F25" s="45" t="n">
        <f aca="false">D$17/D$15</f>
        <v>1.5</v>
      </c>
      <c r="G25" s="46" t="n">
        <f aca="false">0.03/0.14</f>
        <v>0.214285714285714</v>
      </c>
      <c r="H25" s="44" t="n">
        <v>0.17</v>
      </c>
      <c r="I25" s="46" t="n">
        <f aca="false">SUM(D25:H25)</f>
        <v>3.13428571428571</v>
      </c>
      <c r="J25" s="47" t="n">
        <f aca="false">1/I25</f>
        <v>0.319051959890611</v>
      </c>
      <c r="K25" s="16" t="n">
        <f aca="false">C25*J25</f>
        <v>34.2693710118505</v>
      </c>
      <c r="L25" s="48" t="n">
        <f aca="false">K25*(D$2-D$3)*24*180/1000</f>
        <v>1184.34946216955</v>
      </c>
      <c r="M25" s="16" t="n">
        <f aca="false">L25/C$25</f>
        <v>11.0264357338195</v>
      </c>
      <c r="N25" s="17"/>
      <c r="O25" s="49" t="s">
        <v>70</v>
      </c>
      <c r="P25" s="50" t="n">
        <f aca="false">C27/2</f>
        <v>53.705</v>
      </c>
      <c r="Q25" s="49" t="s">
        <v>64</v>
      </c>
      <c r="R25" s="12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customFormat="false" ht="14.45" hidden="false" customHeight="true" outlineLevel="0" collapsed="false">
      <c r="A26" s="19"/>
      <c r="B26" s="14" t="s">
        <v>71</v>
      </c>
      <c r="C26" s="51" t="n">
        <f aca="false">C25^0.5*4*(2.6+0.5)-C28-C29</f>
        <v>109.512106822665</v>
      </c>
      <c r="D26" s="44" t="n">
        <v>0.04</v>
      </c>
      <c r="E26" s="44" t="n">
        <f aca="false">0.38/D$14</f>
        <v>0.542857142857143</v>
      </c>
      <c r="F26" s="45" t="n">
        <f aca="false">D$18/D$15</f>
        <v>1.5</v>
      </c>
      <c r="G26" s="45"/>
      <c r="H26" s="44" t="n">
        <v>0.13</v>
      </c>
      <c r="I26" s="46" t="n">
        <f aca="false">SUM(D26:H26)</f>
        <v>2.21285714285714</v>
      </c>
      <c r="J26" s="47" t="n">
        <f aca="false">1/I26</f>
        <v>0.451904454486766</v>
      </c>
      <c r="K26" s="16" t="n">
        <f aca="false">C26*J26</f>
        <v>49.4890088933927</v>
      </c>
      <c r="L26" s="48" t="n">
        <f aca="false">K26*(D$2-D$4)*24*180/1000</f>
        <v>3427.09407026389</v>
      </c>
      <c r="M26" s="16" t="n">
        <f aca="false">L26/C$25</f>
        <v>31.9066573900371</v>
      </c>
      <c r="N26" s="17"/>
      <c r="O26" s="49" t="s">
        <v>72</v>
      </c>
      <c r="P26" s="52" t="n">
        <f aca="false">P25*D$10*D$11/100*D$12/100*(D$9/1244)</f>
        <v>15346.851318328</v>
      </c>
      <c r="Q26" s="49" t="s">
        <v>73</v>
      </c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customFormat="false" ht="14.45" hidden="false" customHeight="true" outlineLevel="0" collapsed="false">
      <c r="A27" s="19"/>
      <c r="B27" s="14" t="s">
        <v>74</v>
      </c>
      <c r="C27" s="16" t="n">
        <f aca="false">C25</f>
        <v>107.41</v>
      </c>
      <c r="D27" s="44" t="n">
        <v>0.04</v>
      </c>
      <c r="E27" s="45" t="s">
        <v>0</v>
      </c>
      <c r="F27" s="45" t="n">
        <f aca="false">D$19/D$15</f>
        <v>5</v>
      </c>
      <c r="G27" s="46" t="n">
        <f aca="false">0.012/0.14</f>
        <v>0.0857142857142857</v>
      </c>
      <c r="H27" s="44" t="n">
        <v>0.1</v>
      </c>
      <c r="I27" s="46" t="n">
        <f aca="false">SUM(D27:H27)</f>
        <v>5.22571428571429</v>
      </c>
      <c r="J27" s="47" t="n">
        <f aca="false">1/I27</f>
        <v>0.191361399671952</v>
      </c>
      <c r="K27" s="16" t="n">
        <f aca="false">C27*J27</f>
        <v>20.5541279387644</v>
      </c>
      <c r="L27" s="48" t="n">
        <f aca="false">K27*(D$2-D$4)*24*180/1000</f>
        <v>1423.36513810826</v>
      </c>
      <c r="M27" s="16" t="n">
        <f aca="false">L27/C$25</f>
        <v>13.2517003827228</v>
      </c>
      <c r="N27" s="17"/>
      <c r="O27" s="49" t="s">
        <v>75</v>
      </c>
      <c r="P27" s="52" t="n">
        <f aca="false">P26/(D$8*D$13)</f>
        <v>285.762057877814</v>
      </c>
      <c r="Q27" s="49" t="s">
        <v>21</v>
      </c>
      <c r="R27" s="12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customFormat="false" ht="14.45" hidden="false" customHeight="true" outlineLevel="0" collapsed="false">
      <c r="A28" s="19"/>
      <c r="B28" s="14" t="s">
        <v>76</v>
      </c>
      <c r="C28" s="14" t="n">
        <v>16</v>
      </c>
      <c r="D28" s="45"/>
      <c r="E28" s="45"/>
      <c r="F28" s="45"/>
      <c r="G28" s="45"/>
      <c r="H28" s="45"/>
      <c r="I28" s="45" t="s">
        <v>0</v>
      </c>
      <c r="J28" s="47" t="n">
        <v>0.65</v>
      </c>
      <c r="K28" s="16" t="n">
        <f aca="false">C28*J28</f>
        <v>10.4</v>
      </c>
      <c r="L28" s="48" t="n">
        <f aca="false">K28*(D$2-D$4)*24*180/1000</f>
        <v>720.19584</v>
      </c>
      <c r="M28" s="16" t="n">
        <f aca="false">L28/C$25</f>
        <v>6.70510976631599</v>
      </c>
      <c r="N28" s="17"/>
      <c r="O28" s="49"/>
      <c r="P28" s="53"/>
      <c r="Q28" s="49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customFormat="false" ht="14.45" hidden="false" customHeight="true" outlineLevel="0" collapsed="false">
      <c r="A29" s="19"/>
      <c r="B29" s="14" t="s">
        <v>77</v>
      </c>
      <c r="C29" s="14" t="n">
        <v>3</v>
      </c>
      <c r="D29" s="45"/>
      <c r="E29" s="45"/>
      <c r="F29" s="45"/>
      <c r="G29" s="45"/>
      <c r="H29" s="45"/>
      <c r="I29" s="45" t="s">
        <v>0</v>
      </c>
      <c r="J29" s="47" t="n">
        <v>1.5</v>
      </c>
      <c r="K29" s="16" t="n">
        <f aca="false">C29*J29</f>
        <v>4.5</v>
      </c>
      <c r="L29" s="48" t="n">
        <f aca="false">K29*(D$2-D$4)*24*180/1000</f>
        <v>311.6232</v>
      </c>
      <c r="M29" s="16" t="n">
        <f aca="false">L29/C$25</f>
        <v>2.90124941811749</v>
      </c>
      <c r="N29" s="17"/>
      <c r="O29" s="49" t="s">
        <v>78</v>
      </c>
      <c r="P29" s="52" t="n">
        <f aca="false">M31*1000/24/180*2</f>
        <v>36.4583642400946</v>
      </c>
      <c r="Q29" s="49" t="s">
        <v>79</v>
      </c>
      <c r="R29" s="12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customFormat="false" ht="14.45" hidden="false" customHeight="true" outlineLevel="0" collapsed="false">
      <c r="A30" s="54"/>
      <c r="B30" s="55" t="s">
        <v>80</v>
      </c>
      <c r="C30" s="55"/>
      <c r="D30" s="56"/>
      <c r="E30" s="56"/>
      <c r="F30" s="56"/>
      <c r="G30" s="56"/>
      <c r="H30" s="56"/>
      <c r="I30" s="56"/>
      <c r="J30" s="57"/>
      <c r="K30" s="58" t="n">
        <f aca="false">2*D$5*D$7*D$6*1000/3600</f>
        <v>20.1</v>
      </c>
      <c r="L30" s="59" t="n">
        <f aca="false">K30*(D$2-D$4)*24*180/1000</f>
        <v>1391.91696</v>
      </c>
      <c r="M30" s="58" t="n">
        <f aca="false">L30/C$25</f>
        <v>12.9589140675915</v>
      </c>
      <c r="N30" s="60"/>
      <c r="O30" s="49" t="s">
        <v>81</v>
      </c>
      <c r="P30" s="52" t="n">
        <f aca="false">M31*D$8*D$13*2</f>
        <v>8458.5446705417</v>
      </c>
      <c r="Q30" s="49" t="s">
        <v>68</v>
      </c>
      <c r="R30" s="1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</row>
    <row r="31" customFormat="false" ht="14.45" hidden="false" customHeight="true" outlineLevel="0" collapsed="false">
      <c r="A31" s="62"/>
      <c r="B31" s="63" t="s">
        <v>46</v>
      </c>
      <c r="C31" s="64"/>
      <c r="D31" s="65"/>
      <c r="E31" s="64"/>
      <c r="F31" s="65"/>
      <c r="G31" s="65"/>
      <c r="H31" s="64"/>
      <c r="I31" s="65"/>
      <c r="J31" s="65"/>
      <c r="K31" s="65" t="s">
        <v>0</v>
      </c>
      <c r="L31" s="66" t="n">
        <f aca="false">SUM(L25:L30)</f>
        <v>8458.5446705417</v>
      </c>
      <c r="M31" s="67" t="n">
        <f aca="false">SUM(M25:M30)</f>
        <v>78.7500667586044</v>
      </c>
      <c r="N31" s="68"/>
      <c r="O31" s="49" t="s">
        <v>82</v>
      </c>
      <c r="P31" s="69" t="n">
        <f aca="false">P30/2</f>
        <v>4229.27233527085</v>
      </c>
      <c r="Q31" s="49" t="s">
        <v>73</v>
      </c>
      <c r="R31" s="12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customFormat="false" ht="11.9" hidden="false" customHeight="true" outlineLevel="0" collapsed="false">
      <c r="A32" s="19"/>
      <c r="B32" s="9"/>
      <c r="C32" s="14"/>
      <c r="D32" s="16"/>
      <c r="E32" s="14"/>
      <c r="F32" s="16"/>
      <c r="G32" s="16"/>
      <c r="H32" s="14"/>
      <c r="I32" s="16"/>
      <c r="J32" s="16"/>
      <c r="K32" s="16"/>
      <c r="L32" s="70"/>
      <c r="M32" s="71"/>
      <c r="N32" s="16"/>
      <c r="O32" s="18"/>
      <c r="P32" s="70"/>
      <c r="Q32" s="18"/>
      <c r="R32" s="12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29"/>
      <c r="BF32" s="29"/>
      <c r="BG32" s="29"/>
      <c r="BH32" s="29"/>
      <c r="BI32" s="29"/>
      <c r="BJ32" s="29"/>
      <c r="BK32" s="29"/>
      <c r="BL32" s="29"/>
    </row>
    <row r="33" customFormat="false" ht="45.9" hidden="false" customHeight="true" outlineLevel="0" collapsed="false">
      <c r="A33" s="72" t="n">
        <v>2</v>
      </c>
      <c r="B33" s="73" t="s">
        <v>83</v>
      </c>
      <c r="C33" s="33" t="s">
        <v>40</v>
      </c>
      <c r="D33" s="34" t="s">
        <v>41</v>
      </c>
      <c r="E33" s="34" t="s">
        <v>42</v>
      </c>
      <c r="F33" s="34" t="s">
        <v>43</v>
      </c>
      <c r="G33" s="34" t="s">
        <v>44</v>
      </c>
      <c r="H33" s="34" t="s">
        <v>45</v>
      </c>
      <c r="I33" s="35" t="s">
        <v>46</v>
      </c>
      <c r="J33" s="36" t="s">
        <v>47</v>
      </c>
      <c r="K33" s="36" t="s">
        <v>48</v>
      </c>
      <c r="L33" s="36" t="s">
        <v>49</v>
      </c>
      <c r="M33" s="37" t="s">
        <v>50</v>
      </c>
      <c r="N33" s="74"/>
      <c r="O33" s="75"/>
      <c r="P33" s="76" t="s">
        <v>51</v>
      </c>
      <c r="Q33" s="41" t="n">
        <f aca="false">M42</f>
        <v>80.6674525985694</v>
      </c>
      <c r="R33" s="42" t="s">
        <v>52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 customFormat="false" ht="14.45" hidden="false" customHeight="true" outlineLevel="0" collapsed="false">
      <c r="A34" s="19"/>
      <c r="B34" s="77" t="s">
        <v>0</v>
      </c>
      <c r="C34" s="9" t="s">
        <v>53</v>
      </c>
      <c r="D34" s="43" t="s">
        <v>54</v>
      </c>
      <c r="E34" s="43" t="s">
        <v>55</v>
      </c>
      <c r="F34" s="43" t="s">
        <v>56</v>
      </c>
      <c r="G34" s="43" t="s">
        <v>57</v>
      </c>
      <c r="H34" s="43" t="s">
        <v>58</v>
      </c>
      <c r="I34" s="43" t="s">
        <v>59</v>
      </c>
      <c r="J34" s="9" t="s">
        <v>60</v>
      </c>
      <c r="K34" s="9" t="s">
        <v>61</v>
      </c>
      <c r="L34" s="9" t="s">
        <v>62</v>
      </c>
      <c r="M34" s="10" t="s">
        <v>62</v>
      </c>
      <c r="N34" s="78"/>
      <c r="O34" s="10"/>
      <c r="P34" s="10"/>
      <c r="Q34" s="10"/>
      <c r="R34" s="12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</row>
    <row r="35" customFormat="false" ht="14.45" hidden="false" customHeight="true" outlineLevel="0" collapsed="false">
      <c r="A35" s="19"/>
      <c r="B35" s="9"/>
      <c r="C35" s="9" t="s">
        <v>64</v>
      </c>
      <c r="D35" s="43" t="s">
        <v>65</v>
      </c>
      <c r="E35" s="43" t="s">
        <v>65</v>
      </c>
      <c r="F35" s="43" t="s">
        <v>65</v>
      </c>
      <c r="G35" s="43" t="s">
        <v>65</v>
      </c>
      <c r="H35" s="43" t="s">
        <v>65</v>
      </c>
      <c r="I35" s="43" t="s">
        <v>65</v>
      </c>
      <c r="J35" s="9" t="s">
        <v>66</v>
      </c>
      <c r="K35" s="9" t="s">
        <v>67</v>
      </c>
      <c r="L35" s="9" t="s">
        <v>68</v>
      </c>
      <c r="M35" s="10" t="s">
        <v>21</v>
      </c>
      <c r="N35" s="78"/>
      <c r="O35" s="10"/>
      <c r="P35" s="10"/>
      <c r="Q35" s="10"/>
      <c r="R35" s="12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</row>
    <row r="36" customFormat="false" ht="14.45" hidden="false" customHeight="true" outlineLevel="0" collapsed="false">
      <c r="A36" s="19"/>
      <c r="B36" s="14" t="s">
        <v>69</v>
      </c>
      <c r="C36" s="16" t="n">
        <f aca="false">D$8*2*D$13/2</f>
        <v>53.705</v>
      </c>
      <c r="D36" s="44"/>
      <c r="E36" s="45" t="n">
        <f aca="false">0.5/D$16</f>
        <v>1.25</v>
      </c>
      <c r="F36" s="45" t="n">
        <f aca="false">D$17/D$15</f>
        <v>1.5</v>
      </c>
      <c r="G36" s="46" t="n">
        <f aca="false">0.03/0.14</f>
        <v>0.214285714285714</v>
      </c>
      <c r="H36" s="44" t="n">
        <v>0.17</v>
      </c>
      <c r="I36" s="46" t="n">
        <f aca="false">SUM(D36:H36)</f>
        <v>3.13428571428571</v>
      </c>
      <c r="J36" s="47" t="n">
        <f aca="false">1/I36</f>
        <v>0.319051959890611</v>
      </c>
      <c r="K36" s="16" t="n">
        <f aca="false">C36*J36</f>
        <v>17.1346855059253</v>
      </c>
      <c r="L36" s="48" t="n">
        <f aca="false">K36*(D$2-D$3)*24*180/1000</f>
        <v>592.174731084777</v>
      </c>
      <c r="M36" s="16" t="n">
        <f aca="false">L36/C$25</f>
        <v>5.51321786690975</v>
      </c>
      <c r="N36" s="68"/>
      <c r="O36" s="49" t="s">
        <v>70</v>
      </c>
      <c r="P36" s="50" t="n">
        <f aca="false">C38/2</f>
        <v>26.8525</v>
      </c>
      <c r="Q36" s="49" t="s">
        <v>64</v>
      </c>
      <c r="R36" s="12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</row>
    <row r="37" customFormat="false" ht="14.45" hidden="false" customHeight="true" outlineLevel="0" collapsed="false">
      <c r="A37" s="19"/>
      <c r="B37" s="14" t="s">
        <v>71</v>
      </c>
      <c r="C37" s="51" t="n">
        <f aca="false">C36^0.5*4*(2.6+0.4)*2-C39-C40</f>
        <v>154.880868772019</v>
      </c>
      <c r="D37" s="44" t="n">
        <v>0.04</v>
      </c>
      <c r="E37" s="44" t="n">
        <f aca="false">0.38/D$14</f>
        <v>0.542857142857143</v>
      </c>
      <c r="F37" s="45" t="n">
        <f aca="false">D$18/D$15</f>
        <v>1.5</v>
      </c>
      <c r="G37" s="45"/>
      <c r="H37" s="44" t="n">
        <v>0.13</v>
      </c>
      <c r="I37" s="46" t="n">
        <f aca="false">SUM(D37:H37)</f>
        <v>2.21285714285714</v>
      </c>
      <c r="J37" s="47" t="n">
        <f aca="false">1/I37</f>
        <v>0.451904454486766</v>
      </c>
      <c r="K37" s="16" t="n">
        <f aca="false">C37*J37</f>
        <v>69.9913545128554</v>
      </c>
      <c r="L37" s="48" t="n">
        <f aca="false">K37*(D$2-D$4)*24*180/1000</f>
        <v>4846.87330347343</v>
      </c>
      <c r="M37" s="16" t="n">
        <f aca="false">L37/C$25</f>
        <v>45.1249725674838</v>
      </c>
      <c r="N37" s="68"/>
      <c r="O37" s="49" t="s">
        <v>84</v>
      </c>
      <c r="P37" s="52" t="n">
        <f aca="false">P36*D$10*D$11/100*D$12/100*(D$9/1244)</f>
        <v>7673.42565916399</v>
      </c>
      <c r="Q37" s="49" t="s">
        <v>73</v>
      </c>
      <c r="R37" s="12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</row>
    <row r="38" customFormat="false" ht="14.45" hidden="false" customHeight="true" outlineLevel="0" collapsed="false">
      <c r="A38" s="19"/>
      <c r="B38" s="14" t="s">
        <v>74</v>
      </c>
      <c r="C38" s="16" t="n">
        <f aca="false">C36</f>
        <v>53.705</v>
      </c>
      <c r="D38" s="44" t="n">
        <v>0.04</v>
      </c>
      <c r="E38" s="45" t="s">
        <v>0</v>
      </c>
      <c r="F38" s="45" t="n">
        <f aca="false">D$19/D$15</f>
        <v>5</v>
      </c>
      <c r="G38" s="46" t="n">
        <f aca="false">0.012/0.14</f>
        <v>0.0857142857142857</v>
      </c>
      <c r="H38" s="44" t="n">
        <v>0.1</v>
      </c>
      <c r="I38" s="46" t="n">
        <f aca="false">SUM(D38:H38)</f>
        <v>5.22571428571429</v>
      </c>
      <c r="J38" s="47" t="n">
        <f aca="false">1/I38</f>
        <v>0.191361399671952</v>
      </c>
      <c r="K38" s="16" t="n">
        <f aca="false">C38*J38</f>
        <v>10.2770639693822</v>
      </c>
      <c r="L38" s="48" t="n">
        <f aca="false">K38*(D$2-D$4)*24*180/1000</f>
        <v>711.682569054128</v>
      </c>
      <c r="M38" s="16" t="n">
        <f aca="false">L38/C$25</f>
        <v>6.6258501913614</v>
      </c>
      <c r="N38" s="68"/>
      <c r="O38" s="49" t="s">
        <v>75</v>
      </c>
      <c r="P38" s="52" t="n">
        <f aca="false">P37/(D$8*D$13)</f>
        <v>142.881028938907</v>
      </c>
      <c r="Q38" s="49" t="s">
        <v>21</v>
      </c>
      <c r="R38" s="1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</row>
    <row r="39" customFormat="false" ht="14.45" hidden="false" customHeight="true" outlineLevel="0" collapsed="false">
      <c r="A39" s="19"/>
      <c r="B39" s="14" t="s">
        <v>76</v>
      </c>
      <c r="C39" s="14" t="n">
        <v>18</v>
      </c>
      <c r="D39" s="45"/>
      <c r="E39" s="45"/>
      <c r="F39" s="45"/>
      <c r="G39" s="45"/>
      <c r="H39" s="45"/>
      <c r="I39" s="45" t="s">
        <v>0</v>
      </c>
      <c r="J39" s="47" t="n">
        <v>0.65</v>
      </c>
      <c r="K39" s="16" t="n">
        <f aca="false">C39*J39</f>
        <v>11.7</v>
      </c>
      <c r="L39" s="48" t="n">
        <f aca="false">K39*(D$2-D$4)*24*180/1000</f>
        <v>810.22032</v>
      </c>
      <c r="M39" s="16" t="n">
        <f aca="false">L39/C$25</f>
        <v>7.54324848710549</v>
      </c>
      <c r="N39" s="68"/>
      <c r="O39" s="49"/>
      <c r="P39" s="53"/>
      <c r="Q39" s="49"/>
      <c r="R39" s="12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customFormat="false" ht="14.45" hidden="false" customHeight="true" outlineLevel="0" collapsed="false">
      <c r="A40" s="19"/>
      <c r="B40" s="14" t="s">
        <v>77</v>
      </c>
      <c r="C40" s="14" t="n">
        <v>3</v>
      </c>
      <c r="D40" s="45"/>
      <c r="E40" s="45"/>
      <c r="F40" s="45"/>
      <c r="G40" s="45"/>
      <c r="H40" s="45"/>
      <c r="I40" s="45" t="s">
        <v>0</v>
      </c>
      <c r="J40" s="47" t="n">
        <v>1.5</v>
      </c>
      <c r="K40" s="16" t="n">
        <f aca="false">C40*J40</f>
        <v>4.5</v>
      </c>
      <c r="L40" s="48" t="n">
        <f aca="false">K40*(D$2-D$4)*24*180/1000</f>
        <v>311.6232</v>
      </c>
      <c r="M40" s="16" t="n">
        <f aca="false">L40/C$25</f>
        <v>2.90124941811749</v>
      </c>
      <c r="N40" s="68"/>
      <c r="O40" s="49" t="s">
        <v>78</v>
      </c>
      <c r="P40" s="52" t="n">
        <f aca="false">M42*1000/24/180*2</f>
        <v>37.346042869708</v>
      </c>
      <c r="Q40" s="49" t="s">
        <v>79</v>
      </c>
      <c r="R40" s="1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customFormat="false" ht="14.45" hidden="false" customHeight="true" outlineLevel="0" collapsed="false">
      <c r="A41" s="54"/>
      <c r="B41" s="55" t="s">
        <v>80</v>
      </c>
      <c r="C41" s="55"/>
      <c r="D41" s="56"/>
      <c r="E41" s="56"/>
      <c r="F41" s="56"/>
      <c r="G41" s="56"/>
      <c r="H41" s="56"/>
      <c r="I41" s="56"/>
      <c r="J41" s="57"/>
      <c r="K41" s="58" t="n">
        <f aca="false">2*D$5*D$7*D$6*1000/3600</f>
        <v>20.1</v>
      </c>
      <c r="L41" s="59" t="n">
        <f aca="false">K41*(D$2-D$4)*24*180/1000</f>
        <v>1391.91696</v>
      </c>
      <c r="M41" s="58" t="n">
        <f aca="false">L41/C$25</f>
        <v>12.9589140675915</v>
      </c>
      <c r="N41" s="79"/>
      <c r="O41" s="49" t="s">
        <v>85</v>
      </c>
      <c r="P41" s="52" t="n">
        <f aca="false">M42*D$8*D$13*2</f>
        <v>8664.49108361234</v>
      </c>
      <c r="Q41" s="49" t="s">
        <v>68</v>
      </c>
      <c r="R41" s="1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</row>
    <row r="42" customFormat="false" ht="14.45" hidden="false" customHeight="true" outlineLevel="0" collapsed="false">
      <c r="A42" s="62"/>
      <c r="B42" s="63" t="s">
        <v>46</v>
      </c>
      <c r="C42" s="64"/>
      <c r="D42" s="65"/>
      <c r="E42" s="64"/>
      <c r="F42" s="65"/>
      <c r="G42" s="65"/>
      <c r="H42" s="64"/>
      <c r="I42" s="65"/>
      <c r="J42" s="65"/>
      <c r="K42" s="65" t="s">
        <v>0</v>
      </c>
      <c r="L42" s="66" t="n">
        <f aca="false">SUM(L36:L41)</f>
        <v>8664.49108361234</v>
      </c>
      <c r="M42" s="67" t="n">
        <f aca="false">SUM(M36:M41)</f>
        <v>80.6674525985694</v>
      </c>
      <c r="N42" s="78"/>
      <c r="O42" s="49" t="s">
        <v>82</v>
      </c>
      <c r="P42" s="80" t="n">
        <f aca="false">P41/2</f>
        <v>4332.24554180617</v>
      </c>
      <c r="Q42" s="49" t="s">
        <v>73</v>
      </c>
      <c r="R42" s="12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customFormat="false" ht="11.9" hidden="false" customHeight="true" outlineLevel="0" collapsed="false">
      <c r="A43" s="19"/>
      <c r="B43" s="9"/>
      <c r="C43" s="14"/>
      <c r="D43" s="16"/>
      <c r="E43" s="14"/>
      <c r="F43" s="16"/>
      <c r="G43" s="16"/>
      <c r="H43" s="14"/>
      <c r="I43" s="16"/>
      <c r="J43" s="16"/>
      <c r="K43" s="16"/>
      <c r="L43" s="70"/>
      <c r="M43" s="71"/>
      <c r="N43" s="10"/>
      <c r="O43" s="18"/>
      <c r="P43" s="48"/>
      <c r="Q43" s="18"/>
      <c r="R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29"/>
      <c r="BF43" s="29"/>
      <c r="BG43" s="29"/>
      <c r="BH43" s="29"/>
      <c r="BI43" s="29"/>
      <c r="BJ43" s="29"/>
      <c r="BK43" s="29"/>
      <c r="BL43" s="29"/>
    </row>
    <row r="44" customFormat="false" ht="45.9" hidden="false" customHeight="true" outlineLevel="0" collapsed="false">
      <c r="A44" s="72" t="n">
        <v>3</v>
      </c>
      <c r="B44" s="73" t="s">
        <v>86</v>
      </c>
      <c r="C44" s="33" t="s">
        <v>40</v>
      </c>
      <c r="D44" s="34" t="s">
        <v>41</v>
      </c>
      <c r="E44" s="34" t="s">
        <v>42</v>
      </c>
      <c r="F44" s="34" t="s">
        <v>43</v>
      </c>
      <c r="G44" s="34" t="s">
        <v>44</v>
      </c>
      <c r="H44" s="34" t="s">
        <v>45</v>
      </c>
      <c r="I44" s="35" t="s">
        <v>46</v>
      </c>
      <c r="J44" s="36" t="s">
        <v>47</v>
      </c>
      <c r="K44" s="36" t="s">
        <v>48</v>
      </c>
      <c r="L44" s="36" t="s">
        <v>49</v>
      </c>
      <c r="M44" s="37" t="s">
        <v>50</v>
      </c>
      <c r="N44" s="74"/>
      <c r="O44" s="81"/>
      <c r="P44" s="76" t="s">
        <v>51</v>
      </c>
      <c r="Q44" s="41" t="n">
        <f aca="false">M53</f>
        <v>64.3895850950344</v>
      </c>
      <c r="R44" s="42" t="s">
        <v>52</v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</row>
    <row r="45" customFormat="false" ht="14.45" hidden="false" customHeight="true" outlineLevel="0" collapsed="false">
      <c r="A45" s="19"/>
      <c r="B45" s="77" t="s">
        <v>0</v>
      </c>
      <c r="C45" s="9" t="s">
        <v>53</v>
      </c>
      <c r="D45" s="43" t="s">
        <v>54</v>
      </c>
      <c r="E45" s="43" t="s">
        <v>55</v>
      </c>
      <c r="F45" s="43" t="s">
        <v>56</v>
      </c>
      <c r="G45" s="43" t="s">
        <v>57</v>
      </c>
      <c r="H45" s="43" t="s">
        <v>58</v>
      </c>
      <c r="I45" s="43" t="s">
        <v>59</v>
      </c>
      <c r="J45" s="9" t="s">
        <v>60</v>
      </c>
      <c r="K45" s="9" t="s">
        <v>61</v>
      </c>
      <c r="L45" s="9" t="s">
        <v>62</v>
      </c>
      <c r="M45" s="10" t="s">
        <v>62</v>
      </c>
      <c r="N45" s="78"/>
      <c r="O45" s="10"/>
      <c r="P45" s="10"/>
      <c r="Q45" s="10"/>
      <c r="R45" s="1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customFormat="false" ht="14.45" hidden="false" customHeight="true" outlineLevel="0" collapsed="false">
      <c r="A46" s="19"/>
      <c r="B46" s="9"/>
      <c r="C46" s="9" t="s">
        <v>64</v>
      </c>
      <c r="D46" s="43" t="s">
        <v>65</v>
      </c>
      <c r="E46" s="43" t="s">
        <v>65</v>
      </c>
      <c r="F46" s="43" t="s">
        <v>65</v>
      </c>
      <c r="G46" s="43" t="s">
        <v>65</v>
      </c>
      <c r="H46" s="43" t="s">
        <v>65</v>
      </c>
      <c r="I46" s="43" t="s">
        <v>65</v>
      </c>
      <c r="J46" s="9" t="s">
        <v>66</v>
      </c>
      <c r="K46" s="9" t="s">
        <v>67</v>
      </c>
      <c r="L46" s="9" t="s">
        <v>68</v>
      </c>
      <c r="M46" s="10" t="s">
        <v>21</v>
      </c>
      <c r="N46" s="78"/>
      <c r="O46" s="10"/>
      <c r="P46" s="10"/>
      <c r="Q46" s="10"/>
      <c r="R46" s="12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</row>
    <row r="47" customFormat="false" ht="14.45" hidden="false" customHeight="true" outlineLevel="0" collapsed="false">
      <c r="A47" s="19"/>
      <c r="B47" s="14" t="s">
        <v>69</v>
      </c>
      <c r="C47" s="16" t="n">
        <f aca="false">D$8*2*D$13</f>
        <v>107.41</v>
      </c>
      <c r="D47" s="44"/>
      <c r="E47" s="45" t="n">
        <f aca="false">0.5/D$16</f>
        <v>1.25</v>
      </c>
      <c r="F47" s="45" t="n">
        <f aca="false">D$17/D$15</f>
        <v>1.5</v>
      </c>
      <c r="G47" s="46" t="n">
        <f aca="false">0.03/0.14</f>
        <v>0.214285714285714</v>
      </c>
      <c r="H47" s="44" t="n">
        <v>0.17</v>
      </c>
      <c r="I47" s="46" t="n">
        <f aca="false">SUM(D47:H47)</f>
        <v>3.13428571428571</v>
      </c>
      <c r="J47" s="47" t="n">
        <f aca="false">1/I47</f>
        <v>0.319051959890611</v>
      </c>
      <c r="K47" s="16" t="n">
        <f aca="false">C47*J47</f>
        <v>34.2693710118505</v>
      </c>
      <c r="L47" s="48" t="n">
        <f aca="false">K47*(D$2-D$3)*24*180/1000</f>
        <v>1184.34946216955</v>
      </c>
      <c r="M47" s="16" t="n">
        <f aca="false">L47/C$25/2</f>
        <v>5.51321786690975</v>
      </c>
      <c r="N47" s="68"/>
      <c r="O47" s="49" t="s">
        <v>70</v>
      </c>
      <c r="P47" s="50" t="n">
        <f aca="false">C49/4</f>
        <v>26.8525</v>
      </c>
      <c r="Q47" s="49" t="s">
        <v>64</v>
      </c>
      <c r="R47" s="12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</row>
    <row r="48" customFormat="false" ht="14.45" hidden="false" customHeight="true" outlineLevel="0" collapsed="false">
      <c r="A48" s="19"/>
      <c r="B48" s="14" t="s">
        <v>71</v>
      </c>
      <c r="C48" s="51" t="n">
        <f aca="false">(C47^0.5*4*(2.6+0.4)*2-C50-C51)</f>
        <v>213.733109979351</v>
      </c>
      <c r="D48" s="44" t="n">
        <v>0.04</v>
      </c>
      <c r="E48" s="44" t="n">
        <f aca="false">0.38/D$14</f>
        <v>0.542857142857143</v>
      </c>
      <c r="F48" s="45" t="n">
        <f aca="false">D$18/D$15</f>
        <v>1.5</v>
      </c>
      <c r="G48" s="45"/>
      <c r="H48" s="44" t="n">
        <v>0.13</v>
      </c>
      <c r="I48" s="46" t="n">
        <f aca="false">SUM(D48:H48)</f>
        <v>2.21285714285714</v>
      </c>
      <c r="J48" s="47" t="n">
        <f aca="false">1/I48</f>
        <v>0.451904454486766</v>
      </c>
      <c r="K48" s="16" t="n">
        <f aca="false">C48*J48</f>
        <v>96.5869444709786</v>
      </c>
      <c r="L48" s="48" t="n">
        <f aca="false">K48*(D$2-D$4)*24*180/1000</f>
        <v>6688.60726983748</v>
      </c>
      <c r="M48" s="16" t="n">
        <f aca="false">L48/C$25/2</f>
        <v>31.135868493797</v>
      </c>
      <c r="N48" s="68"/>
      <c r="O48" s="49" t="s">
        <v>87</v>
      </c>
      <c r="P48" s="52" t="n">
        <f aca="false">P47*D$10*D$11/100*D$12/100*(D$9/1244)</f>
        <v>7673.42565916399</v>
      </c>
      <c r="Q48" s="49" t="s">
        <v>73</v>
      </c>
      <c r="R48" s="12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</row>
    <row r="49" customFormat="false" ht="14.45" hidden="false" customHeight="true" outlineLevel="0" collapsed="false">
      <c r="A49" s="19"/>
      <c r="B49" s="14" t="s">
        <v>74</v>
      </c>
      <c r="C49" s="16" t="n">
        <f aca="false">C47</f>
        <v>107.41</v>
      </c>
      <c r="D49" s="44" t="n">
        <v>0.04</v>
      </c>
      <c r="E49" s="45" t="s">
        <v>0</v>
      </c>
      <c r="F49" s="45" t="n">
        <f aca="false">D$19/D$15</f>
        <v>5</v>
      </c>
      <c r="G49" s="46" t="n">
        <f aca="false">0.012/0.14</f>
        <v>0.0857142857142857</v>
      </c>
      <c r="H49" s="44" t="n">
        <v>0.1</v>
      </c>
      <c r="I49" s="46" t="n">
        <f aca="false">SUM(D49:H49)</f>
        <v>5.22571428571429</v>
      </c>
      <c r="J49" s="47" t="n">
        <f aca="false">1/I49</f>
        <v>0.191361399671952</v>
      </c>
      <c r="K49" s="16" t="n">
        <f aca="false">C49*J49</f>
        <v>20.5541279387644</v>
      </c>
      <c r="L49" s="48" t="n">
        <f aca="false">K49*(D$2-D$4)*24*180/1000</f>
        <v>1423.36513810826</v>
      </c>
      <c r="M49" s="16" t="n">
        <f aca="false">L49/C$25/2</f>
        <v>6.6258501913614</v>
      </c>
      <c r="N49" s="68"/>
      <c r="O49" s="49" t="s">
        <v>75</v>
      </c>
      <c r="P49" s="52" t="n">
        <f aca="false">P48/(D$8*D$13)</f>
        <v>142.881028938907</v>
      </c>
      <c r="Q49" s="49" t="s">
        <v>21</v>
      </c>
      <c r="R49" s="12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</row>
    <row r="50" customFormat="false" ht="14.45" hidden="false" customHeight="true" outlineLevel="0" collapsed="false">
      <c r="A50" s="19"/>
      <c r="B50" s="14" t="s">
        <v>76</v>
      </c>
      <c r="C50" s="14" t="n">
        <v>32</v>
      </c>
      <c r="D50" s="45"/>
      <c r="E50" s="45"/>
      <c r="F50" s="45"/>
      <c r="G50" s="45"/>
      <c r="H50" s="45"/>
      <c r="I50" s="45" t="s">
        <v>0</v>
      </c>
      <c r="J50" s="47" t="n">
        <v>0.65</v>
      </c>
      <c r="K50" s="16" t="n">
        <f aca="false">C50*J50</f>
        <v>20.8</v>
      </c>
      <c r="L50" s="48" t="n">
        <f aca="false">K50*(D$2-D$4)*24*180/1000</f>
        <v>1440.39168</v>
      </c>
      <c r="M50" s="16" t="n">
        <f aca="false">L50/C$25/2</f>
        <v>6.70510976631599</v>
      </c>
      <c r="N50" s="68"/>
      <c r="O50" s="49"/>
      <c r="P50" s="53"/>
      <c r="Q50" s="49"/>
      <c r="R50" s="12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customFormat="false" ht="14.45" hidden="false" customHeight="true" outlineLevel="0" collapsed="false">
      <c r="A51" s="19"/>
      <c r="B51" s="14" t="s">
        <v>77</v>
      </c>
      <c r="C51" s="14" t="n">
        <v>3</v>
      </c>
      <c r="D51" s="45"/>
      <c r="E51" s="45"/>
      <c r="F51" s="45"/>
      <c r="G51" s="45"/>
      <c r="H51" s="45"/>
      <c r="I51" s="45" t="s">
        <v>0</v>
      </c>
      <c r="J51" s="47" t="n">
        <v>1.5</v>
      </c>
      <c r="K51" s="16" t="n">
        <f aca="false">C51*J51</f>
        <v>4.5</v>
      </c>
      <c r="L51" s="48" t="n">
        <f aca="false">K51*(D$2-D$4)*24*180/1000</f>
        <v>311.6232</v>
      </c>
      <c r="M51" s="16" t="n">
        <f aca="false">L51/C$25/2</f>
        <v>1.45062470905875</v>
      </c>
      <c r="N51" s="68"/>
      <c r="O51" s="49" t="s">
        <v>78</v>
      </c>
      <c r="P51" s="52" t="n">
        <f aca="false">M53*1000/24/180*2</f>
        <v>29.809993099553</v>
      </c>
      <c r="Q51" s="49" t="s">
        <v>79</v>
      </c>
      <c r="R51" s="12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customFormat="false" ht="14.45" hidden="false" customHeight="true" outlineLevel="0" collapsed="false">
      <c r="A52" s="54"/>
      <c r="B52" s="55" t="s">
        <v>80</v>
      </c>
      <c r="C52" s="55"/>
      <c r="D52" s="56"/>
      <c r="E52" s="56"/>
      <c r="F52" s="56"/>
      <c r="G52" s="56"/>
      <c r="H52" s="56"/>
      <c r="I52" s="56"/>
      <c r="J52" s="57"/>
      <c r="K52" s="58" t="n">
        <f aca="false">4*D$5*D$7*D$6/3600*1000</f>
        <v>40.2</v>
      </c>
      <c r="L52" s="59" t="n">
        <f aca="false">K52*(D$2-D$4)*24*180/1000</f>
        <v>2783.83392</v>
      </c>
      <c r="M52" s="58" t="n">
        <f aca="false">L52/C$25/2</f>
        <v>12.9589140675915</v>
      </c>
      <c r="N52" s="79"/>
      <c r="O52" s="49" t="s">
        <v>85</v>
      </c>
      <c r="P52" s="52" t="n">
        <f aca="false">M53*D$8*D$13*2</f>
        <v>6916.08533505764</v>
      </c>
      <c r="Q52" s="49" t="s">
        <v>68</v>
      </c>
      <c r="R52" s="1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</row>
    <row r="53" customFormat="false" ht="14.45" hidden="false" customHeight="true" outlineLevel="0" collapsed="false">
      <c r="A53" s="62"/>
      <c r="B53" s="63" t="s">
        <v>46</v>
      </c>
      <c r="C53" s="64"/>
      <c r="D53" s="65"/>
      <c r="E53" s="64"/>
      <c r="F53" s="65"/>
      <c r="G53" s="65"/>
      <c r="H53" s="64"/>
      <c r="I53" s="65"/>
      <c r="J53" s="65"/>
      <c r="K53" s="65" t="s">
        <v>0</v>
      </c>
      <c r="L53" s="66" t="n">
        <f aca="false">SUM(L47:L52)</f>
        <v>13832.1706701153</v>
      </c>
      <c r="M53" s="67" t="n">
        <f aca="false">SUM(M47:M52)</f>
        <v>64.3895850950344</v>
      </c>
      <c r="N53" s="68"/>
      <c r="O53" s="49" t="s">
        <v>82</v>
      </c>
      <c r="P53" s="80" t="n">
        <f aca="false">P52/2</f>
        <v>3458.04266752882</v>
      </c>
      <c r="Q53" s="49" t="s">
        <v>73</v>
      </c>
      <c r="R53" s="12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customFormat="false" ht="11.9" hidden="false" customHeight="true" outlineLevel="0" collapsed="false">
      <c r="A54" s="19"/>
      <c r="B54" s="9"/>
      <c r="C54" s="14"/>
      <c r="D54" s="16"/>
      <c r="E54" s="14"/>
      <c r="F54" s="16"/>
      <c r="G54" s="16"/>
      <c r="H54" s="14"/>
      <c r="I54" s="16"/>
      <c r="J54" s="16"/>
      <c r="K54" s="16"/>
      <c r="L54" s="70"/>
      <c r="M54" s="71"/>
      <c r="N54" s="16"/>
      <c r="O54" s="18"/>
      <c r="P54" s="48"/>
      <c r="Q54" s="18"/>
      <c r="R54" s="12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29"/>
      <c r="BF54" s="29"/>
      <c r="BG54" s="29"/>
      <c r="BH54" s="29"/>
      <c r="BI54" s="29"/>
      <c r="BJ54" s="29"/>
      <c r="BK54" s="29"/>
      <c r="BL54" s="29"/>
    </row>
    <row r="55" s="83" customFormat="true" ht="45.9" hidden="false" customHeight="true" outlineLevel="0" collapsed="false">
      <c r="A55" s="72" t="n">
        <v>4</v>
      </c>
      <c r="B55" s="73" t="s">
        <v>88</v>
      </c>
      <c r="C55" s="33" t="s">
        <v>40</v>
      </c>
      <c r="D55" s="34" t="s">
        <v>41</v>
      </c>
      <c r="E55" s="34" t="s">
        <v>42</v>
      </c>
      <c r="F55" s="34" t="s">
        <v>43</v>
      </c>
      <c r="G55" s="34" t="s">
        <v>44</v>
      </c>
      <c r="H55" s="34" t="s">
        <v>45</v>
      </c>
      <c r="I55" s="35" t="s">
        <v>46</v>
      </c>
      <c r="J55" s="36" t="s">
        <v>47</v>
      </c>
      <c r="K55" s="36" t="s">
        <v>48</v>
      </c>
      <c r="L55" s="36" t="s">
        <v>49</v>
      </c>
      <c r="M55" s="37" t="s">
        <v>50</v>
      </c>
      <c r="N55" s="82"/>
      <c r="O55" s="75"/>
      <c r="P55" s="76" t="s">
        <v>51</v>
      </c>
      <c r="Q55" s="41" t="n">
        <f aca="false">M64</f>
        <v>53.776733385119</v>
      </c>
      <c r="R55" s="42" t="s">
        <v>52</v>
      </c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.45" hidden="false" customHeight="true" outlineLevel="0" collapsed="false">
      <c r="A56" s="19"/>
      <c r="B56" s="77" t="s">
        <v>0</v>
      </c>
      <c r="C56" s="9" t="s">
        <v>53</v>
      </c>
      <c r="D56" s="43" t="s">
        <v>54</v>
      </c>
      <c r="E56" s="43" t="s">
        <v>55</v>
      </c>
      <c r="F56" s="43" t="s">
        <v>56</v>
      </c>
      <c r="G56" s="43" t="s">
        <v>57</v>
      </c>
      <c r="H56" s="43" t="s">
        <v>58</v>
      </c>
      <c r="I56" s="43" t="s">
        <v>59</v>
      </c>
      <c r="J56" s="9" t="s">
        <v>60</v>
      </c>
      <c r="K56" s="9" t="s">
        <v>61</v>
      </c>
      <c r="L56" s="9" t="s">
        <v>62</v>
      </c>
      <c r="M56" s="10" t="s">
        <v>62</v>
      </c>
      <c r="N56" s="68"/>
      <c r="O56" s="16"/>
      <c r="P56" s="16"/>
      <c r="Q56" s="16"/>
    </row>
    <row r="57" customFormat="false" ht="14.45" hidden="false" customHeight="true" outlineLevel="0" collapsed="false">
      <c r="A57" s="19"/>
      <c r="B57" s="9"/>
      <c r="C57" s="9" t="s">
        <v>64</v>
      </c>
      <c r="D57" s="43" t="s">
        <v>65</v>
      </c>
      <c r="E57" s="43" t="s">
        <v>65</v>
      </c>
      <c r="F57" s="43" t="s">
        <v>65</v>
      </c>
      <c r="G57" s="43" t="s">
        <v>65</v>
      </c>
      <c r="H57" s="43" t="s">
        <v>65</v>
      </c>
      <c r="I57" s="43" t="s">
        <v>65</v>
      </c>
      <c r="J57" s="9" t="s">
        <v>66</v>
      </c>
      <c r="K57" s="9" t="s">
        <v>67</v>
      </c>
      <c r="L57" s="9" t="s">
        <v>68</v>
      </c>
      <c r="M57" s="10" t="s">
        <v>21</v>
      </c>
      <c r="N57" s="68"/>
    </row>
    <row r="58" customFormat="false" ht="14.45" hidden="false" customHeight="true" outlineLevel="0" collapsed="false">
      <c r="A58" s="19"/>
      <c r="B58" s="14" t="s">
        <v>69</v>
      </c>
      <c r="C58" s="16" t="n">
        <f aca="false">D$8*4*D$13</f>
        <v>214.82</v>
      </c>
      <c r="D58" s="44"/>
      <c r="E58" s="45" t="n">
        <f aca="false">0.5/D$16</f>
        <v>1.25</v>
      </c>
      <c r="F58" s="45" t="n">
        <f aca="false">D$17/D$15</f>
        <v>1.5</v>
      </c>
      <c r="G58" s="46" t="n">
        <f aca="false">0.03/0.14</f>
        <v>0.214285714285714</v>
      </c>
      <c r="H58" s="44" t="n">
        <v>0.17</v>
      </c>
      <c r="I58" s="46" t="n">
        <f aca="false">SUM(D58:H58)</f>
        <v>3.13428571428571</v>
      </c>
      <c r="J58" s="47" t="n">
        <f aca="false">1/I58</f>
        <v>0.319051959890611</v>
      </c>
      <c r="K58" s="16" t="n">
        <f aca="false">C58*J58</f>
        <v>68.538742023701</v>
      </c>
      <c r="L58" s="48" t="n">
        <f aca="false">K58*(D$2-D$3)*24*180/1000</f>
        <v>2368.69892433911</v>
      </c>
      <c r="M58" s="16" t="n">
        <f aca="false">L58/C$25/4</f>
        <v>5.51321786690975</v>
      </c>
      <c r="N58" s="68"/>
      <c r="O58" s="49" t="s">
        <v>70</v>
      </c>
      <c r="P58" s="50" t="n">
        <f aca="false">C60/8</f>
        <v>26.8525</v>
      </c>
      <c r="Q58" s="49" t="s">
        <v>64</v>
      </c>
    </row>
    <row r="59" customFormat="false" ht="14.45" hidden="false" customHeight="true" outlineLevel="0" collapsed="false">
      <c r="A59" s="19"/>
      <c r="B59" s="14" t="s">
        <v>71</v>
      </c>
      <c r="C59" s="51" t="n">
        <f aca="false">(C58^0.5*4*(2.6+0.4)*2-C61-C62)</f>
        <v>281.761737544037</v>
      </c>
      <c r="D59" s="44" t="n">
        <v>0.04</v>
      </c>
      <c r="E59" s="44" t="n">
        <f aca="false">0.38/D$14</f>
        <v>0.542857142857143</v>
      </c>
      <c r="F59" s="45" t="n">
        <f aca="false">D$18/D$15</f>
        <v>1.5</v>
      </c>
      <c r="G59" s="45"/>
      <c r="H59" s="44" t="n">
        <v>0.13</v>
      </c>
      <c r="I59" s="46" t="n">
        <f aca="false">SUM(D59:H59)</f>
        <v>2.21285714285714</v>
      </c>
      <c r="J59" s="47" t="n">
        <f aca="false">1/I59</f>
        <v>0.451904454486766</v>
      </c>
      <c r="K59" s="16" t="n">
        <f aca="false">C59*J59</f>
        <v>127.329384300081</v>
      </c>
      <c r="L59" s="48" t="n">
        <f aca="false">K59*(D$2-D$4)*24*180/1000</f>
        <v>8817.50893102691</v>
      </c>
      <c r="M59" s="16" t="n">
        <f aca="false">L59/C$25/4</f>
        <v>20.5230167838816</v>
      </c>
      <c r="N59" s="68"/>
      <c r="O59" s="49" t="s">
        <v>87</v>
      </c>
      <c r="P59" s="52" t="n">
        <f aca="false">P58*D$10*D$11/100*D$12/100*(D$9/1244)</f>
        <v>7673.42565916399</v>
      </c>
      <c r="Q59" s="49" t="s">
        <v>73</v>
      </c>
    </row>
    <row r="60" customFormat="false" ht="14.45" hidden="false" customHeight="true" outlineLevel="0" collapsed="false">
      <c r="A60" s="19"/>
      <c r="B60" s="14" t="s">
        <v>74</v>
      </c>
      <c r="C60" s="16" t="n">
        <f aca="false">C58</f>
        <v>214.82</v>
      </c>
      <c r="D60" s="44" t="n">
        <v>0.04</v>
      </c>
      <c r="E60" s="45" t="s">
        <v>0</v>
      </c>
      <c r="F60" s="45" t="n">
        <f aca="false">D$19/D$15</f>
        <v>5</v>
      </c>
      <c r="G60" s="46" t="n">
        <f aca="false">0.012/0.14</f>
        <v>0.0857142857142857</v>
      </c>
      <c r="H60" s="44" t="n">
        <v>0.1</v>
      </c>
      <c r="I60" s="46" t="n">
        <f aca="false">SUM(D60:H60)</f>
        <v>5.22571428571429</v>
      </c>
      <c r="J60" s="47" t="n">
        <f aca="false">1/I60</f>
        <v>0.191361399671952</v>
      </c>
      <c r="K60" s="16" t="n">
        <f aca="false">C60*J60</f>
        <v>41.1082558775287</v>
      </c>
      <c r="L60" s="48" t="n">
        <f aca="false">K60*(D$2-D$4)*24*180/1000</f>
        <v>2846.73027621651</v>
      </c>
      <c r="M60" s="16" t="n">
        <f aca="false">L60/C$25/4</f>
        <v>6.6258501913614</v>
      </c>
      <c r="N60" s="68"/>
      <c r="O60" s="49" t="s">
        <v>75</v>
      </c>
      <c r="P60" s="52" t="n">
        <f aca="false">P59/(D$8*D$13)</f>
        <v>142.881028938907</v>
      </c>
      <c r="Q60" s="49" t="s">
        <v>21</v>
      </c>
    </row>
    <row r="61" customFormat="false" ht="14.45" hidden="false" customHeight="true" outlineLevel="0" collapsed="false">
      <c r="A61" s="19"/>
      <c r="B61" s="14" t="s">
        <v>76</v>
      </c>
      <c r="C61" s="14" t="n">
        <v>64</v>
      </c>
      <c r="D61" s="45"/>
      <c r="E61" s="45"/>
      <c r="F61" s="45"/>
      <c r="G61" s="45"/>
      <c r="H61" s="45"/>
      <c r="I61" s="45" t="s">
        <v>0</v>
      </c>
      <c r="J61" s="47" t="n">
        <v>0.65</v>
      </c>
      <c r="K61" s="16" t="n">
        <f aca="false">C61*J61</f>
        <v>41.6</v>
      </c>
      <c r="L61" s="48" t="n">
        <f aca="false">K61*(D$2-D$4)*24*180/1000</f>
        <v>2880.78336</v>
      </c>
      <c r="M61" s="16" t="n">
        <f aca="false">L61/C$25/4</f>
        <v>6.70510976631599</v>
      </c>
      <c r="N61" s="68"/>
      <c r="O61" s="49"/>
      <c r="P61" s="53"/>
      <c r="Q61" s="49"/>
    </row>
    <row r="62" customFormat="false" ht="14.45" hidden="false" customHeight="true" outlineLevel="0" collapsed="false">
      <c r="A62" s="19"/>
      <c r="B62" s="14" t="s">
        <v>77</v>
      </c>
      <c r="C62" s="14" t="n">
        <v>6</v>
      </c>
      <c r="D62" s="45"/>
      <c r="E62" s="45"/>
      <c r="F62" s="45"/>
      <c r="G62" s="45"/>
      <c r="H62" s="45"/>
      <c r="I62" s="45" t="s">
        <v>0</v>
      </c>
      <c r="J62" s="47" t="n">
        <v>1.5</v>
      </c>
      <c r="K62" s="16" t="n">
        <f aca="false">C62*J62</f>
        <v>9</v>
      </c>
      <c r="L62" s="48" t="n">
        <f aca="false">K62*(D$2-D$4)*24*180/1000</f>
        <v>623.2464</v>
      </c>
      <c r="M62" s="16" t="n">
        <f aca="false">L62/C$25/4</f>
        <v>1.45062470905875</v>
      </c>
      <c r="N62" s="68"/>
      <c r="O62" s="49" t="s">
        <v>78</v>
      </c>
      <c r="P62" s="52" t="n">
        <f aca="false">M64*1000/24/180*2</f>
        <v>24.896635826444</v>
      </c>
      <c r="Q62" s="49" t="s">
        <v>79</v>
      </c>
    </row>
    <row r="63" customFormat="false" ht="14.45" hidden="false" customHeight="true" outlineLevel="0" collapsed="false">
      <c r="A63" s="54"/>
      <c r="B63" s="55" t="s">
        <v>80</v>
      </c>
      <c r="C63" s="55"/>
      <c r="D63" s="56"/>
      <c r="E63" s="56"/>
      <c r="F63" s="56"/>
      <c r="G63" s="56"/>
      <c r="H63" s="56"/>
      <c r="I63" s="56"/>
      <c r="J63" s="57"/>
      <c r="K63" s="58" t="n">
        <f aca="false">8*D$5*D$7*D$6/3600*1000</f>
        <v>80.4</v>
      </c>
      <c r="L63" s="59" t="n">
        <f aca="false">K63*(D$2-D$4)*24*180/1000</f>
        <v>5567.66784</v>
      </c>
      <c r="M63" s="58" t="n">
        <f aca="false">L63/C$25/4</f>
        <v>12.9589140675915</v>
      </c>
      <c r="N63" s="79"/>
      <c r="O63" s="49" t="s">
        <v>85</v>
      </c>
      <c r="P63" s="52" t="n">
        <f aca="false">M64*D$8*D$13*2</f>
        <v>5776.15893289563</v>
      </c>
      <c r="Q63" s="49" t="s">
        <v>68</v>
      </c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</row>
    <row r="64" customFormat="false" ht="14.45" hidden="false" customHeight="true" outlineLevel="0" collapsed="false">
      <c r="A64" s="62"/>
      <c r="B64" s="63" t="s">
        <v>46</v>
      </c>
      <c r="C64" s="64"/>
      <c r="D64" s="65"/>
      <c r="E64" s="64"/>
      <c r="F64" s="65"/>
      <c r="G64" s="65"/>
      <c r="H64" s="64"/>
      <c r="I64" s="65"/>
      <c r="J64" s="65"/>
      <c r="K64" s="65" t="s">
        <v>0</v>
      </c>
      <c r="L64" s="66" t="n">
        <f aca="false">SUM(L58:L63)</f>
        <v>23104.6357315825</v>
      </c>
      <c r="M64" s="67" t="n">
        <f aca="false">SUM(M58:M63)</f>
        <v>53.776733385119</v>
      </c>
      <c r="N64" s="68"/>
      <c r="O64" s="49" t="s">
        <v>82</v>
      </c>
      <c r="P64" s="69" t="n">
        <f aca="false">P63/2</f>
        <v>2888.07946644782</v>
      </c>
      <c r="Q64" s="49" t="s">
        <v>73</v>
      </c>
    </row>
    <row r="65" customFormat="false" ht="11.9" hidden="false" customHeight="true" outlineLevel="0" collapsed="false">
      <c r="A65" s="19"/>
      <c r="B65" s="9"/>
      <c r="C65" s="14"/>
      <c r="D65" s="16"/>
      <c r="E65" s="14"/>
      <c r="F65" s="16"/>
      <c r="G65" s="16"/>
      <c r="H65" s="14"/>
      <c r="I65" s="16"/>
      <c r="J65" s="16"/>
      <c r="K65" s="16"/>
      <c r="L65" s="70"/>
      <c r="M65" s="71"/>
      <c r="N65" s="16"/>
      <c r="O65" s="18"/>
      <c r="P65" s="70"/>
      <c r="Q65" s="18"/>
      <c r="R65" s="12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29"/>
      <c r="BF65" s="29"/>
      <c r="BG65" s="29"/>
      <c r="BH65" s="29"/>
      <c r="BI65" s="29"/>
      <c r="BJ65" s="29"/>
      <c r="BK65" s="29"/>
      <c r="BL65" s="29"/>
    </row>
    <row r="66" customFormat="false" ht="72.55" hidden="false" customHeight="true" outlineLevel="0" collapsed="false">
      <c r="A66" s="72" t="n">
        <v>5</v>
      </c>
      <c r="B66" s="73" t="s">
        <v>89</v>
      </c>
      <c r="C66" s="33" t="s">
        <v>40</v>
      </c>
      <c r="D66" s="34" t="s">
        <v>41</v>
      </c>
      <c r="E66" s="34" t="s">
        <v>42</v>
      </c>
      <c r="F66" s="34" t="s">
        <v>43</v>
      </c>
      <c r="G66" s="34" t="s">
        <v>44</v>
      </c>
      <c r="H66" s="34" t="s">
        <v>45</v>
      </c>
      <c r="I66" s="35" t="s">
        <v>46</v>
      </c>
      <c r="J66" s="36" t="s">
        <v>47</v>
      </c>
      <c r="K66" s="36" t="s">
        <v>48</v>
      </c>
      <c r="L66" s="36" t="s">
        <v>49</v>
      </c>
      <c r="M66" s="37" t="s">
        <v>50</v>
      </c>
      <c r="N66" s="82"/>
      <c r="O66" s="75"/>
      <c r="P66" s="76" t="s">
        <v>51</v>
      </c>
      <c r="Q66" s="41" t="n">
        <f aca="false">M75</f>
        <v>49.3925121888562</v>
      </c>
      <c r="R66" s="4" t="s">
        <v>52</v>
      </c>
    </row>
    <row r="67" customFormat="false" ht="14.45" hidden="false" customHeight="true" outlineLevel="0" collapsed="false">
      <c r="A67" s="19"/>
      <c r="B67" s="77" t="s">
        <v>0</v>
      </c>
      <c r="C67" s="9" t="s">
        <v>53</v>
      </c>
      <c r="D67" s="43" t="s">
        <v>54</v>
      </c>
      <c r="E67" s="43" t="s">
        <v>55</v>
      </c>
      <c r="F67" s="43" t="s">
        <v>56</v>
      </c>
      <c r="G67" s="43" t="s">
        <v>57</v>
      </c>
      <c r="H67" s="43" t="s">
        <v>58</v>
      </c>
      <c r="I67" s="43" t="s">
        <v>59</v>
      </c>
      <c r="J67" s="9" t="s">
        <v>60</v>
      </c>
      <c r="K67" s="9" t="s">
        <v>61</v>
      </c>
      <c r="L67" s="9" t="s">
        <v>62</v>
      </c>
      <c r="M67" s="10" t="s">
        <v>62</v>
      </c>
      <c r="N67" s="68"/>
      <c r="O67" s="16"/>
      <c r="P67" s="16"/>
      <c r="Q67" s="16"/>
    </row>
    <row r="68" customFormat="false" ht="14.45" hidden="false" customHeight="true" outlineLevel="0" collapsed="false">
      <c r="A68" s="19"/>
      <c r="B68" s="9"/>
      <c r="C68" s="9" t="s">
        <v>64</v>
      </c>
      <c r="D68" s="43" t="s">
        <v>65</v>
      </c>
      <c r="E68" s="43" t="s">
        <v>65</v>
      </c>
      <c r="F68" s="43" t="s">
        <v>65</v>
      </c>
      <c r="G68" s="43" t="s">
        <v>65</v>
      </c>
      <c r="H68" s="43" t="s">
        <v>65</v>
      </c>
      <c r="I68" s="43" t="s">
        <v>65</v>
      </c>
      <c r="J68" s="9" t="s">
        <v>66</v>
      </c>
      <c r="K68" s="9" t="s">
        <v>67</v>
      </c>
      <c r="L68" s="9" t="s">
        <v>68</v>
      </c>
      <c r="M68" s="10" t="s">
        <v>21</v>
      </c>
      <c r="N68" s="68"/>
    </row>
    <row r="69" customFormat="false" ht="14.45" hidden="false" customHeight="true" outlineLevel="0" collapsed="false">
      <c r="A69" s="19"/>
      <c r="B69" s="14" t="s">
        <v>69</v>
      </c>
      <c r="C69" s="16" t="n">
        <f aca="false">D$8*4*D$13</f>
        <v>214.82</v>
      </c>
      <c r="D69" s="44"/>
      <c r="E69" s="45" t="n">
        <f aca="false">0.5/D$16</f>
        <v>1.25</v>
      </c>
      <c r="F69" s="45" t="n">
        <f aca="false">D$17/D$15</f>
        <v>1.5</v>
      </c>
      <c r="G69" s="46" t="n">
        <f aca="false">0.03/0.14</f>
        <v>0.214285714285714</v>
      </c>
      <c r="H69" s="44" t="n">
        <v>0.17</v>
      </c>
      <c r="I69" s="46" t="n">
        <f aca="false">SUM(D69:H69)</f>
        <v>3.13428571428571</v>
      </c>
      <c r="J69" s="47" t="n">
        <f aca="false">1/I69</f>
        <v>0.319051959890611</v>
      </c>
      <c r="K69" s="16" t="n">
        <f aca="false">C69*J69</f>
        <v>68.538742023701</v>
      </c>
      <c r="L69" s="48" t="n">
        <f aca="false">K69*(D$2-D$3)*24*180/1000</f>
        <v>2368.69892433911</v>
      </c>
      <c r="M69" s="16" t="n">
        <f aca="false">L69/C$25/6</f>
        <v>3.67547857793984</v>
      </c>
      <c r="N69" s="68"/>
      <c r="O69" s="49" t="s">
        <v>70</v>
      </c>
      <c r="P69" s="50" t="n">
        <f aca="false">C71/12</f>
        <v>17.9016666666667</v>
      </c>
      <c r="Q69" s="49" t="s">
        <v>64</v>
      </c>
    </row>
    <row r="70" customFormat="false" ht="14.45" hidden="false" customHeight="true" outlineLevel="0" collapsed="false">
      <c r="A70" s="19"/>
      <c r="B70" s="14" t="s">
        <v>71</v>
      </c>
      <c r="C70" s="51" t="n">
        <f aca="false">(C69^0.5*4*(2.6+0.4)*3-C72-C73)</f>
        <v>425.642606316056</v>
      </c>
      <c r="D70" s="44" t="n">
        <v>0.04</v>
      </c>
      <c r="E70" s="44" t="n">
        <f aca="false">0.38/D$14</f>
        <v>0.542857142857143</v>
      </c>
      <c r="F70" s="45" t="n">
        <f aca="false">D$18/D$15</f>
        <v>1.5</v>
      </c>
      <c r="G70" s="45"/>
      <c r="H70" s="44" t="n">
        <v>0.13</v>
      </c>
      <c r="I70" s="46" t="n">
        <f aca="false">SUM(D70:H70)</f>
        <v>2.21285714285714</v>
      </c>
      <c r="J70" s="47" t="n">
        <f aca="false">1/I70</f>
        <v>0.451904454486766</v>
      </c>
      <c r="K70" s="16" t="n">
        <f aca="false">C70*J70</f>
        <v>192.349789813582</v>
      </c>
      <c r="L70" s="48" t="n">
        <f aca="false">K70*(D$2-D$4)*24*180/1000</f>
        <v>13320.1460046746</v>
      </c>
      <c r="M70" s="16" t="n">
        <f aca="false">L70/C$25/6</f>
        <v>20.6686931767288</v>
      </c>
      <c r="N70" s="68"/>
      <c r="O70" s="49" t="s">
        <v>87</v>
      </c>
      <c r="P70" s="52" t="n">
        <f aca="false">P69*D$10*D$11/100*D$12/100*(D$9/1244)</f>
        <v>5115.61710610932</v>
      </c>
      <c r="Q70" s="49" t="s">
        <v>73</v>
      </c>
    </row>
    <row r="71" customFormat="false" ht="14.45" hidden="false" customHeight="true" outlineLevel="0" collapsed="false">
      <c r="A71" s="19"/>
      <c r="B71" s="14" t="s">
        <v>74</v>
      </c>
      <c r="C71" s="16" t="n">
        <f aca="false">C69</f>
        <v>214.82</v>
      </c>
      <c r="D71" s="44" t="n">
        <v>0.04</v>
      </c>
      <c r="E71" s="45" t="s">
        <v>0</v>
      </c>
      <c r="F71" s="45" t="n">
        <f aca="false">D$19/D$15</f>
        <v>5</v>
      </c>
      <c r="G71" s="46" t="n">
        <f aca="false">0.012/0.14</f>
        <v>0.0857142857142857</v>
      </c>
      <c r="H71" s="44" t="n">
        <v>0.1</v>
      </c>
      <c r="I71" s="46" t="n">
        <f aca="false">SUM(D71:H71)</f>
        <v>5.22571428571429</v>
      </c>
      <c r="J71" s="47" t="n">
        <f aca="false">1/I71</f>
        <v>0.191361399671952</v>
      </c>
      <c r="K71" s="16" t="n">
        <f aca="false">C71*J71</f>
        <v>41.1082558775287</v>
      </c>
      <c r="L71" s="48" t="n">
        <f aca="false">K71*(D$2-D$4)*24*180/1000</f>
        <v>2846.73027621651</v>
      </c>
      <c r="M71" s="16" t="n">
        <f aca="false">L71/C$25/6</f>
        <v>4.4172334609076</v>
      </c>
      <c r="N71" s="68"/>
      <c r="O71" s="49" t="s">
        <v>75</v>
      </c>
      <c r="P71" s="52" t="n">
        <f aca="false">P70/(D$8*D$13)</f>
        <v>95.2540192926045</v>
      </c>
      <c r="Q71" s="49" t="s">
        <v>21</v>
      </c>
    </row>
    <row r="72" customFormat="false" ht="14.45" hidden="false" customHeight="true" outlineLevel="0" collapsed="false">
      <c r="A72" s="19"/>
      <c r="B72" s="14" t="s">
        <v>76</v>
      </c>
      <c r="C72" s="14" t="n">
        <v>96</v>
      </c>
      <c r="D72" s="45"/>
      <c r="E72" s="45"/>
      <c r="F72" s="45"/>
      <c r="G72" s="45"/>
      <c r="H72" s="45"/>
      <c r="I72" s="45" t="s">
        <v>0</v>
      </c>
      <c r="J72" s="47" t="n">
        <v>0.65</v>
      </c>
      <c r="K72" s="16" t="n">
        <f aca="false">C72*J72</f>
        <v>62.4</v>
      </c>
      <c r="L72" s="48" t="n">
        <f aca="false">K72*(D$2-D$4)*24*180/1000</f>
        <v>4321.17504</v>
      </c>
      <c r="M72" s="16" t="n">
        <f aca="false">L72/C$25/6</f>
        <v>6.70510976631599</v>
      </c>
      <c r="N72" s="68"/>
      <c r="O72" s="49"/>
      <c r="P72" s="53"/>
      <c r="Q72" s="49"/>
    </row>
    <row r="73" customFormat="false" ht="14.45" hidden="false" customHeight="true" outlineLevel="0" collapsed="false">
      <c r="A73" s="19"/>
      <c r="B73" s="14" t="s">
        <v>77</v>
      </c>
      <c r="C73" s="14" t="n">
        <v>6</v>
      </c>
      <c r="D73" s="45"/>
      <c r="E73" s="45"/>
      <c r="F73" s="45"/>
      <c r="G73" s="45"/>
      <c r="H73" s="45"/>
      <c r="I73" s="45" t="s">
        <v>0</v>
      </c>
      <c r="J73" s="47" t="n">
        <v>1.5</v>
      </c>
      <c r="K73" s="16" t="n">
        <f aca="false">C73*J73</f>
        <v>9</v>
      </c>
      <c r="L73" s="48" t="n">
        <f aca="false">K73*(D$2-D$4)*24*180/1000</f>
        <v>623.2464</v>
      </c>
      <c r="M73" s="16" t="n">
        <f aca="false">L73/C$25/6</f>
        <v>0.967083139372498</v>
      </c>
      <c r="N73" s="68"/>
      <c r="O73" s="49" t="s">
        <v>78</v>
      </c>
      <c r="P73" s="52" t="n">
        <f aca="false">M75*1000/24/180*2</f>
        <v>22.8669037911371</v>
      </c>
      <c r="Q73" s="49" t="s">
        <v>79</v>
      </c>
    </row>
    <row r="74" customFormat="false" ht="14.45" hidden="false" customHeight="true" outlineLevel="0" collapsed="false">
      <c r="A74" s="54"/>
      <c r="B74" s="55" t="s">
        <v>80</v>
      </c>
      <c r="C74" s="55"/>
      <c r="D74" s="56"/>
      <c r="E74" s="56"/>
      <c r="F74" s="56"/>
      <c r="G74" s="56"/>
      <c r="H74" s="56"/>
      <c r="I74" s="56"/>
      <c r="J74" s="57"/>
      <c r="K74" s="58" t="n">
        <f aca="false">12*D$5*D$7*D$6/3600*1000</f>
        <v>120.6</v>
      </c>
      <c r="L74" s="59" t="n">
        <f aca="false">K74*(D$2-D$4)*24*180/1000</f>
        <v>8351.50176</v>
      </c>
      <c r="M74" s="58" t="n">
        <f aca="false">L74/C$25/6</f>
        <v>12.9589140675915</v>
      </c>
      <c r="N74" s="79"/>
      <c r="O74" s="49" t="s">
        <v>85</v>
      </c>
      <c r="P74" s="52" t="n">
        <f aca="false">M75*D$8*D$13*2</f>
        <v>5305.24973420505</v>
      </c>
      <c r="Q74" s="49" t="s">
        <v>68</v>
      </c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</row>
    <row r="75" customFormat="false" ht="14.45" hidden="false" customHeight="true" outlineLevel="0" collapsed="false">
      <c r="A75" s="62"/>
      <c r="B75" s="63" t="s">
        <v>46</v>
      </c>
      <c r="C75" s="64"/>
      <c r="D75" s="65"/>
      <c r="E75" s="64"/>
      <c r="F75" s="65"/>
      <c r="G75" s="65"/>
      <c r="H75" s="64"/>
      <c r="I75" s="65"/>
      <c r="J75" s="65"/>
      <c r="K75" s="65" t="s">
        <v>0</v>
      </c>
      <c r="L75" s="66" t="n">
        <f aca="false">SUM(L69:L74)</f>
        <v>31831.4984052303</v>
      </c>
      <c r="M75" s="67" t="n">
        <f aca="false">SUM(M69:M74)</f>
        <v>49.3925121888562</v>
      </c>
      <c r="N75" s="68"/>
      <c r="O75" s="49" t="s">
        <v>82</v>
      </c>
      <c r="P75" s="69" t="n">
        <f aca="false">P74/2</f>
        <v>2652.62486710252</v>
      </c>
      <c r="Q75" s="49" t="s">
        <v>73</v>
      </c>
    </row>
    <row r="76" customFormat="false" ht="11.9" hidden="false" customHeight="true" outlineLevel="0" collapsed="false">
      <c r="A76" s="19"/>
      <c r="B76" s="14"/>
      <c r="C76" s="14"/>
      <c r="D76" s="14"/>
      <c r="E76" s="14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2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29"/>
      <c r="BF76" s="29"/>
      <c r="BG76" s="29"/>
      <c r="BH76" s="29"/>
      <c r="BI76" s="29"/>
      <c r="BJ76" s="29"/>
      <c r="BK76" s="29"/>
      <c r="BL76" s="29"/>
    </row>
    <row r="77" customFormat="false" ht="15.7" hidden="false" customHeight="true" outlineLevel="0" collapsed="false">
      <c r="A77" s="85"/>
      <c r="B77" s="86" t="s">
        <v>90</v>
      </c>
      <c r="C77" s="87"/>
      <c r="D77" s="87"/>
      <c r="E77" s="87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</row>
    <row r="78" customFormat="false" ht="38.3" hidden="false" customHeight="true" outlineLevel="0" collapsed="false">
      <c r="A78" s="31" t="n">
        <v>1</v>
      </c>
      <c r="B78" s="90" t="s">
        <v>39</v>
      </c>
      <c r="C78" s="39"/>
      <c r="D78" s="39"/>
      <c r="E78" s="39"/>
      <c r="F78" s="91" t="s">
        <v>0</v>
      </c>
      <c r="O78" s="92" t="s">
        <v>91</v>
      </c>
    </row>
    <row r="79" customFormat="false" ht="14.45" hidden="false" customHeight="true" outlineLevel="0" collapsed="false">
      <c r="A79" s="19"/>
      <c r="B79" s="9" t="s">
        <v>0</v>
      </c>
      <c r="C79" s="9" t="s">
        <v>92</v>
      </c>
      <c r="D79" s="9" t="s">
        <v>93</v>
      </c>
      <c r="E79" s="9" t="s">
        <v>94</v>
      </c>
      <c r="F79" s="9" t="s">
        <v>94</v>
      </c>
      <c r="M79" s="16"/>
    </row>
    <row r="80" customFormat="false" ht="14.45" hidden="false" customHeight="true" outlineLevel="0" collapsed="false">
      <c r="A80" s="19"/>
      <c r="B80" s="9"/>
      <c r="C80" s="9" t="s">
        <v>64</v>
      </c>
      <c r="D80" s="9" t="s">
        <v>95</v>
      </c>
      <c r="E80" s="9" t="s">
        <v>96</v>
      </c>
      <c r="F80" s="9" t="s">
        <v>97</v>
      </c>
    </row>
    <row r="81" customFormat="false" ht="14.45" hidden="false" customHeight="true" outlineLevel="0" collapsed="false">
      <c r="A81" s="19"/>
      <c r="B81" s="14" t="s">
        <v>98</v>
      </c>
      <c r="C81" s="16" t="n">
        <f aca="false">D$8*2*D$13</f>
        <v>107.41</v>
      </c>
      <c r="D81" s="48" t="n">
        <v>94</v>
      </c>
      <c r="E81" s="48" t="n">
        <f aca="false">C81*D81</f>
        <v>10096.54</v>
      </c>
      <c r="F81" s="48" t="n">
        <f aca="false">E81/2</f>
        <v>5048.27</v>
      </c>
    </row>
    <row r="82" customFormat="false" ht="14.45" hidden="false" customHeight="true" outlineLevel="0" collapsed="false">
      <c r="A82" s="19"/>
      <c r="B82" s="14" t="s">
        <v>71</v>
      </c>
      <c r="C82" s="51" t="n">
        <f aca="false">C81^0.5*4*(2.6+0.5)-C84-C85</f>
        <v>109.512106822665</v>
      </c>
      <c r="D82" s="48" t="n">
        <v>160</v>
      </c>
      <c r="E82" s="48" t="n">
        <f aca="false">C82*D82</f>
        <v>17521.9370916264</v>
      </c>
      <c r="F82" s="48" t="n">
        <f aca="false">E82/2</f>
        <v>8760.96854581318</v>
      </c>
    </row>
    <row r="83" customFormat="false" ht="14.45" hidden="false" customHeight="true" outlineLevel="0" collapsed="false">
      <c r="A83" s="19"/>
      <c r="B83" s="14" t="s">
        <v>74</v>
      </c>
      <c r="C83" s="16" t="n">
        <f aca="false">C81</f>
        <v>107.41</v>
      </c>
      <c r="D83" s="48" t="n">
        <v>125</v>
      </c>
      <c r="E83" s="48" t="n">
        <f aca="false">C83*D83</f>
        <v>13426.25</v>
      </c>
      <c r="F83" s="48" t="n">
        <f aca="false">E83/2</f>
        <v>6713.125</v>
      </c>
    </row>
    <row r="84" customFormat="false" ht="14.45" hidden="false" customHeight="true" outlineLevel="0" collapsed="false">
      <c r="A84" s="19"/>
      <c r="B84" s="14" t="s">
        <v>76</v>
      </c>
      <c r="C84" s="14" t="n">
        <v>16</v>
      </c>
      <c r="D84" s="48" t="n">
        <v>500</v>
      </c>
      <c r="E84" s="48" t="n">
        <f aca="false">C84*D84</f>
        <v>8000</v>
      </c>
      <c r="F84" s="48" t="n">
        <f aca="false">E84/2</f>
        <v>4000</v>
      </c>
    </row>
    <row r="85" customFormat="false" ht="14.45" hidden="false" customHeight="true" outlineLevel="0" collapsed="false">
      <c r="A85" s="19"/>
      <c r="B85" s="14" t="s">
        <v>77</v>
      </c>
      <c r="C85" s="14" t="n">
        <v>3</v>
      </c>
      <c r="D85" s="48" t="n">
        <v>500</v>
      </c>
      <c r="E85" s="48" t="n">
        <f aca="false">C85*D85</f>
        <v>1500</v>
      </c>
      <c r="F85" s="48" t="n">
        <f aca="false">E85/2</f>
        <v>750</v>
      </c>
    </row>
    <row r="86" customFormat="false" ht="14.45" hidden="false" customHeight="true" outlineLevel="0" collapsed="false">
      <c r="A86" s="19"/>
      <c r="B86" s="9" t="s">
        <v>46</v>
      </c>
      <c r="C86" s="9"/>
      <c r="D86" s="70" t="s">
        <v>0</v>
      </c>
      <c r="E86" s="70" t="n">
        <f aca="false">SUM(E81:E85)</f>
        <v>50544.7270916264</v>
      </c>
      <c r="F86" s="93" t="n">
        <f aca="false">E86/2</f>
        <v>25272.3635458132</v>
      </c>
    </row>
    <row r="87" customFormat="false" ht="14.45" hidden="false" customHeight="true" outlineLevel="0" collapsed="false">
      <c r="A87" s="19"/>
      <c r="B87" s="26"/>
      <c r="C87" s="14"/>
      <c r="D87" s="48"/>
      <c r="E87" s="48"/>
      <c r="F87" s="48"/>
    </row>
    <row r="88" customFormat="false" ht="36.7" hidden="false" customHeight="true" outlineLevel="0" collapsed="false">
      <c r="A88" s="72" t="n">
        <v>5</v>
      </c>
      <c r="B88" s="73" t="s">
        <v>89</v>
      </c>
      <c r="C88" s="39"/>
      <c r="D88" s="94"/>
      <c r="E88" s="94"/>
      <c r="F88" s="94"/>
    </row>
    <row r="89" customFormat="false" ht="14.45" hidden="false" customHeight="true" outlineLevel="0" collapsed="false">
      <c r="A89" s="19"/>
      <c r="B89" s="77" t="s">
        <v>0</v>
      </c>
      <c r="C89" s="9" t="s">
        <v>92</v>
      </c>
      <c r="D89" s="70" t="s">
        <v>93</v>
      </c>
      <c r="E89" s="70" t="s">
        <v>94</v>
      </c>
      <c r="F89" s="70" t="s">
        <v>94</v>
      </c>
    </row>
    <row r="90" customFormat="false" ht="14.45" hidden="false" customHeight="true" outlineLevel="0" collapsed="false">
      <c r="A90" s="19"/>
      <c r="B90" s="9"/>
      <c r="C90" s="9" t="s">
        <v>64</v>
      </c>
      <c r="D90" s="70" t="s">
        <v>95</v>
      </c>
      <c r="E90" s="70" t="s">
        <v>96</v>
      </c>
      <c r="F90" s="70" t="s">
        <v>97</v>
      </c>
    </row>
    <row r="91" customFormat="false" ht="14.45" hidden="false" customHeight="true" outlineLevel="0" collapsed="false">
      <c r="A91" s="19"/>
      <c r="B91" s="14" t="s">
        <v>98</v>
      </c>
      <c r="C91" s="16" t="n">
        <f aca="false">D$8*4*D$13</f>
        <v>214.82</v>
      </c>
      <c r="D91" s="48" t="n">
        <v>94</v>
      </c>
      <c r="E91" s="48" t="n">
        <f aca="false">C91*D91*2</f>
        <v>40386.16</v>
      </c>
      <c r="F91" s="48" t="n">
        <f aca="false">E91/12</f>
        <v>3365.51333333333</v>
      </c>
    </row>
    <row r="92" customFormat="false" ht="14.45" hidden="false" customHeight="true" outlineLevel="0" collapsed="false">
      <c r="A92" s="19"/>
      <c r="B92" s="14" t="s">
        <v>71</v>
      </c>
      <c r="C92" s="51" t="n">
        <f aca="false">(C91^0.5*4*(2.6+0.4)*3-C94-C95)</f>
        <v>425.642606316056</v>
      </c>
      <c r="D92" s="48" t="n">
        <v>160</v>
      </c>
      <c r="E92" s="48" t="n">
        <f aca="false">C92*D92</f>
        <v>68102.8170105689</v>
      </c>
      <c r="F92" s="48" t="n">
        <f aca="false">E92/12</f>
        <v>5675.23475088074</v>
      </c>
    </row>
    <row r="93" customFormat="false" ht="14.45" hidden="false" customHeight="true" outlineLevel="0" collapsed="false">
      <c r="A93" s="19"/>
      <c r="B93" s="14" t="s">
        <v>74</v>
      </c>
      <c r="C93" s="16" t="n">
        <f aca="false">C91</f>
        <v>214.82</v>
      </c>
      <c r="D93" s="48" t="n">
        <v>125</v>
      </c>
      <c r="E93" s="48" t="n">
        <f aca="false">C93*D93</f>
        <v>26852.5</v>
      </c>
      <c r="F93" s="48" t="n">
        <f aca="false">E93/12</f>
        <v>2237.70833333333</v>
      </c>
    </row>
    <row r="94" customFormat="false" ht="14.45" hidden="false" customHeight="true" outlineLevel="0" collapsed="false">
      <c r="A94" s="19"/>
      <c r="B94" s="14" t="s">
        <v>76</v>
      </c>
      <c r="C94" s="14" t="n">
        <v>96</v>
      </c>
      <c r="D94" s="48" t="n">
        <v>500</v>
      </c>
      <c r="E94" s="48" t="n">
        <f aca="false">C94*D94</f>
        <v>48000</v>
      </c>
      <c r="F94" s="48" t="n">
        <f aca="false">E94/12</f>
        <v>4000</v>
      </c>
    </row>
    <row r="95" customFormat="false" ht="14.45" hidden="false" customHeight="true" outlineLevel="0" collapsed="false">
      <c r="A95" s="19"/>
      <c r="B95" s="14" t="s">
        <v>77</v>
      </c>
      <c r="C95" s="14" t="n">
        <v>6</v>
      </c>
      <c r="D95" s="48" t="n">
        <v>500</v>
      </c>
      <c r="E95" s="48" t="n">
        <f aca="false">C95*D95</f>
        <v>3000</v>
      </c>
      <c r="F95" s="48" t="n">
        <f aca="false">E95/12</f>
        <v>250</v>
      </c>
    </row>
    <row r="96" customFormat="false" ht="14.45" hidden="false" customHeight="true" outlineLevel="0" collapsed="false">
      <c r="A96" s="19"/>
      <c r="B96" s="9" t="s">
        <v>46</v>
      </c>
      <c r="C96" s="9"/>
      <c r="D96" s="70" t="s">
        <v>0</v>
      </c>
      <c r="E96" s="70" t="n">
        <f aca="false">SUM(E91:E95)</f>
        <v>186341.477010569</v>
      </c>
      <c r="F96" s="93" t="n">
        <f aca="false">E96/12</f>
        <v>15528.4564175474</v>
      </c>
    </row>
    <row r="97" customFormat="false" ht="14.45" hidden="false" customHeight="true" outlineLevel="0" collapsed="false">
      <c r="A97" s="19"/>
      <c r="B97" s="14"/>
      <c r="C97" s="14"/>
      <c r="D97" s="48"/>
      <c r="E97" s="48"/>
      <c r="F97" s="48"/>
    </row>
    <row r="98" customFormat="false" ht="14.45" hidden="false" customHeight="true" outlineLevel="0" collapsed="false">
      <c r="B98" s="95" t="s">
        <v>99</v>
      </c>
      <c r="C98" s="96"/>
    </row>
    <row r="99" customFormat="false" ht="14.45" hidden="false" customHeight="true" outlineLevel="0" collapsed="false">
      <c r="B99" s="25" t="s">
        <v>100</v>
      </c>
      <c r="C99" s="96"/>
    </row>
    <row r="100" customFormat="false" ht="14.45" hidden="false" customHeight="true" outlineLevel="0" collapsed="false">
      <c r="B100" s="25" t="s">
        <v>101</v>
      </c>
      <c r="C100" s="96"/>
    </row>
  </sheetData>
  <mergeCells count="1">
    <mergeCell ref="D21:I21"/>
  </mergeCells>
  <hyperlinks>
    <hyperlink ref="O4" r:id="rId1" display="https://www.dwd.de/DE/leistungen/klimadatendeutschland/mittelwerte/temp_8110_fest_html.html?view=nasPublication&amp;nn=16102"/>
    <hyperlink ref="O9" r:id="rId2" display="https://www.dwd.de/DE/leistungen/solarenergie/lstrahlungskarten_mi.html"/>
    <hyperlink ref="O13" r:id="rId3" display="https://de.wikipedia.org/wiki/Energiebezugsfläche"/>
    <hyperlink ref="O78" r:id="rId4" display="[90]"/>
    <hyperlink ref="B98" r:id="rId5" display="https://www.sparkasse.de/themen/sanierung-modernisierung-renovierung/was-kostet-eine-modernisierung.html"/>
    <hyperlink ref="B99" r:id="rId6" display="https://kostencheck.de/kosten-fussbodenheizung-100-qm"/>
    <hyperlink ref="B100" r:id="rId7" display="https://www.energieheld.de/heizung/heizkoerper/flaechenheizung/fussbodenheizung"/>
  </hyperlinks>
  <printOptions headings="false" gridLines="true" gridLinesSet="true" horizontalCentered="true" verticalCentered="true"/>
  <pageMargins left="0.275694444444444" right="0.275694444444444" top="0.652083333333333" bottom="0.513194444444444" header="0.275694444444444" footer="0.275694444444444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&amp;L&amp;"Arial,Fett"&amp;20Berechnungen zu Standardhaus und Varianten</oddHeader>
    <oddFooter>&amp;R&amp;D &amp;T  &amp;F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2018-09-20T11:12:18Z</dcterms:created>
  <dc:creator/>
  <dc:description/>
  <dc:language>de-DE</dc:language>
  <cp:lastModifiedBy/>
  <cp:lastPrinted>2020-12-18T08:08:15Z</cp:lastPrinted>
  <dcterms:modified xsi:type="dcterms:W3CDTF">2023-07-08T15:26:59Z</dcterms:modified>
  <cp:revision>124</cp:revision>
  <dc:subject/>
  <dc:title/>
</cp:coreProperties>
</file>