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" sheetId="1" state="visible" r:id="rId2"/>
    <sheet name="t" sheetId="2" state="visible" r:id="rId3"/>
    <sheet name="h" sheetId="3" state="visible" r:id="rId4"/>
    <sheet name="u" sheetId="4" state="visible" r:id="rId5"/>
    <sheet name="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98" authorId="0">
      <text>
        <r>
          <rPr>
            <sz val="10"/>
            <color rgb="FF000000"/>
            <rFont val="Arial"/>
            <family val="0"/>
            <charset val="1"/>
          </rPr>
          <t xml:space="preserve">danielwittig:
</t>
        </r>
        <r>
          <rPr>
            <sz val="9"/>
            <rFont val="Tahoma"/>
            <family val="0"/>
            <charset val="1"/>
          </rPr>
          <t xml:space="preserve">edit dw
</t>
        </r>
      </text>
    </comment>
    <comment ref="C99" authorId="0">
      <text>
        <r>
          <rPr>
            <sz val="10"/>
            <color rgb="FF000000"/>
            <rFont val="Arial"/>
            <family val="0"/>
            <charset val="1"/>
          </rPr>
          <t xml:space="preserve">danielwittig:
</t>
        </r>
        <r>
          <rPr>
            <sz val="9"/>
            <rFont val="Tahoma"/>
            <family val="0"/>
            <charset val="1"/>
          </rPr>
          <t xml:space="preserve">edit dw
</t>
        </r>
      </text>
    </comment>
    <comment ref="K6" authorId="0">
      <text>
        <r>
          <rPr>
            <sz val="10"/>
            <color rgb="FF000000"/>
            <rFont val="Arial"/>
            <family val="0"/>
            <charset val="1"/>
          </rPr>
          <t xml:space="preserve">danielwittig:
</t>
        </r>
        <r>
          <rPr>
            <sz val="9"/>
            <rFont val="Tahoma"/>
            <family val="0"/>
            <charset val="1"/>
          </rPr>
          <t xml:space="preserve">eingefügt aus technischen Gründen, um die Bedeutung von Spalte F auszulesen. DW
</t>
        </r>
      </text>
    </comment>
  </commentList>
</comments>
</file>

<file path=xl/sharedStrings.xml><?xml version="1.0" encoding="utf-8"?>
<sst xmlns="http://schemas.openxmlformats.org/spreadsheetml/2006/main" count="1771" uniqueCount="527">
  <si>
    <t xml:space="preserve">Eingabe der Parameter: blaue Felder rechts</t>
  </si>
  <si>
    <t xml:space="preserve"> </t>
  </si>
  <si>
    <t xml:space="preserve">Ergebnisse:</t>
  </si>
  <si>
    <t xml:space="preserve">Tag</t>
  </si>
  <si>
    <t xml:space="preserve">Datum</t>
  </si>
  <si>
    <t xml:space="preserve">Endenergie (EE) 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</si>
  <si>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</si>
  <si>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</si>
  <si>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</si>
  <si>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</si>
  <si>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</si>
  <si>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</si>
  <si>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</si>
  <si>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</si>
  <si>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</si>
  <si>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</si>
  <si>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 Belastung</t>
  </si>
  <si>
    <t xml:space="preserve">Fernwärme Bezug</t>
  </si>
  <si>
    <t xml:space="preserve">Speicher laden</t>
  </si>
  <si>
    <t xml:space="preserve">Speicher Iinhalt</t>
  </si>
  <si>
    <t xml:space="preserve">Speicher Temperatur</t>
  </si>
  <si>
    <t xml:space="preserve">Maximal Minimal Temperatur im Saisonspeicher:   Jahr1 Jahr2</t>
  </si>
  <si>
    <t xml:space="preserve">Größe</t>
  </si>
  <si>
    <t xml:space="preserve">Wert</t>
  </si>
  <si>
    <t xml:space="preserve">Einheit</t>
  </si>
  <si>
    <t xml:space="preserve">Quelle/Bemerkung</t>
  </si>
  <si>
    <t xml:space="preserve">kWh/d/Kopf</t>
  </si>
  <si>
    <t xml:space="preserve">%</t>
  </si>
  <si>
    <t xml:space="preserve">kWh/Kopf</t>
  </si>
  <si>
    <t xml:space="preserve">°C</t>
  </si>
  <si>
    <t xml:space="preserve">Eingaben:</t>
  </si>
  <si>
    <t xml:space="preserve">Bevölkerung</t>
  </si>
  <si>
    <t xml:space="preserve">Personen</t>
  </si>
  <si>
    <t xml:space="preserve">Tabelle s in dieser Datei</t>
  </si>
  <si>
    <t xml:space="preserve">benötigte Endenergie für Heizung+Warmwasser(WW), sanierte Gebäude</t>
  </si>
  <si>
    <t xml:space="preserve">kWh/a/m²</t>
  </si>
  <si>
    <t xml:space="preserve">https://heliogaia.de/Heizspiegel-fuer-Deutschland-2018.pdf</t>
  </si>
  <si>
    <t xml:space="preserve">aus Quelle übernommen</t>
  </si>
  <si>
    <t xml:space="preserve">durchschnittliche Wohnfläche pro Kopf</t>
  </si>
  <si>
    <t xml:space="preserve">m²/Kopf</t>
  </si>
  <si>
    <t xml:space="preserve">Anteil der Nichtwohngebäude am Endenergieverbrauch</t>
  </si>
  <si>
    <t xml:space="preserve">https://heliogaia.de/9254_Gebaeudereport_dena_kompakt_2018.pdf; S. 7</t>
  </si>
  <si>
    <t xml:space="preserve">komplett mit Wärme versorgte Geschossfläche pro Kopf (Wohnung &amp; Gewerbe)</t>
  </si>
  <si>
    <t xml:space="preserve">m²</t>
  </si>
  <si>
    <t xml:space="preserve">errechnet aus Werten dieser Datei</t>
  </si>
  <si>
    <t xml:space="preserve">Die Zahl kann nach Erfordernis ausgetauscht werden</t>
  </si>
  <si>
    <t xml:space="preserve">Preis</t>
  </si>
  <si>
    <t xml:space="preserve">innerörtliche Dach- und Fassadenflächen für Kollektoren pro Kopf</t>
  </si>
  <si>
    <t xml:space="preserve">gesetzt; ansonsten Schätzungen über das lokale Flächenpotential verwenden</t>
  </si>
  <si>
    <t xml:space="preserve">dazu die mögliche Ausnutzung dieser innerörtlichen Flächen für Kollektoren</t>
  </si>
  <si>
    <t xml:space="preserve">gesetzt, Ränder und Zwischenräume </t>
  </si>
  <si>
    <t xml:space="preserve"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</si>
  <si>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</si>
  <si>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</si>
  <si>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 xml:space="preserve">bzw.</t>
  </si>
  <si>
    <t xml:space="preserve">Globalstrahlung im Dezember, langjähriges Mittel, Berlin </t>
  </si>
  <si>
    <t xml:space="preserve">kWh/m²</t>
  </si>
  <si>
    <t xml:space="preserve"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</si>
  <si>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</si>
  <si>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</si>
  <si>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t xml:space="preserve">http://www.solarkeymark.nl/DBF/PDF_Downloads/DS_47.pdf; S.2;Annual output per m2 gross area</t>
  </si>
  <si>
    <t xml:space="preserve">Fremdenergie:</t>
  </si>
  <si>
    <t xml:space="preserve">Jahresertrag Flachkollektoren, Würzburg  bei T=50°C: SUNEX S.A. AMP 2.</t>
  </si>
  <si>
    <t xml:space="preserve">http://www.solarkeymark.nl/DBF/PDF_Downloads/DS_1575.pdf</t>
  </si>
  <si>
    <t xml:space="preserve">Anteil an Röhrenkollektoren</t>
  </si>
  <si>
    <t xml:space="preserve"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</si>
  <si>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</si>
  <si>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</si>
  <si>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</si>
  <si>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</si>
  <si>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t xml:space="preserve">https://irp.cdn-website.com/d00f2507/files/uploaded/RisikenUndWirtschaftlichkeitVonNWP.pdf; S. 10f</t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</si>
  <si>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</si>
  <si>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</si>
  <si>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</si>
  <si>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</si>
  <si>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 xml:space="preserve">km</t>
  </si>
  <si>
    <t xml:space="preserve">Speichertiefe</t>
  </si>
  <si>
    <t xml:space="preserve">m</t>
  </si>
  <si>
    <t xml:space="preserve">gesetzt, abhängig von geologischen Gegebenheiten, möglichst die Zahl aus t.D104 wählen, ansonsten t.D105</t>
  </si>
  <si>
    <t xml:space="preserve"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</si>
  <si>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</si>
  <si>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</si>
  <si>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</si>
  <si>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</si>
  <si>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 xml:space="preserve">kWh/m³/K</t>
  </si>
  <si>
    <t xml:space="preserve">https://heliogaia.de/Geothermisches_Potenzial_spezifische_Wärmeleitfähigkeit_und_spezifische_Entzugsleistung_Berlin_k218.pdf</t>
  </si>
  <si>
    <t xml:space="preserve">S.3 z.B. Boden 2,2 MJ/K/m³ /3,6</t>
  </si>
  <si>
    <t xml:space="preserve">daraus berechnet:</t>
  </si>
  <si>
    <t xml:space="preserve">Jahresmittelwert der täglichen Globalstrahlung</t>
  </si>
  <si>
    <t xml:space="preserve"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</si>
  <si>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</si>
  <si>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</si>
  <si>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</si>
  <si>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</si>
  <si>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</si>
  <si>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 xml:space="preserve">kWh/K/Kopf</t>
  </si>
  <si>
    <t xml:space="preserve">Globalstrahlung in einem Jahr, langjähriges Mittel, Berlin </t>
  </si>
  <si>
    <t xml:space="preserve">Jahressumme</t>
  </si>
  <si>
    <t xml:space="preserve">kWh/Kopf/a</t>
  </si>
  <si>
    <t xml:space="preserve">Direktverbrauch</t>
  </si>
  <si>
    <t xml:space="preserve">Szenario für Röbel und Umgebung</t>
  </si>
  <si>
    <t xml:space="preserve">Ort</t>
  </si>
  <si>
    <t xml:space="preserve">Status</t>
  </si>
  <si>
    <t xml:space="preserve">Einwohner</t>
  </si>
  <si>
    <t xml:space="preserve">Fläche der Siedlungen</t>
  </si>
  <si>
    <t xml:space="preserve">nach moderater Sanierung benötigte Wärme</t>
  </si>
  <si>
    <t xml:space="preserve">km²</t>
  </si>
  <si>
    <t xml:space="preserve">kWh/a</t>
  </si>
  <si>
    <t xml:space="preserve">GWh/a</t>
  </si>
  <si>
    <t xml:space="preserve">Röbel+</t>
  </si>
  <si>
    <t xml:space="preserve">Gemeindeverbund </t>
  </si>
  <si>
    <t xml:space="preserve"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</si>
  <si>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</si>
  <si>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</si>
  <si>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Abschrei- bung in a</t>
  </si>
  <si>
    <t xml:space="preserve">Quelle/ Bemerkung</t>
  </si>
  <si>
    <t xml:space="preserve">Bemerkungen Zusätze</t>
  </si>
  <si>
    <t xml:space="preserve">Parametereingabe</t>
  </si>
  <si>
    <t xml:space="preserve">Übernahme aus Tabelle e.</t>
  </si>
  <si>
    <t xml:space="preserve">Eingabefelder blau</t>
  </si>
  <si>
    <t xml:space="preserve">Abschreibungsjahre für </t>
  </si>
  <si>
    <t xml:space="preserve">Datei: standardhaus001.ods</t>
  </si>
  <si>
    <t xml:space="preserve">https://heliogaia.de/9254_Gebaeudereport_dena_kompakt_2018.pdf; S.7</t>
  </si>
  <si>
    <t xml:space="preserve">x</t>
  </si>
  <si>
    <t xml:space="preserve">außerhalb zusätzlich nötige Brutto-Kollektorfläche ohne Aufstellungsumgebung</t>
  </si>
  <si>
    <t xml:space="preserve">Globalstrahlung im Dezember, langjähriges Mittel 1991...2020, Berlin</t>
  </si>
  <si>
    <t xml:space="preserve">Globalstrahlung im Juni, langjähriges Mittel 1991...2020, Berlin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</si>
  <si>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</si>
  <si>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</si>
  <si>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</si>
  <si>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</si>
  <si>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t xml:space="preserve">https://heliogaia.de/Geothermisches_Potenzial_spezifische_Wärmeleitfähigkeit_und_spezifische_Entzugsleistung_Berlin_k218.pdf; S.3 z.B. Boden 2,2 MJ/K/m³ /3,6</t>
  </si>
  <si>
    <t xml:space="preserve">eingesetzt, entspricht 2200 kJ/m³/K</t>
  </si>
  <si>
    <t xml:space="preserve">errechnet aus dieser Datei</t>
  </si>
  <si>
    <t xml:space="preserve">weitere Parameter</t>
  </si>
  <si>
    <t xml:space="preserve">Allgemein</t>
  </si>
  <si>
    <t xml:space="preserve">besiedelte Fläche</t>
  </si>
  <si>
    <t xml:space="preserve">Tab.s.Q32</t>
  </si>
  <si>
    <t xml:space="preserve">Endenergie für Heizung+WW (Wohn-&amp;Nichtwohngebäude) nach moderater Sanierung</t>
  </si>
  <si>
    <t xml:space="preserve">kWh/a/Kopf</t>
  </si>
  <si>
    <t xml:space="preserve">Wärmeverbrauch unter 100 Grad (Haushalte,Gewerbe,Industrie)pro Kopf; BRD 2017</t>
  </si>
  <si>
    <t xml:space="preserve"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</si>
  <si>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</si>
  <si>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</si>
  <si>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 xml:space="preserve"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</si>
  <si>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</si>
  <si>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</si>
  <si>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</si>
  <si>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 xml:space="preserve">kW/Kopf</t>
  </si>
  <si>
    <t xml:space="preserve">Nebenkosten der gesamten Anlage</t>
  </si>
  <si>
    <t xml:space="preserve">https://www-docs.b-tu.de/fg-bauoekonomie/public/Forschung/Publikationen/Kalusche-Wolfdietrich/2016/orientierungswerte.pdf; S.5</t>
  </si>
  <si>
    <t xml:space="preserve">Kollektoren</t>
  </si>
  <si>
    <t xml:space="preserve">Globalstrahlung Würzburg,langjähriges Mittel,Standort für Kollektorvergleich,Keymark</t>
  </si>
  <si>
    <t xml:space="preserve">https://www.dwd.de/DE/leistungen/solarenergie/strahlungskarten_mvs.html?nn=16102</t>
  </si>
  <si>
    <t xml:space="preserve">Maximal mögliche tägliche Globalstrahlung</t>
  </si>
  <si>
    <t xml:space="preserve">kWh/d/m²</t>
  </si>
  <si>
    <t xml:space="preserve">Forst, Juni 2019: 224 kWh/m²</t>
  </si>
  <si>
    <t xml:space="preserve">Bruttopreis der eingesetzten Röhrenkollektoren: Ritter CPC XL 1921</t>
  </si>
  <si>
    <t xml:space="preserve">€/m²</t>
  </si>
  <si>
    <t xml:space="preserve">[39]</t>
  </si>
  <si>
    <t xml:space="preserve">https://www.vergleich.org/vakuumroehrenkollektor/</t>
  </si>
  <si>
    <t xml:space="preserve">Bruttopreis der eingesetzten Flachkollektoren: SUNEX S.A. AMP 2.0</t>
  </si>
  <si>
    <t xml:space="preserve">[1]</t>
  </si>
  <si>
    <t xml:space="preserve">https://www.swissolar.ch/fileadmin/user_upload/Markterhebung/Marktumfrage_2017.pdf; S.8 zur Lebensdauer</t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</si>
  <si>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</si>
  <si>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</si>
  <si>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</si>
  <si>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t xml:space="preserve">https://www.solaranlagen-portal.de/thermische-solaranlage/solarkollektor-preis.html; Punkt 1.2: 3000€/16m²</t>
  </si>
  <si>
    <t xml:space="preserve">Mengenrabatt Kollektoren und Installation</t>
  </si>
  <si>
    <t xml:space="preserve">Minderung</t>
  </si>
  <si>
    <t xml:space="preserve">Bodenrichtwert Kollektorfeld</t>
  </si>
  <si>
    <t xml:space="preserve">https://www.bodenrichtwerte-boris.de/borisde/?lang=de</t>
  </si>
  <si>
    <t xml:space="preserve">nötiger Pufferspeicher im Haus pro Person</t>
  </si>
  <si>
    <t xml:space="preserve">l/Kopf</t>
  </si>
  <si>
    <t xml:space="preserve">Preis der Pufferspeicher im Haus</t>
  </si>
  <si>
    <t xml:space="preserve">€/l</t>
  </si>
  <si>
    <t xml:space="preserve">https://www.solaranlagen-portal.de/thermische-solaranlage/solarkollektor-preis.html; Punkt 1.2: 2000...3000€/600Liter</t>
  </si>
  <si>
    <t xml:space="preserve">Saisonspeicher</t>
  </si>
  <si>
    <t xml:space="preserve">Wärmeleitwert Speicherumgebung</t>
  </si>
  <si>
    <t xml:space="preserve">W/m/K</t>
  </si>
  <si>
    <t xml:space="preserve">Wärmeleitwert, trockener sandiger Füllboden</t>
  </si>
  <si>
    <t xml:space="preserve">Grundwassergeschwindigkeit an Grundwasseroberfläche</t>
  </si>
  <si>
    <t xml:space="preserve">m/d</t>
  </si>
  <si>
    <t xml:space="preserve"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</si>
  <si>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</si>
  <si>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</si>
  <si>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  <family val="0"/>
        <charset val="1"/>
      </rPr>
      <t xml:space="preserve">hydraulische Leitfähigkeit k</t>
    </r>
    <r>
      <rPr>
        <vertAlign val="subscript"/>
        <sz val="8"/>
        <rFont val="Liberation Sans Narrow"/>
        <family val="0"/>
        <charset val="1"/>
      </rPr>
      <t xml:space="preserve">f</t>
    </r>
    <r>
      <rPr>
        <sz val="8"/>
        <rFont val="Liberation Sans Narrow"/>
        <family val="0"/>
        <charset val="1"/>
      </rPr>
      <t xml:space="preserve"> Speicher&amp;Umgebung</t>
    </r>
  </si>
  <si>
    <t xml:space="preserve">m/s</t>
  </si>
  <si>
    <t xml:space="preserve">diese Geschwindigkeit stellt sich ein bei 45°Grundwassergefälle</t>
  </si>
  <si>
    <t xml:space="preserve">mehrjährig gemittelte Niederschlagsmenge</t>
  </si>
  <si>
    <t xml:space="preserve">m/a</t>
  </si>
  <si>
    <t xml:space="preserve">https://de.wikipedia.org/wiki/Berlin</t>
  </si>
  <si>
    <t xml:space="preserve">mehrjährig gemittelte Lufttemperatur</t>
  </si>
  <si>
    <t xml:space="preserve"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</si>
  <si>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</si>
  <si>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</si>
  <si>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 xml:space="preserve"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</si>
  <si>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</si>
  <si>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</si>
  <si>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</si>
  <si>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</si>
  <si>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 xml:space="preserve"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</si>
  <si>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</si>
  <si>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</si>
  <si>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</si>
  <si>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</si>
  <si>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 xml:space="preserve">m³/h</t>
  </si>
  <si>
    <t xml:space="preserve">gesetzt, vgl.: https://www.straelen.de/rathaus-politik/dienstleistungen/ver-und-entsorgung/wasserversorgung/  ; Geschichte… 1979…</t>
  </si>
  <si>
    <t xml:space="preserve">„1979 Bau eines Tiefenbrunnens...konnte die Förderkapazität um 150 m³/h ... erhöht werden.“</t>
  </si>
  <si>
    <t xml:space="preserve">Kosten für Aushub+Erdbewegung</t>
  </si>
  <si>
    <t xml:space="preserve">€/m³</t>
  </si>
  <si>
    <t xml:space="preserve"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</si>
  <si>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</si>
  <si>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</si>
  <si>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</si>
  <si>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</si>
  <si>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t xml:space="preserve"> https://books.google.de/books?id=hRmYJX_u7ykC&amp;printsec=frontcover&amp;hl=de#v=onepage&amp;q&amp;f=false</t>
  </si>
  <si>
    <t xml:space="preserve">Kosten für Bohrungen pro m</t>
  </si>
  <si>
    <t xml:space="preserve">€/m</t>
  </si>
  <si>
    <t xml:space="preserve">https://www.my-hammer.de/preisradar/was-kostet-brunnen-bohren/ </t>
  </si>
  <si>
    <t xml:space="preserve">30...70 €/m;  https://www.kesselheld.de/tiefenbohrung/</t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</si>
  <si>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</si>
  <si>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</si>
  <si>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</si>
  <si>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t xml:space="preserve">https://cdn.website-start.de/proxy/apps/zook5o/uploads/gleichzwei/instances/BAEE886A-5189-4B80-BB0C-126AD8811398/wcinstances/epaper/7f303bab-bf8c-4d61-bc1d-dd8e2caed8b8/pdf/181231_pro_keller_broschuere_einzelseiten_WEB.pdf </t>
  </si>
  <si>
    <t xml:space="preserve">Kosten Technikgebäude am Speicherrand</t>
  </si>
  <si>
    <t xml:space="preserve">€</t>
  </si>
  <si>
    <t xml:space="preserve">Schätzung</t>
  </si>
  <si>
    <t xml:space="preserve">Verteilung</t>
  </si>
  <si>
    <t xml:space="preserve">Kosten Hauptverteilung Kanal mit Rohren</t>
  </si>
  <si>
    <t xml:space="preserve">https://enerko.de/wp-content/uploads/2020/01/191212-Kurzbericht-FW-Schiene-Rheinland.pdf S.9 u.a. 500...1000€/m</t>
  </si>
  <si>
    <t xml:space="preserve">Kosten Unterverteilung Kanal mit Rohren</t>
  </si>
  <si>
    <t xml:space="preserve"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</si>
  <si>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</si>
  <si>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</si>
  <si>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</si>
  <si>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 (Doppelnutzg.Speicher-Fernwärme,Kollektoren-Speicher)</t>
  </si>
  <si>
    <t xml:space="preserve">€/kW</t>
  </si>
  <si>
    <t xml:space="preserve">ebay, Datei: wärmetauscher_preise.ods</t>
  </si>
  <si>
    <t xml:space="preserve">Wirkungsgrad Umwälzpumpen</t>
  </si>
  <si>
    <t xml:space="preserve">https://www.ksb.com/de-global/kreiselpumpenlexikon/artikel/pumpenwirkungsgrad-1074676</t>
  </si>
  <si>
    <t xml:space="preserve">Kosten der Umwälzpumpen</t>
  </si>
  <si>
    <t xml:space="preserve">http://seitzpumpen.homepage.t-online.de/PDF-Dateien/Preisliste/NM.pdf</t>
  </si>
  <si>
    <t xml:space="preserve">Datei: preisfunktion_pumpen.ods</t>
  </si>
  <si>
    <t xml:space="preserve">Investitionskosten für Heizkraftwerk</t>
  </si>
  <si>
    <t xml:space="preserve">https://www.ier.uni-stuttgart.de/publikationen/arbeitsberichte/downloads/Arbeitsbericht_04.pdf; inflationsbereinigt 0,48*1,02^10=0,585</t>
  </si>
  <si>
    <t xml:space="preserve">vgl. auch https://enerko.de/wp-content/uploads/2015/06/Endbericht_GKK_Kiel.pdf; S.96</t>
  </si>
  <si>
    <t xml:space="preserve">Berechnungen</t>
  </si>
  <si>
    <t xml:space="preserve">BHKW</t>
  </si>
  <si>
    <t xml:space="preserve">erforderliche Zusatzleistung Blockheizkraftwerk (BHKW) thermisch</t>
  </si>
  <si>
    <t xml:space="preserve">MW thermisch</t>
  </si>
  <si>
    <t xml:space="preserve">Wirkungsgrad BHKW</t>
  </si>
  <si>
    <t xml:space="preserve">https://www.ier.uni-stuttgart.de/publikationen/arbeitsberichte/downloads/Arbeitsbericht_04.pdf; bis 60%</t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</si>
  <si>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</si>
  <si>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</si>
  <si>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</si>
  <si>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</si>
  <si>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</si>
  <si>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</si>
  <si>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 xml:space="preserve"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</si>
  <si>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</si>
  <si>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</si>
  <si>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</si>
  <si>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</si>
  <si>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</si>
  <si>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</si>
  <si>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</si>
  <si>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</si>
  <si>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</si>
  <si>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</si>
  <si>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 JWBwnhwsv</t>
  </si>
  <si>
    <t xml:space="preserve">eingeplante Verluste: Fernwärmeverteilung, Saisonspeicher</t>
  </si>
  <si>
    <t xml:space="preserve">Vom Jahreswärmebedarf JWBwnhwsv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</si>
  <si>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</si>
  <si>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</si>
  <si>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</si>
  <si>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</si>
  <si>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 xml:space="preserve">SpeicherVolumen</t>
  </si>
  <si>
    <t xml:space="preserve">m³</t>
  </si>
  <si>
    <t xml:space="preserve">errechnet aus dem Speicherbedarf in D99</t>
  </si>
  <si>
    <t xml:space="preserve">Speicher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</si>
  <si>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</si>
  <si>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</si>
  <si>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</si>
  <si>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</si>
  <si>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</si>
  <si>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</si>
  <si>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 xml:space="preserve"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</si>
  <si>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</si>
  <si>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</si>
  <si>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</si>
  <si>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</si>
  <si>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</si>
  <si>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</si>
  <si>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</si>
  <si>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</si>
  <si>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</si>
  <si>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</si>
  <si>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</si>
  <si>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 xml:space="preserve"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</si>
  <si>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</si>
  <si>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</si>
  <si>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</si>
  <si>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</si>
  <si>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</si>
  <si>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 xml:space="preserve">Grundst./Zw.</t>
  </si>
  <si>
    <t xml:space="preserve">Anzahl der Unterverteilungszweige</t>
  </si>
  <si>
    <t xml:space="preserve">Zweige</t>
  </si>
  <si>
    <t xml:space="preserve">mittlere Anzahl Bewohner je Gebäude</t>
  </si>
  <si>
    <t xml:space="preserve">mittlere Leistung je Gebäude (saniert)</t>
  </si>
  <si>
    <t xml:space="preserve">kW</t>
  </si>
  <si>
    <t xml:space="preserve">Auslegungsleistung je Gebäude (saniert)</t>
  </si>
  <si>
    <t xml:space="preserve">Unterverteilung</t>
  </si>
  <si>
    <t xml:space="preserve">Gesamtlänge aller Unterverteilungszweige (jeweils 3 Leitungen)</t>
  </si>
  <si>
    <t xml:space="preserve">Länge Unterverteilungstrasse pro Kopf</t>
  </si>
  <si>
    <t xml:space="preserve"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</si>
  <si>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</si>
  <si>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</si>
  <si>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</si>
  <si>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 xml:space="preserve"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</si>
  <si>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</si>
  <si>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</si>
  <si>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</si>
  <si>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</si>
  <si>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</si>
  <si>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 xml:space="preserve">Verteilung 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</si>
  <si>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</si>
  <si>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</si>
  <si>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</si>
  <si>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 xml:space="preserve"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</si>
  <si>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</si>
  <si>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</si>
  <si>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</si>
  <si>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</si>
  <si>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</si>
  <si>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</si>
  <si>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</si>
  <si>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</si>
  <si>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</si>
  <si>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</si>
  <si>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 xml:space="preserve"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</si>
  <si>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</si>
  <si>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</si>
  <si>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</si>
  <si>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</si>
  <si>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 xml:space="preserve">Kosten</t>
  </si>
  <si>
    <t xml:space="preserve">Tarife</t>
  </si>
  <si>
    <t xml:space="preserve">Gastarif</t>
  </si>
  <si>
    <t xml:space="preserve">€/kWh</t>
  </si>
  <si>
    <t xml:space="preserve">Stromtarif, Bezug</t>
  </si>
  <si>
    <t xml:space="preserve">Stromtarif, Einspeisung</t>
  </si>
  <si>
    <t xml:space="preserve">Wartung Heizung</t>
  </si>
  <si>
    <t xml:space="preserve">€/a/Haushalt</t>
  </si>
  <si>
    <t xml:space="preserve">https://www.heizspiegel.de/heizkosten-senken/heizungswartung/</t>
  </si>
  <si>
    <t xml:space="preserve">hier pro Anschluss gerechnet</t>
  </si>
  <si>
    <t xml:space="preserve">Investition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</si>
  <si>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</si>
  <si>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</si>
  <si>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</si>
  <si>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</si>
  <si>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</si>
  <si>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</si>
  <si>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</si>
  <si>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</si>
  <si>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</si>
  <si>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</si>
  <si>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</si>
  <si>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</si>
  <si>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</si>
  <si>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</si>
  <si>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</si>
  <si>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</si>
  <si>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</si>
  <si>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</si>
  <si>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 xml:space="preserve"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</si>
  <si>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</si>
  <si>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</si>
  <si>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</si>
  <si>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</si>
  <si>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</si>
  <si>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</si>
  <si>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 xml:space="preserve">Investitionskosten</t>
  </si>
  <si>
    <t xml:space="preserve">das sind </t>
  </si>
  <si>
    <t xml:space="preserve">der Gesamtkosten</t>
  </si>
  <si>
    <t xml:space="preserve">Investition für die gesamte Anlage</t>
  </si>
  <si>
    <t xml:space="preserve">brutto</t>
  </si>
  <si>
    <t xml:space="preserve">Wärmetauscher</t>
  </si>
  <si>
    <t xml:space="preserve"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</si>
  <si>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</si>
  <si>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</si>
  <si>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</si>
  <si>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</si>
  <si>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</si>
  <si>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Hauptverteilung, erdverlegt</t>
  </si>
  <si>
    <t xml:space="preserve">Gruppe</t>
  </si>
  <si>
    <t xml:space="preserve">lfd. Nr.</t>
  </si>
  <si>
    <t xml:space="preserve">Einwohner, Schätzung nach Wohngebäuden</t>
  </si>
  <si>
    <t xml:space="preserve">Leitungsverluste</t>
  </si>
  <si>
    <t xml:space="preserve">Bollewick</t>
  </si>
  <si>
    <t xml:space="preserve">Leitung entsprechend korrigieren</t>
  </si>
  <si>
    <t xml:space="preserve">Bütow</t>
  </si>
  <si>
    <t xml:space="preserve">Dambeck(zu Bütow)</t>
  </si>
  <si>
    <t xml:space="preserve">Gotthun</t>
  </si>
  <si>
    <t xml:space="preserve">Groß Kelle</t>
  </si>
  <si>
    <t xml:space="preserve">Leizen</t>
  </si>
  <si>
    <t xml:space="preserve">Ludorf</t>
  </si>
  <si>
    <t xml:space="preserve">Minzow(zu Leizen)</t>
  </si>
  <si>
    <t xml:space="preserve">Röbel/Müritz</t>
  </si>
  <si>
    <t xml:space="preserve">Summe/Durchschnitt</t>
  </si>
  <si>
    <t xml:space="preserve">Rohr-Dämmung</t>
  </si>
  <si>
    <t xml:space="preserve">mit</t>
  </si>
  <si>
    <t xml:space="preserve">Normgeschwindigkeit in Hauptverteilung</t>
  </si>
  <si>
    <t xml:space="preserve">Leitungsnummer laut Karte</t>
  </si>
  <si>
    <t xml:space="preserve">versorgte Bewohner</t>
  </si>
  <si>
    <t xml:space="preserve">Trassenlänge</t>
  </si>
  <si>
    <t xml:space="preserve">Normalleistung</t>
  </si>
  <si>
    <t xml:space="preserve"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</si>
  <si>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</si>
  <si>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</si>
  <si>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</si>
  <si>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</si>
  <si>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</si>
  <si>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</si>
  <si>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</si>
  <si>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</si>
  <si>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</si>
  <si>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 xml:space="preserve">Wärmeverluste</t>
  </si>
  <si>
    <t xml:space="preserve">Wärmeverluste pro übertragene Wärme</t>
  </si>
  <si>
    <t xml:space="preserve">Durchleitungsfaktor</t>
  </si>
  <si>
    <t xml:space="preserve">bar</t>
  </si>
  <si>
    <t xml:space="preserve"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</si>
  <si>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</si>
  <si>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</si>
  <si>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</si>
  <si>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</si>
  <si>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</si>
  <si>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 xml:space="preserve"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</si>
  <si>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</si>
  <si>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</si>
  <si>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</si>
  <si>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</si>
  <si>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</si>
  <si>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</si>
  <si>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</si>
  <si>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</si>
  <si>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</si>
  <si>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</si>
  <si>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</si>
  <si>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 xml:space="preserve"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</si>
  <si>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</si>
  <si>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</si>
  <si>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</si>
  <si>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</si>
  <si>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 xml:space="preserve">Jahreswärmeverluste</t>
  </si>
  <si>
    <t xml:space="preserve">Wärmeverlust relativ</t>
  </si>
  <si>
    <t xml:space="preserve">s</t>
  </si>
  <si>
    <t xml:space="preserve">gesamt</t>
  </si>
  <si>
    <t xml:space="preserve"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</si>
  <si>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</si>
  <si>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</si>
  <si>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</si>
  <si>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 xml:space="preserve">Bild</t>
  </si>
  <si>
    <t xml:space="preserve">Nr.</t>
  </si>
  <si>
    <t xml:space="preserve">Einwohner aus Quelle</t>
  </si>
  <si>
    <t xml:space="preserve">Einwohner errechnet</t>
  </si>
  <si>
    <t xml:space="preserve">Einwohner favorisiert</t>
  </si>
  <si>
    <t xml:space="preserve">verwendete Einwohnerzahl</t>
  </si>
  <si>
    <t xml:space="preserve">Gewerbegebäude</t>
  </si>
  <si>
    <t xml:space="preserve">Wohngebäude</t>
  </si>
  <si>
    <t xml:space="preserve">Nebengebäude</t>
  </si>
  <si>
    <t xml:space="preserve">Pixel</t>
  </si>
  <si>
    <t xml:space="preserve">50m=35pix=2; 30m=42pix=1</t>
  </si>
  <si>
    <t xml:space="preserve">Summe</t>
  </si>
  <si>
    <t xml:space="preserve">Quellen</t>
  </si>
  <si>
    <t xml:space="preserve">https://de.wikipedia.org/wiki/Bollewick</t>
  </si>
  <si>
    <t xml:space="preserve">Amt: </t>
  </si>
  <si>
    <t xml:space="preserve">Röbel-Müritz</t>
  </si>
  <si>
    <t xml:space="preserve">Höhe: </t>
  </si>
  <si>
    <t xml:space="preserve">86 m ü. NHN</t>
  </si>
  <si>
    <t xml:space="preserve">Fläche: </t>
  </si>
  <si>
    <t xml:space="preserve">26,69 km2</t>
  </si>
  <si>
    <t xml:space="preserve">Einwohner: </t>
  </si>
  <si>
    <t xml:space="preserve">641 (31. Dez. 2018)[1]</t>
  </si>
  <si>
    <t xml:space="preserve">Bevölkerungsdichte: </t>
  </si>
  <si>
    <t xml:space="preserve">24 Einwohner je km2</t>
  </si>
  <si>
    <t xml:space="preserve">Postleitzahl: </t>
  </si>
  <si>
    <t xml:space="preserve">Vorwahl: </t>
  </si>
  <si>
    <t xml:space="preserve">https://de.wikipedia.org/wiki/Bütow</t>
  </si>
  <si>
    <t xml:space="preserve">Bütow/Dammbeck</t>
  </si>
  <si>
    <t xml:space="preserve">78 m ü. NHN</t>
  </si>
  <si>
    <t xml:space="preserve">26,32 km2</t>
  </si>
  <si>
    <t xml:space="preserve">452 (31. Dez. 2018)[1]</t>
  </si>
  <si>
    <t xml:space="preserve">17 Einwohner je km2</t>
  </si>
  <si>
    <t xml:space="preserve">https://de.wikipedia.org/wiki/Gotthun</t>
  </si>
  <si>
    <t xml:space="preserve">68 m ü. NHN</t>
  </si>
  <si>
    <t xml:space="preserve">10 km2</t>
  </si>
  <si>
    <t xml:space="preserve">317 (31. Dez. 2018)[1]</t>
  </si>
  <si>
    <t xml:space="preserve">32 Einwohner je km2</t>
  </si>
  <si>
    <t xml:space="preserve">https://de.wikipedia.org/wiki/Groß_Kelle</t>
  </si>
  <si>
    <t xml:space="preserve">Bewohner/Wohngebäude</t>
  </si>
  <si>
    <t xml:space="preserve">Fläche pro Wohngebäude</t>
  </si>
  <si>
    <t xml:space="preserve">80 m ü. NHN</t>
  </si>
  <si>
    <t xml:space="preserve">6,68 km2</t>
  </si>
  <si>
    <t xml:space="preserve">103 (31. Dez. 2018)[1]</t>
  </si>
  <si>
    <t xml:space="preserve">15 Einwohner je km2</t>
  </si>
  <si>
    <t xml:space="preserve">https://de.wikipedia.org/wiki/Leizen</t>
  </si>
  <si>
    <t xml:space="preserve">Leizen/Minzow</t>
  </si>
  <si>
    <t xml:space="preserve">73 m ü. NHN</t>
  </si>
  <si>
    <t xml:space="preserve">27,75 km2</t>
  </si>
  <si>
    <t xml:space="preserve">480 (31. Dez. 2018)[1]</t>
  </si>
  <si>
    <t xml:space="preserve">https://de.wikipedia.org/wiki/Ludorf</t>
  </si>
  <si>
    <t xml:space="preserve">Gemeinde Südmüritz</t>
  </si>
  <si>
    <t xml:space="preserve">Koordinaten: 53° 22′ 59″ N, 12° 40′ 0″ O | OSM</t>
  </si>
  <si>
    <t xml:space="preserve">64 m ü. NHN</t>
  </si>
  <si>
    <t xml:space="preserve">48,37 km²</t>
  </si>
  <si>
    <t xml:space="preserve">481 (31. Dez. 2017)[1]</t>
  </si>
  <si>
    <t xml:space="preserve">10 Einwohner/km²</t>
  </si>
  <si>
    <t xml:space="preserve">Eingemeindung: </t>
  </si>
  <si>
    <t xml:space="preserve">26. Mai 2019</t>
  </si>
  <si>
    <t xml:space="preserve">https://de.wikipedia.org/wiki/Leizen#Minzow</t>
  </si>
  <si>
    <t xml:space="preserve">Minzow/Leizen</t>
  </si>
  <si>
    <t xml:space="preserve">https://de.wikipedia.org/wiki/Röbel/Müritz</t>
  </si>
  <si>
    <t xml:space="preserve">67 m ü. NHN</t>
  </si>
  <si>
    <t xml:space="preserve">30,17 km2</t>
  </si>
  <si>
    <t xml:space="preserve">5044 (31. Dez. 2018)[1]</t>
  </si>
  <si>
    <t xml:space="preserve">167 Einwohner je km2</t>
  </si>
  <si>
    <t xml:space="preserve">Fläche: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</si>
</sst>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#,##0.00\ [$€-407];[RED]\-#,##0.00\ [$€-407]"/>
    <numFmt numFmtId="166" formatCode="#,##0"/>
    <numFmt numFmtId="167" formatCode="0.00"/>
    <numFmt numFmtId="168" formatCode="dd/mm"/>
    <numFmt numFmtId="169" formatCode="#,##0.00"/>
    <numFmt numFmtId="170" formatCode="#,##0.0"/>
    <numFmt numFmtId="171" formatCode="#,###.0"/>
    <numFmt numFmtId="172" formatCode="#,###.00"/>
    <numFmt numFmtId="173" formatCode="0"/>
    <numFmt numFmtId="174" formatCode="0.00%"/>
    <numFmt numFmtId="175" formatCode="0.0"/>
    <numFmt numFmtId="176" formatCode="#,##0.000"/>
    <numFmt numFmtId="177" formatCode="@"/>
    <numFmt numFmtId="178" formatCode="0.000"/>
    <numFmt numFmtId="179" formatCode="0.00&quot;  &quot;%"/>
    <numFmt numFmtId="180" formatCode="0.0000"/>
    <numFmt numFmtId="181" formatCode="0%"/>
    <numFmt numFmtId="182" formatCode="General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0"/>
      <charset val="1"/>
    </font>
    <font>
      <sz val="10"/>
      <name val="FreeSans"/>
      <family val="0"/>
      <charset val="1"/>
    </font>
    <font>
      <sz val="8"/>
      <name val="Liberation Sans Narrow"/>
      <family val="0"/>
      <charset val="1"/>
    </font>
    <font>
      <sz val="10"/>
      <name val="Liberation Sans Narrow"/>
      <family val="0"/>
      <charset val="1"/>
    </font>
    <font>
      <b val="true"/>
      <sz val="8"/>
      <name val="Liberation Sans Narrow"/>
      <family val="0"/>
      <charset val="1"/>
    </font>
    <font>
      <b val="true"/>
      <i val="true"/>
      <sz val="9"/>
      <name val="Liberation Sans Narrow"/>
      <family val="0"/>
      <charset val="1"/>
    </font>
    <font>
      <b val="true"/>
      <i val="true"/>
      <sz val="8"/>
      <name val="Liberation Sans Narrow"/>
      <family val="0"/>
      <charset val="1"/>
    </font>
    <font>
      <i val="true"/>
      <sz val="10"/>
      <name val="Liberation Sans Narrow"/>
      <family val="0"/>
      <charset val="1"/>
    </font>
    <font>
      <sz val="8"/>
      <color rgb="FF0000FF"/>
      <name val="Liberation Sans Narrow"/>
      <family val="0"/>
      <charset val="1"/>
    </font>
    <font>
      <sz val="8"/>
      <color rgb="FF212121"/>
      <name val="Liberation Sans Narrow"/>
      <family val="0"/>
      <charset val="1"/>
    </font>
    <font>
      <sz val="7"/>
      <color rgb="FF0000FF"/>
      <name val="Liberation Sans Narrow"/>
      <family val="0"/>
      <charset val="1"/>
    </font>
    <font>
      <b val="true"/>
      <sz val="6"/>
      <name val="Liberation Sans Narrow"/>
      <family val="0"/>
      <charset val="1"/>
    </font>
    <font>
      <sz val="6"/>
      <name val="Liberation Sans Narrow"/>
      <family val="0"/>
      <charset val="1"/>
    </font>
    <font>
      <b val="true"/>
      <sz val="9"/>
      <name val="Liberation Sans Narrow"/>
      <family val="0"/>
      <charset val="1"/>
    </font>
    <font>
      <sz val="9"/>
      <name val="Liberation Sans Narrow"/>
      <family val="0"/>
      <charset val="1"/>
    </font>
    <font>
      <sz val="8"/>
      <color rgb="FFA6A6A6"/>
      <name val="Liberation Sans Narrow"/>
      <family val="0"/>
      <charset val="1"/>
    </font>
    <font>
      <vertAlign val="subscript"/>
      <sz val="8"/>
      <name val="Liberation Sans Narrow"/>
      <family val="0"/>
      <charset val="1"/>
    </font>
    <font>
      <sz val="8"/>
      <color rgb="FF808080"/>
      <name val="Liberation Sans Narrow"/>
      <family val="0"/>
      <charset val="1"/>
    </font>
    <font>
      <i val="true"/>
      <sz val="6"/>
      <name val="Liberation Sans Narrow"/>
      <family val="0"/>
      <charset val="1"/>
    </font>
    <font>
      <sz val="8"/>
      <color rgb="FF7F7F7F"/>
      <name val="Liberation Sans Narrow"/>
      <family val="0"/>
      <charset val="1"/>
    </font>
    <font>
      <sz val="9"/>
      <name val="Tahoma"/>
      <family val="0"/>
      <charset val="1"/>
    </font>
    <font>
      <b val="true"/>
      <sz val="12"/>
      <name val="Liberation Sans Narrow"/>
      <family val="0"/>
      <charset val="1"/>
    </font>
    <font>
      <b val="true"/>
      <sz val="10"/>
      <name val="Liberation Sans Narrow"/>
      <family val="0"/>
      <charset val="1"/>
    </font>
    <font>
      <b val="true"/>
      <sz val="7"/>
      <name val="Liberation Sans Narrow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33"/>
        <bgColor rgb="FF99FF66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rgb="FFCC99FF"/>
      </patternFill>
    </fill>
    <fill>
      <patternFill patternType="solid">
        <fgColor rgb="FF00CCFF"/>
        <bgColor rgb="FF00FFFF"/>
      </patternFill>
    </fill>
    <fill>
      <patternFill patternType="solid">
        <fgColor rgb="FFFD4235"/>
        <bgColor rgb="FFFF3333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rgb="FFFFFF99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33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rgb="FFFF00FF"/>
      </patternFill>
    </fill>
    <fill>
      <patternFill patternType="solid">
        <fgColor rgb="FFCCCCCC"/>
        <bgColor rgb="FFD3D3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8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1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8" fillId="8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8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6" fillId="2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1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1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21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6" fillId="21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19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9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21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8" fillId="2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8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78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1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2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7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5" fontId="8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2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ohne nachkommastellen" xfId="22"/>
    <cellStyle name="Standard 2" xfId="23"/>
    <cellStyle name="Unbenannt2" xfId="24"/>
    <cellStyle name="Überschrift" xfId="25"/>
    <cellStyle name="Überschrift 1" xfId="26"/>
  </cellStyles>
  <dxfs count="1">
    <dxf>
      <font>
        <name val="FreeSans"/>
        <charset val="1"/>
        <family val="0"/>
      </font>
      <numFmt numFmtId="164" formatCode="General"/>
    </dxf>
  </dxfs>
  <colors>
    <indexedColors>
      <rgbColor rgb="FF000000"/>
      <rgbColor rgb="FFFFFFFF"/>
      <rgbColor rgb="FFFF3333"/>
      <rgbColor rgb="FF00FF66"/>
      <rgbColor rgb="FF0000FF"/>
      <rgbColor rgb="FFCCFF00"/>
      <rgbColor rgb="FFFF33FF"/>
      <rgbColor rgb="FF33FF99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D4235"/>
      <rgbColor rgb="FFFFFF66"/>
      <rgbColor rgb="FF66FFFF"/>
      <rgbColor rgb="FF660066"/>
      <rgbColor rgb="FFFE9191"/>
      <rgbColor rgb="FF0066CC"/>
      <rgbColor rgb="FFD3D3D3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99FF66"/>
      <rgbColor rgb="FFDDDDDD"/>
      <rgbColor rgb="FFFFFF99"/>
      <rgbColor rgb="FF66CCFF"/>
      <rgbColor rgb="FFFF99FF"/>
      <rgbColor rgb="FFCC99FF"/>
      <rgbColor rgb="FFFFCC99"/>
      <rgbColor rgb="FF3366FF"/>
      <rgbColor rgb="FF48D1CC"/>
      <rgbColor rgb="FF99FF33"/>
      <rgbColor rgb="FFFFCC00"/>
      <rgbColor rgb="FFFF9900"/>
      <rgbColor rgb="FFFB5757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iogaia.de/Heizspiegel-fuer-Deutschland-2018.pdf" TargetMode="External"/><Relationship Id="rId2" Type="http://schemas.openxmlformats.org/officeDocument/2006/relationships/hyperlink" Target="https://heliogaia.de/9254_Gebaeudereport_dena_kompakt_2018.pdf" TargetMode="External"/><Relationship Id="rId3" Type="http://schemas.openxmlformats.org/officeDocument/2006/relationships/hyperlink" Target="https://www.dwd.de/DE/leistungen/solarenergie/strahlungskarten_sum.html?nn=16102" TargetMode="External"/><Relationship Id="rId4" Type="http://schemas.openxmlformats.org/officeDocument/2006/relationships/hyperlink" Target="https://www.dwd.de/DE/leistungen/solarenergie/strahlungskarten_sum.html?nn=16102" TargetMode="External"/><Relationship Id="rId5" Type="http://schemas.openxmlformats.org/officeDocument/2006/relationships/hyperlink" Target="http://www.solarkeymark.nl/DBF/PDF_Downloads/DS_47.pdf" TargetMode="External"/><Relationship Id="rId6" Type="http://schemas.openxmlformats.org/officeDocument/2006/relationships/hyperlink" Target="http://www.solarkeymark.nl/DBF/PDF_Downloads/DS_1575.pdf" TargetMode="External"/><Relationship Id="rId7" Type="http://schemas.openxmlformats.org/officeDocument/2006/relationships/hyperlink" Target="https://irp.cdn-website.com/d00f2507/files/uploaded/RisikenUndWirtschaftlichkeitVonNWP.pdf" TargetMode="External"/><Relationship Id="rId8" Type="http://schemas.openxmlformats.org/officeDocument/2006/relationships/hyperlink" Target="https://heliogaia.de/Geothermisches_Potenzial_spezifische_W&#228;rmeleitf&#228;higkeit_und_spezifische_Entzugsleistung_Berlin_k218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eliogaia.de/Heizspiegel-fuer-Deutschland-2018.pdf" TargetMode="External"/><Relationship Id="rId3" Type="http://schemas.openxmlformats.org/officeDocument/2006/relationships/hyperlink" Target="http://www.solarkeymark.nl/DBF/PDF_Downloads/DS_47.pdf" TargetMode="External"/><Relationship Id="rId4" Type="http://schemas.openxmlformats.org/officeDocument/2006/relationships/hyperlink" Target="http://www.solarkeymark.nl/DBF/PDF_Downloads/DS_1575.pdf" TargetMode="External"/><Relationship Id="rId5" Type="http://schemas.openxmlformats.org/officeDocument/2006/relationships/hyperlink" Target="https://irp.cdn-website.com/d00f2507/files/uploaded/RisikenUndWirtschaftlichkeitVonNWP.pdf" TargetMode="External"/><Relationship Id="rId6" Type="http://schemas.openxmlformats.org/officeDocument/2006/relationships/hyperlink" Target="https://heliogaia.de/Geothermisches_Potenzial_spezifische_W&#228;rmeleitf&#228;higkeit_und_spezifische_Entzugsleistung_Berlin_k218.pdf" TargetMode="External"/><Relationship Id="rId7" Type="http://schemas.openxmlformats.org/officeDocument/2006/relationships/hyperlink" Target="http://www.umweltbundesamt.de/sites/default/files/medien/384/bilder/dateien/3_tab_energieverbrauch-eev-sektor-waermezwecke_2018-02-14.pdf" TargetMode="External"/><Relationship Id="rId8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Id="rId9" Type="http://schemas.openxmlformats.org/officeDocument/2006/relationships/hyperlink" Target="https://www-docs.b-tu.de/fg-bauoekonomie/public/Forschung/Publikationen/Kalusche-Wolfdietrich/2016/orientierungswerte.pdf" TargetMode="External"/><Relationship Id="rId10" Type="http://schemas.openxmlformats.org/officeDocument/2006/relationships/hyperlink" Target="https://www.dwd.de/DE/leistungen/solarenergie/strahlungskarten_mvs.html?nn=16102" TargetMode="External"/><Relationship Id="rId11" Type="http://schemas.openxmlformats.org/officeDocument/2006/relationships/hyperlink" Target="https://www.dwd.de/DE/leistungen/solarenergie/strahlungskarten_sum.html?nn=16102" TargetMode="External"/><Relationship Id="rId12" Type="http://schemas.openxmlformats.org/officeDocument/2006/relationships/hyperlink" Target="https://heliogaia.de/t/quellen.html" TargetMode="External"/><Relationship Id="rId13" Type="http://schemas.openxmlformats.org/officeDocument/2006/relationships/hyperlink" Target="https://www.vergleich.org/vakuumroehrenkollektor/" TargetMode="External"/><Relationship Id="rId14" Type="http://schemas.openxmlformats.org/officeDocument/2006/relationships/hyperlink" Target="https://heliogaia.de/t/quellen.html" TargetMode="External"/><Relationship Id="rId15" Type="http://schemas.openxmlformats.org/officeDocument/2006/relationships/hyperlink" Target="https://www.swissolar.ch/fileadmin/user_upload/Markterhebung/Marktumfrage_2017.pdf" TargetMode="External"/><Relationship Id="rId16" Type="http://schemas.openxmlformats.org/officeDocument/2006/relationships/hyperlink" Target="https://www.solaranlagen-portal.de/thermische-solaranlage/solarkollektor-preis.html" TargetMode="External"/><Relationship Id="rId17" Type="http://schemas.openxmlformats.org/officeDocument/2006/relationships/hyperlink" Target="https://www.bodenrichtwerte-boris.de/borisde/?lang=de" TargetMode="External"/><Relationship Id="rId18" Type="http://schemas.openxmlformats.org/officeDocument/2006/relationships/hyperlink" Target="https://www.solaranlagen-portal.de/thermische-solaranlage/solarkollektor-preis.html" TargetMode="External"/><Relationship Id="rId19" Type="http://schemas.openxmlformats.org/officeDocument/2006/relationships/hyperlink" Target="https://heliogaia.de/Geothermisches_Potenzial_spezifische_W&#228;rmeleitf&#228;higkeit_und_spezifische_Entzugsleistung_Berlin_k218.pdf" TargetMode="External"/><Relationship Id="rId20" Type="http://schemas.openxmlformats.org/officeDocument/2006/relationships/hyperlink" Target="https://heliogaia.de/Geothermisches_Potenzial_spezifische_W&#228;rmeleitf&#228;higkeit_und_spezifische_Entzugsleistung_Berlin_k218.pdf" TargetMode="External"/><Relationship Id="rId21" Type="http://schemas.openxmlformats.org/officeDocument/2006/relationships/hyperlink" Target="https://de.wikipedia.org/wiki/Berlin" TargetMode="External"/><Relationship Id="rId22" Type="http://schemas.openxmlformats.org/officeDocument/2006/relationships/hyperlink" Target="https://www.dwd.de/DE/leistungen/klimadatendeutschland/mittelwerte/temp_8110_fest_html.html?view=nasPublication&amp;nn=16102" TargetMode="External"/><Relationship Id="rId23" Type="http://schemas.openxmlformats.org/officeDocument/2006/relationships/hyperlink" Target="https://www.straelen.de/rathaus-politik/dienstleistungen/ver-und-entsorgung/wasserversorgung/" TargetMode="External"/><Relationship Id="rId24" Type="http://schemas.openxmlformats.org/officeDocument/2006/relationships/hyperlink" Target="http://baupreise24.de/baupreise/erdarbeiten" TargetMode="External"/><Relationship Id="rId25" Type="http://schemas.openxmlformats.org/officeDocument/2006/relationships/hyperlink" Target="https://books.google.de/books?id=hRmYJX_u7ykC&amp;printsec=frontcover&amp;hl=de" TargetMode="External"/><Relationship Id="rId26" Type="http://schemas.openxmlformats.org/officeDocument/2006/relationships/hyperlink" Target="https://www.my-hammer.de/preisradar/was-kostet-brunnen-bohren/" TargetMode="External"/><Relationship Id="rId27" Type="http://schemas.openxmlformats.org/officeDocument/2006/relationships/hyperlink" Target="https://www.kesselheld.de/tiefenbohrung/" TargetMode="External"/><Relationship Id="rId28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Id="rId29" Type="http://schemas.openxmlformats.org/officeDocument/2006/relationships/hyperlink" Target="https://enerko.de/wp-content/uploads/2020/01/191212-Kurzbericht-FW-Schiene-Rheinland.pdf" TargetMode="External"/><Relationship Id="rId30" Type="http://schemas.openxmlformats.org/officeDocument/2006/relationships/hyperlink" Target="https://www.borderstep.de/wp-content/uploads/2014/07/Clausen-Kosten_-laendliche_-Waermenetze-2012.pdf" TargetMode="External"/><Relationship Id="rId31" Type="http://schemas.openxmlformats.org/officeDocument/2006/relationships/hyperlink" Target="https://www.borderstep.de/wp-content/uploads/2014/07/Clausen-Kosten_-laendliche_-Waermenetze-2012.pdf" TargetMode="External"/><Relationship Id="rId32" Type="http://schemas.openxmlformats.org/officeDocument/2006/relationships/hyperlink" Target="https://www.ksb.com/de-global/kreiselpumpenlexikon/artikel/pumpenwirkungsgrad-1074676" TargetMode="External"/><Relationship Id="rId33" Type="http://schemas.openxmlformats.org/officeDocument/2006/relationships/hyperlink" Target="http://seitzpumpen.homepage.t-online.de/PDF-Dateien/Preisliste/NM.pdf" TargetMode="External"/><Relationship Id="rId34" Type="http://schemas.openxmlformats.org/officeDocument/2006/relationships/hyperlink" Target="https://www.ier.uni-stuttgart.de/publikationen/arbeitsberichte/downloads/Arbeitsbericht_04.pdf" TargetMode="External"/><Relationship Id="rId35" Type="http://schemas.openxmlformats.org/officeDocument/2006/relationships/hyperlink" Target="https://enerko.de/wp-content/uploads/2015/06/Endbericht_GKK_Kiel.pdf" TargetMode="External"/><Relationship Id="rId36" Type="http://schemas.openxmlformats.org/officeDocument/2006/relationships/hyperlink" Target="https://www.ier.uni-stuttgart.de/publikationen/arbeitsberichte/downloads/Arbeitsbericht_04.pdf" TargetMode="External"/><Relationship Id="rId37" Type="http://schemas.openxmlformats.org/officeDocument/2006/relationships/hyperlink" Target="https://www.heizspiegel.de/heizkosten-senken/heizungswartung/" TargetMode="External"/><Relationship Id="rId38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ollewick" TargetMode="External"/><Relationship Id="rId2" Type="http://schemas.openxmlformats.org/officeDocument/2006/relationships/hyperlink" Target="https://de.wikipedia.org/wiki/B&#252;tow" TargetMode="External"/><Relationship Id="rId3" Type="http://schemas.openxmlformats.org/officeDocument/2006/relationships/hyperlink" Target="https://de.wikipedia.org/wiki/Gotthun" TargetMode="External"/><Relationship Id="rId4" Type="http://schemas.openxmlformats.org/officeDocument/2006/relationships/hyperlink" Target="https://de.wikipedia.org/wiki/Gro&#223;_Kelle" TargetMode="External"/><Relationship Id="rId5" Type="http://schemas.openxmlformats.org/officeDocument/2006/relationships/hyperlink" Target="https://de.wikipedia.org/wiki/Leizen" TargetMode="External"/><Relationship Id="rId6" Type="http://schemas.openxmlformats.org/officeDocument/2006/relationships/hyperlink" Target="https://de.wikipedia.org/wiki/Ludorf" TargetMode="External"/><Relationship Id="rId7" Type="http://schemas.openxmlformats.org/officeDocument/2006/relationships/hyperlink" Target="https://de.wikipedia.org/wiki/Leizen" TargetMode="External"/><Relationship Id="rId8" Type="http://schemas.openxmlformats.org/officeDocument/2006/relationships/hyperlink" Target="https://de.wikipedia.org/wiki/R&#246;bel/M&#252;rit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J741"/>
  <sheetViews>
    <sheetView showFormulas="false" showGridLines="true" showRowColHeaders="true" showZeros="true" rightToLeft="false" tabSelected="false" showOutlineSymbols="true" defaultGridColor="true" view="normal" topLeftCell="R1" colorId="64" zoomScale="150" zoomScaleNormal="150" zoomScalePageLayoutView="100" workbookViewId="0">
      <pane xSplit="0" ySplit="3" topLeftCell="A4" activePane="bottomLeft" state="frozen"/>
      <selection pane="topLeft" activeCell="R1" activeCellId="0" sqref="R1"/>
      <selection pane="bottomLeft" activeCell="R1" activeCellId="0" sqref="R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5.18"/>
    <col collapsed="false" customWidth="true" hidden="false" outlineLevel="0" max="2" min="2" style="1" width="5.92"/>
    <col collapsed="false" customWidth="true" hidden="false" outlineLevel="0" max="3" min="3" style="2" width="11.66"/>
    <col collapsed="false" customWidth="true" hidden="false" outlineLevel="0" max="4" min="4" style="3" width="13.06"/>
    <col collapsed="false" customWidth="true" hidden="false" outlineLevel="0" max="7" min="5" style="4" width="13.98"/>
    <col collapsed="false" customWidth="true" hidden="false" outlineLevel="0" max="8" min="8" style="4" width="16.39"/>
    <col collapsed="false" customWidth="true" hidden="false" outlineLevel="0" max="10" min="9" style="5" width="14.54"/>
    <col collapsed="false" customWidth="true" hidden="false" outlineLevel="0" max="11" min="11" style="1" width="11.85"/>
    <col collapsed="false" customWidth="true" hidden="false" outlineLevel="0" max="12" min="12" style="6" width="13.62"/>
    <col collapsed="false" customWidth="true" hidden="false" outlineLevel="0" max="13" min="13" style="6" width="14.08"/>
    <col collapsed="false" customWidth="true" hidden="false" outlineLevel="0" max="14" min="14" style="6" width="13.06"/>
    <col collapsed="false" customWidth="true" hidden="false" outlineLevel="0" max="15" min="15" style="7" width="9.54"/>
    <col collapsed="false" customWidth="true" hidden="false" outlineLevel="0" max="17" min="16" style="8" width="8.89"/>
    <col collapsed="false" customWidth="true" hidden="false" outlineLevel="0" max="18" min="18" style="8" width="9.82"/>
    <col collapsed="false" customWidth="true" hidden="false" outlineLevel="0" max="19" min="19" style="1" width="12.22"/>
    <col collapsed="false" customWidth="true" hidden="false" outlineLevel="0" max="20" min="20" style="1" width="2.86"/>
    <col collapsed="false" customWidth="true" hidden="false" outlineLevel="0" max="21" min="21" style="1" width="50.84"/>
    <col collapsed="false" customWidth="true" hidden="false" outlineLevel="0" max="22" min="22" style="1" width="7.64"/>
    <col collapsed="false" customWidth="true" hidden="false" outlineLevel="0" max="23" min="23" style="1" width="7.95"/>
    <col collapsed="false" customWidth="true" hidden="false" outlineLevel="0" max="24" min="24" style="9" width="64.61"/>
    <col collapsed="false" customWidth="true" hidden="false" outlineLevel="0" max="25" min="25" style="9" width="38.76"/>
    <col collapsed="false" customWidth="true" hidden="false" outlineLevel="0" max="26" min="26" style="9" width="1.93"/>
    <col collapsed="false" customWidth="false" hidden="false" outlineLevel="0" max="64" min="27" style="1" width="11.52"/>
    <col collapsed="false" customWidth="false" hidden="false" outlineLevel="0" max="1024" min="65" style="10" width="11.52"/>
  </cols>
  <sheetData>
    <row r="1" customFormat="false" ht="12.8" hidden="false" customHeight="false" outlineLevel="0" collapsed="false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3"/>
      <c r="L1" s="13"/>
      <c r="M1" s="13"/>
      <c r="N1" s="13"/>
      <c r="O1" s="13"/>
      <c r="P1" s="13" t="s">
        <v>1</v>
      </c>
      <c r="Q1" s="14"/>
      <c r="R1" s="14"/>
      <c r="S1" s="15" t="s">
        <v>2</v>
      </c>
      <c r="T1" s="16"/>
      <c r="U1" s="17" t="s">
        <v>1</v>
      </c>
      <c r="V1" s="18"/>
      <c r="W1" s="16"/>
      <c r="X1" s="19"/>
      <c r="Y1" s="19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="33" customFormat="true" ht="69.15" hidden="false" customHeight="true" outlineLevel="0" collapsed="false">
      <c r="A2" s="20" t="s">
        <v>3</v>
      </c>
      <c r="B2" s="20" t="s">
        <v>4</v>
      </c>
      <c r="C2" s="21" t="s">
        <v>5</v>
      </c>
      <c r="D2" s="22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4" t="s">
        <v>11</v>
      </c>
      <c r="J2" s="24" t="s">
        <v>12</v>
      </c>
      <c r="K2" s="25" t="s">
        <v>13</v>
      </c>
      <c r="L2" s="26" t="s">
        <v>14</v>
      </c>
      <c r="M2" s="26" t="s">
        <v>15</v>
      </c>
      <c r="N2" s="26" t="s">
        <v>16</v>
      </c>
      <c r="O2" s="26" t="s">
        <v>17</v>
      </c>
      <c r="P2" s="27" t="s">
        <v>18</v>
      </c>
      <c r="Q2" s="28" t="s">
        <v>19</v>
      </c>
      <c r="R2" s="28" t="s">
        <v>20</v>
      </c>
      <c r="S2" s="29" t="s">
        <v>21</v>
      </c>
      <c r="T2" s="30"/>
      <c r="U2" s="30" t="s">
        <v>22</v>
      </c>
      <c r="V2" s="31" t="s">
        <v>23</v>
      </c>
      <c r="W2" s="30" t="s">
        <v>24</v>
      </c>
      <c r="X2" s="30" t="s">
        <v>25</v>
      </c>
      <c r="Y2" s="30" t="s">
        <v>25</v>
      </c>
      <c r="Z2" s="32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customFormat="false" ht="11.95" hidden="false" customHeight="true" outlineLevel="0" collapsed="false">
      <c r="A3" s="16"/>
      <c r="B3" s="14"/>
      <c r="C3" s="34" t="s">
        <v>26</v>
      </c>
      <c r="D3" s="34" t="s">
        <v>26</v>
      </c>
      <c r="E3" s="35" t="s">
        <v>26</v>
      </c>
      <c r="F3" s="35" t="s">
        <v>26</v>
      </c>
      <c r="G3" s="35" t="s">
        <v>27</v>
      </c>
      <c r="H3" s="35" t="s">
        <v>27</v>
      </c>
      <c r="I3" s="36" t="s">
        <v>26</v>
      </c>
      <c r="J3" s="36" t="s">
        <v>26</v>
      </c>
      <c r="K3" s="37" t="s">
        <v>27</v>
      </c>
      <c r="L3" s="38" t="s">
        <v>26</v>
      </c>
      <c r="M3" s="38" t="s">
        <v>26</v>
      </c>
      <c r="N3" s="38" t="s">
        <v>26</v>
      </c>
      <c r="O3" s="38" t="s">
        <v>26</v>
      </c>
      <c r="P3" s="39" t="s">
        <v>26</v>
      </c>
      <c r="Q3" s="39" t="s">
        <v>28</v>
      </c>
      <c r="R3" s="40" t="s">
        <v>29</v>
      </c>
      <c r="S3" s="1" t="s">
        <v>29</v>
      </c>
      <c r="T3" s="41"/>
      <c r="U3" s="42" t="s">
        <v>30</v>
      </c>
      <c r="V3" s="43"/>
      <c r="W3" s="42"/>
      <c r="X3" s="42"/>
      <c r="Y3" s="4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customFormat="false" ht="12.8" hidden="false" customHeight="false" outlineLevel="0" collapsed="false">
      <c r="A4" s="1" t="n">
        <v>0</v>
      </c>
      <c r="B4" s="44" t="n">
        <v>43545</v>
      </c>
      <c r="C4" s="45" t="n">
        <f aca="false">V$30-V$30*SIN(2*PI()/365*A4)</f>
        <v>16.17742987606</v>
      </c>
      <c r="D4" s="3" t="n">
        <f aca="false">IF((E4+F4)&gt;C4,C4,E4+F4)</f>
        <v>16.17742987606</v>
      </c>
      <c r="E4" s="46" t="n">
        <f aca="false">(V$27+V$28*SIN(2*PI()/365*A4))*V$29/100*V$9*V$10/100</f>
        <v>0</v>
      </c>
      <c r="F4" s="46" t="n">
        <f aca="false">(V$27+V$28*SIN(2*PI()/365*A4))*V$29/100*V$11*(1-V$18/100)*(1-V$20/100)</f>
        <v>19.2635173391696</v>
      </c>
      <c r="G4" s="46" t="n">
        <f aca="false">IF(C4&gt;E4,100,C4/E4*100)</f>
        <v>100</v>
      </c>
      <c r="H4" s="46" t="n">
        <f aca="false">L4/F4*100</f>
        <v>83.9796263124053</v>
      </c>
      <c r="I4" s="47" t="n">
        <f aca="false">(V$27+V$28*SIN(2*PI()/365*A4))*V$29/100*V$9*V$10/100*(1-V$19/100)</f>
        <v>0</v>
      </c>
      <c r="J4" s="47" t="n">
        <f aca="false">(V$27+V$28*SIN(2*PI()/365*A4))*V$29/100*V$11*(1-V$18/100)</f>
        <v>21.1687003727138</v>
      </c>
      <c r="K4" s="48" t="n">
        <f aca="false">IF(E4/C4*100&lt;100,E4/C4*100,100)</f>
        <v>0</v>
      </c>
      <c r="L4" s="7" t="n">
        <f aca="false">IF(((C4-E4)&gt;0)AND(F4&gt;(C4-E4)),(C4-E4),IF(C4&lt;E4,0,F4))</f>
        <v>16.17742987606</v>
      </c>
      <c r="M4" s="7" t="n">
        <f aca="false">IF(C4&lt;(E4+F4),0,C4-E4-F4)</f>
        <v>0</v>
      </c>
      <c r="N4" s="7" t="n">
        <f aca="false">IF(C4&lt;(E4+F4),0,(C4-E4-F4)/(1-V$20/100))</f>
        <v>0</v>
      </c>
      <c r="O4" s="7" t="n">
        <f aca="false">L4+M4</f>
        <v>16.17742987606</v>
      </c>
      <c r="P4" s="49" t="n">
        <f aca="false">IF( N4=0,I4*(1-G4/100)+J4*(1-H4/100),-N4)</f>
        <v>3.39130490451602</v>
      </c>
      <c r="Q4" s="8" t="n">
        <v>0</v>
      </c>
      <c r="R4" s="8" t="n">
        <f aca="false">V$21</f>
        <v>40</v>
      </c>
      <c r="S4" s="50" t="n">
        <f aca="false">R191</f>
        <v>75.7298335016646</v>
      </c>
      <c r="T4" s="1" t="n">
        <v>4</v>
      </c>
      <c r="U4" s="51" t="s">
        <v>31</v>
      </c>
      <c r="V4" s="52" t="n">
        <f aca="false">s!D32</f>
        <v>7518</v>
      </c>
      <c r="W4" s="1" t="s">
        <v>32</v>
      </c>
      <c r="X4" s="51" t="s">
        <v>33</v>
      </c>
      <c r="Y4" s="51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</row>
    <row r="5" customFormat="false" ht="12.8" hidden="false" customHeight="false" outlineLevel="0" collapsed="false">
      <c r="A5" s="1" t="n">
        <v>1</v>
      </c>
      <c r="B5" s="44" t="n">
        <v>43546</v>
      </c>
      <c r="C5" s="45" t="n">
        <f aca="false">V$30-V$30*SIN(2*PI()/365*A5)</f>
        <v>15.8989620139173</v>
      </c>
      <c r="D5" s="3" t="n">
        <f aca="false">IF((E5+F5)&gt;C5,C5,E5+F5)</f>
        <v>15.8989620139173</v>
      </c>
      <c r="E5" s="46" t="n">
        <f aca="false">(V$27+V$28*SIN(2*PI()/365*A5))*V$29/100*V$9*V$10/100</f>
        <v>0</v>
      </c>
      <c r="F5" s="46" t="n">
        <f aca="false">(V$27+V$28*SIN(2*PI()/365*A5))*V$29/100*V$11*(1-V$18/100)*(1-V$20/100)</f>
        <v>19.5435023570491</v>
      </c>
      <c r="G5" s="46" t="n">
        <f aca="false">IF(C5&gt;E5,100,C5/E5*100)</f>
        <v>100</v>
      </c>
      <c r="H5" s="46" t="n">
        <f aca="false">L5/F5*100</f>
        <v>81.3516519375699</v>
      </c>
      <c r="I5" s="47" t="n">
        <f aca="false">(V$27+V$28*SIN(2*PI()/365*A5))*V$29/100*V$9*V$10/100*(1-V$19/100)</f>
        <v>0</v>
      </c>
      <c r="J5" s="47" t="n">
        <f aca="false">(V$27+V$28*SIN(2*PI()/365*A5))*V$29/100*V$11*(1-V$18/100)</f>
        <v>21.4763762165375</v>
      </c>
      <c r="K5" s="48" t="n">
        <f aca="false">IF(E5/C5*100&lt;100,E5/C5*100,100)</f>
        <v>0</v>
      </c>
      <c r="L5" s="7" t="n">
        <f aca="false">IF(((C5-E5)&gt;0)AND(F5&gt;(C5-E5)),(C5-E5),IF(C5&lt;E5,0,F5))</f>
        <v>15.8989620139173</v>
      </c>
      <c r="M5" s="7" t="n">
        <f aca="false">IF(C5&lt;(E5+F5),0,C5-E5-F5)</f>
        <v>0</v>
      </c>
      <c r="N5" s="7" t="n">
        <f aca="false">IF(C5&lt;(E5+F5),0,(C5-E5-F5)/(1-V$20/100))</f>
        <v>0</v>
      </c>
      <c r="O5" s="7" t="n">
        <f aca="false">L5+M5</f>
        <v>15.8989620139173</v>
      </c>
      <c r="P5" s="49" t="n">
        <f aca="false">IF( N5=0,I5*(1-G5/100)+J5*(1-H5/100),-N5)</f>
        <v>4.00498938805687</v>
      </c>
      <c r="Q5" s="54" t="n">
        <f aca="false">IF(P4&gt;0,Q4+P4*(1-V$24/100),Q4+P4)</f>
        <v>2.61130477647733</v>
      </c>
      <c r="R5" s="55" t="n">
        <f aca="false">R$4+Q5/V$32</f>
        <v>40.0253954360265</v>
      </c>
      <c r="S5" s="50" t="n">
        <f aca="false">R365</f>
        <v>41.2910881759511</v>
      </c>
      <c r="T5" s="1" t="n">
        <v>5</v>
      </c>
      <c r="U5" s="51" t="s">
        <v>34</v>
      </c>
      <c r="V5" s="56" t="n">
        <v>80</v>
      </c>
      <c r="W5" s="1" t="s">
        <v>35</v>
      </c>
      <c r="X5" s="57" t="s">
        <v>36</v>
      </c>
      <c r="Y5" s="51" t="s">
        <v>37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</row>
    <row r="6" customFormat="false" ht="12.8" hidden="false" customHeight="false" outlineLevel="0" collapsed="false">
      <c r="A6" s="1" t="n">
        <v>2</v>
      </c>
      <c r="B6" s="44" t="n">
        <v>43547</v>
      </c>
      <c r="C6" s="45" t="n">
        <f aca="false">V$30-V$30*SIN(2*PI()/365*A6)</f>
        <v>15.6205766678121</v>
      </c>
      <c r="D6" s="3" t="n">
        <f aca="false">IF((E6+F6)&gt;C6,C6,E6+F6)</f>
        <v>15.6205766678121</v>
      </c>
      <c r="E6" s="46" t="n">
        <f aca="false">(V$27+V$28*SIN(2*PI()/365*A6))*V$29/100*V$9*V$10/100</f>
        <v>0</v>
      </c>
      <c r="F6" s="46" t="n">
        <f aca="false">(V$27+V$28*SIN(2*PI()/365*A6))*V$29/100*V$11*(1-V$18/100)*(1-V$20/100)</f>
        <v>19.8234044093252</v>
      </c>
      <c r="G6" s="46" t="n">
        <f aca="false">IF(C6&gt;E6,100,C6/E6*100)</f>
        <v>100</v>
      </c>
      <c r="H6" s="46" t="n">
        <f aca="false">L6/F6*100</f>
        <v>78.7986581177948</v>
      </c>
      <c r="I6" s="47" t="n">
        <f aca="false">(V$27+V$28*SIN(2*PI()/365*A6))*V$29/100*V$9*V$10/100*(1-V$19/100)</f>
        <v>0</v>
      </c>
      <c r="J6" s="47" t="n">
        <f aca="false">(V$27+V$28*SIN(2*PI()/365*A6))*V$29/100*V$11*(1-V$18/100)</f>
        <v>21.7839608893684</v>
      </c>
      <c r="K6" s="48" t="n">
        <f aca="false">IF(E6/C6*100&lt;100,E6/C6*100,100)</f>
        <v>0</v>
      </c>
      <c r="L6" s="7" t="n">
        <f aca="false">IF(((C6-E6)&gt;0)AND(F6&gt;(C6-E6)),(C6-E6),IF(C6&lt;E6,0,F6))</f>
        <v>15.6205766678121</v>
      </c>
      <c r="M6" s="7" t="n">
        <f aca="false">IF(C6&lt;(E6+F6),0,C6-E6-F6)</f>
        <v>0</v>
      </c>
      <c r="N6" s="7" t="n">
        <f aca="false">IF(C6&lt;(E6+F6),0,(C6-E6-F6)/(1-V$20/100))</f>
        <v>0</v>
      </c>
      <c r="O6" s="7" t="n">
        <f aca="false">L6+M6</f>
        <v>15.6205766678121</v>
      </c>
      <c r="P6" s="49" t="n">
        <f aca="false">IF( N6=0,I6*(1-G6/100)+J6*(1-H6/100),-N6)</f>
        <v>4.61849202364086</v>
      </c>
      <c r="Q6" s="54" t="n">
        <f aca="false">IF(P5&gt;0,Q5+P5*(1-V$24/100),Q5+P5)</f>
        <v>5.69514660528112</v>
      </c>
      <c r="R6" s="55" t="n">
        <f aca="false">R$4+Q6/V$32</f>
        <v>40.0553863848366</v>
      </c>
      <c r="S6" s="58" t="n">
        <f aca="false">R557</f>
        <v>77.0813040013308</v>
      </c>
      <c r="T6" s="1" t="n">
        <v>6</v>
      </c>
      <c r="U6" s="59" t="s">
        <v>38</v>
      </c>
      <c r="V6" s="60" t="n">
        <v>46.5</v>
      </c>
      <c r="W6" s="61" t="s">
        <v>39</v>
      </c>
      <c r="X6" s="51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AMJ6" s="9"/>
    </row>
    <row r="7" customFormat="false" ht="12.8" hidden="false" customHeight="false" outlineLevel="0" collapsed="false">
      <c r="A7" s="1" t="n">
        <v>3</v>
      </c>
      <c r="B7" s="44" t="n">
        <v>43548</v>
      </c>
      <c r="C7" s="45" t="n">
        <f aca="false">V$30-V$30*SIN(2*PI()/365*A7)</f>
        <v>15.3423563293303</v>
      </c>
      <c r="D7" s="3" t="n">
        <f aca="false">IF((E7+F7)&gt;C7,C7,E7+F7)</f>
        <v>15.3423563293303</v>
      </c>
      <c r="E7" s="46" t="n">
        <f aca="false">(V$27+V$28*SIN(2*PI()/365*A7))*V$29/100*V$9*V$10/100</f>
        <v>0</v>
      </c>
      <c r="F7" s="46" t="n">
        <f aca="false">(V$27+V$28*SIN(2*PI()/365*A7))*V$29/100*V$11*(1-V$18/100)*(1-V$20/100)</f>
        <v>20.1031405549791</v>
      </c>
      <c r="G7" s="46" t="n">
        <f aca="false">IF(C7&gt;E7,100,C7/E7*100)</f>
        <v>100</v>
      </c>
      <c r="H7" s="46" t="n">
        <f aca="false">L7/F7*100</f>
        <v>76.3182065377853</v>
      </c>
      <c r="I7" s="47" t="n">
        <f aca="false">(V$27+V$28*SIN(2*PI()/365*A7))*V$29/100*V$9*V$10/100*(1-V$19/100)</f>
        <v>0</v>
      </c>
      <c r="J7" s="47" t="n">
        <f aca="false">(V$27+V$28*SIN(2*PI()/365*A7))*V$29/100*V$11*(1-V$18/100)</f>
        <v>22.0913632472298</v>
      </c>
      <c r="K7" s="48" t="n">
        <f aca="false">IF(E7/C7*100&lt;100,E7/C7*100,100)</f>
        <v>0</v>
      </c>
      <c r="L7" s="7" t="n">
        <f aca="false">IF(((C7-E7)&gt;0)AND(F7&gt;(C7-E7)),(C7-E7),IF(C7&lt;E7,0,F7))</f>
        <v>15.3423563293303</v>
      </c>
      <c r="M7" s="7" t="n">
        <f aca="false">IF(C7&lt;(E7+F7),0,C7-E7-F7)</f>
        <v>0</v>
      </c>
      <c r="N7" s="7" t="n">
        <f aca="false">IF(C7&lt;(E7+F7),0,(C7-E7-F7)/(1-V$20/100))</f>
        <v>0</v>
      </c>
      <c r="O7" s="7" t="n">
        <f aca="false">L7+M7</f>
        <v>15.3423563293303</v>
      </c>
      <c r="P7" s="49" t="n">
        <f aca="false">IF( N7=0,I7*(1-G7/100)+J7*(1-H7/100),-N7)</f>
        <v>5.23163101719657</v>
      </c>
      <c r="Q7" s="54" t="n">
        <f aca="false">IF(P6&gt;0,Q6+P6*(1-V$24/100),Q6+P6)</f>
        <v>9.25138546348458</v>
      </c>
      <c r="R7" s="55" t="n">
        <f aca="false">R$4+Q7/V$32</f>
        <v>40.0899714846809</v>
      </c>
      <c r="S7" s="58" t="n">
        <f aca="false">R729</f>
        <v>42.6353782929633</v>
      </c>
      <c r="T7" s="1" t="n">
        <v>7</v>
      </c>
      <c r="U7" s="51" t="s">
        <v>40</v>
      </c>
      <c r="V7" s="56" t="n">
        <v>37</v>
      </c>
      <c r="W7" s="1" t="s">
        <v>27</v>
      </c>
      <c r="X7" s="62" t="s">
        <v>41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AMJ7" s="9"/>
    </row>
    <row r="8" customFormat="false" ht="12.8" hidden="false" customHeight="false" outlineLevel="0" collapsed="false">
      <c r="A8" s="1" t="n">
        <v>4</v>
      </c>
      <c r="B8" s="44" t="n">
        <v>43549</v>
      </c>
      <c r="C8" s="45" t="n">
        <f aca="false">V$30-V$30*SIN(2*PI()/365*A8)</f>
        <v>15.0643834411627</v>
      </c>
      <c r="D8" s="3" t="n">
        <f aca="false">IF((E8+F8)&gt;C8,C8,E8+F8)</f>
        <v>15.0643834411627</v>
      </c>
      <c r="E8" s="46" t="n">
        <f aca="false">(V$27+V$28*SIN(2*PI()/365*A8))*V$29/100*V$9*V$10/100</f>
        <v>0</v>
      </c>
      <c r="F8" s="46" t="n">
        <f aca="false">(V$27+V$28*SIN(2*PI()/365*A8))*V$29/100*V$11*(1-V$18/100)*(1-V$20/100)</f>
        <v>20.3826279021537</v>
      </c>
      <c r="G8" s="46" t="n">
        <f aca="false">IF(C8&gt;E8,100,C8/E8*100)</f>
        <v>100</v>
      </c>
      <c r="H8" s="46" t="n">
        <f aca="false">L8/F8*100</f>
        <v>73.9079549186638</v>
      </c>
      <c r="I8" s="47" t="n">
        <f aca="false">(V$27+V$28*SIN(2*PI()/365*A8))*V$29/100*V$9*V$10/100*(1-V$19/100)</f>
        <v>0</v>
      </c>
      <c r="J8" s="47" t="n">
        <f aca="false">(V$27+V$28*SIN(2*PI()/365*A8))*V$29/100*V$11*(1-V$18/100)</f>
        <v>22.3984922001689</v>
      </c>
      <c r="K8" s="48" t="n">
        <f aca="false">IF(E8/C8*100&lt;100,E8/C8*100,100)</f>
        <v>0</v>
      </c>
      <c r="L8" s="7" t="n">
        <f aca="false">IF(((C8-E8)&gt;0)AND(F8&gt;(C8-E8)),(C8-E8),IF(C8&lt;E8,0,F8))</f>
        <v>15.0643834411627</v>
      </c>
      <c r="M8" s="7" t="n">
        <f aca="false">IF(C8&lt;(E8+F8),0,C8-E8-F8)</f>
        <v>0</v>
      </c>
      <c r="N8" s="7" t="n">
        <f aca="false">IF(C8&lt;(E8+F8),0,(C8-E8-F8)/(1-V$20/100))</f>
        <v>0</v>
      </c>
      <c r="O8" s="7" t="n">
        <f aca="false">L8+M8</f>
        <v>15.0643834411627</v>
      </c>
      <c r="P8" s="49" t="n">
        <f aca="false">IF( N8=0,I8*(1-G8/100)+J8*(1-H8/100),-N8)</f>
        <v>5.84422468240763</v>
      </c>
      <c r="Q8" s="54" t="n">
        <f aca="false">IF(P7&gt;0,Q7+P7*(1-V$24/100),Q7+P7)</f>
        <v>13.2797413467259</v>
      </c>
      <c r="R8" s="55" t="n">
        <f aca="false">R$4+Q8/V$32</f>
        <v>40.1291480124635</v>
      </c>
      <c r="T8" s="1" t="n">
        <v>8</v>
      </c>
      <c r="U8" s="51" t="s">
        <v>42</v>
      </c>
      <c r="V8" s="63" t="n">
        <f aca="false">V6/(1-V7/100)</f>
        <v>73.8095238095238</v>
      </c>
      <c r="W8" s="1" t="s">
        <v>43</v>
      </c>
      <c r="X8" s="51" t="s">
        <v>44</v>
      </c>
      <c r="Y8" s="51" t="s">
        <v>45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</row>
    <row r="9" customFormat="false" ht="12.8" hidden="false" customHeight="false" outlineLevel="0" collapsed="false">
      <c r="A9" s="1" t="n">
        <v>5</v>
      </c>
      <c r="B9" s="44" t="n">
        <v>43550</v>
      </c>
      <c r="C9" s="45" t="n">
        <f aca="false">V$30-V$30*SIN(2*PI()/365*A9)</f>
        <v>14.7867403726753</v>
      </c>
      <c r="D9" s="3" t="n">
        <f aca="false">IF((E9+F9)&gt;C9,C9,E9+F9)</f>
        <v>14.7867403726753</v>
      </c>
      <c r="E9" s="46" t="n">
        <f aca="false">(V$27+V$28*SIN(2*PI()/365*A9))*V$29/100*V$9*V$10/100</f>
        <v>0</v>
      </c>
      <c r="F9" s="46" t="n">
        <f aca="false">(V$27+V$28*SIN(2*PI()/365*A9))*V$29/100*V$11*(1-V$18/100)*(1-V$20/100)</f>
        <v>20.661783632716</v>
      </c>
      <c r="G9" s="46" t="n">
        <f aca="false">IF(C9&gt;E9,100,C9/E9*100)</f>
        <v>100</v>
      </c>
      <c r="H9" s="46" t="n">
        <f aca="false">L9/F9*100</f>
        <v>71.56565297326</v>
      </c>
      <c r="I9" s="47" t="n">
        <f aca="false">(V$27+V$28*SIN(2*PI()/365*A9))*V$29/100*V$9*V$10/100*(1-V$19/100)</f>
        <v>0</v>
      </c>
      <c r="J9" s="47" t="n">
        <f aca="false">(V$27+V$28*SIN(2*PI()/365*A9))*V$29/100*V$11*(1-V$18/100)</f>
        <v>22.7052567392483</v>
      </c>
      <c r="K9" s="48" t="n">
        <f aca="false">IF(E9/C9*100&lt;100,E9/C9*100,100)</f>
        <v>0</v>
      </c>
      <c r="L9" s="7" t="n">
        <f aca="false">IF(((C9-E9)&gt;0)AND(F9&gt;(C9-E9)),(C9-E9),IF(C9&lt;E9,0,F9))</f>
        <v>14.7867403726753</v>
      </c>
      <c r="M9" s="7" t="n">
        <f aca="false">IF(C9&lt;(E9+F9),0,C9-E9-F9)</f>
        <v>0</v>
      </c>
      <c r="N9" s="7" t="n">
        <f aca="false">IF(C9&lt;(E9+F9),0,(C9-E9-F9)/(1-V$20/100))</f>
        <v>0</v>
      </c>
      <c r="O9" s="7" t="n">
        <f aca="false">L9+M9</f>
        <v>14.7867403726753</v>
      </c>
      <c r="P9" s="49" t="n">
        <f aca="false">IF( N9=0,I9*(1-G9/100)+J9*(1-H9/100),-N9)</f>
        <v>6.45609149455013</v>
      </c>
      <c r="Q9" s="54" t="n">
        <f aca="false">IF(P8&gt;0,Q8+P8*(1-V$24/100),Q8+P8)</f>
        <v>17.7797943521798</v>
      </c>
      <c r="R9" s="55" t="n">
        <f aca="false">R$4+Q9/V$32</f>
        <v>40.1729118845496</v>
      </c>
      <c r="S9" s="64" t="s">
        <v>46</v>
      </c>
      <c r="T9" s="1" t="n">
        <v>9</v>
      </c>
      <c r="U9" s="51" t="s">
        <v>47</v>
      </c>
      <c r="V9" s="65" t="n">
        <v>0</v>
      </c>
      <c r="W9" s="48" t="s">
        <v>39</v>
      </c>
      <c r="X9" s="53" t="s">
        <v>48</v>
      </c>
      <c r="Y9" s="51" t="s">
        <v>1</v>
      </c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</row>
    <row r="10" customFormat="false" ht="12.8" hidden="false" customHeight="false" outlineLevel="0" collapsed="false">
      <c r="A10" s="1" t="n">
        <v>6</v>
      </c>
      <c r="B10" s="44" t="n">
        <v>43551</v>
      </c>
      <c r="C10" s="45" t="n">
        <f aca="false">V$30-V$30*SIN(2*PI()/365*A10)</f>
        <v>14.5095093955014</v>
      </c>
      <c r="D10" s="3" t="n">
        <f aca="false">IF((E10+F10)&gt;C10,C10,E10+F10)</f>
        <v>14.5095093955014</v>
      </c>
      <c r="E10" s="46" t="n">
        <f aca="false">(V$27+V$28*SIN(2*PI()/365*A10))*V$29/100*V$9*V$10/100</f>
        <v>0</v>
      </c>
      <c r="F10" s="46" t="n">
        <f aca="false">(V$27+V$28*SIN(2*PI()/365*A10))*V$29/100*V$11*(1-V$18/100)*(1-V$20/100)</f>
        <v>20.9405250267985</v>
      </c>
      <c r="G10" s="46" t="n">
        <f aca="false">IF(C10&gt;E10,100,C10/E10*100)</f>
        <v>100</v>
      </c>
      <c r="H10" s="46" t="n">
        <f aca="false">L10/F10*100</f>
        <v>69.2891385336946</v>
      </c>
      <c r="I10" s="47" t="n">
        <f aca="false">(V$27+V$28*SIN(2*PI()/365*A10))*V$29/100*V$9*V$10/100*(1-V$19/100)</f>
        <v>0</v>
      </c>
      <c r="J10" s="47" t="n">
        <f aca="false">(V$27+V$28*SIN(2*PI()/365*A10))*V$29/100*V$11*(1-V$18/100)</f>
        <v>23.0115659635148</v>
      </c>
      <c r="K10" s="48" t="n">
        <f aca="false">IF(E10/C10*100&lt;100,E10/C10*100,100)</f>
        <v>0</v>
      </c>
      <c r="L10" s="7" t="n">
        <f aca="false">IF(((C10-E10)&gt;0)AND(F10&gt;(C10-E10)),(C10-E10),IF(C10&lt;E10,0,F10))</f>
        <v>14.5095093955014</v>
      </c>
      <c r="M10" s="7" t="n">
        <f aca="false">IF(C10&lt;(E10+F10),0,C10-E10-F10)</f>
        <v>0</v>
      </c>
      <c r="N10" s="7" t="n">
        <f aca="false">IF(C10&lt;(E10+F10),0,(C10-E10-F10)/(1-V$20/100))</f>
        <v>0</v>
      </c>
      <c r="O10" s="7" t="n">
        <f aca="false">L10+M10</f>
        <v>14.5095093955014</v>
      </c>
      <c r="P10" s="49" t="n">
        <f aca="false">IF( N10=0,I10*(1-G10/100)+J10*(1-H10/100),-N10)</f>
        <v>7.06705014428251</v>
      </c>
      <c r="Q10" s="54" t="n">
        <f aca="false">IF(P9&gt;0,Q9+P9*(1-V$24/100),Q9+P9)</f>
        <v>22.7509848029834</v>
      </c>
      <c r="R10" s="55" t="n">
        <f aca="false">R$4+Q10/V$32</f>
        <v>40.2212576579752</v>
      </c>
      <c r="S10" s="66" t="n">
        <f aca="false">t!D210</f>
        <v>727.781630718248</v>
      </c>
      <c r="T10" s="1" t="n">
        <v>10</v>
      </c>
      <c r="U10" s="51" t="s">
        <v>49</v>
      </c>
      <c r="V10" s="65" t="n">
        <v>80</v>
      </c>
      <c r="W10" s="48" t="s">
        <v>27</v>
      </c>
      <c r="X10" s="51" t="s">
        <v>50</v>
      </c>
      <c r="Y10" s="5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</row>
    <row r="11" customFormat="false" ht="12.8" hidden="false" customHeight="false" outlineLevel="0" collapsed="false">
      <c r="A11" s="1" t="n">
        <v>7</v>
      </c>
      <c r="B11" s="44" t="n">
        <v>43552</v>
      </c>
      <c r="C11" s="45" t="n">
        <f aca="false">V$30-V$30*SIN(2*PI()/365*A11)</f>
        <v>14.2327726591625</v>
      </c>
      <c r="D11" s="3" t="n">
        <f aca="false">IF((E11+F11)&gt;C11,C11,E11+F11)</f>
        <v>14.2327726591625</v>
      </c>
      <c r="E11" s="46" t="n">
        <f aca="false">(V$27+V$28*SIN(2*PI()/365*A11))*V$29/100*V$9*V$10/100</f>
        <v>0</v>
      </c>
      <c r="F11" s="46" t="n">
        <f aca="false">(V$27+V$28*SIN(2*PI()/365*A11))*V$29/100*V$11*(1-V$18/100)*(1-V$20/100)</f>
        <v>21.2187694873103</v>
      </c>
      <c r="G11" s="46" t="n">
        <f aca="false">IF(C11&gt;E11,100,C11/E11*100)</f>
        <v>100</v>
      </c>
      <c r="H11" s="46" t="n">
        <f aca="false">L11/F11*100</f>
        <v>67.0763338452507</v>
      </c>
      <c r="I11" s="47" t="n">
        <f aca="false">(V$27+V$28*SIN(2*PI()/365*A11))*V$29/100*V$9*V$10/100*(1-V$19/100)</f>
        <v>0</v>
      </c>
      <c r="J11" s="47" t="n">
        <f aca="false">(V$27+V$28*SIN(2*PI()/365*A11))*V$29/100*V$11*(1-V$18/100)</f>
        <v>23.3173291069344</v>
      </c>
      <c r="K11" s="48" t="n">
        <f aca="false">IF(E11/C11*100&lt;100,E11/C11*100,100)</f>
        <v>0</v>
      </c>
      <c r="L11" s="7" t="n">
        <f aca="false">IF(((C11-E11)&gt;0)AND(F11&gt;(C11-E11)),(C11-E11),IF(C11&lt;E11,0,F11))</f>
        <v>14.2327726591625</v>
      </c>
      <c r="M11" s="7" t="n">
        <f aca="false">IF(C11&lt;(E11+F11),0,C11-E11-F11)</f>
        <v>0</v>
      </c>
      <c r="N11" s="7" t="n">
        <f aca="false">IF(C11&lt;(E11+F11),0,(C11-E11-F11)/(1-V$20/100))</f>
        <v>0</v>
      </c>
      <c r="O11" s="7" t="n">
        <f aca="false">L11+M11</f>
        <v>14.2327726591625</v>
      </c>
      <c r="P11" s="49" t="n">
        <f aca="false">IF( N11=0,I11*(1-G11/100)+J11*(1-H11/100),-N11)</f>
        <v>7.67691959137126</v>
      </c>
      <c r="Q11" s="54" t="n">
        <f aca="false">IF(P10&gt;0,Q10+P10*(1-V$24/100),Q10+P10)</f>
        <v>28.192613414081</v>
      </c>
      <c r="R11" s="55" t="n">
        <f aca="false">R$4+Q11/V$32</f>
        <v>40.2741785320599</v>
      </c>
      <c r="S11" s="64" t="s">
        <v>51</v>
      </c>
      <c r="T11" s="1" t="n">
        <v>11</v>
      </c>
      <c r="U11" s="51" t="s">
        <v>52</v>
      </c>
      <c r="V11" s="65" t="n">
        <v>28</v>
      </c>
      <c r="W11" s="48" t="s">
        <v>39</v>
      </c>
      <c r="X11" s="51" t="s">
        <v>53</v>
      </c>
      <c r="Y11" s="5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customFormat="false" ht="12.8" hidden="false" customHeight="false" outlineLevel="0" collapsed="false">
      <c r="A12" s="1" t="n">
        <v>8</v>
      </c>
      <c r="B12" s="44" t="n">
        <v>43553</v>
      </c>
      <c r="C12" s="45" t="n">
        <f aca="false">V$30-V$30*SIN(2*PI()/365*A12)</f>
        <v>13.956612166726</v>
      </c>
      <c r="D12" s="3" t="n">
        <f aca="false">IF((E12+F12)&gt;C12,C12,E12+F12)</f>
        <v>13.956612166726</v>
      </c>
      <c r="E12" s="46" t="n">
        <f aca="false">(V$27+V$28*SIN(2*PI()/365*A12))*V$29/100*V$9*V$10/100</f>
        <v>0</v>
      </c>
      <c r="F12" s="46" t="n">
        <f aca="false">(V$27+V$28*SIN(2*PI()/365*A12))*V$29/100*V$11*(1-V$18/100)*(1-V$20/100)</f>
        <v>21.4964345644128</v>
      </c>
      <c r="G12" s="46" t="n">
        <f aca="false">IF(C12&gt;E12,100,C12/E12*100)</f>
        <v>100</v>
      </c>
      <c r="H12" s="46" t="n">
        <f aca="false">L12/F12*100</f>
        <v>64.925242020512</v>
      </c>
      <c r="I12" s="47" t="n">
        <f aca="false">(V$27+V$28*SIN(2*PI()/365*A12))*V$29/100*V$9*V$10/100*(1-V$19/100)</f>
        <v>0</v>
      </c>
      <c r="J12" s="47" t="n">
        <f aca="false">(V$27+V$28*SIN(2*PI()/365*A12))*V$29/100*V$11*(1-V$18/100)</f>
        <v>23.6224555652888</v>
      </c>
      <c r="K12" s="48" t="n">
        <f aca="false">IF(E12/C12*100&lt;100,E12/C12*100,100)</f>
        <v>0</v>
      </c>
      <c r="L12" s="7" t="n">
        <f aca="false">IF(((C12-E12)&gt;0)AND(F12&gt;(C12-E12)),(C12-E12),IF(C12&lt;E12,0,F12))</f>
        <v>13.956612166726</v>
      </c>
      <c r="M12" s="7" t="n">
        <f aca="false">IF(C12&lt;(E12+F12),0,C12-E12-F12)</f>
        <v>0</v>
      </c>
      <c r="N12" s="7" t="n">
        <f aca="false">IF(C12&lt;(E12+F12),0,(C12-E12-F12)/(1-V$20/100))</f>
        <v>0</v>
      </c>
      <c r="O12" s="7" t="n">
        <f aca="false">L12+M12</f>
        <v>13.956612166726</v>
      </c>
      <c r="P12" s="49" t="n">
        <f aca="false">IF( N12=0,I12*(1-G12/100)+J12*(1-H12/100),-N12)</f>
        <v>8.28551911833715</v>
      </c>
      <c r="Q12" s="54" t="n">
        <f aca="false">IF(P11&gt;0,Q11+P11*(1-V$24/100),Q11+P11)</f>
        <v>34.1038414994368</v>
      </c>
      <c r="R12" s="55" t="n">
        <f aca="false">R$4+Q12/V$32</f>
        <v>40.3316663504225</v>
      </c>
      <c r="S12" s="5" t="s">
        <v>54</v>
      </c>
      <c r="T12" s="1" t="n">
        <v>12</v>
      </c>
      <c r="U12" s="53" t="s">
        <v>55</v>
      </c>
      <c r="V12" s="65" t="n">
        <v>13</v>
      </c>
      <c r="W12" s="1" t="s">
        <v>56</v>
      </c>
      <c r="X12" s="67" t="s">
        <v>57</v>
      </c>
      <c r="Y12" s="68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</row>
    <row r="13" customFormat="false" ht="12.8" hidden="false" customHeight="false" outlineLevel="0" collapsed="false">
      <c r="A13" s="1" t="n">
        <v>9</v>
      </c>
      <c r="B13" s="44" t="n">
        <v>43554</v>
      </c>
      <c r="C13" s="45" t="n">
        <f aca="false">V$30-V$30*SIN(2*PI()/365*A13)</f>
        <v>13.6811097505061</v>
      </c>
      <c r="D13" s="3" t="n">
        <f aca="false">IF((E13+F13)&gt;C13,C13,E13+F13)</f>
        <v>13.6811097505061</v>
      </c>
      <c r="E13" s="46" t="n">
        <f aca="false">(V$27+V$28*SIN(2*PI()/365*A13))*V$29/100*V$9*V$10/100</f>
        <v>0</v>
      </c>
      <c r="F13" s="46" t="n">
        <f aca="false">(V$27+V$28*SIN(2*PI()/365*A13))*V$29/100*V$11*(1-V$18/100)*(1-V$20/100)</f>
        <v>21.7734379799513</v>
      </c>
      <c r="G13" s="46" t="n">
        <f aca="false">IF(C13&gt;E13,100,C13/E13*100)</f>
        <v>100</v>
      </c>
      <c r="H13" s="46" t="n">
        <f aca="false">L13/F13*100</f>
        <v>62.8339436477762</v>
      </c>
      <c r="I13" s="47" t="n">
        <f aca="false">(V$27+V$28*SIN(2*PI()/365*A13))*V$29/100*V$9*V$10/100*(1-V$19/100)</f>
        <v>0</v>
      </c>
      <c r="J13" s="47" t="n">
        <f aca="false">(V$27+V$28*SIN(2*PI()/365*A13))*V$29/100*V$11*(1-V$18/100)</f>
        <v>23.9268549230234</v>
      </c>
      <c r="K13" s="48" t="n">
        <f aca="false">IF(E13/C13*100&lt;100,E13/C13*100,100)</f>
        <v>0</v>
      </c>
      <c r="L13" s="7" t="n">
        <f aca="false">IF(((C13-E13)&gt;0)AND(F13&gt;(C13-E13)),(C13-E13),IF(C13&lt;E13,0,F13))</f>
        <v>13.6811097505061</v>
      </c>
      <c r="M13" s="7" t="n">
        <f aca="false">IF(C13&lt;(E13+F13),0,C13-E13-F13)</f>
        <v>0</v>
      </c>
      <c r="N13" s="7" t="n">
        <f aca="false">IF(C13&lt;(E13+F13),0,(C13-E13-F13)/(1-V$20/100))</f>
        <v>0</v>
      </c>
      <c r="O13" s="7" t="n">
        <f aca="false">L13+M13</f>
        <v>13.6811097505061</v>
      </c>
      <c r="P13" s="49" t="n">
        <f aca="false">IF( N13=0,I13*(1-G13/100)+J13*(1-H13/100),-N13)</f>
        <v>8.8926683840057</v>
      </c>
      <c r="Q13" s="54" t="n">
        <f aca="false">IF(P12&gt;0,Q12+P12*(1-V$24/100),Q12+P12)</f>
        <v>40.4836912205564</v>
      </c>
      <c r="R13" s="55" t="n">
        <f aca="false">R$4+Q13/V$32</f>
        <v>40.3937116033974</v>
      </c>
      <c r="S13" s="69" t="n">
        <f aca="false">t!D209</f>
        <v>959.130057027491</v>
      </c>
      <c r="T13" s="1" t="n">
        <v>13</v>
      </c>
      <c r="U13" s="53" t="s">
        <v>58</v>
      </c>
      <c r="V13" s="65" t="n">
        <v>166</v>
      </c>
      <c r="W13" s="1" t="s">
        <v>56</v>
      </c>
      <c r="X13" s="67" t="s">
        <v>57</v>
      </c>
      <c r="Y13" s="68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customFormat="false" ht="12.8" hidden="false" customHeight="false" outlineLevel="0" collapsed="false">
      <c r="A14" s="1" t="n">
        <v>10</v>
      </c>
      <c r="B14" s="44" t="n">
        <v>43555</v>
      </c>
      <c r="C14" s="45" t="n">
        <f aca="false">V$30-V$30*SIN(2*PI()/365*A14)</f>
        <v>13.4063470478143</v>
      </c>
      <c r="D14" s="3" t="n">
        <f aca="false">IF((E14+F14)&gt;C14,C14,E14+F14)</f>
        <v>13.4063470478143</v>
      </c>
      <c r="E14" s="46" t="n">
        <f aca="false">(V$27+V$28*SIN(2*PI()/365*A14))*V$29/100*V$9*V$10/100</f>
        <v>0</v>
      </c>
      <c r="F14" s="46" t="n">
        <f aca="false">(V$27+V$28*SIN(2*PI()/365*A14))*V$29/100*V$11*(1-V$18/100)*(1-V$20/100)</f>
        <v>22.0496976518353</v>
      </c>
      <c r="G14" s="46" t="n">
        <f aca="false">IF(C14&gt;E14,100,C14/E14*100)</f>
        <v>100</v>
      </c>
      <c r="H14" s="46" t="n">
        <f aca="false">L14/F14*100</f>
        <v>60.8005935478142</v>
      </c>
      <c r="I14" s="47" t="n">
        <f aca="false">(V$27+V$28*SIN(2*PI()/365*A14))*V$29/100*V$9*V$10/100*(1-V$19/100)</f>
        <v>0</v>
      </c>
      <c r="J14" s="47" t="n">
        <f aca="false">(V$27+V$28*SIN(2*PI()/365*A14))*V$29/100*V$11*(1-V$18/100)</f>
        <v>24.2304369800388</v>
      </c>
      <c r="K14" s="48" t="n">
        <f aca="false">IF(E14/C14*100&lt;100,E14/C14*100,100)</f>
        <v>0</v>
      </c>
      <c r="L14" s="7" t="n">
        <f aca="false">IF(((C14-E14)&gt;0)AND(F14&gt;(C14-E14)),(C14-E14),IF(C14&lt;E14,0,F14))</f>
        <v>13.4063470478143</v>
      </c>
      <c r="M14" s="7" t="n">
        <f aca="false">IF(C14&lt;(E14+F14),0,C14-E14-F14)</f>
        <v>0</v>
      </c>
      <c r="N14" s="7" t="n">
        <f aca="false">IF(C14&lt;(E14+F14),0,(C14-E14-F14)/(1-V$20/100))</f>
        <v>0</v>
      </c>
      <c r="O14" s="7" t="n">
        <f aca="false">L14+M14</f>
        <v>13.4063470478143</v>
      </c>
      <c r="P14" s="49" t="n">
        <f aca="false">IF( N14=0,I14*(1-G14/100)+J14*(1-H14/100),-N14)</f>
        <v>9.49818747694613</v>
      </c>
      <c r="Q14" s="54" t="n">
        <f aca="false">IF(P13&gt;0,Q13+P13*(1-V$24/100),Q13+P13)</f>
        <v>47.3310458762408</v>
      </c>
      <c r="R14" s="55" t="n">
        <f aca="false">R$4+Q14/V$32</f>
        <v>40.4603034308528</v>
      </c>
      <c r="S14" s="16" t="s">
        <v>1</v>
      </c>
      <c r="T14" s="1" t="n">
        <v>14</v>
      </c>
      <c r="U14" s="70" t="s">
        <v>59</v>
      </c>
      <c r="V14" s="65" t="n">
        <v>529</v>
      </c>
      <c r="W14" s="1" t="s">
        <v>35</v>
      </c>
      <c r="X14" s="71" t="s">
        <v>60</v>
      </c>
      <c r="Y14" s="51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customFormat="false" ht="12.8" hidden="false" customHeight="false" outlineLevel="0" collapsed="false">
      <c r="A15" s="1" t="n">
        <v>11</v>
      </c>
      <c r="B15" s="44" t="n">
        <v>43556</v>
      </c>
      <c r="C15" s="45" t="n">
        <f aca="false">V$30-V$30*SIN(2*PI()/365*A15)</f>
        <v>13.1324054767694</v>
      </c>
      <c r="D15" s="3" t="n">
        <f aca="false">IF((E15+F15)&gt;C15,C15,E15+F15)</f>
        <v>13.1324054767694</v>
      </c>
      <c r="E15" s="46" t="n">
        <f aca="false">(V$27+V$28*SIN(2*PI()/365*A15))*V$29/100*V$9*V$10/100</f>
        <v>0</v>
      </c>
      <c r="F15" s="46" t="n">
        <f aca="false">(V$27+V$28*SIN(2*PI()/365*A15))*V$29/100*V$11*(1-V$18/100)*(1-V$20/100)</f>
        <v>22.325131718362</v>
      </c>
      <c r="G15" s="46" t="n">
        <f aca="false">IF(C15&gt;E15,100,C15/E15*100)</f>
        <v>100</v>
      </c>
      <c r="H15" s="46" t="n">
        <f aca="false">L15/F15*100</f>
        <v>58.8234176731342</v>
      </c>
      <c r="I15" s="47" t="n">
        <f aca="false">(V$27+V$28*SIN(2*PI()/365*A15))*V$29/100*V$9*V$10/100*(1-V$19/100)</f>
        <v>0</v>
      </c>
      <c r="J15" s="47" t="n">
        <f aca="false">(V$27+V$28*SIN(2*PI()/365*A15))*V$29/100*V$11*(1-V$18/100)</f>
        <v>24.5331117784197</v>
      </c>
      <c r="K15" s="48" t="n">
        <f aca="false">IF(E15/C15*100&lt;100,E15/C15*100,100)</f>
        <v>0</v>
      </c>
      <c r="L15" s="7" t="n">
        <f aca="false">IF(((C15-E15)&gt;0)AND(F15&gt;(C15-E15)),(C15-E15),IF(C15&lt;E15,0,F15))</f>
        <v>13.1324054767694</v>
      </c>
      <c r="M15" s="7" t="n">
        <f aca="false">IF(C15&lt;(E15+F15),0,C15-E15-F15)</f>
        <v>0</v>
      </c>
      <c r="N15" s="7" t="n">
        <f aca="false">IF(C15&lt;(E15+F15),0,(C15-E15-F15)/(1-V$20/100))</f>
        <v>0</v>
      </c>
      <c r="O15" s="7" t="n">
        <f aca="false">L15+M15</f>
        <v>13.1324054767694</v>
      </c>
      <c r="P15" s="49" t="n">
        <f aca="false">IF( N15=0,I15*(1-G15/100)+J15*(1-H15/100),-N15)</f>
        <v>10.101896968783</v>
      </c>
      <c r="Q15" s="54" t="n">
        <f aca="false">IF(P14&gt;0,Q14+P14*(1-V$24/100),Q14+P14)</f>
        <v>54.6446502334893</v>
      </c>
      <c r="R15" s="55" t="n">
        <f aca="false">R$4+Q15/V$32</f>
        <v>40.531429625409</v>
      </c>
      <c r="S15" s="72" t="s">
        <v>61</v>
      </c>
      <c r="T15" s="1" t="n">
        <v>15</v>
      </c>
      <c r="U15" s="70" t="s">
        <v>62</v>
      </c>
      <c r="V15" s="65" t="n">
        <v>370</v>
      </c>
      <c r="W15" s="1" t="s">
        <v>35</v>
      </c>
      <c r="X15" s="71" t="s">
        <v>63</v>
      </c>
      <c r="Y15" s="51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customFormat="false" ht="12.8" hidden="false" customHeight="false" outlineLevel="0" collapsed="false">
      <c r="A16" s="1" t="n">
        <v>12</v>
      </c>
      <c r="B16" s="44" t="n">
        <v>43557</v>
      </c>
      <c r="C16" s="45" t="n">
        <f aca="false">V$30-V$30*SIN(2*PI()/365*A16)</f>
        <v>12.8593662121711</v>
      </c>
      <c r="D16" s="3" t="n">
        <f aca="false">IF((E16+F16)&gt;C16,C16,E16+F16)</f>
        <v>12.8593662121711</v>
      </c>
      <c r="E16" s="46" t="n">
        <f aca="false">(V$27+V$28*SIN(2*PI()/365*A16))*V$29/100*V$9*V$10/100</f>
        <v>0</v>
      </c>
      <c r="F16" s="46" t="n">
        <f aca="false">(V$27+V$28*SIN(2*PI()/365*A16))*V$29/100*V$11*(1-V$18/100)*(1-V$20/100)</f>
        <v>22.5996585624731</v>
      </c>
      <c r="G16" s="46" t="n">
        <f aca="false">IF(C16&gt;E16,100,C16/E16*100)</f>
        <v>100</v>
      </c>
      <c r="H16" s="46" t="n">
        <f aca="false">L16/F16*100</f>
        <v>56.9007101440203</v>
      </c>
      <c r="I16" s="47" t="n">
        <f aca="false">(V$27+V$28*SIN(2*PI()/365*A16))*V$29/100*V$9*V$10/100*(1-V$19/100)</f>
        <v>0</v>
      </c>
      <c r="J16" s="47" t="n">
        <f aca="false">(V$27+V$28*SIN(2*PI()/365*A16))*V$29/100*V$11*(1-V$18/100)</f>
        <v>24.8347896290913</v>
      </c>
      <c r="K16" s="48" t="n">
        <f aca="false">IF(E16/C16*100&lt;100,E16/C16*100,100)</f>
        <v>0</v>
      </c>
      <c r="L16" s="7" t="n">
        <f aca="false">IF(((C16-E16)&gt;0)AND(F16&gt;(C16-E16)),(C16-E16),IF(C16&lt;E16,0,F16))</f>
        <v>12.8593662121711</v>
      </c>
      <c r="M16" s="7" t="n">
        <f aca="false">IF(C16&lt;(E16+F16),0,C16-E16-F16)</f>
        <v>0</v>
      </c>
      <c r="N16" s="7" t="n">
        <f aca="false">IF(C16&lt;(E16+F16),0,(C16-E16-F16)/(1-V$20/100))</f>
        <v>0</v>
      </c>
      <c r="O16" s="7" t="n">
        <f aca="false">L16+M16</f>
        <v>12.8593662121711</v>
      </c>
      <c r="P16" s="49" t="n">
        <f aca="false">IF( N16=0,I16*(1-G16/100)+J16*(1-H16/100),-N16)</f>
        <v>10.7036179673648</v>
      </c>
      <c r="Q16" s="54" t="n">
        <f aca="false">IF(P15&gt;0,Q15+P15*(1-V$24/100),Q15+P15)</f>
        <v>62.4231108994522</v>
      </c>
      <c r="R16" s="55" t="n">
        <f aca="false">R$4+Q16/V$32</f>
        <v>40.6070766360552</v>
      </c>
      <c r="S16" s="73" t="n">
        <f aca="false">t!H210</f>
        <v>0.021599316311358</v>
      </c>
      <c r="T16" s="1" t="n">
        <v>16</v>
      </c>
      <c r="U16" s="51" t="s">
        <v>64</v>
      </c>
      <c r="V16" s="65" t="n">
        <v>30</v>
      </c>
      <c r="W16" s="1" t="s">
        <v>27</v>
      </c>
      <c r="X16" s="51" t="s">
        <v>65</v>
      </c>
      <c r="Y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customFormat="false" ht="12.8" hidden="false" customHeight="false" outlineLevel="0" collapsed="false">
      <c r="A17" s="1" t="n">
        <v>13</v>
      </c>
      <c r="B17" s="44" t="n">
        <v>43558</v>
      </c>
      <c r="C17" s="45" t="n">
        <f aca="false">V$30-V$30*SIN(2*PI()/365*A17)</f>
        <v>12.587310161446</v>
      </c>
      <c r="D17" s="3" t="n">
        <f aca="false">IF((E17+F17)&gt;C17,C17,E17+F17)</f>
        <v>12.587310161446</v>
      </c>
      <c r="E17" s="46" t="n">
        <f aca="false">(V$27+V$28*SIN(2*PI()/365*A17))*V$29/100*V$9*V$10/100</f>
        <v>0</v>
      </c>
      <c r="F17" s="46" t="n">
        <f aca="false">(V$27+V$28*SIN(2*PI()/365*A17))*V$29/100*V$11*(1-V$18/100)*(1-V$20/100)</f>
        <v>22.8731968359398</v>
      </c>
      <c r="G17" s="46" t="n">
        <f aca="false">IF(C17&gt;E17,100,C17/E17*100)</f>
        <v>100</v>
      </c>
      <c r="H17" s="46" t="n">
        <f aca="false">L17/F17*100</f>
        <v>55.0308304157466</v>
      </c>
      <c r="I17" s="47" t="n">
        <f aca="false">(V$27+V$28*SIN(2*PI()/365*A17))*V$29/100*V$9*V$10/100*(1-V$19/100)</f>
        <v>0</v>
      </c>
      <c r="J17" s="47" t="n">
        <f aca="false">(V$27+V$28*SIN(2*PI()/365*A17))*V$29/100*V$11*(1-V$18/100)</f>
        <v>25.1353811383954</v>
      </c>
      <c r="K17" s="48" t="n">
        <f aca="false">IF(E17/C17*100&lt;100,E17/C17*100,100)</f>
        <v>0</v>
      </c>
      <c r="L17" s="7" t="n">
        <f aca="false">IF(((C17-E17)&gt;0)AND(F17&gt;(C17-E17)),(C17-E17),IF(C17&lt;E17,0,F17))</f>
        <v>12.587310161446</v>
      </c>
      <c r="M17" s="7" t="n">
        <f aca="false">IF(C17&lt;(E17+F17),0,C17-E17-F17)</f>
        <v>0</v>
      </c>
      <c r="N17" s="7" t="n">
        <f aca="false">IF(C17&lt;(E17+F17),0,(C17-E17-F17)/(1-V$20/100))</f>
        <v>0</v>
      </c>
      <c r="O17" s="7" t="n">
        <f aca="false">L17+M17</f>
        <v>12.587310161446</v>
      </c>
      <c r="P17" s="49" t="n">
        <f aca="false">IF( N17=0,I17*(1-G17/100)+J17*(1-H17/100),-N17)</f>
        <v>11.3031721697735</v>
      </c>
      <c r="Q17" s="54" t="n">
        <f aca="false">IF(P16&gt;0,Q16+P16*(1-V$24/100),Q16+P16)</f>
        <v>70.6648967343232</v>
      </c>
      <c r="R17" s="55" t="n">
        <f aca="false">R$4+Q17/V$32</f>
        <v>40.6872295721654</v>
      </c>
      <c r="S17" s="2" t="s">
        <v>54</v>
      </c>
      <c r="T17" s="1" t="n">
        <v>17</v>
      </c>
      <c r="U17" s="53" t="s">
        <v>66</v>
      </c>
      <c r="V17" s="65" t="n">
        <v>85</v>
      </c>
      <c r="W17" s="1" t="s">
        <v>27</v>
      </c>
      <c r="X17" s="51" t="s">
        <v>65</v>
      </c>
      <c r="Y17" s="51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customFormat="false" ht="12.8" hidden="false" customHeight="false" outlineLevel="0" collapsed="false">
      <c r="A18" s="1" t="n">
        <v>14</v>
      </c>
      <c r="B18" s="44" t="n">
        <v>43559</v>
      </c>
      <c r="C18" s="45" t="n">
        <f aca="false">V$30-V$30*SIN(2*PI()/365*A18)</f>
        <v>12.3163179406735</v>
      </c>
      <c r="D18" s="3" t="n">
        <f aca="false">IF((E18+F18)&gt;C18,C18,E18+F18)</f>
        <v>12.3163179406735</v>
      </c>
      <c r="E18" s="46" t="n">
        <f aca="false">(V$27+V$28*SIN(2*PI()/365*A18))*V$29/100*V$9*V$10/100</f>
        <v>0</v>
      </c>
      <c r="F18" s="46" t="n">
        <f aca="false">(V$27+V$28*SIN(2*PI()/365*A18))*V$29/100*V$11*(1-V$18/100)*(1-V$20/100)</f>
        <v>23.1456654834685</v>
      </c>
      <c r="G18" s="46" t="n">
        <f aca="false">IF(C18&gt;E18,100,C18/E18*100)</f>
        <v>100</v>
      </c>
      <c r="H18" s="46" t="n">
        <f aca="false">L18/F18*100</f>
        <v>53.2122005715077</v>
      </c>
      <c r="I18" s="47" t="n">
        <f aca="false">(V$27+V$28*SIN(2*PI()/365*A18))*V$29/100*V$9*V$10/100*(1-V$19/100)</f>
        <v>0</v>
      </c>
      <c r="J18" s="47" t="n">
        <f aca="false">(V$27+V$28*SIN(2*PI()/365*A18))*V$29/100*V$11*(1-V$18/100)</f>
        <v>25.4347972345807</v>
      </c>
      <c r="K18" s="48" t="n">
        <f aca="false">IF(E18/C18*100&lt;100,E18/C18*100,100)</f>
        <v>0</v>
      </c>
      <c r="L18" s="7" t="n">
        <f aca="false">IF(((C18-E18)&gt;0)AND(F18&gt;(C18-E18)),(C18-E18),IF(C18&lt;E18,0,F18))</f>
        <v>12.3163179406735</v>
      </c>
      <c r="M18" s="7" t="n">
        <f aca="false">IF(C18&lt;(E18+F18),0,C18-E18-F18)</f>
        <v>0</v>
      </c>
      <c r="N18" s="7" t="n">
        <f aca="false">IF(C18&lt;(E18+F18),0,(C18-E18-F18)/(1-V$20/100))</f>
        <v>0</v>
      </c>
      <c r="O18" s="7" t="n">
        <f aca="false">L18+M18</f>
        <v>12.3163179406735</v>
      </c>
      <c r="P18" s="49" t="n">
        <f aca="false">IF( N18=0,I18*(1-G18/100)+J18*(1-H18/100),-N18)</f>
        <v>11.9003819151594</v>
      </c>
      <c r="Q18" s="54" t="n">
        <f aca="false">IF(P17&gt;0,Q17+P17*(1-V$24/100),Q17+P17)</f>
        <v>79.3683393050488</v>
      </c>
      <c r="R18" s="55" t="n">
        <f aca="false">R$4+Q18/V$32</f>
        <v>40.7718722079105</v>
      </c>
      <c r="S18" s="74" t="n">
        <f aca="false">t!H209</f>
        <v>0.401809982313581</v>
      </c>
      <c r="T18" s="1" t="n">
        <v>18</v>
      </c>
      <c r="U18" s="53" t="s">
        <v>67</v>
      </c>
      <c r="V18" s="65" t="n">
        <v>11</v>
      </c>
      <c r="W18" s="1" t="s">
        <v>27</v>
      </c>
      <c r="X18" s="51" t="s">
        <v>68</v>
      </c>
      <c r="Y18" s="5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customFormat="false" ht="12.8" hidden="false" customHeight="false" outlineLevel="0" collapsed="false">
      <c r="A19" s="1" t="n">
        <v>15</v>
      </c>
      <c r="B19" s="44" t="n">
        <v>43560</v>
      </c>
      <c r="C19" s="45" t="n">
        <f aca="false">V$30-V$30*SIN(2*PI()/365*A19)</f>
        <v>12.046469850697</v>
      </c>
      <c r="D19" s="3" t="n">
        <f aca="false">IF((E19+F19)&gt;C19,C19,E19+F19)</f>
        <v>12.046469850697</v>
      </c>
      <c r="E19" s="46" t="n">
        <f aca="false">(V$27+V$28*SIN(2*PI()/365*A19))*V$29/100*V$9*V$10/100</f>
        <v>0</v>
      </c>
      <c r="F19" s="46" t="n">
        <f aca="false">(V$27+V$28*SIN(2*PI()/365*A19))*V$29/100*V$11*(1-V$18/100)*(1-V$20/100)</f>
        <v>23.4169837667183</v>
      </c>
      <c r="G19" s="46" t="n">
        <f aca="false">IF(C19&gt;E19,100,C19/E19*100)</f>
        <v>100</v>
      </c>
      <c r="H19" s="46" t="n">
        <f aca="false">L19/F19*100</f>
        <v>51.4433027357614</v>
      </c>
      <c r="I19" s="47" t="n">
        <f aca="false">(V$27+V$28*SIN(2*PI()/365*A19))*V$29/100*V$9*V$10/100*(1-V$19/100)</f>
        <v>0</v>
      </c>
      <c r="J19" s="47" t="n">
        <f aca="false">(V$27+V$28*SIN(2*PI()/365*A19))*V$29/100*V$11*(1-V$18/100)</f>
        <v>25.732949194196</v>
      </c>
      <c r="K19" s="48" t="n">
        <f aca="false">IF(E19/C19*100&lt;100,E19/C19*100,100)</f>
        <v>0</v>
      </c>
      <c r="L19" s="7" t="n">
        <f aca="false">IF(((C19-E19)&gt;0)AND(F19&gt;(C19-E19)),(C19-E19),IF(C19&lt;E19,0,F19))</f>
        <v>12.046469850697</v>
      </c>
      <c r="M19" s="7" t="n">
        <f aca="false">IF(C19&lt;(E19+F19),0,C19-E19-F19)</f>
        <v>0</v>
      </c>
      <c r="N19" s="7" t="n">
        <f aca="false">IF(C19&lt;(E19+F19),0,(C19-E19-F19)/(1-V$20/100))</f>
        <v>0</v>
      </c>
      <c r="O19" s="7" t="n">
        <f aca="false">L19+M19</f>
        <v>12.046469850697</v>
      </c>
      <c r="P19" s="49" t="n">
        <f aca="false">IF( N19=0,I19*(1-G19/100)+J19*(1-H19/100),-N19)</f>
        <v>12.4950702373861</v>
      </c>
      <c r="Q19" s="54" t="n">
        <f aca="false">IF(P18&gt;0,Q18+P18*(1-V$24/100),Q18+P18)</f>
        <v>88.5316333797215</v>
      </c>
      <c r="R19" s="55" t="n">
        <f aca="false">R$4+Q19/V$32</f>
        <v>40.8609869870665</v>
      </c>
      <c r="T19" s="1" t="n">
        <v>19</v>
      </c>
      <c r="U19" s="51" t="s">
        <v>69</v>
      </c>
      <c r="V19" s="65" t="n">
        <v>20</v>
      </c>
      <c r="W19" s="1" t="s">
        <v>27</v>
      </c>
      <c r="X19" s="71" t="s">
        <v>70</v>
      </c>
      <c r="Y19" s="51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customFormat="false" ht="12.8" hidden="false" customHeight="false" outlineLevel="0" collapsed="false">
      <c r="A20" s="1" t="n">
        <v>16</v>
      </c>
      <c r="B20" s="44" t="n">
        <v>43561</v>
      </c>
      <c r="C20" s="45" t="n">
        <f aca="false">V$30-V$30*SIN(2*PI()/365*A20)</f>
        <v>11.7778458533295</v>
      </c>
      <c r="D20" s="3" t="n">
        <f aca="false">IF((E20+F20)&gt;C20,C20,E20+F20)</f>
        <v>11.7778458533295</v>
      </c>
      <c r="E20" s="46" t="n">
        <f aca="false">(V$27+V$28*SIN(2*PI()/365*A20))*V$29/100*V$9*V$10/100</f>
        <v>0</v>
      </c>
      <c r="F20" s="46" t="n">
        <f aca="false">(V$27+V$28*SIN(2*PI()/365*A20))*V$29/100*V$11*(1-V$18/100)*(1-V$20/100)</f>
        <v>23.6870712882266</v>
      </c>
      <c r="G20" s="46" t="n">
        <f aca="false">IF(C20&gt;E20,100,C20/E20*100)</f>
        <v>100</v>
      </c>
      <c r="H20" s="46" t="n">
        <f aca="false">L20/F20*100</f>
        <v>49.722676602842</v>
      </c>
      <c r="I20" s="47" t="n">
        <f aca="false">(V$27+V$28*SIN(2*PI()/365*A20))*V$29/100*V$9*V$10/100*(1-V$19/100)</f>
        <v>0</v>
      </c>
      <c r="J20" s="47" t="n">
        <f aca="false">(V$27+V$28*SIN(2*PI()/365*A20))*V$29/100*V$11*(1-V$18/100)</f>
        <v>26.0297486683808</v>
      </c>
      <c r="K20" s="48" t="n">
        <f aca="false">IF(E20/C20*100&lt;100,E20/C20*100,100)</f>
        <v>0</v>
      </c>
      <c r="L20" s="7" t="n">
        <f aca="false">IF(((C20-E20)&gt;0)AND(F20&gt;(C20-E20)),(C20-E20),IF(C20&lt;E20,0,F20))</f>
        <v>11.7778458533295</v>
      </c>
      <c r="M20" s="7" t="n">
        <f aca="false">IF(C20&lt;(E20+F20),0,C20-E20-F20)</f>
        <v>0</v>
      </c>
      <c r="N20" s="7" t="n">
        <f aca="false">IF(C20&lt;(E20+F20),0,(C20-E20-F20)/(1-V$20/100))</f>
        <v>0</v>
      </c>
      <c r="O20" s="7" t="n">
        <f aca="false">L20+M20</f>
        <v>11.7778458533295</v>
      </c>
      <c r="P20" s="49" t="n">
        <f aca="false">IF( N20=0,I20*(1-G20/100)+J20*(1-H20/100),-N20)</f>
        <v>13.0870609174693</v>
      </c>
      <c r="Q20" s="54" t="n">
        <f aca="false">IF(P19&gt;0,Q19+P19*(1-V$24/100),Q19+P19)</f>
        <v>98.1528374625087</v>
      </c>
      <c r="R20" s="55" t="n">
        <f aca="false">R$4+Q20/V$32</f>
        <v>40.9545550282169</v>
      </c>
      <c r="S20" s="1" t="s">
        <v>71</v>
      </c>
      <c r="T20" s="1" t="n">
        <v>20</v>
      </c>
      <c r="U20" s="53" t="s">
        <v>72</v>
      </c>
      <c r="V20" s="56" t="n">
        <v>9</v>
      </c>
      <c r="W20" s="1" t="s">
        <v>27</v>
      </c>
      <c r="X20" s="75" t="s">
        <v>73</v>
      </c>
      <c r="Y20" s="5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customFormat="false" ht="12.8" hidden="false" customHeight="false" outlineLevel="0" collapsed="false">
      <c r="A21" s="1" t="n">
        <v>17</v>
      </c>
      <c r="B21" s="44" t="n">
        <v>43562</v>
      </c>
      <c r="C21" s="45" t="n">
        <f aca="false">V$30-V$30*SIN(2*PI()/365*A21)</f>
        <v>11.5105255476588</v>
      </c>
      <c r="D21" s="3" t="n">
        <f aca="false">IF((E21+F21)&gt;C21,C21,E21+F21)</f>
        <v>11.5105255476588</v>
      </c>
      <c r="E21" s="46" t="n">
        <f aca="false">(V$27+V$28*SIN(2*PI()/365*A21))*V$29/100*V$9*V$10/100</f>
        <v>0</v>
      </c>
      <c r="F21" s="46" t="n">
        <f aca="false">(V$27+V$28*SIN(2*PI()/365*A21))*V$29/100*V$11*(1-V$18/100)*(1-V$20/100)</f>
        <v>23.9558480152316</v>
      </c>
      <c r="G21" s="46" t="n">
        <f aca="false">IF(C21&gt;E21,100,C21/E21*100)</f>
        <v>100</v>
      </c>
      <c r="H21" s="46" t="n">
        <f aca="false">L21/F21*100</f>
        <v>48.0489170758645</v>
      </c>
      <c r="I21" s="47" t="n">
        <f aca="false">(V$27+V$28*SIN(2*PI()/365*A21))*V$29/100*V$9*V$10/100*(1-V$19/100)</f>
        <v>0</v>
      </c>
      <c r="J21" s="47" t="n">
        <f aca="false">(V$27+V$28*SIN(2*PI()/365*A21))*V$29/100*V$11*(1-V$18/100)</f>
        <v>26.3251077090457</v>
      </c>
      <c r="K21" s="48" t="n">
        <f aca="false">IF(E21/C21*100&lt;100,E21/C21*100,100)</f>
        <v>0</v>
      </c>
      <c r="L21" s="7" t="n">
        <f aca="false">IF(((C21-E21)&gt;0)AND(F21&gt;(C21-E21)),(C21-E21),IF(C21&lt;E21,0,F21))</f>
        <v>11.5105255476588</v>
      </c>
      <c r="M21" s="7" t="n">
        <f aca="false">IF(C21&lt;(E21+F21),0,C21-E21-F21)</f>
        <v>0</v>
      </c>
      <c r="N21" s="7" t="n">
        <f aca="false">IF(C21&lt;(E21+F21),0,(C21-E21-F21)/(1-V$20/100))</f>
        <v>0</v>
      </c>
      <c r="O21" s="7" t="n">
        <f aca="false">L21+M21</f>
        <v>11.5105255476588</v>
      </c>
      <c r="P21" s="49" t="n">
        <f aca="false">IF( N21=0,I21*(1-G21/100)+J21*(1-H21/100),-N21)</f>
        <v>13.6761785357943</v>
      </c>
      <c r="Q21" s="54" t="n">
        <f aca="false">IF(P20&gt;0,Q20+P20*(1-V$24/100),Q20+P20)</f>
        <v>108.22987436896</v>
      </c>
      <c r="R21" s="55" t="n">
        <f aca="false">R$4+Q21/V$32</f>
        <v>41.0525561303476</v>
      </c>
      <c r="S21" s="63" t="n">
        <f aca="false">t!D94</f>
        <v>0.720067916298751</v>
      </c>
      <c r="T21" s="1" t="n">
        <v>21</v>
      </c>
      <c r="U21" s="53" t="s">
        <v>74</v>
      </c>
      <c r="V21" s="65" t="n">
        <v>40</v>
      </c>
      <c r="W21" s="1" t="s">
        <v>29</v>
      </c>
      <c r="X21" s="51" t="s">
        <v>65</v>
      </c>
      <c r="Y21" s="51"/>
      <c r="AA21" s="53"/>
      <c r="AB21" s="51" t="s">
        <v>1</v>
      </c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</row>
    <row r="22" customFormat="false" ht="12.8" hidden="false" customHeight="false" outlineLevel="0" collapsed="false">
      <c r="A22" s="1" t="n">
        <v>18</v>
      </c>
      <c r="B22" s="44" t="n">
        <v>43563</v>
      </c>
      <c r="C22" s="45" t="n">
        <f aca="false">V$30-V$30*SIN(2*PI()/365*A22)</f>
        <v>11.2445881464605</v>
      </c>
      <c r="D22" s="3" t="n">
        <f aca="false">IF((E22+F22)&gt;C22,C22,E22+F22)</f>
        <v>11.2445881464605</v>
      </c>
      <c r="E22" s="46" t="n">
        <f aca="false">(V$27+V$28*SIN(2*PI()/365*A22))*V$29/100*V$9*V$10/100</f>
        <v>0</v>
      </c>
      <c r="F22" s="46" t="n">
        <f aca="false">(V$27+V$28*SIN(2*PI()/365*A22))*V$29/100*V$11*(1-V$18/100)*(1-V$20/100)</f>
        <v>24.2232343033885</v>
      </c>
      <c r="G22" s="46" t="n">
        <f aca="false">IF(C22&gt;E22,100,C22/E22*100)</f>
        <v>100</v>
      </c>
      <c r="H22" s="46" t="n">
        <f aca="false">L22/F22*100</f>
        <v>46.4206720111178</v>
      </c>
      <c r="I22" s="47" t="n">
        <f aca="false">(V$27+V$28*SIN(2*PI()/365*A22))*V$29/100*V$9*V$10/100*(1-V$19/100)</f>
        <v>0</v>
      </c>
      <c r="J22" s="47" t="n">
        <f aca="false">(V$27+V$28*SIN(2*PI()/365*A22))*V$29/100*V$11*(1-V$18/100)</f>
        <v>26.6189387949324</v>
      </c>
      <c r="K22" s="48" t="n">
        <f aca="false">IF(E22/C22*100&lt;100,E22/C22*100,100)</f>
        <v>0</v>
      </c>
      <c r="L22" s="7" t="n">
        <f aca="false">IF(((C22-E22)&gt;0)AND(F22&gt;(C22-E22)),(C22-E22),IF(C22&lt;E22,0,F22))</f>
        <v>11.2445881464605</v>
      </c>
      <c r="M22" s="7" t="n">
        <f aca="false">IF(C22&lt;(E22+F22),0,C22-E22-F22)</f>
        <v>0</v>
      </c>
      <c r="N22" s="7" t="n">
        <f aca="false">IF(C22&lt;(E22+F22),0,(C22-E22-F22)/(1-V$20/100))</f>
        <v>0</v>
      </c>
      <c r="O22" s="7" t="n">
        <f aca="false">L22+M22</f>
        <v>11.2445881464605</v>
      </c>
      <c r="P22" s="49" t="n">
        <f aca="false">IF( N22=0,I22*(1-G22/100)+J22*(1-H22/100),-N22)</f>
        <v>14.2622485240966</v>
      </c>
      <c r="Q22" s="54" t="n">
        <f aca="false">IF(P21&gt;0,Q21+P21*(1-V$24/100),Q21+P21)</f>
        <v>118.760531841522</v>
      </c>
      <c r="R22" s="55" t="n">
        <f aca="false">R$4+Q22/V$32</f>
        <v>41.1549687788327</v>
      </c>
      <c r="S22" s="1" t="s">
        <v>75</v>
      </c>
      <c r="T22" s="1" t="n">
        <v>22</v>
      </c>
      <c r="U22" s="53" t="s">
        <v>76</v>
      </c>
      <c r="V22" s="65" t="n">
        <v>116</v>
      </c>
      <c r="W22" s="1" t="s">
        <v>77</v>
      </c>
      <c r="X22" s="51" t="s">
        <v>78</v>
      </c>
      <c r="Y22" s="5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customFormat="false" ht="12.8" hidden="false" customHeight="false" outlineLevel="0" collapsed="false">
      <c r="A23" s="1" t="n">
        <v>19</v>
      </c>
      <c r="B23" s="44" t="n">
        <v>43564</v>
      </c>
      <c r="C23" s="45" t="n">
        <f aca="false">V$30-V$30*SIN(2*PI()/365*A23)</f>
        <v>10.9801124527263</v>
      </c>
      <c r="D23" s="3" t="n">
        <f aca="false">IF((E23+F23)&gt;C23,C23,E23+F23)</f>
        <v>10.9801124527263</v>
      </c>
      <c r="E23" s="46" t="n">
        <f aca="false">(V$27+V$28*SIN(2*PI()/365*A23))*V$29/100*V$9*V$10/100</f>
        <v>0</v>
      </c>
      <c r="F23" s="46" t="n">
        <f aca="false">(V$27+V$28*SIN(2*PI()/365*A23))*V$29/100*V$11*(1-V$18/100)*(1-V$20/100)</f>
        <v>24.4891509203694</v>
      </c>
      <c r="G23" s="46" t="n">
        <f aca="false">IF(C23&gt;E23,100,C23/E23*100)</f>
        <v>100</v>
      </c>
      <c r="H23" s="46" t="n">
        <f aca="false">L23/F23*100</f>
        <v>44.8366400633077</v>
      </c>
      <c r="I23" s="47" t="n">
        <f aca="false">(V$27+V$28*SIN(2*PI()/365*A23))*V$29/100*V$9*V$10/100*(1-V$19/100)</f>
        <v>0</v>
      </c>
      <c r="J23" s="47" t="n">
        <f aca="false">(V$27+V$28*SIN(2*PI()/365*A23))*V$29/100*V$11*(1-V$18/100)</f>
        <v>26.9111548575488</v>
      </c>
      <c r="K23" s="48" t="n">
        <f aca="false">IF(E23/C23*100&lt;100,E23/C23*100,100)</f>
        <v>0</v>
      </c>
      <c r="L23" s="7" t="n">
        <f aca="false">IF(((C23-E23)&gt;0)AND(F23&gt;(C23-E23)),(C23-E23),IF(C23&lt;E23,0,F23))</f>
        <v>10.9801124527263</v>
      </c>
      <c r="M23" s="7" t="n">
        <f aca="false">IF(C23&lt;(E23+F23),0,C23-E23-F23)</f>
        <v>0</v>
      </c>
      <c r="N23" s="7" t="n">
        <f aca="false">IF(C23&lt;(E23+F23),0,(C23-E23-F23)/(1-V$20/100))</f>
        <v>0</v>
      </c>
      <c r="O23" s="7" t="n">
        <f aca="false">L23+M23</f>
        <v>10.9801124527263</v>
      </c>
      <c r="P23" s="49" t="n">
        <f aca="false">IF( N23=0,I23*(1-G23/100)+J23*(1-H23/100),-N23)</f>
        <v>14.8450972171903</v>
      </c>
      <c r="Q23" s="54" t="n">
        <f aca="false">IF(P22&gt;0,Q22+P22*(1-V$24/100),Q22+P22)</f>
        <v>129.742463205076</v>
      </c>
      <c r="R23" s="55" t="n">
        <f aca="false">R$4+Q23/V$32</f>
        <v>41.2617701518101</v>
      </c>
      <c r="T23" s="1" t="n">
        <v>23</v>
      </c>
      <c r="U23" s="53" t="s">
        <v>79</v>
      </c>
      <c r="V23" s="48" t="n">
        <f aca="false">(t!D103/V22*4/PI())^0.5</f>
        <v>117.844024285219</v>
      </c>
      <c r="W23" s="48" t="s">
        <v>77</v>
      </c>
      <c r="X23" s="51" t="s">
        <v>80</v>
      </c>
      <c r="Y23" s="51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customFormat="false" ht="12.8" hidden="false" customHeight="false" outlineLevel="0" collapsed="false">
      <c r="A24" s="1" t="n">
        <v>20</v>
      </c>
      <c r="B24" s="44" t="n">
        <v>43565</v>
      </c>
      <c r="C24" s="45" t="n">
        <f aca="false">V$30-V$30*SIN(2*PI()/365*A24)</f>
        <v>10.7171768363118</v>
      </c>
      <c r="D24" s="3" t="n">
        <f aca="false">IF((E24+F24)&gt;C24,C24,E24+F24)</f>
        <v>10.7171768363118</v>
      </c>
      <c r="E24" s="46" t="n">
        <f aca="false">(V$27+V$28*SIN(2*PI()/365*A24))*V$29/100*V$9*V$10/100</f>
        <v>0</v>
      </c>
      <c r="F24" s="46" t="n">
        <f aca="false">(V$27+V$28*SIN(2*PI()/365*A24))*V$29/100*V$11*(1-V$18/100)*(1-V$20/100)</f>
        <v>24.7535190693419</v>
      </c>
      <c r="G24" s="46" t="n">
        <f aca="false">IF(C24&gt;E24,100,C24/E24*100)</f>
        <v>100</v>
      </c>
      <c r="H24" s="46" t="n">
        <f aca="false">L24/F24*100</f>
        <v>43.2955686271913</v>
      </c>
      <c r="I24" s="47" t="n">
        <f aca="false">(V$27+V$28*SIN(2*PI()/365*A24))*V$29/100*V$9*V$10/100*(1-V$19/100)</f>
        <v>0</v>
      </c>
      <c r="J24" s="47" t="n">
        <f aca="false">(V$27+V$28*SIN(2*PI()/365*A24))*V$29/100*V$11*(1-V$18/100)</f>
        <v>27.2016693069691</v>
      </c>
      <c r="K24" s="48" t="n">
        <f aca="false">IF(E24/C24*100&lt;100,E24/C24*100,100)</f>
        <v>0</v>
      </c>
      <c r="L24" s="7" t="n">
        <f aca="false">IF(((C24-E24)&gt;0)AND(F24&gt;(C24-E24)),(C24-E24),IF(C24&lt;E24,0,F24))</f>
        <v>10.7171768363118</v>
      </c>
      <c r="M24" s="7" t="n">
        <f aca="false">IF(C24&lt;(E24+F24),0,C24-E24-F24)</f>
        <v>0</v>
      </c>
      <c r="N24" s="7" t="n">
        <f aca="false">IF(C24&lt;(E24+F24),0,(C24-E24-F24)/(1-V$20/100))</f>
        <v>0</v>
      </c>
      <c r="O24" s="7" t="n">
        <f aca="false">L24+M24</f>
        <v>10.7171768363118</v>
      </c>
      <c r="P24" s="49" t="n">
        <f aca="false">IF( N24=0,I24*(1-G24/100)+J24*(1-H24/100),-N24)</f>
        <v>15.4245519044287</v>
      </c>
      <c r="Q24" s="54" t="n">
        <f aca="false">IF(P23&gt;0,Q23+P23*(1-V$24/100),Q23+P23)</f>
        <v>141.173188062313</v>
      </c>
      <c r="R24" s="55" t="n">
        <f aca="false">R$4+Q24/V$32</f>
        <v>41.3729361269436</v>
      </c>
      <c r="T24" s="1" t="n">
        <v>24</v>
      </c>
      <c r="U24" s="53" t="s">
        <v>81</v>
      </c>
      <c r="V24" s="65" t="n">
        <v>23</v>
      </c>
      <c r="W24" s="48" t="s">
        <v>27</v>
      </c>
      <c r="X24" s="51" t="s">
        <v>82</v>
      </c>
      <c r="Y24" s="76" t="n">
        <f aca="false">t!F114</f>
        <v>0.225618124786824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</row>
    <row r="25" customFormat="false" ht="12.8" hidden="false" customHeight="false" outlineLevel="0" collapsed="false">
      <c r="A25" s="1" t="n">
        <v>21</v>
      </c>
      <c r="B25" s="44" t="n">
        <v>43566</v>
      </c>
      <c r="C25" s="45" t="n">
        <f aca="false">V$30-V$30*SIN(2*PI()/365*A25)</f>
        <v>10.4558592107149</v>
      </c>
      <c r="D25" s="3" t="n">
        <f aca="false">IF((E25+F25)&gt;C25,C25,E25+F25)</f>
        <v>10.4558592107149</v>
      </c>
      <c r="E25" s="46" t="n">
        <f aca="false">(V$27+V$28*SIN(2*PI()/365*A25))*V$29/100*V$9*V$10/100</f>
        <v>0</v>
      </c>
      <c r="F25" s="46" t="n">
        <f aca="false">(V$27+V$28*SIN(2*PI()/365*A25))*V$29/100*V$11*(1-V$18/100)*(1-V$20/100)</f>
        <v>25.0162604123177</v>
      </c>
      <c r="G25" s="46" t="n">
        <f aca="false">IF(C25&gt;E25,100,C25/E25*100)</f>
        <v>100</v>
      </c>
      <c r="H25" s="46" t="n">
        <f aca="false">L25/F25*100</f>
        <v>41.7962518713092</v>
      </c>
      <c r="I25" s="47" t="n">
        <f aca="false">(V$27+V$28*SIN(2*PI()/365*A25))*V$29/100*V$9*V$10/100*(1-V$19/100)</f>
        <v>0</v>
      </c>
      <c r="J25" s="47" t="n">
        <f aca="false">(V$27+V$28*SIN(2*PI()/365*A25))*V$29/100*V$11*(1-V$18/100)</f>
        <v>27.490396057492</v>
      </c>
      <c r="K25" s="48" t="n">
        <f aca="false">IF(E25/C25*100&lt;100,E25/C25*100,100)</f>
        <v>0</v>
      </c>
      <c r="L25" s="7" t="n">
        <f aca="false">IF(((C25-E25)&gt;0)AND(F25&gt;(C25-E25)),(C25-E25),IF(C25&lt;E25,0,F25))</f>
        <v>10.4558592107149</v>
      </c>
      <c r="M25" s="7" t="n">
        <f aca="false">IF(C25&lt;(E25+F25),0,C25-E25-F25)</f>
        <v>0</v>
      </c>
      <c r="N25" s="7" t="n">
        <f aca="false">IF(C25&lt;(E25+F25),0,(C25-E25-F25)/(1-V$20/100))</f>
        <v>0</v>
      </c>
      <c r="O25" s="7" t="n">
        <f aca="false">L25+M25</f>
        <v>10.4558592107149</v>
      </c>
      <c r="P25" s="49" t="n">
        <f aca="false">IF( N25=0,I25*(1-G25/100)+J25*(1-H25/100),-N25)</f>
        <v>16.0004408808822</v>
      </c>
      <c r="Q25" s="54" t="n">
        <f aca="false">IF(P24&gt;0,Q24+P24*(1-V$24/100),Q24+P24)</f>
        <v>153.050093028723</v>
      </c>
      <c r="R25" s="55" t="n">
        <f aca="false">R$4+Q25/V$32</f>
        <v>41.4884412885714</v>
      </c>
      <c r="T25" s="1" t="n">
        <v>25</v>
      </c>
      <c r="U25" s="53" t="s">
        <v>83</v>
      </c>
      <c r="V25" s="65" t="n">
        <v>0.611</v>
      </c>
      <c r="W25" s="1" t="s">
        <v>84</v>
      </c>
      <c r="X25" s="77" t="s">
        <v>85</v>
      </c>
      <c r="Y25" s="51" t="s">
        <v>86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customFormat="false" ht="12.8" hidden="false" customHeight="false" outlineLevel="0" collapsed="false">
      <c r="A26" s="1" t="n">
        <v>22</v>
      </c>
      <c r="B26" s="44" t="n">
        <v>43567</v>
      </c>
      <c r="C26" s="45" t="n">
        <f aca="false">V$30-V$30*SIN(2*PI()/365*A26)</f>
        <v>10.1962370099878</v>
      </c>
      <c r="D26" s="3" t="n">
        <f aca="false">IF((E26+F26)&gt;C26,C26,E26+F26)</f>
        <v>10.1962370099878</v>
      </c>
      <c r="E26" s="46" t="n">
        <f aca="false">(V$27+V$28*SIN(2*PI()/365*A26))*V$29/100*V$9*V$10/100</f>
        <v>0</v>
      </c>
      <c r="F26" s="46" t="n">
        <f aca="false">(V$27+V$28*SIN(2*PI()/365*A26))*V$29/100*V$11*(1-V$18/100)*(1-V$20/100)</f>
        <v>25.2772970933666</v>
      </c>
      <c r="G26" s="46" t="n">
        <f aca="false">IF(C26&gt;E26,100,C26/E26*100)</f>
        <v>100</v>
      </c>
      <c r="H26" s="46" t="n">
        <f aca="false">L26/F26*100</f>
        <v>40.3375288596958</v>
      </c>
      <c r="I26" s="47" t="n">
        <f aca="false">(V$27+V$28*SIN(2*PI()/365*A26))*V$29/100*V$9*V$10/100*(1-V$19/100)</f>
        <v>0</v>
      </c>
      <c r="J26" s="47" t="n">
        <f aca="false">(V$27+V$28*SIN(2*PI()/365*A26))*V$29/100*V$11*(1-V$18/100)</f>
        <v>27.7772495531501</v>
      </c>
      <c r="K26" s="48" t="n">
        <f aca="false">IF(E26/C26*100&lt;100,E26/C26*100,100)</f>
        <v>0</v>
      </c>
      <c r="L26" s="7" t="n">
        <f aca="false">IF(((C26-E26)&gt;0)AND(F26&gt;(C26-E26)),(C26-E26),IF(C26&lt;E26,0,F26))</f>
        <v>10.1962370099878</v>
      </c>
      <c r="M26" s="7" t="n">
        <f aca="false">IF(C26&lt;(E26+F26),0,C26-E26-F26)</f>
        <v>0</v>
      </c>
      <c r="N26" s="7" t="n">
        <f aca="false">IF(C26&lt;(E26+F26),0,(C26-E26-F26)/(1-V$20/100))</f>
        <v>0</v>
      </c>
      <c r="O26" s="7" t="n">
        <f aca="false">L26+M26</f>
        <v>10.1962370099878</v>
      </c>
      <c r="P26" s="49" t="n">
        <f aca="false">IF( N26=0,I26*(1-G26/100)+J26*(1-H26/100),-N26)</f>
        <v>16.5725934982185</v>
      </c>
      <c r="Q26" s="54" t="n">
        <f aca="false">IF(P25&gt;0,Q25+P25*(1-V$24/100),Q25+P25)</f>
        <v>165.370432507002</v>
      </c>
      <c r="R26" s="55" t="n">
        <f aca="false">R$4+Q26/V$32</f>
        <v>41.6082589352373</v>
      </c>
      <c r="T26" s="1" t="s">
        <v>1</v>
      </c>
      <c r="U26" s="78" t="s">
        <v>87</v>
      </c>
      <c r="V26" s="79"/>
      <c r="W26" s="79"/>
      <c r="X26" s="80"/>
      <c r="Y26" s="80"/>
      <c r="AA26" s="16"/>
      <c r="AB26" s="16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customFormat="false" ht="12.8" hidden="false" customHeight="false" outlineLevel="0" collapsed="false">
      <c r="A27" s="1" t="n">
        <v>23</v>
      </c>
      <c r="B27" s="44" t="n">
        <v>43568</v>
      </c>
      <c r="C27" s="45" t="n">
        <f aca="false">V$30-V$30*SIN(2*PI()/365*A27)</f>
        <v>9.93838716579161</v>
      </c>
      <c r="D27" s="3" t="n">
        <f aca="false">IF((E27+F27)&gt;C27,C27,E27+F27)</f>
        <v>9.93838716579161</v>
      </c>
      <c r="E27" s="46" t="n">
        <f aca="false">(V$27+V$28*SIN(2*PI()/365*A27))*V$29/100*V$9*V$10/100</f>
        <v>0</v>
      </c>
      <c r="F27" s="46" t="n">
        <f aca="false">(V$27+V$28*SIN(2*PI()/365*A27))*V$29/100*V$11*(1-V$18/100)*(1-V$20/100)</f>
        <v>25.5365517616863</v>
      </c>
      <c r="G27" s="46" t="n">
        <f aca="false">IF(C27&gt;E27,100,C27/E27*100)</f>
        <v>100</v>
      </c>
      <c r="H27" s="46" t="n">
        <f aca="false">L27/F27*100</f>
        <v>38.9182817576123</v>
      </c>
      <c r="I27" s="47" t="n">
        <f aca="false">(V$27+V$28*SIN(2*PI()/365*A27))*V$29/100*V$9*V$10/100*(1-V$19/100)</f>
        <v>0</v>
      </c>
      <c r="J27" s="47" t="n">
        <f aca="false">(V$27+V$28*SIN(2*PI()/365*A27))*V$29/100*V$11*(1-V$18/100)</f>
        <v>28.0621447930619</v>
      </c>
      <c r="K27" s="48" t="n">
        <f aca="false">IF(E27/C27*100&lt;100,E27/C27*100,100)</f>
        <v>0</v>
      </c>
      <c r="L27" s="7" t="n">
        <f aca="false">IF(((C27-E27)&gt;0)AND(F27&gt;(C27-E27)),(C27-E27),IF(C27&lt;E27,0,F27))</f>
        <v>9.93838716579161</v>
      </c>
      <c r="M27" s="7" t="n">
        <f aca="false">IF(C27&lt;(E27+F27),0,C27-E27-F27)</f>
        <v>0</v>
      </c>
      <c r="N27" s="7" t="n">
        <f aca="false">IF(C27&lt;(E27+F27),0,(C27-E27-F27)/(1-V$20/100))</f>
        <v>0</v>
      </c>
      <c r="O27" s="7" t="n">
        <f aca="false">L27+M27</f>
        <v>9.93838716579161</v>
      </c>
      <c r="P27" s="49" t="n">
        <f aca="false">IF( N27=0,I27*(1-G27/100)+J27*(1-H27/100),-N27)</f>
        <v>17.1408402152689</v>
      </c>
      <c r="Q27" s="54" t="n">
        <f aca="false">IF(P26&gt;0,Q26+P26*(1-V$24/100),Q26+P26)</f>
        <v>178.13132950063</v>
      </c>
      <c r="R27" s="55" t="n">
        <f aca="false">R$4+Q27/V$32</f>
        <v>41.7323610876022</v>
      </c>
      <c r="T27" s="1" t="n">
        <v>27</v>
      </c>
      <c r="U27" s="51" t="s">
        <v>88</v>
      </c>
      <c r="V27" s="81" t="n">
        <f aca="false">V33/365</f>
        <v>2.97634408602151</v>
      </c>
      <c r="W27" s="1" t="s">
        <v>89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customFormat="false" ht="12.8" hidden="false" customHeight="false" outlineLevel="0" collapsed="false">
      <c r="A28" s="1" t="n">
        <v>24</v>
      </c>
      <c r="B28" s="44" t="n">
        <v>43569</v>
      </c>
      <c r="C28" s="45" t="n">
        <f aca="false">V$30-V$30*SIN(2*PI()/365*A28)</f>
        <v>9.68238608460004</v>
      </c>
      <c r="D28" s="3" t="n">
        <f aca="false">IF((E28+F28)&gt;C28,C28,E28+F28)</f>
        <v>9.68238608460004</v>
      </c>
      <c r="E28" s="46" t="n">
        <f aca="false">(V$27+V$28*SIN(2*PI()/365*A28))*V$29/100*V$9*V$10/100</f>
        <v>0</v>
      </c>
      <c r="F28" s="46" t="n">
        <f aca="false">(V$27+V$28*SIN(2*PI()/365*A28))*V$29/100*V$11*(1-V$18/100)*(1-V$20/100)</f>
        <v>25.7939475945235</v>
      </c>
      <c r="G28" s="46" t="n">
        <f aca="false">IF(C28&gt;E28,100,C28/E28*100)</f>
        <v>100</v>
      </c>
      <c r="H28" s="46" t="n">
        <f aca="false">L28/F28*100</f>
        <v>37.5374341175128</v>
      </c>
      <c r="I28" s="47" t="n">
        <f aca="false">(V$27+V$28*SIN(2*PI()/365*A28))*V$29/100*V$9*V$10/100*(1-V$19/100)</f>
        <v>0</v>
      </c>
      <c r="J28" s="47" t="n">
        <f aca="false">(V$27+V$28*SIN(2*PI()/365*A28))*V$29/100*V$11*(1-V$18/100)</f>
        <v>28.3449973566192</v>
      </c>
      <c r="K28" s="48" t="n">
        <f aca="false">IF(E28/C28*100&lt;100,E28/C28*100,100)</f>
        <v>0</v>
      </c>
      <c r="L28" s="7" t="n">
        <f aca="false">IF(((C28-E28)&gt;0)AND(F28&gt;(C28-E28)),(C28-E28),IF(C28&lt;E28,0,F28))</f>
        <v>9.68238608460004</v>
      </c>
      <c r="M28" s="7" t="n">
        <f aca="false">IF(C28&lt;(E28+F28),0,C28-E28-F28)</f>
        <v>0</v>
      </c>
      <c r="N28" s="7" t="n">
        <f aca="false">IF(C28&lt;(E28+F28),0,(C28-E28-F28)/(1-V$20/100))</f>
        <v>0</v>
      </c>
      <c r="O28" s="7" t="n">
        <f aca="false">L28+M28</f>
        <v>9.68238608460004</v>
      </c>
      <c r="P28" s="49" t="n">
        <f aca="false">IF( N28=0,I28*(1-G28/100)+J28*(1-H28/100),-N28)</f>
        <v>17.7050126482676</v>
      </c>
      <c r="Q28" s="54" t="n">
        <f aca="false">IF(P27&gt;0,Q27+P27*(1-V$24/100),Q27+P27)</f>
        <v>191.329776466387</v>
      </c>
      <c r="R28" s="55" t="n">
        <f aca="false">R$4+Q28/V$32</f>
        <v>41.860718496736</v>
      </c>
      <c r="T28" s="1" t="n">
        <v>28</v>
      </c>
      <c r="U28" s="51" t="s">
        <v>90</v>
      </c>
      <c r="V28" s="81" t="n">
        <f aca="false">(V13-V12)/2/30.44</f>
        <v>2.51314060446781</v>
      </c>
      <c r="W28" s="1" t="s">
        <v>89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customFormat="false" ht="12.8" hidden="false" customHeight="false" outlineLevel="0" collapsed="false">
      <c r="A29" s="1" t="n">
        <v>25</v>
      </c>
      <c r="B29" s="44" t="n">
        <v>43570</v>
      </c>
      <c r="C29" s="45" t="n">
        <f aca="false">V$30-V$30*SIN(2*PI()/365*A29)</f>
        <v>9.4283096250584</v>
      </c>
      <c r="D29" s="3" t="n">
        <f aca="false">IF((E29+F29)&gt;C29,C29,E29+F29)</f>
        <v>9.4283096250584</v>
      </c>
      <c r="E29" s="46" t="n">
        <f aca="false">(V$27+V$28*SIN(2*PI()/365*A29))*V$29/100*V$9*V$10/100</f>
        <v>0</v>
      </c>
      <c r="F29" s="46" t="n">
        <f aca="false">(V$27+V$28*SIN(2*PI()/365*A29))*V$29/100*V$11*(1-V$18/100)*(1-V$20/100)</f>
        <v>26.0494083199378</v>
      </c>
      <c r="G29" s="46" t="n">
        <f aca="false">IF(C29&gt;E29,100,C29/E29*100)</f>
        <v>100</v>
      </c>
      <c r="H29" s="46" t="n">
        <f aca="false">L29/F29*100</f>
        <v>36.1939492416115</v>
      </c>
      <c r="I29" s="47" t="n">
        <f aca="false">(V$27+V$28*SIN(2*PI()/365*A29))*V$29/100*V$9*V$10/100*(1-V$19/100)</f>
        <v>0</v>
      </c>
      <c r="J29" s="47" t="n">
        <f aca="false">(V$27+V$28*SIN(2*PI()/365*A29))*V$29/100*V$11*(1-V$18/100)</f>
        <v>28.6257234285031</v>
      </c>
      <c r="K29" s="48" t="n">
        <f aca="false">IF(E29/C29*100&lt;100,E29/C29*100,100)</f>
        <v>0</v>
      </c>
      <c r="L29" s="7" t="n">
        <f aca="false">IF(((C29-E29)&gt;0)AND(F29&gt;(C29-E29)),(C29-E29),IF(C29&lt;E29,0,F29))</f>
        <v>9.4283096250584</v>
      </c>
      <c r="M29" s="7" t="n">
        <f aca="false">IF(C29&lt;(E29+F29),0,C29-E29-F29)</f>
        <v>0</v>
      </c>
      <c r="N29" s="7" t="n">
        <f aca="false">IF(C29&lt;(E29+F29),0,(C29-E29-F29)/(1-V$20/100))</f>
        <v>0</v>
      </c>
      <c r="O29" s="7" t="n">
        <f aca="false">L29+M29</f>
        <v>9.4283096250584</v>
      </c>
      <c r="P29" s="49" t="n">
        <f aca="false">IF( N29=0,I29*(1-G29/100)+J29*(1-H29/100),-N29)</f>
        <v>18.2649436207466</v>
      </c>
      <c r="Q29" s="54" t="n">
        <f aca="false">IF(P28&gt;0,Q28+P28*(1-V$24/100),Q28+P28)</f>
        <v>204.962636205553</v>
      </c>
      <c r="R29" s="55" t="n">
        <f aca="false">R$4+Q29/V$32</f>
        <v>41.9933006527839</v>
      </c>
      <c r="T29" s="1" t="n">
        <v>29</v>
      </c>
      <c r="U29" s="51" t="s">
        <v>91</v>
      </c>
      <c r="V29" s="82" t="n">
        <f aca="false">(V14*V16/100+V15*(1-V16/100))/1244*V17</f>
        <v>28.5405948553055</v>
      </c>
      <c r="W29" s="1" t="s">
        <v>27</v>
      </c>
    </row>
    <row r="30" customFormat="false" ht="12.8" hidden="false" customHeight="false" outlineLevel="0" collapsed="false">
      <c r="A30" s="1" t="n">
        <v>26</v>
      </c>
      <c r="B30" s="44" t="n">
        <v>43571</v>
      </c>
      <c r="C30" s="45" t="n">
        <f aca="false">V$30-V$30*SIN(2*PI()/365*A30)</f>
        <v>9.17623307550509</v>
      </c>
      <c r="D30" s="3" t="n">
        <f aca="false">IF((E30+F30)&gt;C30,C30,E30+F30)</f>
        <v>9.17623307550509</v>
      </c>
      <c r="E30" s="46" t="n">
        <f aca="false">(V$27+V$28*SIN(2*PI()/365*A30))*V$29/100*V$9*V$10/100</f>
        <v>0</v>
      </c>
      <c r="F30" s="46" t="n">
        <f aca="false">(V$27+V$28*SIN(2*PI()/365*A30))*V$29/100*V$11*(1-V$18/100)*(1-V$20/100)</f>
        <v>26.302858239403</v>
      </c>
      <c r="G30" s="46" t="n">
        <f aca="false">IF(C30&gt;E30,100,C30/E30*100)</f>
        <v>100</v>
      </c>
      <c r="H30" s="46" t="n">
        <f aca="false">L30/F30*100</f>
        <v>34.8868286175783</v>
      </c>
      <c r="I30" s="47" t="n">
        <f aca="false">(V$27+V$28*SIN(2*PI()/365*A30))*V$29/100*V$9*V$10/100*(1-V$19/100)</f>
        <v>0</v>
      </c>
      <c r="J30" s="47" t="n">
        <f aca="false">(V$27+V$28*SIN(2*PI()/365*A30))*V$29/100*V$11*(1-V$18/100)</f>
        <v>28.9042398235197</v>
      </c>
      <c r="K30" s="48" t="n">
        <f aca="false">IF(E30/C30*100&lt;100,E30/C30*100,100)</f>
        <v>0</v>
      </c>
      <c r="L30" s="7" t="n">
        <f aca="false">IF(((C30-E30)&gt;0)AND(F30&gt;(C30-E30)),(C30-E30),IF(C30&lt;E30,0,F30))</f>
        <v>9.17623307550509</v>
      </c>
      <c r="M30" s="7" t="n">
        <f aca="false">IF(C30&lt;(E30+F30),0,C30-E30-F30)</f>
        <v>0</v>
      </c>
      <c r="N30" s="7" t="n">
        <f aca="false">IF(C30&lt;(E30+F30),0,(C30-E30-F30)/(1-V$20/100))</f>
        <v>0</v>
      </c>
      <c r="O30" s="7" t="n">
        <f aca="false">L30+M30</f>
        <v>9.17623307550509</v>
      </c>
      <c r="P30" s="49" t="n">
        <f aca="false">IF( N30=0,I30*(1-G30/100)+J30*(1-H30/100),-N30)</f>
        <v>18.8204672130746</v>
      </c>
      <c r="Q30" s="54" t="n">
        <f aca="false">IF(P29&gt;0,Q29+P29*(1-V$24/100),Q29+P29)</f>
        <v>219.026642793528</v>
      </c>
      <c r="R30" s="55" t="n">
        <f aca="false">R$4+Q30/V$32</f>
        <v>42.1300757940075</v>
      </c>
      <c r="T30" s="1" t="n">
        <v>30</v>
      </c>
      <c r="U30" s="59" t="s">
        <v>92</v>
      </c>
      <c r="V30" s="83" t="n">
        <f aca="false">V8*V5/365</f>
        <v>16.17742987606</v>
      </c>
      <c r="W30" s="1" t="s">
        <v>26</v>
      </c>
    </row>
    <row r="31" customFormat="false" ht="12.8" hidden="false" customHeight="false" outlineLevel="0" collapsed="false">
      <c r="A31" s="1" t="n">
        <v>27</v>
      </c>
      <c r="B31" s="44" t="n">
        <v>43572</v>
      </c>
      <c r="C31" s="45" t="n">
        <f aca="false">V$30-V$30*SIN(2*PI()/365*A31)</f>
        <v>8.92623113166197</v>
      </c>
      <c r="D31" s="3" t="n">
        <f aca="false">IF((E31+F31)&gt;C31,C31,E31+F31)</f>
        <v>8.92623113166197</v>
      </c>
      <c r="E31" s="46" t="n">
        <f aca="false">(V$27+V$28*SIN(2*PI()/365*A31))*V$29/100*V$9*V$10/100</f>
        <v>0</v>
      </c>
      <c r="F31" s="46" t="n">
        <f aca="false">(V$27+V$28*SIN(2*PI()/365*A31))*V$29/100*V$11*(1-V$18/100)*(1-V$20/100)</f>
        <v>26.554222250238</v>
      </c>
      <c r="G31" s="46" t="n">
        <f aca="false">IF(C31&gt;E31,100,C31/E31*100)</f>
        <v>100</v>
      </c>
      <c r="H31" s="46" t="n">
        <f aca="false">L31/F31*100</f>
        <v>33.6151104240381</v>
      </c>
      <c r="I31" s="47" t="n">
        <f aca="false">(V$27+V$28*SIN(2*PI()/365*A31))*V$29/100*V$9*V$10/100*(1-V$19/100)</f>
        <v>0</v>
      </c>
      <c r="J31" s="47" t="n">
        <f aca="false">(V$27+V$28*SIN(2*PI()/365*A31))*V$29/100*V$11*(1-V$18/100)</f>
        <v>29.1804640112505</v>
      </c>
      <c r="K31" s="48" t="n">
        <f aca="false">IF(E31/C31*100&lt;100,E31/C31*100,100)</f>
        <v>0</v>
      </c>
      <c r="L31" s="7" t="n">
        <f aca="false">IF(((C31-E31)&gt;0)AND(F31&gt;(C31-E31)),(C31-E31),IF(C31&lt;E31,0,F31))</f>
        <v>8.92623113166197</v>
      </c>
      <c r="M31" s="7" t="n">
        <f aca="false">IF(C31&lt;(E31+F31),0,C31-E31-F31)</f>
        <v>0</v>
      </c>
      <c r="N31" s="7" t="n">
        <f aca="false">IF(C31&lt;(E31+F31),0,(C31-E31-F31)/(1-V$20/100))</f>
        <v>0</v>
      </c>
      <c r="O31" s="7" t="n">
        <f aca="false">L31+M31</f>
        <v>8.92623113166197</v>
      </c>
      <c r="P31" s="49" t="n">
        <f aca="false">IF( N31=0,I31*(1-G31/100)+J31*(1-H31/100),-N31)</f>
        <v>19.371418811622</v>
      </c>
      <c r="Q31" s="54" t="n">
        <f aca="false">IF(P30&gt;0,Q30+P30*(1-V$24/100),Q30+P30)</f>
        <v>233.518402547596</v>
      </c>
      <c r="R31" s="55" t="n">
        <f aca="false">R$4+Q31/V$32</f>
        <v>42.2710109161963</v>
      </c>
      <c r="T31" s="1" t="n">
        <v>31</v>
      </c>
      <c r="U31" s="59" t="s">
        <v>93</v>
      </c>
      <c r="V31" s="84" t="n">
        <f aca="false">V23^2*PI()/4/V4</f>
        <v>1.45078377457082</v>
      </c>
      <c r="W31" s="1" t="s">
        <v>39</v>
      </c>
    </row>
    <row r="32" customFormat="false" ht="12.8" hidden="false" customHeight="false" outlineLevel="0" collapsed="false">
      <c r="A32" s="1" t="n">
        <v>28</v>
      </c>
      <c r="B32" s="44" t="n">
        <v>43573</v>
      </c>
      <c r="C32" s="45" t="n">
        <f aca="false">V$30-V$30*SIN(2*PI()/365*A32)</f>
        <v>8.67837787450051</v>
      </c>
      <c r="D32" s="3" t="n">
        <f aca="false">IF((E32+F32)&gt;C32,C32,E32+F32)</f>
        <v>8.67837787450051</v>
      </c>
      <c r="E32" s="46" t="n">
        <f aca="false">(V$27+V$28*SIN(2*PI()/365*A32))*V$29/100*V$9*V$10/100</f>
        <v>0</v>
      </c>
      <c r="F32" s="46" t="n">
        <f aca="false">(V$27+V$28*SIN(2*PI()/365*A32))*V$29/100*V$11*(1-V$18/100)*(1-V$20/100)</f>
        <v>26.8034258678615</v>
      </c>
      <c r="G32" s="46" t="n">
        <f aca="false">IF(C32&gt;E32,100,C32/E32*100)</f>
        <v>100</v>
      </c>
      <c r="H32" s="46" t="n">
        <f aca="false">L32/F32*100</f>
        <v>32.3778681026975</v>
      </c>
      <c r="I32" s="47" t="n">
        <f aca="false">(V$27+V$28*SIN(2*PI()/365*A32))*V$29/100*V$9*V$10/100*(1-V$19/100)</f>
        <v>0</v>
      </c>
      <c r="J32" s="47" t="n">
        <f aca="false">(V$27+V$28*SIN(2*PI()/365*A32))*V$29/100*V$11*(1-V$18/100)</f>
        <v>29.4543141405072</v>
      </c>
      <c r="K32" s="48" t="n">
        <f aca="false">IF(E32/C32*100&lt;100,E32/C32*100,100)</f>
        <v>0</v>
      </c>
      <c r="L32" s="7" t="n">
        <f aca="false">IF(((C32-E32)&gt;0)AND(F32&gt;(C32-E32)),(C32-E32),IF(C32&lt;E32,0,F32))</f>
        <v>8.67837787450051</v>
      </c>
      <c r="M32" s="7" t="n">
        <f aca="false">IF(C32&lt;(E32+F32),0,C32-E32-F32)</f>
        <v>0</v>
      </c>
      <c r="N32" s="7" t="n">
        <f aca="false">IF(C32&lt;(E32+F32),0,(C32-E32-F32)/(1-V$20/100))</f>
        <v>0</v>
      </c>
      <c r="O32" s="7" t="n">
        <f aca="false">L32+M32</f>
        <v>8.67837787450051</v>
      </c>
      <c r="P32" s="49" t="n">
        <f aca="false">IF( N32=0,I32*(1-G32/100)+J32*(1-H32/100),-N32)</f>
        <v>19.9176351575396</v>
      </c>
      <c r="Q32" s="54" t="n">
        <f aca="false">IF(P31&gt;0,Q31+P31*(1-V$24/100),Q31+P31)</f>
        <v>248.434395032544</v>
      </c>
      <c r="R32" s="55" t="n">
        <f aca="false">R$4+Q32/V$32</f>
        <v>42.4160717824478</v>
      </c>
      <c r="T32" s="1" t="n">
        <v>32</v>
      </c>
      <c r="U32" s="59" t="s">
        <v>94</v>
      </c>
      <c r="V32" s="85" t="n">
        <f aca="false">V23^2*PI()/4*V22*V25/V4</f>
        <v>102.825750806481</v>
      </c>
      <c r="W32" s="1" t="s">
        <v>95</v>
      </c>
    </row>
    <row r="33" customFormat="false" ht="12.8" hidden="false" customHeight="false" outlineLevel="0" collapsed="false">
      <c r="A33" s="1" t="n">
        <v>29</v>
      </c>
      <c r="B33" s="44" t="n">
        <v>43574</v>
      </c>
      <c r="C33" s="45" t="n">
        <f aca="false">V$30-V$30*SIN(2*PI()/365*A33)</f>
        <v>8.43274674828991</v>
      </c>
      <c r="D33" s="3" t="n">
        <f aca="false">IF((E33+F33)&gt;C33,C33,E33+F33)</f>
        <v>8.43274674828991</v>
      </c>
      <c r="E33" s="46" t="n">
        <f aca="false">(V$27+V$28*SIN(2*PI()/365*A33))*V$29/100*V$9*V$10/100</f>
        <v>0</v>
      </c>
      <c r="F33" s="46" t="n">
        <f aca="false">(V$27+V$28*SIN(2*PI()/365*A33))*V$29/100*V$11*(1-V$18/100)*(1-V$20/100)</f>
        <v>27.0503952478635</v>
      </c>
      <c r="G33" s="46" t="n">
        <f aca="false">IF(C33&gt;E33,100,C33/E33*100)</f>
        <v>100</v>
      </c>
      <c r="H33" s="46" t="n">
        <f aca="false">L33/F33*100</f>
        <v>31.1742089940662</v>
      </c>
      <c r="I33" s="47" t="n">
        <f aca="false">(V$27+V$28*SIN(2*PI()/365*A33))*V$29/100*V$9*V$10/100*(1-V$19/100)</f>
        <v>0</v>
      </c>
      <c r="J33" s="47" t="n">
        <f aca="false">(V$27+V$28*SIN(2*PI()/365*A33))*V$29/100*V$11*(1-V$18/100)</f>
        <v>29.7257090635862</v>
      </c>
      <c r="K33" s="48" t="n">
        <f aca="false">IF(E33/C33*100&lt;100,E33/C33*100,100)</f>
        <v>0</v>
      </c>
      <c r="L33" s="7" t="n">
        <f aca="false">IF(((C33-E33)&gt;0)AND(F33&gt;(C33-E33)),(C33-E33),IF(C33&lt;E33,0,F33))</f>
        <v>8.43274674828991</v>
      </c>
      <c r="M33" s="7" t="n">
        <f aca="false">IF(C33&lt;(E33+F33),0,C33-E33-F33)</f>
        <v>0</v>
      </c>
      <c r="N33" s="7" t="n">
        <f aca="false">IF(C33&lt;(E33+F33),0,(C33-E33-F33)/(1-V$20/100))</f>
        <v>0</v>
      </c>
      <c r="O33" s="7" t="n">
        <f aca="false">L33+M33</f>
        <v>8.43274674828991</v>
      </c>
      <c r="P33" s="49" t="n">
        <f aca="false">IF( N33=0,I33*(1-G33/100)+J33*(1-H33/100),-N33)</f>
        <v>20.4589543951358</v>
      </c>
      <c r="Q33" s="54" t="n">
        <f aca="false">IF(P32&gt;0,Q32+P32*(1-V$24/100),Q32+P32)</f>
        <v>263.77097410385</v>
      </c>
      <c r="R33" s="55" t="n">
        <f aca="false">R$4+Q33/V$32</f>
        <v>42.5652229333124</v>
      </c>
      <c r="T33" s="1" t="n">
        <v>33</v>
      </c>
      <c r="U33" s="53" t="s">
        <v>96</v>
      </c>
      <c r="V33" s="82" t="n">
        <f aca="false">(V12/31+V13/30)/2*365</f>
        <v>1086.36559139785</v>
      </c>
      <c r="W33" s="1" t="s">
        <v>35</v>
      </c>
    </row>
    <row r="34" customFormat="false" ht="12.8" hidden="false" customHeight="false" outlineLevel="0" collapsed="false">
      <c r="A34" s="1" t="n">
        <v>30</v>
      </c>
      <c r="B34" s="44" t="n">
        <v>43575</v>
      </c>
      <c r="C34" s="45" t="n">
        <f aca="false">V$30-V$30*SIN(2*PI()/365*A34)</f>
        <v>8.18941053883402</v>
      </c>
      <c r="D34" s="3" t="n">
        <f aca="false">IF((E34+F34)&gt;C34,C34,E34+F34)</f>
        <v>8.18941053883402</v>
      </c>
      <c r="E34" s="46" t="n">
        <f aca="false">(V$27+V$28*SIN(2*PI()/365*A34))*V$29/100*V$9*V$10/100</f>
        <v>0</v>
      </c>
      <c r="F34" s="46" t="n">
        <f aca="false">(V$27+V$28*SIN(2*PI()/365*A34))*V$29/100*V$11*(1-V$18/100)*(1-V$20/100)</f>
        <v>27.2950572078865</v>
      </c>
      <c r="G34" s="46" t="n">
        <f aca="false">IF(C34&gt;E34,100,C34/E34*100)</f>
        <v>100</v>
      </c>
      <c r="H34" s="46" t="n">
        <f aca="false">L34/F34*100</f>
        <v>30.003273033873</v>
      </c>
      <c r="I34" s="47" t="n">
        <f aca="false">(V$27+V$28*SIN(2*PI()/365*A34))*V$29/100*V$9*V$10/100*(1-V$19/100)</f>
        <v>0</v>
      </c>
      <c r="J34" s="47" t="n">
        <f aca="false">(V$27+V$28*SIN(2*PI()/365*A34))*V$29/100*V$11*(1-V$18/100)</f>
        <v>29.9945683603148</v>
      </c>
      <c r="K34" s="48" t="n">
        <f aca="false">IF(E34/C34*100&lt;100,E34/C34*100,100)</f>
        <v>0</v>
      </c>
      <c r="L34" s="7" t="n">
        <f aca="false">IF(((C34-E34)&gt;0)AND(F34&gt;(C34-E34)),(C34-E34),IF(C34&lt;E34,0,F34))</f>
        <v>8.18941053883402</v>
      </c>
      <c r="M34" s="7" t="n">
        <f aca="false">IF(C34&lt;(E34+F34),0,C34-E34-F34)</f>
        <v>0</v>
      </c>
      <c r="N34" s="7" t="n">
        <f aca="false">IF(C34&lt;(E34+F34),0,(C34-E34-F34)/(1-V$20/100))</f>
        <v>0</v>
      </c>
      <c r="O34" s="7" t="n">
        <f aca="false">L34+M34</f>
        <v>8.18941053883402</v>
      </c>
      <c r="P34" s="49" t="n">
        <f aca="false">IF( N34=0,I34*(1-G34/100)+J34*(1-H34/100),-N34)</f>
        <v>20.9952161198379</v>
      </c>
      <c r="Q34" s="54" t="n">
        <f aca="false">IF(P33&gt;0,Q33+P33*(1-V$24/100),Q33+P33)</f>
        <v>279.524368988104</v>
      </c>
      <c r="R34" s="55" t="n">
        <f aca="false">R$4+Q34/V$32</f>
        <v>42.718427697301</v>
      </c>
    </row>
    <row r="35" customFormat="false" ht="12.8" hidden="false" customHeight="false" outlineLevel="0" collapsed="false">
      <c r="A35" s="1" t="n">
        <v>31</v>
      </c>
      <c r="B35" s="44" t="n">
        <v>43576</v>
      </c>
      <c r="C35" s="45" t="n">
        <f aca="false">V$30-V$30*SIN(2*PI()/365*A35)</f>
        <v>7.94844135190333</v>
      </c>
      <c r="D35" s="3" t="n">
        <f aca="false">IF((E35+F35)&gt;C35,C35,E35+F35)</f>
        <v>7.94844135190333</v>
      </c>
      <c r="E35" s="46" t="n">
        <f aca="false">(V$27+V$28*SIN(2*PI()/365*A35))*V$29/100*V$9*V$10/100</f>
        <v>0</v>
      </c>
      <c r="F35" s="46" t="n">
        <f aca="false">(V$27+V$28*SIN(2*PI()/365*A35))*V$29/100*V$11*(1-V$18/100)*(1-V$20/100)</f>
        <v>27.5373392493116</v>
      </c>
      <c r="G35" s="46" t="n">
        <f aca="false">IF(C35&gt;E35,100,C35/E35*100)</f>
        <v>100</v>
      </c>
      <c r="H35" s="46" t="n">
        <f aca="false">L35/F35*100</f>
        <v>28.8642315074142</v>
      </c>
      <c r="I35" s="47" t="n">
        <f aca="false">(V$27+V$28*SIN(2*PI()/365*A35))*V$29/100*V$9*V$10/100*(1-V$19/100)</f>
        <v>0</v>
      </c>
      <c r="J35" s="47" t="n">
        <f aca="false">(V$27+V$28*SIN(2*PI()/365*A35))*V$29/100*V$11*(1-V$18/100)</f>
        <v>30.2608123618808</v>
      </c>
      <c r="K35" s="48" t="n">
        <f aca="false">IF(E35/C35*100&lt;100,E35/C35*100,100)</f>
        <v>0</v>
      </c>
      <c r="L35" s="7" t="n">
        <f aca="false">IF(((C35-E35)&gt;0)AND(F35&gt;(C35-E35)),(C35-E35),IF(C35&lt;E35,0,F35))</f>
        <v>7.94844135190333</v>
      </c>
      <c r="M35" s="7" t="n">
        <f aca="false">IF(C35&lt;(E35+F35),0,C35-E35-F35)</f>
        <v>0</v>
      </c>
      <c r="N35" s="7" t="n">
        <f aca="false">IF(C35&lt;(E35+F35),0,(C35-E35-F35)/(1-V$20/100))</f>
        <v>0</v>
      </c>
      <c r="O35" s="7" t="n">
        <f aca="false">L35+M35</f>
        <v>7.94844135190333</v>
      </c>
      <c r="P35" s="49" t="n">
        <f aca="false">IF( N35=0,I35*(1-G35/100)+J35*(1-H35/100),-N35)</f>
        <v>21.5262614257233</v>
      </c>
      <c r="Q35" s="54" t="n">
        <f aca="false">IF(P34&gt;0,Q34+P34*(1-V$24/100),Q34+P34)</f>
        <v>295.69068540038</v>
      </c>
      <c r="R35" s="55" t="n">
        <f aca="false">R$4+Q35/V$32</f>
        <v>42.8756482017513</v>
      </c>
    </row>
    <row r="36" customFormat="false" ht="12.8" hidden="false" customHeight="false" outlineLevel="0" collapsed="false">
      <c r="A36" s="1" t="n">
        <v>32</v>
      </c>
      <c r="B36" s="44" t="n">
        <v>43577</v>
      </c>
      <c r="C36" s="45" t="n">
        <f aca="false">V$30-V$30*SIN(2*PI()/365*A36)</f>
        <v>7.70991059186846</v>
      </c>
      <c r="D36" s="3" t="n">
        <f aca="false">IF((E36+F36)&gt;C36,C36,E36+F36)</f>
        <v>7.70991059186846</v>
      </c>
      <c r="E36" s="46" t="n">
        <f aca="false">(V$27+V$28*SIN(2*PI()/365*A36))*V$29/100*V$9*V$10/100</f>
        <v>0</v>
      </c>
      <c r="F36" s="46" t="n">
        <f aca="false">(V$27+V$28*SIN(2*PI()/365*A36))*V$29/100*V$11*(1-V$18/100)*(1-V$20/100)</f>
        <v>27.777169578741</v>
      </c>
      <c r="G36" s="46" t="n">
        <f aca="false">IF(C36&gt;E36,100,C36/E36*100)</f>
        <v>100</v>
      </c>
      <c r="H36" s="46" t="n">
        <f aca="false">L36/F36*100</f>
        <v>27.7562858591941</v>
      </c>
      <c r="I36" s="47" t="n">
        <f aca="false">(V$27+V$28*SIN(2*PI()/365*A36))*V$29/100*V$9*V$10/100*(1-V$19/100)</f>
        <v>0</v>
      </c>
      <c r="J36" s="47" t="n">
        <f aca="false">(V$27+V$28*SIN(2*PI()/365*A36))*V$29/100*V$11*(1-V$18/100)</f>
        <v>30.5243621744406</v>
      </c>
      <c r="K36" s="48" t="n">
        <f aca="false">IF(E36/C36*100&lt;100,E36/C36*100,100)</f>
        <v>0</v>
      </c>
      <c r="L36" s="7" t="n">
        <f aca="false">IF(((C36-E36)&gt;0)AND(F36&gt;(C36-E36)),(C36-E36),IF(C36&lt;E36,0,F36))</f>
        <v>7.70991059186846</v>
      </c>
      <c r="M36" s="7" t="n">
        <f aca="false">IF(C36&lt;(E36+F36),0,C36-E36-F36)</f>
        <v>0</v>
      </c>
      <c r="N36" s="7" t="n">
        <f aca="false">IF(C36&lt;(E36+F36),0,(C36-E36-F36)/(1-V$20/100))</f>
        <v>0</v>
      </c>
      <c r="O36" s="7" t="n">
        <f aca="false">L36+M36</f>
        <v>7.70991059186846</v>
      </c>
      <c r="P36" s="49" t="n">
        <f aca="false">IF( N36=0,I36*(1-G36/100)+J36*(1-H36/100),-N36)</f>
        <v>22.0519329526072</v>
      </c>
      <c r="Q36" s="54" t="n">
        <f aca="false">IF(P35&gt;0,Q35+P35*(1-V$24/100),Q35+P35)</f>
        <v>312.265906698187</v>
      </c>
      <c r="R36" s="55" t="n">
        <f aca="false">R$4+Q36/V$32</f>
        <v>43.0368453840505</v>
      </c>
    </row>
    <row r="37" customFormat="false" ht="12.8" hidden="false" customHeight="false" outlineLevel="0" collapsed="false">
      <c r="A37" s="1" t="n">
        <v>33</v>
      </c>
      <c r="B37" s="44" t="n">
        <v>43578</v>
      </c>
      <c r="C37" s="45" t="n">
        <f aca="false">V$30-V$30*SIN(2*PI()/365*A37)</f>
        <v>7.47388894054153</v>
      </c>
      <c r="D37" s="3" t="n">
        <f aca="false">IF((E37+F37)&gt;C37,C37,E37+F37)</f>
        <v>7.47388894054153</v>
      </c>
      <c r="E37" s="46" t="n">
        <f aca="false">(V$27+V$28*SIN(2*PI()/365*A37))*V$29/100*V$9*V$10/100</f>
        <v>0</v>
      </c>
      <c r="F37" s="46" t="n">
        <f aca="false">(V$27+V$28*SIN(2*PI()/365*A37))*V$29/100*V$11*(1-V$18/100)*(1-V$20/100)</f>
        <v>28.0144771292721</v>
      </c>
      <c r="G37" s="46" t="n">
        <f aca="false">IF(C37&gt;E37,100,C37/E37*100)</f>
        <v>100</v>
      </c>
      <c r="H37" s="46" t="n">
        <f aca="false">L37/F37*100</f>
        <v>26.6786665553437</v>
      </c>
      <c r="I37" s="47" t="n">
        <f aca="false">(V$27+V$28*SIN(2*PI()/365*A37))*V$29/100*V$9*V$10/100*(1-V$19/100)</f>
        <v>0</v>
      </c>
      <c r="J37" s="47" t="n">
        <f aca="false">(V$27+V$28*SIN(2*PI()/365*A37))*V$29/100*V$11*(1-V$18/100)</f>
        <v>30.7851397024968</v>
      </c>
      <c r="K37" s="48" t="n">
        <f aca="false">IF(E37/C37*100&lt;100,E37/C37*100,100)</f>
        <v>0</v>
      </c>
      <c r="L37" s="7" t="n">
        <f aca="false">IF(((C37-E37)&gt;0)AND(F37&gt;(C37-E37)),(C37-E37),IF(C37&lt;E37,0,F37))</f>
        <v>7.47388894054153</v>
      </c>
      <c r="M37" s="7" t="n">
        <f aca="false">IF(C37&lt;(E37+F37),0,C37-E37-F37)</f>
        <v>0</v>
      </c>
      <c r="N37" s="7" t="n">
        <f aca="false">IF(C37&lt;(E37+F37),0,(C37-E37-F37)/(1-V$20/100))</f>
        <v>0</v>
      </c>
      <c r="O37" s="7" t="n">
        <f aca="false">L37+M37</f>
        <v>7.47388894054153</v>
      </c>
      <c r="P37" s="49" t="n">
        <f aca="false">IF( N37=0,I37*(1-G37/100)+J37*(1-H37/100),-N37)</f>
        <v>22.572074932671</v>
      </c>
      <c r="Q37" s="54" t="n">
        <f aca="false">IF(P36&gt;0,Q36+P36*(1-V$24/100),Q36+P36)</f>
        <v>329.245895071694</v>
      </c>
      <c r="R37" s="55" t="n">
        <f aca="false">R$4+Q37/V$32</f>
        <v>43.2019790032104</v>
      </c>
    </row>
    <row r="38" customFormat="false" ht="12.8" hidden="false" customHeight="false" outlineLevel="0" collapsed="false">
      <c r="A38" s="1" t="n">
        <v>34</v>
      </c>
      <c r="B38" s="44" t="n">
        <v>43579</v>
      </c>
      <c r="C38" s="45" t="n">
        <f aca="false">V$30-V$30*SIN(2*PI()/365*A38)</f>
        <v>7.24044633623159</v>
      </c>
      <c r="D38" s="3" t="n">
        <f aca="false">IF((E38+F38)&gt;C38,C38,E38+F38)</f>
        <v>7.24044633623159</v>
      </c>
      <c r="E38" s="46" t="n">
        <f aca="false">(V$27+V$28*SIN(2*PI()/365*A38))*V$29/100*V$9*V$10/100</f>
        <v>0</v>
      </c>
      <c r="F38" s="46" t="n">
        <f aca="false">(V$27+V$28*SIN(2*PI()/365*A38))*V$29/100*V$11*(1-V$18/100)*(1-V$20/100)</f>
        <v>28.2491915815563</v>
      </c>
      <c r="G38" s="46" t="n">
        <f aca="false">IF(C38&gt;E38,100,C38/E38*100)</f>
        <v>100</v>
      </c>
      <c r="H38" s="46" t="n">
        <f aca="false">L38/F38*100</f>
        <v>25.6306319964173</v>
      </c>
      <c r="I38" s="47" t="n">
        <f aca="false">(V$27+V$28*SIN(2*PI()/365*A38))*V$29/100*V$9*V$10/100*(1-V$19/100)</f>
        <v>0</v>
      </c>
      <c r="J38" s="47" t="n">
        <f aca="false">(V$27+V$28*SIN(2*PI()/365*A38))*V$29/100*V$11*(1-V$18/100)</f>
        <v>31.0430676720399</v>
      </c>
      <c r="K38" s="48" t="n">
        <f aca="false">IF(E38/C38*100&lt;100,E38/C38*100,100)</f>
        <v>0</v>
      </c>
      <c r="L38" s="7" t="n">
        <f aca="false">IF(((C38-E38)&gt;0)AND(F38&gt;(C38-E38)),(C38-E38),IF(C38&lt;E38,0,F38))</f>
        <v>7.24044633623159</v>
      </c>
      <c r="M38" s="7" t="n">
        <f aca="false">IF(C38&lt;(E38+F38),0,C38-E38-F38)</f>
        <v>0</v>
      </c>
      <c r="N38" s="7" t="n">
        <f aca="false">IF(C38&lt;(E38+F38),0,(C38-E38-F38)/(1-V$20/100))</f>
        <v>0</v>
      </c>
      <c r="O38" s="7" t="n">
        <f aca="false">L38+M38</f>
        <v>7.24044633623159</v>
      </c>
      <c r="P38" s="49" t="n">
        <f aca="false">IF( N38=0,I38*(1-G38/100)+J38*(1-H38/100),-N38)</f>
        <v>23.0865332366206</v>
      </c>
      <c r="Q38" s="54" t="n">
        <f aca="false">IF(P37&gt;0,Q37+P37*(1-V$24/100),Q37+P37)</f>
        <v>346.626392769851</v>
      </c>
      <c r="R38" s="55" t="n">
        <f aca="false">R$4+Q38/V$32</f>
        <v>43.3710076517915</v>
      </c>
    </row>
    <row r="39" customFormat="false" ht="12.8" hidden="false" customHeight="false" outlineLevel="0" collapsed="false">
      <c r="A39" s="1" t="n">
        <v>35</v>
      </c>
      <c r="B39" s="44" t="n">
        <v>43580</v>
      </c>
      <c r="C39" s="45" t="n">
        <f aca="false">V$30-V$30*SIN(2*PI()/365*A39)</f>
        <v>7.0096519530204</v>
      </c>
      <c r="D39" s="3" t="n">
        <f aca="false">IF((E39+F39)&gt;C39,C39,E39+F39)</f>
        <v>7.0096519530204</v>
      </c>
      <c r="E39" s="46" t="n">
        <f aca="false">(V$27+V$28*SIN(2*PI()/365*A39))*V$29/100*V$9*V$10/100</f>
        <v>0</v>
      </c>
      <c r="F39" s="46" t="n">
        <f aca="false">(V$27+V$28*SIN(2*PI()/365*A39))*V$29/100*V$11*(1-V$18/100)*(1-V$20/100)</f>
        <v>28.4812433846357</v>
      </c>
      <c r="G39" s="46" t="n">
        <f aca="false">IF(C39&gt;E39,100,C39/E39*100)</f>
        <v>100</v>
      </c>
      <c r="H39" s="46" t="n">
        <f aca="false">L39/F39*100</f>
        <v>24.6114674782835</v>
      </c>
      <c r="I39" s="47" t="n">
        <f aca="false">(V$27+V$28*SIN(2*PI()/365*A39))*V$29/100*V$9*V$10/100*(1-V$19/100)</f>
        <v>0</v>
      </c>
      <c r="J39" s="47" t="n">
        <f aca="false">(V$27+V$28*SIN(2*PI()/365*A39))*V$29/100*V$11*(1-V$18/100)</f>
        <v>31.2980696534458</v>
      </c>
      <c r="K39" s="48" t="n">
        <f aca="false">IF(E39/C39*100&lt;100,E39/C39*100,100)</f>
        <v>0</v>
      </c>
      <c r="L39" s="7" t="n">
        <f aca="false">IF(((C39-E39)&gt;0)AND(F39&gt;(C39-E39)),(C39-E39),IF(C39&lt;E39,0,F39))</f>
        <v>7.0096519530204</v>
      </c>
      <c r="M39" s="7" t="n">
        <f aca="false">IF(C39&lt;(E39+F39),0,C39-E39-F39)</f>
        <v>0</v>
      </c>
      <c r="N39" s="7" t="n">
        <f aca="false">IF(C39&lt;(E39+F39),0,(C39-E39-F39)/(1-V$20/100))</f>
        <v>0</v>
      </c>
      <c r="O39" s="7" t="n">
        <f aca="false">L39+M39</f>
        <v>7.0096519530204</v>
      </c>
      <c r="P39" s="49" t="n">
        <f aca="false">IF( N39=0,I39*(1-G39/100)+J39*(1-H39/100),-N39)</f>
        <v>23.5951554193575</v>
      </c>
      <c r="Q39" s="54" t="n">
        <f aca="false">IF(P38&gt;0,Q38+P38*(1-V$24/100),Q38+P38)</f>
        <v>364.403023362049</v>
      </c>
      <c r="R39" s="55" t="n">
        <f aca="false">R$4+Q39/V$32</f>
        <v>43.5438887681731</v>
      </c>
    </row>
    <row r="40" customFormat="false" ht="12.8" hidden="false" customHeight="false" outlineLevel="0" collapsed="false">
      <c r="A40" s="1" t="n">
        <v>36</v>
      </c>
      <c r="B40" s="44" t="n">
        <v>43581</v>
      </c>
      <c r="C40" s="45" t="n">
        <f aca="false">V$30-V$30*SIN(2*PI()/365*A40)</f>
        <v>6.78157418026466</v>
      </c>
      <c r="D40" s="3" t="n">
        <f aca="false">IF((E40+F40)&gt;C40,C40,E40+F40)</f>
        <v>6.78157418026466</v>
      </c>
      <c r="E40" s="46" t="n">
        <f aca="false">(V$27+V$28*SIN(2*PI()/365*A40))*V$29/100*V$9*V$10/100</f>
        <v>0</v>
      </c>
      <c r="F40" s="46" t="n">
        <f aca="false">(V$27+V$28*SIN(2*PI()/365*A40))*V$29/100*V$11*(1-V$18/100)*(1-V$20/100)</f>
        <v>28.710563776553</v>
      </c>
      <c r="G40" s="46" t="n">
        <f aca="false">IF(C40&gt;E40,100,C40/E40*100)</f>
        <v>100</v>
      </c>
      <c r="H40" s="46" t="n">
        <f aca="false">L40/F40*100</f>
        <v>23.6204841989308</v>
      </c>
      <c r="I40" s="47" t="n">
        <f aca="false">(V$27+V$28*SIN(2*PI()/365*A40))*V$29/100*V$9*V$10/100*(1-V$19/100)</f>
        <v>0</v>
      </c>
      <c r="J40" s="47" t="n">
        <f aca="false">(V$27+V$28*SIN(2*PI()/365*A40))*V$29/100*V$11*(1-V$18/100)</f>
        <v>31.5500700841242</v>
      </c>
      <c r="K40" s="48" t="n">
        <f aca="false">IF(E40/C40*100&lt;100,E40/C40*100,100)</f>
        <v>0</v>
      </c>
      <c r="L40" s="7" t="n">
        <f aca="false">IF(((C40-E40)&gt;0)AND(F40&gt;(C40-E40)),(C40-E40),IF(C40&lt;E40,0,F40))</f>
        <v>6.78157418026466</v>
      </c>
      <c r="M40" s="7" t="n">
        <f aca="false">IF(C40&lt;(E40+F40),0,C40-E40-F40)</f>
        <v>0</v>
      </c>
      <c r="N40" s="7" t="n">
        <f aca="false">IF(C40&lt;(E40+F40),0,(C40-E40-F40)/(1-V$20/100))</f>
        <v>0</v>
      </c>
      <c r="O40" s="7" t="n">
        <f aca="false">L40+M40</f>
        <v>6.78157418026466</v>
      </c>
      <c r="P40" s="49" t="n">
        <f aca="false">IF( N40=0,I40*(1-G40/100)+J40*(1-H40/100),-N40)</f>
        <v>24.0977907651521</v>
      </c>
      <c r="Q40" s="54" t="n">
        <f aca="false">IF(P39&gt;0,Q39+P39*(1-V$24/100),Q39+P39)</f>
        <v>382.571293034954</v>
      </c>
      <c r="R40" s="55" t="n">
        <f aca="false">R$4+Q40/V$32</f>
        <v>43.720578649165</v>
      </c>
    </row>
    <row r="41" customFormat="false" ht="12.8" hidden="false" customHeight="false" outlineLevel="0" collapsed="false">
      <c r="A41" s="1" t="n">
        <v>37</v>
      </c>
      <c r="B41" s="44" t="n">
        <v>43582</v>
      </c>
      <c r="C41" s="45" t="n">
        <f aca="false">V$30-V$30*SIN(2*PI()/365*A41)</f>
        <v>6.55628060233077</v>
      </c>
      <c r="D41" s="3" t="n">
        <f aca="false">IF((E41+F41)&gt;C41,C41,E41+F41)</f>
        <v>6.55628060233077</v>
      </c>
      <c r="E41" s="46" t="n">
        <f aca="false">(V$27+V$28*SIN(2*PI()/365*A41))*V$29/100*V$9*V$10/100</f>
        <v>0</v>
      </c>
      <c r="F41" s="46" t="n">
        <f aca="false">(V$27+V$28*SIN(2*PI()/365*A41))*V$29/100*V$11*(1-V$18/100)*(1-V$20/100)</f>
        <v>28.937084804727</v>
      </c>
      <c r="G41" s="46" t="n">
        <f aca="false">IF(C41&gt;E41,100,C41/E41*100)</f>
        <v>100</v>
      </c>
      <c r="H41" s="46" t="n">
        <f aca="false">L41/F41*100</f>
        <v>22.6570183091137</v>
      </c>
      <c r="I41" s="47" t="n">
        <f aca="false">(V$27+V$28*SIN(2*PI()/365*A41))*V$29/100*V$9*V$10/100*(1-V$19/100)</f>
        <v>0</v>
      </c>
      <c r="J41" s="47" t="n">
        <f aca="false">(V$27+V$28*SIN(2*PI()/365*A41))*V$29/100*V$11*(1-V$18/100)</f>
        <v>31.7989942909088</v>
      </c>
      <c r="K41" s="48" t="n">
        <f aca="false">IF(E41/C41*100&lt;100,E41/C41*100,100)</f>
        <v>0</v>
      </c>
      <c r="L41" s="7" t="n">
        <f aca="false">IF(((C41-E41)&gt;0)AND(F41&gt;(C41-E41)),(C41-E41),IF(C41&lt;E41,0,F41))</f>
        <v>6.55628060233077</v>
      </c>
      <c r="M41" s="7" t="n">
        <f aca="false">IF(C41&lt;(E41+F41),0,C41-E41-F41)</f>
        <v>0</v>
      </c>
      <c r="N41" s="7" t="n">
        <f aca="false">IF(C41&lt;(E41+F41),0,(C41-E41-F41)/(1-V$20/100))</f>
        <v>0</v>
      </c>
      <c r="O41" s="7" t="n">
        <f aca="false">L41+M41</f>
        <v>6.55628060233077</v>
      </c>
      <c r="P41" s="49" t="n">
        <f aca="false">IF( N41=0,I41*(1-G41/100)+J41*(1-H41/100),-N41)</f>
        <v>24.5942903323036</v>
      </c>
      <c r="Q41" s="54" t="n">
        <f aca="false">IF(P40&gt;0,Q40+P40*(1-V$24/100),Q40+P40)</f>
        <v>401.126591924121</v>
      </c>
      <c r="R41" s="55" t="n">
        <f aca="false">R$4+Q41/V$32</f>
        <v>43.9010324629581</v>
      </c>
    </row>
    <row r="42" customFormat="false" ht="12.8" hidden="false" customHeight="false" outlineLevel="0" collapsed="false">
      <c r="A42" s="1" t="n">
        <v>38</v>
      </c>
      <c r="B42" s="44" t="n">
        <v>43583</v>
      </c>
      <c r="C42" s="45" t="n">
        <f aca="false">V$30-V$30*SIN(2*PI()/365*A42)</f>
        <v>6.33383797856808</v>
      </c>
      <c r="D42" s="3" t="n">
        <f aca="false">IF((E42+F42)&gt;C42,C42,E42+F42)</f>
        <v>6.33383797856808</v>
      </c>
      <c r="E42" s="46" t="n">
        <f aca="false">(V$27+V$28*SIN(2*PI()/365*A42))*V$29/100*V$9*V$10/100</f>
        <v>0</v>
      </c>
      <c r="F42" s="46" t="n">
        <f aca="false">(V$27+V$28*SIN(2*PI()/365*A42))*V$29/100*V$11*(1-V$18/100)*(1-V$20/100)</f>
        <v>29.1607393460883</v>
      </c>
      <c r="G42" s="46" t="n">
        <f aca="false">IF(C42&gt;E42,100,C42/E42*100)</f>
        <v>100</v>
      </c>
      <c r="H42" s="46" t="n">
        <f aca="false">L42/F42*100</f>
        <v>21.7204300048645</v>
      </c>
      <c r="I42" s="47" t="n">
        <f aca="false">(V$27+V$28*SIN(2*PI()/365*A42))*V$29/100*V$9*V$10/100*(1-V$19/100)</f>
        <v>0</v>
      </c>
      <c r="J42" s="47" t="n">
        <f aca="false">(V$27+V$28*SIN(2*PI()/365*A42))*V$29/100*V$11*(1-V$18/100)</f>
        <v>32.0447685121849</v>
      </c>
      <c r="K42" s="48" t="n">
        <f aca="false">IF(E42/C42*100&lt;100,E42/C42*100,100)</f>
        <v>0</v>
      </c>
      <c r="L42" s="7" t="n">
        <f aca="false">IF(((C42-E42)&gt;0)AND(F42&gt;(C42-E42)),(C42-E42),IF(C42&lt;E42,0,F42))</f>
        <v>6.33383797856808</v>
      </c>
      <c r="M42" s="7" t="n">
        <f aca="false">IF(C42&lt;(E42+F42),0,C42-E42-F42)</f>
        <v>0</v>
      </c>
      <c r="N42" s="7" t="n">
        <f aca="false">IF(C42&lt;(E42+F42),0,(C42-E42-F42)/(1-V$20/100))</f>
        <v>0</v>
      </c>
      <c r="O42" s="7" t="n">
        <f aca="false">L42+M42</f>
        <v>6.33383797856808</v>
      </c>
      <c r="P42" s="49" t="n">
        <f aca="false">IF( N42=0,I42*(1-G42/100)+J42*(1-H42/100),-N42)</f>
        <v>25.0845069972749</v>
      </c>
      <c r="Q42" s="54" t="n">
        <f aca="false">IF(P41&gt;0,Q41+P41*(1-V$24/100),Q41+P41)</f>
        <v>420.064195479995</v>
      </c>
      <c r="R42" s="55" t="n">
        <f aca="false">R$4+Q42/V$32</f>
        <v>44.0852042624085</v>
      </c>
    </row>
    <row r="43" customFormat="false" ht="12.8" hidden="false" customHeight="false" outlineLevel="0" collapsed="false">
      <c r="A43" s="1" t="n">
        <v>39</v>
      </c>
      <c r="B43" s="44" t="n">
        <v>43584</v>
      </c>
      <c r="C43" s="45" t="n">
        <f aca="false">V$30-V$30*SIN(2*PI()/365*A43)</f>
        <v>6.11431222352673</v>
      </c>
      <c r="D43" s="3" t="n">
        <f aca="false">IF((E43+F43)&gt;C43,C43,E43+F43)</f>
        <v>6.11431222352673</v>
      </c>
      <c r="E43" s="46" t="n">
        <f aca="false">(V$27+V$28*SIN(2*PI()/365*A43))*V$29/100*V$9*V$10/100</f>
        <v>0</v>
      </c>
      <c r="F43" s="46" t="n">
        <f aca="false">(V$27+V$28*SIN(2*PI()/365*A43))*V$29/100*V$11*(1-V$18/100)*(1-V$20/100)</f>
        <v>29.3814611269693</v>
      </c>
      <c r="G43" s="46" t="n">
        <f aca="false">IF(C43&gt;E43,100,C43/E43*100)</f>
        <v>100</v>
      </c>
      <c r="H43" s="46" t="n">
        <f aca="false">L43/F43*100</f>
        <v>20.8101026599878</v>
      </c>
      <c r="I43" s="47" t="n">
        <f aca="false">(V$27+V$28*SIN(2*PI()/365*A43))*V$29/100*V$9*V$10/100*(1-V$19/100)</f>
        <v>0</v>
      </c>
      <c r="J43" s="47" t="n">
        <f aca="false">(V$27+V$28*SIN(2*PI()/365*A43))*V$29/100*V$11*(1-V$18/100)</f>
        <v>32.2873199197465</v>
      </c>
      <c r="K43" s="48" t="n">
        <f aca="false">IF(E43/C43*100&lt;100,E43/C43*100,100)</f>
        <v>0</v>
      </c>
      <c r="L43" s="7" t="n">
        <f aca="false">IF(((C43-E43)&gt;0)AND(F43&gt;(C43-E43)),(C43-E43),IF(C43&lt;E43,0,F43))</f>
        <v>6.11431222352673</v>
      </c>
      <c r="M43" s="7" t="n">
        <f aca="false">IF(C43&lt;(E43+F43),0,C43-E43-F43)</f>
        <v>0</v>
      </c>
      <c r="N43" s="7" t="n">
        <f aca="false">IF(C43&lt;(E43+F43),0,(C43-E43-F43)/(1-V$20/100))</f>
        <v>0</v>
      </c>
      <c r="O43" s="7" t="n">
        <f aca="false">L43+M43</f>
        <v>6.11431222352673</v>
      </c>
      <c r="P43" s="49" t="n">
        <f aca="false">IF( N43=0,I43*(1-G43/100)+J43*(1-H43/100),-N43)</f>
        <v>25.5682954982885</v>
      </c>
      <c r="Q43" s="54" t="n">
        <f aca="false">IF(P42&gt;0,Q42+P42*(1-V$24/100),Q42+P42)</f>
        <v>439.379265867896</v>
      </c>
      <c r="R43" s="55" t="n">
        <f aca="false">R$4+Q43/V$32</f>
        <v>44.2730469986532</v>
      </c>
    </row>
    <row r="44" customFormat="false" ht="12.8" hidden="false" customHeight="false" outlineLevel="0" collapsed="false">
      <c r="A44" s="1" t="n">
        <v>40</v>
      </c>
      <c r="B44" s="44" t="n">
        <v>43585</v>
      </c>
      <c r="C44" s="45" t="n">
        <f aca="false">V$30-V$30*SIN(2*PI()/365*A44)</f>
        <v>5.8977683874257</v>
      </c>
      <c r="D44" s="3" t="n">
        <f aca="false">IF((E44+F44)&gt;C44,C44,E44+F44)</f>
        <v>5.8977683874257</v>
      </c>
      <c r="E44" s="46" t="n">
        <f aca="false">(V$27+V$28*SIN(2*PI()/365*A44))*V$29/100*V$9*V$10/100</f>
        <v>0</v>
      </c>
      <c r="F44" s="46" t="n">
        <f aca="false">(V$27+V$28*SIN(2*PI()/365*A44))*V$29/100*V$11*(1-V$18/100)*(1-V$20/100)</f>
        <v>29.5991847427429</v>
      </c>
      <c r="G44" s="46" t="n">
        <f aca="false">IF(C44&gt;E44,100,C44/E44*100)</f>
        <v>100</v>
      </c>
      <c r="H44" s="46" t="n">
        <f aca="false">L44/F44*100</f>
        <v>19.9254419967486</v>
      </c>
      <c r="I44" s="47" t="n">
        <f aca="false">(V$27+V$28*SIN(2*PI()/365*A44))*V$29/100*V$9*V$10/100*(1-V$19/100)</f>
        <v>0</v>
      </c>
      <c r="J44" s="47" t="n">
        <f aca="false">(V$27+V$28*SIN(2*PI()/365*A44))*V$29/100*V$11*(1-V$18/100)</f>
        <v>32.5265766403768</v>
      </c>
      <c r="K44" s="48" t="n">
        <f aca="false">IF(E44/C44*100&lt;100,E44/C44*100,100)</f>
        <v>0</v>
      </c>
      <c r="L44" s="7" t="n">
        <f aca="false">IF(((C44-E44)&gt;0)AND(F44&gt;(C44-E44)),(C44-E44),IF(C44&lt;E44,0,F44))</f>
        <v>5.8977683874257</v>
      </c>
      <c r="M44" s="7" t="n">
        <f aca="false">IF(C44&lt;(E44+F44),0,C44-E44-F44)</f>
        <v>0</v>
      </c>
      <c r="N44" s="7" t="n">
        <f aca="false">IF(C44&lt;(E44+F44),0,(C44-E44-F44)/(1-V$20/100))</f>
        <v>0</v>
      </c>
      <c r="O44" s="7" t="n">
        <f aca="false">L44+M44</f>
        <v>5.8977683874257</v>
      </c>
      <c r="P44" s="49" t="n">
        <f aca="false">IF( N44=0,I44*(1-G44/100)+J44*(1-H44/100),-N44)</f>
        <v>26.0455124783706</v>
      </c>
      <c r="Q44" s="54" t="n">
        <f aca="false">IF(P43&gt;0,Q43+P43*(1-V$24/100),Q43+P43)</f>
        <v>459.066853401579</v>
      </c>
      <c r="R44" s="55" t="n">
        <f aca="false">R$4+Q44/V$32</f>
        <v>44.4645125350511</v>
      </c>
    </row>
    <row r="45" customFormat="false" ht="12.8" hidden="false" customHeight="false" outlineLevel="0" collapsed="false">
      <c r="A45" s="1" t="n">
        <v>41</v>
      </c>
      <c r="B45" s="44" t="n">
        <v>43586</v>
      </c>
      <c r="C45" s="45" t="n">
        <f aca="false">V$30-V$30*SIN(2*PI()/365*A45)</f>
        <v>5.68427063687701</v>
      </c>
      <c r="D45" s="3" t="n">
        <f aca="false">IF((E45+F45)&gt;C45,C45,E45+F45)</f>
        <v>5.68427063687701</v>
      </c>
      <c r="E45" s="46" t="n">
        <f aca="false">(V$27+V$28*SIN(2*PI()/365*A45))*V$29/100*V$9*V$10/100</f>
        <v>0</v>
      </c>
      <c r="F45" s="46" t="n">
        <f aca="false">(V$27+V$28*SIN(2*PI()/365*A45))*V$29/100*V$11*(1-V$18/100)*(1-V$20/100)</f>
        <v>29.8138456772029</v>
      </c>
      <c r="G45" s="46" t="n">
        <f aca="false">IF(C45&gt;E45,100,C45/E45*100)</f>
        <v>100</v>
      </c>
      <c r="H45" s="46" t="n">
        <f aca="false">L45/F45*100</f>
        <v>19.0658752930471</v>
      </c>
      <c r="I45" s="47" t="n">
        <f aca="false">(V$27+V$28*SIN(2*PI()/365*A45))*V$29/100*V$9*V$10/100*(1-V$19/100)</f>
        <v>0</v>
      </c>
      <c r="J45" s="47" t="n">
        <f aca="false">(V$27+V$28*SIN(2*PI()/365*A45))*V$29/100*V$11*(1-V$18/100)</f>
        <v>32.762467777146</v>
      </c>
      <c r="K45" s="48" t="n">
        <f aca="false">IF(E45/C45*100&lt;100,E45/C45*100,100)</f>
        <v>0</v>
      </c>
      <c r="L45" s="7" t="n">
        <f aca="false">IF(((C45-E45)&gt;0)AND(F45&gt;(C45-E45)),(C45-E45),IF(C45&lt;E45,0,F45))</f>
        <v>5.68427063687701</v>
      </c>
      <c r="M45" s="7" t="n">
        <f aca="false">IF(C45&lt;(E45+F45),0,C45-E45-F45)</f>
        <v>0</v>
      </c>
      <c r="N45" s="7" t="n">
        <f aca="false">IF(C45&lt;(E45+F45),0,(C45-E45-F45)/(1-V$20/100))</f>
        <v>0</v>
      </c>
      <c r="O45" s="7" t="n">
        <f aca="false">L45+M45</f>
        <v>5.68427063687701</v>
      </c>
      <c r="P45" s="49" t="n">
        <f aca="false">IF( N45=0,I45*(1-G45/100)+J45*(1-H45/100),-N45)</f>
        <v>26.5160165278306</v>
      </c>
      <c r="Q45" s="54" t="n">
        <f aca="false">IF(P44&gt;0,Q44+P44*(1-V$24/100),Q44+P44)</f>
        <v>479.121898009924</v>
      </c>
      <c r="R45" s="55" t="n">
        <f aca="false">R$4+Q45/V$32</f>
        <v>44.6595516614475</v>
      </c>
    </row>
    <row r="46" customFormat="false" ht="12.8" hidden="false" customHeight="false" outlineLevel="0" collapsed="false">
      <c r="A46" s="1" t="n">
        <v>42</v>
      </c>
      <c r="B46" s="44" t="n">
        <v>43587</v>
      </c>
      <c r="C46" s="45" t="n">
        <f aca="false">V$30-V$30*SIN(2*PI()/365*A46)</f>
        <v>5.47388223587181</v>
      </c>
      <c r="D46" s="3" t="n">
        <f aca="false">IF((E46+F46)&gt;C46,C46,E46+F46)</f>
        <v>5.47388223587181</v>
      </c>
      <c r="E46" s="46" t="n">
        <f aca="false">(V$27+V$28*SIN(2*PI()/365*A46))*V$29/100*V$9*V$10/100</f>
        <v>0</v>
      </c>
      <c r="F46" s="46" t="n">
        <f aca="false">(V$27+V$28*SIN(2*PI()/365*A46))*V$29/100*V$11*(1-V$18/100)*(1-V$20/100)</f>
        <v>30.0253803216816</v>
      </c>
      <c r="G46" s="46" t="n">
        <f aca="false">IF(C46&gt;E46,100,C46/E46*100)</f>
        <v>100</v>
      </c>
      <c r="H46" s="46" t="n">
        <f aca="false">L46/F46*100</f>
        <v>18.2308506244601</v>
      </c>
      <c r="I46" s="47" t="n">
        <f aca="false">(V$27+V$28*SIN(2*PI()/365*A46))*V$29/100*V$9*V$10/100*(1-V$19/100)</f>
        <v>0</v>
      </c>
      <c r="J46" s="47" t="n">
        <f aca="false">(V$27+V$28*SIN(2*PI()/365*A46))*V$29/100*V$11*(1-V$18/100)</f>
        <v>32.9949234304193</v>
      </c>
      <c r="K46" s="48" t="n">
        <f aca="false">IF(E46/C46*100&lt;100,E46/C46*100,100)</f>
        <v>0</v>
      </c>
      <c r="L46" s="7" t="n">
        <f aca="false">IF(((C46-E46)&gt;0)AND(F46&gt;(C46-E46)),(C46-E46),IF(C46&lt;E46,0,F46))</f>
        <v>5.47388223587181</v>
      </c>
      <c r="M46" s="7" t="n">
        <f aca="false">IF(C46&lt;(E46+F46),0,C46-E46-F46)</f>
        <v>0</v>
      </c>
      <c r="N46" s="7" t="n">
        <f aca="false">IF(C46&lt;(E46+F46),0,(C46-E46-F46)/(1-V$20/100))</f>
        <v>0</v>
      </c>
      <c r="O46" s="7" t="n">
        <f aca="false">L46+M46</f>
        <v>5.47388223587181</v>
      </c>
      <c r="P46" s="49" t="n">
        <f aca="false">IF( N46=0,I46*(1-G46/100)+J46*(1-H46/100),-N46)</f>
        <v>26.9796682261645</v>
      </c>
      <c r="Q46" s="54" t="n">
        <f aca="false">IF(P45&gt;0,Q45+P45*(1-V$24/100),Q45+P45)</f>
        <v>499.539230736354</v>
      </c>
      <c r="R46" s="55" t="n">
        <f aca="false">R$4+Q46/V$32</f>
        <v>44.8581141087556</v>
      </c>
    </row>
    <row r="47" customFormat="false" ht="12.8" hidden="false" customHeight="false" outlineLevel="0" collapsed="false">
      <c r="A47" s="1" t="n">
        <v>43</v>
      </c>
      <c r="B47" s="44" t="n">
        <v>43588</v>
      </c>
      <c r="C47" s="45" t="n">
        <f aca="false">V$30-V$30*SIN(2*PI()/365*A47)</f>
        <v>5.26666552703389</v>
      </c>
      <c r="D47" s="3" t="n">
        <f aca="false">IF((E47+F47)&gt;C47,C47,E47+F47)</f>
        <v>5.26666552703389</v>
      </c>
      <c r="E47" s="46" t="n">
        <f aca="false">(V$27+V$28*SIN(2*PI()/365*A47))*V$29/100*V$9*V$10/100</f>
        <v>0</v>
      </c>
      <c r="F47" s="46" t="n">
        <f aca="false">(V$27+V$28*SIN(2*PI()/365*A47))*V$29/100*V$11*(1-V$18/100)*(1-V$20/100)</f>
        <v>30.2337259938985</v>
      </c>
      <c r="G47" s="46" t="n">
        <f aca="false">IF(C47&gt;E47,100,C47/E47*100)</f>
        <v>100</v>
      </c>
      <c r="H47" s="46" t="n">
        <f aca="false">L47/F47*100</f>
        <v>17.4198361396037</v>
      </c>
      <c r="I47" s="47" t="n">
        <f aca="false">(V$27+V$28*SIN(2*PI()/365*A47))*V$29/100*V$9*V$10/100*(1-V$19/100)</f>
        <v>0</v>
      </c>
      <c r="J47" s="47" t="n">
        <f aca="false">(V$27+V$28*SIN(2*PI()/365*A47))*V$29/100*V$11*(1-V$18/100)</f>
        <v>33.2238747185697</v>
      </c>
      <c r="K47" s="48" t="n">
        <f aca="false">IF(E47/C47*100&lt;100,E47/C47*100,100)</f>
        <v>0</v>
      </c>
      <c r="L47" s="7" t="n">
        <f aca="false">IF(((C47-E47)&gt;0)AND(F47&gt;(C47-E47)),(C47-E47),IF(C47&lt;E47,0,F47))</f>
        <v>5.26666552703389</v>
      </c>
      <c r="M47" s="7" t="n">
        <f aca="false">IF(C47&lt;(E47+F47),0,C47-E47-F47)</f>
        <v>0</v>
      </c>
      <c r="N47" s="7" t="n">
        <f aca="false">IF(C47&lt;(E47+F47),0,(C47-E47-F47)/(1-V$20/100))</f>
        <v>0</v>
      </c>
      <c r="O47" s="7" t="n">
        <f aca="false">L47+M47</f>
        <v>5.26666552703389</v>
      </c>
      <c r="P47" s="49" t="n">
        <f aca="false">IF( N47=0,I47*(1-G47/100)+J47*(1-H47/100),-N47)</f>
        <v>27.4363301833677</v>
      </c>
      <c r="Q47" s="54" t="n">
        <f aca="false">IF(P46&gt;0,Q46+P46*(1-V$24/100),Q46+P46)</f>
        <v>520.3135752705</v>
      </c>
      <c r="R47" s="55" t="n">
        <f aca="false">R$4+Q47/V$32</f>
        <v>45.0601485638528</v>
      </c>
    </row>
    <row r="48" customFormat="false" ht="12.8" hidden="false" customHeight="false" outlineLevel="0" collapsed="false">
      <c r="A48" s="1" t="n">
        <v>44</v>
      </c>
      <c r="B48" s="44" t="n">
        <v>43589</v>
      </c>
      <c r="C48" s="45" t="n">
        <f aca="false">V$30-V$30*SIN(2*PI()/365*A48)</f>
        <v>5.06268191314615</v>
      </c>
      <c r="D48" s="3" t="n">
        <f aca="false">IF((E48+F48)&gt;C48,C48,E48+F48)</f>
        <v>5.06268191314615</v>
      </c>
      <c r="E48" s="46" t="n">
        <f aca="false">(V$27+V$28*SIN(2*PI()/365*A48))*V$29/100*V$9*V$10/100</f>
        <v>0</v>
      </c>
      <c r="F48" s="46" t="n">
        <f aca="false">(V$27+V$28*SIN(2*PI()/365*A48))*V$29/100*V$11*(1-V$18/100)*(1-V$20/100)</f>
        <v>30.4388209565345</v>
      </c>
      <c r="G48" s="46" t="n">
        <f aca="false">IF(C48&gt;E48,100,C48/E48*100)</f>
        <v>100</v>
      </c>
      <c r="H48" s="46" t="n">
        <f aca="false">L48/F48*100</f>
        <v>16.6323193673483</v>
      </c>
      <c r="I48" s="47" t="n">
        <f aca="false">(V$27+V$28*SIN(2*PI()/365*A48))*V$29/100*V$9*V$10/100*(1-V$19/100)</f>
        <v>0</v>
      </c>
      <c r="J48" s="47" t="n">
        <f aca="false">(V$27+V$28*SIN(2*PI()/365*A48))*V$29/100*V$11*(1-V$18/100)</f>
        <v>33.4492537983896</v>
      </c>
      <c r="K48" s="48" t="n">
        <f aca="false">IF(E48/C48*100&lt;100,E48/C48*100,100)</f>
        <v>0</v>
      </c>
      <c r="L48" s="7" t="n">
        <f aca="false">IF(((C48-E48)&gt;0)AND(F48&gt;(C48-E48)),(C48-E48),IF(C48&lt;E48,0,F48))</f>
        <v>5.06268191314615</v>
      </c>
      <c r="M48" s="7" t="n">
        <f aca="false">IF(C48&lt;(E48+F48),0,C48-E48-F48)</f>
        <v>0</v>
      </c>
      <c r="N48" s="7" t="n">
        <f aca="false">IF(C48&lt;(E48+F48),0,(C48-E48-F48)/(1-V$20/100))</f>
        <v>0</v>
      </c>
      <c r="O48" s="7" t="n">
        <f aca="false">L48+M48</f>
        <v>5.06268191314615</v>
      </c>
      <c r="P48" s="49" t="n">
        <f aca="false">IF( N48=0,I48*(1-G48/100)+J48*(1-H48/100),-N48)</f>
        <v>27.8858670806465</v>
      </c>
      <c r="Q48" s="54" t="n">
        <f aca="false">IF(P47&gt;0,Q47+P47*(1-V$24/100),Q47+P47)</f>
        <v>541.439549511693</v>
      </c>
      <c r="R48" s="55" t="n">
        <f aca="false">R$4+Q48/V$32</f>
        <v>45.2656026847855</v>
      </c>
    </row>
    <row r="49" customFormat="false" ht="12.8" hidden="false" customHeight="false" outlineLevel="0" collapsed="false">
      <c r="A49" s="1" t="n">
        <v>45</v>
      </c>
      <c r="B49" s="44" t="n">
        <v>43590</v>
      </c>
      <c r="C49" s="45" t="n">
        <f aca="false">V$30-V$30*SIN(2*PI()/365*A49)</f>
        <v>4.86199183895574</v>
      </c>
      <c r="D49" s="3" t="n">
        <f aca="false">IF((E49+F49)&gt;C49,C49,E49+F49)</f>
        <v>4.86199183895574</v>
      </c>
      <c r="E49" s="46" t="n">
        <f aca="false">(V$27+V$28*SIN(2*PI()/365*A49))*V$29/100*V$9*V$10/100</f>
        <v>0</v>
      </c>
      <c r="F49" s="46" t="n">
        <f aca="false">(V$27+V$28*SIN(2*PI()/365*A49))*V$29/100*V$11*(1-V$18/100)*(1-V$20/100)</f>
        <v>30.6406044355259</v>
      </c>
      <c r="G49" s="46" t="n">
        <f aca="false">IF(C49&gt;E49,100,C49/E49*100)</f>
        <v>100</v>
      </c>
      <c r="H49" s="46" t="n">
        <f aca="false">L49/F49*100</f>
        <v>15.86780655449</v>
      </c>
      <c r="I49" s="47" t="n">
        <f aca="false">(V$27+V$28*SIN(2*PI()/365*A49))*V$29/100*V$9*V$10/100*(1-V$19/100)</f>
        <v>0</v>
      </c>
      <c r="J49" s="47" t="n">
        <f aca="false">(V$27+V$28*SIN(2*PI()/365*A49))*V$29/100*V$11*(1-V$18/100)</f>
        <v>33.6709938851933</v>
      </c>
      <c r="K49" s="48" t="n">
        <f aca="false">IF(E49/C49*100&lt;100,E49/C49*100,100)</f>
        <v>0</v>
      </c>
      <c r="L49" s="7" t="n">
        <f aca="false">IF(((C49-E49)&gt;0)AND(F49&gt;(C49-E49)),(C49-E49),IF(C49&lt;E49,0,F49))</f>
        <v>4.86199183895574</v>
      </c>
      <c r="M49" s="7" t="n">
        <f aca="false">IF(C49&lt;(E49+F49),0,C49-E49-F49)</f>
        <v>0</v>
      </c>
      <c r="N49" s="7" t="n">
        <f aca="false">IF(C49&lt;(E49+F49),0,(C49-E49-F49)/(1-V$20/100))</f>
        <v>0</v>
      </c>
      <c r="O49" s="7" t="n">
        <f aca="false">L49+M49</f>
        <v>4.86199183895574</v>
      </c>
      <c r="P49" s="49" t="n">
        <f aca="false">IF( N49=0,I49*(1-G49/100)+J49*(1-H49/100),-N49)</f>
        <v>28.3281457105167</v>
      </c>
      <c r="Q49" s="54" t="n">
        <f aca="false">IF(P48&gt;0,Q48+P48*(1-V$24/100),Q48+P48)</f>
        <v>562.911667163791</v>
      </c>
      <c r="R49" s="55" t="n">
        <f aca="false">R$4+Q49/V$32</f>
        <v>45.4744231162795</v>
      </c>
    </row>
    <row r="50" customFormat="false" ht="12.8" hidden="false" customHeight="false" outlineLevel="0" collapsed="false">
      <c r="A50" s="1" t="n">
        <v>46</v>
      </c>
      <c r="B50" s="44" t="n">
        <v>43591</v>
      </c>
      <c r="C50" s="45" t="n">
        <f aca="false">V$30-V$30*SIN(2*PI()/365*A50)</f>
        <v>4.66465477326287</v>
      </c>
      <c r="D50" s="3" t="n">
        <f aca="false">IF((E50+F50)&gt;C50,C50,E50+F50)</f>
        <v>4.66465477326287</v>
      </c>
      <c r="E50" s="46" t="n">
        <f aca="false">(V$27+V$28*SIN(2*PI()/365*A50))*V$29/100*V$9*V$10/100</f>
        <v>0</v>
      </c>
      <c r="F50" s="46" t="n">
        <f aca="false">(V$27+V$28*SIN(2*PI()/365*A50))*V$29/100*V$11*(1-V$18/100)*(1-V$20/100)</f>
        <v>30.839016638073</v>
      </c>
      <c r="G50" s="46" t="n">
        <f aca="false">IF(C50&gt;E50,100,C50/E50*100)</f>
        <v>100</v>
      </c>
      <c r="H50" s="46" t="n">
        <f aca="false">L50/F50*100</f>
        <v>15.1258220325483</v>
      </c>
      <c r="I50" s="47" t="n">
        <f aca="false">(V$27+V$28*SIN(2*PI()/365*A50))*V$29/100*V$9*V$10/100*(1-V$19/100)</f>
        <v>0</v>
      </c>
      <c r="J50" s="47" t="n">
        <f aca="false">(V$27+V$28*SIN(2*PI()/365*A50))*V$29/100*V$11*(1-V$18/100)</f>
        <v>33.8890292726077</v>
      </c>
      <c r="K50" s="48" t="n">
        <f aca="false">IF(E50/C50*100&lt;100,E50/C50*100,100)</f>
        <v>0</v>
      </c>
      <c r="L50" s="7" t="n">
        <f aca="false">IF(((C50-E50)&gt;0)AND(F50&gt;(C50-E50)),(C50-E50),IF(C50&lt;E50,0,F50))</f>
        <v>4.66465477326287</v>
      </c>
      <c r="M50" s="7" t="n">
        <f aca="false">IF(C50&lt;(E50+F50),0,C50-E50-F50)</f>
        <v>0</v>
      </c>
      <c r="N50" s="7" t="n">
        <f aca="false">IF(C50&lt;(E50+F50),0,(C50-E50-F50)/(1-V$20/100))</f>
        <v>0</v>
      </c>
      <c r="O50" s="7" t="n">
        <f aca="false">L50+M50</f>
        <v>4.66465477326287</v>
      </c>
      <c r="P50" s="49" t="n">
        <f aca="false">IF( N50=0,I50*(1-G50/100)+J50*(1-H50/100),-N50)</f>
        <v>28.7630350162749</v>
      </c>
      <c r="Q50" s="54" t="n">
        <f aca="false">IF(P49&gt;0,Q49+P49*(1-V$24/100),Q49+P49)</f>
        <v>584.724339360889</v>
      </c>
      <c r="R50" s="55" t="n">
        <f aca="false">R$4+Q50/V$32</f>
        <v>45.6865555055498</v>
      </c>
    </row>
    <row r="51" customFormat="false" ht="12.8" hidden="false" customHeight="false" outlineLevel="0" collapsed="false">
      <c r="A51" s="1" t="n">
        <v>47</v>
      </c>
      <c r="B51" s="44" t="n">
        <v>43592</v>
      </c>
      <c r="C51" s="45" t="n">
        <f aca="false">V$30-V$30*SIN(2*PI()/365*A51)</f>
        <v>4.470729191299</v>
      </c>
      <c r="D51" s="3" t="n">
        <f aca="false">IF((E51+F51)&gt;C51,C51,E51+F51)</f>
        <v>4.470729191299</v>
      </c>
      <c r="E51" s="46" t="n">
        <f aca="false">(V$27+V$28*SIN(2*PI()/365*A51))*V$29/100*V$9*V$10/100</f>
        <v>0</v>
      </c>
      <c r="F51" s="46" t="n">
        <f aca="false">(V$27+V$28*SIN(2*PI()/365*A51))*V$29/100*V$11*(1-V$18/100)*(1-V$20/100)</f>
        <v>31.0339987703581</v>
      </c>
      <c r="G51" s="46" t="n">
        <f aca="false">IF(C51&gt;E51,100,C51/E51*100)</f>
        <v>100</v>
      </c>
      <c r="H51" s="46" t="n">
        <f aca="false">L51/F51*100</f>
        <v>14.4059076124253</v>
      </c>
      <c r="I51" s="47" t="n">
        <f aca="false">(V$27+V$28*SIN(2*PI()/365*A51))*V$29/100*V$9*V$10/100*(1-V$19/100)</f>
        <v>0</v>
      </c>
      <c r="J51" s="47" t="n">
        <f aca="false">(V$27+V$28*SIN(2*PI()/365*A51))*V$29/100*V$11*(1-V$18/100)</f>
        <v>34.1032953520419</v>
      </c>
      <c r="K51" s="48" t="n">
        <f aca="false">IF(E51/C51*100&lt;100,E51/C51*100,100)</f>
        <v>0</v>
      </c>
      <c r="L51" s="7" t="n">
        <f aca="false">IF(((C51-E51)&gt;0)AND(F51&gt;(C51-E51)),(C51-E51),IF(C51&lt;E51,0,F51))</f>
        <v>4.470729191299</v>
      </c>
      <c r="M51" s="7" t="n">
        <f aca="false">IF(C51&lt;(E51+F51),0,C51-E51-F51)</f>
        <v>0</v>
      </c>
      <c r="N51" s="7" t="n">
        <f aca="false">IF(C51&lt;(E51+F51),0,(C51-E51-F51)/(1-V$20/100))</f>
        <v>0</v>
      </c>
      <c r="O51" s="7" t="n">
        <f aca="false">L51+M51</f>
        <v>4.470729191299</v>
      </c>
      <c r="P51" s="49" t="n">
        <f aca="false">IF( N51=0,I51*(1-G51/100)+J51*(1-H51/100),-N51)</f>
        <v>29.1904061308342</v>
      </c>
      <c r="Q51" s="54" t="n">
        <f aca="false">IF(P50&gt;0,Q50+P50*(1-V$24/100),Q50+P50)</f>
        <v>606.871876323421</v>
      </c>
      <c r="R51" s="55" t="n">
        <f aca="false">R$4+Q51/V$32</f>
        <v>45.9019445184073</v>
      </c>
    </row>
    <row r="52" customFormat="false" ht="12.8" hidden="false" customHeight="false" outlineLevel="0" collapsed="false">
      <c r="A52" s="1" t="n">
        <v>48</v>
      </c>
      <c r="B52" s="44" t="n">
        <v>43593</v>
      </c>
      <c r="C52" s="45" t="n">
        <f aca="false">V$30-V$30*SIN(2*PI()/365*A52)</f>
        <v>4.28027255739932</v>
      </c>
      <c r="D52" s="3" t="n">
        <f aca="false">IF((E52+F52)&gt;C52,C52,E52+F52)</f>
        <v>4.28027255739932</v>
      </c>
      <c r="E52" s="46" t="n">
        <f aca="false">(V$27+V$28*SIN(2*PI()/365*A52))*V$29/100*V$9*V$10/100</f>
        <v>0</v>
      </c>
      <c r="F52" s="46" t="n">
        <f aca="false">(V$27+V$28*SIN(2*PI()/365*A52))*V$29/100*V$11*(1-V$18/100)*(1-V$20/100)</f>
        <v>31.2254930549674</v>
      </c>
      <c r="G52" s="46" t="n">
        <f aca="false">IF(C52&gt;E52,100,C52/E52*100)</f>
        <v>100</v>
      </c>
      <c r="H52" s="46" t="n">
        <f aca="false">L52/F52*100</f>
        <v>13.7076220057265</v>
      </c>
      <c r="I52" s="47" t="n">
        <f aca="false">(V$27+V$28*SIN(2*PI()/365*A52))*V$29/100*V$9*V$10/100*(1-V$19/100)</f>
        <v>0</v>
      </c>
      <c r="J52" s="47" t="n">
        <f aca="false">(V$27+V$28*SIN(2*PI()/365*A52))*V$29/100*V$11*(1-V$18/100)</f>
        <v>34.3137286318323</v>
      </c>
      <c r="K52" s="48" t="n">
        <f aca="false">IF(E52/C52*100&lt;100,E52/C52*100,100)</f>
        <v>0</v>
      </c>
      <c r="L52" s="7" t="n">
        <f aca="false">IF(((C52-E52)&gt;0)AND(F52&gt;(C52-E52)),(C52-E52),IF(C52&lt;E52,0,F52))</f>
        <v>4.28027255739932</v>
      </c>
      <c r="M52" s="7" t="n">
        <f aca="false">IF(C52&lt;(E52+F52),0,C52-E52-F52)</f>
        <v>0</v>
      </c>
      <c r="N52" s="7" t="n">
        <f aca="false">IF(C52&lt;(E52+F52),0,(C52-E52-F52)/(1-V$20/100))</f>
        <v>0</v>
      </c>
      <c r="O52" s="7" t="n">
        <f aca="false">L52+M52</f>
        <v>4.28027255739932</v>
      </c>
      <c r="P52" s="49" t="n">
        <f aca="false">IF( N52=0,I52*(1-G52/100)+J52*(1-H52/100),-N52)</f>
        <v>29.6101324149099</v>
      </c>
      <c r="Q52" s="54" t="n">
        <f aca="false">IF(P51&gt;0,Q51+P51*(1-V$24/100),Q51+P51)</f>
        <v>629.348489044163</v>
      </c>
      <c r="R52" s="55" t="n">
        <f aca="false">R$4+Q52/V$32</f>
        <v>46.1205338556545</v>
      </c>
    </row>
    <row r="53" customFormat="false" ht="12.8" hidden="false" customHeight="false" outlineLevel="0" collapsed="false">
      <c r="A53" s="1" t="n">
        <v>49</v>
      </c>
      <c r="B53" s="44" t="n">
        <v>43594</v>
      </c>
      <c r="C53" s="45" t="n">
        <f aca="false">V$30-V$30*SIN(2*PI()/365*A53)</f>
        <v>4.09334130797484</v>
      </c>
      <c r="D53" s="3" t="n">
        <f aca="false">IF((E53+F53)&gt;C53,C53,E53+F53)</f>
        <v>4.09334130797484</v>
      </c>
      <c r="E53" s="46" t="n">
        <f aca="false">(V$27+V$28*SIN(2*PI()/365*A53))*V$29/100*V$9*V$10/100</f>
        <v>0</v>
      </c>
      <c r="F53" s="46" t="n">
        <f aca="false">(V$27+V$28*SIN(2*PI()/365*A53))*V$29/100*V$11*(1-V$18/100)*(1-V$20/100)</f>
        <v>31.4134427480114</v>
      </c>
      <c r="G53" s="46" t="n">
        <f aca="false">IF(C53&gt;E53,100,C53/E53*100)</f>
        <v>100</v>
      </c>
      <c r="H53" s="46" t="n">
        <f aca="false">L53/F53*100</f>
        <v>13.0305402715974</v>
      </c>
      <c r="I53" s="47" t="n">
        <f aca="false">(V$27+V$28*SIN(2*PI()/365*A53))*V$29/100*V$9*V$10/100*(1-V$19/100)</f>
        <v>0</v>
      </c>
      <c r="J53" s="47" t="n">
        <f aca="false">(V$27+V$28*SIN(2*PI()/365*A53))*V$29/100*V$11*(1-V$18/100)</f>
        <v>34.5202667560565</v>
      </c>
      <c r="K53" s="48" t="n">
        <f aca="false">IF(E53/C53*100&lt;100,E53/C53*100,100)</f>
        <v>0</v>
      </c>
      <c r="L53" s="7" t="n">
        <f aca="false">IF(((C53-E53)&gt;0)AND(F53&gt;(C53-E53)),(C53-E53),IF(C53&lt;E53,0,F53))</f>
        <v>4.09334130797484</v>
      </c>
      <c r="M53" s="7" t="n">
        <f aca="false">IF(C53&lt;(E53+F53),0,C53-E53-F53)</f>
        <v>0</v>
      </c>
      <c r="N53" s="7" t="n">
        <f aca="false">IF(C53&lt;(E53+F53),0,(C53-E53-F53)/(1-V$20/100))</f>
        <v>0</v>
      </c>
      <c r="O53" s="7" t="n">
        <f aca="false">L53+M53</f>
        <v>4.09334130797484</v>
      </c>
      <c r="P53" s="49" t="n">
        <f aca="false">IF( N53=0,I53*(1-G53/100)+J53*(1-H53/100),-N53)</f>
        <v>30.0220894945457</v>
      </c>
      <c r="Q53" s="54" t="n">
        <f aca="false">IF(P52&gt;0,Q52+P52*(1-V$24/100),Q52+P52)</f>
        <v>652.148291003644</v>
      </c>
      <c r="R53" s="55" t="n">
        <f aca="false">R$4+Q53/V$32</f>
        <v>46.3422662697693</v>
      </c>
    </row>
    <row r="54" customFormat="false" ht="12.8" hidden="false" customHeight="false" outlineLevel="0" collapsed="false">
      <c r="A54" s="1" t="n">
        <v>50</v>
      </c>
      <c r="B54" s="44" t="n">
        <v>43595</v>
      </c>
      <c r="C54" s="45" t="n">
        <f aca="false">V$30-V$30*SIN(2*PI()/365*A54)</f>
        <v>3.90999083478907</v>
      </c>
      <c r="D54" s="3" t="n">
        <f aca="false">IF((E54+F54)&gt;C54,C54,E54+F54)</f>
        <v>3.90999083478907</v>
      </c>
      <c r="E54" s="46" t="n">
        <f aca="false">(V$27+V$28*SIN(2*PI()/365*A54))*V$29/100*V$9*V$10/100</f>
        <v>0</v>
      </c>
      <c r="F54" s="46" t="n">
        <f aca="false">(V$27+V$28*SIN(2*PI()/365*A54))*V$29/100*V$11*(1-V$18/100)*(1-V$20/100)</f>
        <v>31.59779215594</v>
      </c>
      <c r="G54" s="46" t="n">
        <f aca="false">IF(C54&gt;E54,100,C54/E54*100)</f>
        <v>100</v>
      </c>
      <c r="H54" s="46" t="n">
        <f aca="false">L54/F54*100</f>
        <v>12.3742532879913</v>
      </c>
      <c r="I54" s="47" t="n">
        <f aca="false">(V$27+V$28*SIN(2*PI()/365*A54))*V$29/100*V$9*V$10/100*(1-V$19/100)</f>
        <v>0</v>
      </c>
      <c r="J54" s="47" t="n">
        <f aca="false">(V$27+V$28*SIN(2*PI()/365*A54))*V$29/100*V$11*(1-V$18/100)</f>
        <v>34.722848523011</v>
      </c>
      <c r="K54" s="48" t="n">
        <f aca="false">IF(E54/C54*100&lt;100,E54/C54*100,100)</f>
        <v>0</v>
      </c>
      <c r="L54" s="7" t="n">
        <f aca="false">IF(((C54-E54)&gt;0)AND(F54&gt;(C54-E54)),(C54-E54),IF(C54&lt;E54,0,F54))</f>
        <v>3.90999083478907</v>
      </c>
      <c r="M54" s="7" t="n">
        <f aca="false">IF(C54&lt;(E54+F54),0,C54-E54-F54)</f>
        <v>0</v>
      </c>
      <c r="N54" s="7" t="n">
        <f aca="false">IF(C54&lt;(E54+F54),0,(C54-E54-F54)/(1-V$20/100))</f>
        <v>0</v>
      </c>
      <c r="O54" s="7" t="n">
        <f aca="false">L54+M54</f>
        <v>3.90999083478907</v>
      </c>
      <c r="P54" s="49" t="n">
        <f aca="false">IF( N54=0,I54*(1-G54/100)+J54*(1-H54/100),-N54)</f>
        <v>30.4261552979681</v>
      </c>
      <c r="Q54" s="54" t="n">
        <f aca="false">IF(P53&gt;0,Q53+P53*(1-V$24/100),Q53+P53)</f>
        <v>675.265299914444</v>
      </c>
      <c r="R54" s="55" t="n">
        <f aca="false">R$4+Q54/V$32</f>
        <v>46.5670835818675</v>
      </c>
    </row>
    <row r="55" customFormat="false" ht="12.8" hidden="false" customHeight="false" outlineLevel="0" collapsed="false">
      <c r="A55" s="1" t="n">
        <v>51</v>
      </c>
      <c r="B55" s="44" t="n">
        <v>43596</v>
      </c>
      <c r="C55" s="45" t="n">
        <f aca="false">V$30-V$30*SIN(2*PI()/365*A55)</f>
        <v>3.73027546854425</v>
      </c>
      <c r="D55" s="3" t="n">
        <f aca="false">IF((E55+F55)&gt;C55,C55,E55+F55)</f>
        <v>3.73027546854425</v>
      </c>
      <c r="E55" s="46" t="n">
        <f aca="false">(V$27+V$28*SIN(2*PI()/365*A55))*V$29/100*V$9*V$10/100</f>
        <v>0</v>
      </c>
      <c r="F55" s="46" t="n">
        <f aca="false">(V$27+V$28*SIN(2*PI()/365*A55))*V$29/100*V$11*(1-V$18/100)*(1-V$20/100)</f>
        <v>31.7784866520449</v>
      </c>
      <c r="G55" s="46" t="n">
        <f aca="false">IF(C55&gt;E55,100,C55/E55*100)</f>
        <v>100</v>
      </c>
      <c r="H55" s="46" t="n">
        <f aca="false">L55/F55*100</f>
        <v>11.738367246334</v>
      </c>
      <c r="I55" s="47" t="n">
        <f aca="false">(V$27+V$28*SIN(2*PI()/365*A55))*V$29/100*V$9*V$10/100*(1-V$19/100)</f>
        <v>0</v>
      </c>
      <c r="J55" s="47" t="n">
        <f aca="false">(V$27+V$28*SIN(2*PI()/365*A55))*V$29/100*V$11*(1-V$18/100)</f>
        <v>34.9214139033461</v>
      </c>
      <c r="K55" s="48" t="n">
        <f aca="false">IF(E55/C55*100&lt;100,E55/C55*100,100)</f>
        <v>0</v>
      </c>
      <c r="L55" s="7" t="n">
        <f aca="false">IF(((C55-E55)&gt;0)AND(F55&gt;(C55-E55)),(C55-E55),IF(C55&lt;E55,0,F55))</f>
        <v>3.73027546854425</v>
      </c>
      <c r="M55" s="7" t="n">
        <f aca="false">IF(C55&lt;(E55+F55),0,C55-E55-F55)</f>
        <v>0</v>
      </c>
      <c r="N55" s="7" t="n">
        <f aca="false">IF(C55&lt;(E55+F55),0,(C55-E55-F55)/(1-V$20/100))</f>
        <v>0</v>
      </c>
      <c r="O55" s="7" t="n">
        <f aca="false">L55+M55</f>
        <v>3.73027546854425</v>
      </c>
      <c r="P55" s="49" t="n">
        <f aca="false">IF( N55=0,I55*(1-G55/100)+J55*(1-H55/100),-N55)</f>
        <v>30.822210091759</v>
      </c>
      <c r="Q55" s="54" t="n">
        <f aca="false">IF(P54&gt;0,Q54+P54*(1-V$24/100),Q54+P54)</f>
        <v>698.693439493879</v>
      </c>
      <c r="R55" s="55" t="n">
        <f aca="false">R$4+Q55/V$32</f>
        <v>46.7949266989436</v>
      </c>
    </row>
    <row r="56" customFormat="false" ht="12.8" hidden="false" customHeight="false" outlineLevel="0" collapsed="false">
      <c r="A56" s="1" t="n">
        <v>52</v>
      </c>
      <c r="B56" s="44" t="n">
        <v>43597</v>
      </c>
      <c r="C56" s="45" t="n">
        <f aca="false">V$30-V$30*SIN(2*PI()/365*A56)</f>
        <v>3.55424846278197</v>
      </c>
      <c r="D56" s="3" t="n">
        <f aca="false">IF((E56+F56)&gt;C56,C56,E56+F56)</f>
        <v>3.55424846278197</v>
      </c>
      <c r="E56" s="46" t="n">
        <f aca="false">(V$27+V$28*SIN(2*PI()/365*A56))*V$29/100*V$9*V$10/100</f>
        <v>0</v>
      </c>
      <c r="F56" s="46" t="n">
        <f aca="false">(V$27+V$28*SIN(2*PI()/365*A56))*V$29/100*V$11*(1-V$18/100)*(1-V$20/100)</f>
        <v>31.9554726926473</v>
      </c>
      <c r="G56" s="46" t="n">
        <f aca="false">IF(C56&gt;E56,100,C56/E56*100)</f>
        <v>100</v>
      </c>
      <c r="H56" s="46" t="n">
        <f aca="false">L56/F56*100</f>
        <v>11.1225031686037</v>
      </c>
      <c r="I56" s="47" t="n">
        <f aca="false">(V$27+V$28*SIN(2*PI()/365*A56))*V$29/100*V$9*V$10/100*(1-V$19/100)</f>
        <v>0</v>
      </c>
      <c r="J56" s="47" t="n">
        <f aca="false">(V$27+V$28*SIN(2*PI()/365*A56))*V$29/100*V$11*(1-V$18/100)</f>
        <v>35.1159040578541</v>
      </c>
      <c r="K56" s="48" t="n">
        <f aca="false">IF(E56/C56*100&lt;100,E56/C56*100,100)</f>
        <v>0</v>
      </c>
      <c r="L56" s="7" t="n">
        <f aca="false">IF(((C56-E56)&gt;0)AND(F56&gt;(C56-E56)),(C56-E56),IF(C56&lt;E56,0,F56))</f>
        <v>3.55424846278197</v>
      </c>
      <c r="M56" s="7" t="n">
        <f aca="false">IF(C56&lt;(E56+F56),0,C56-E56-F56)</f>
        <v>0</v>
      </c>
      <c r="N56" s="7" t="n">
        <f aca="false">IF(C56&lt;(E56+F56),0,(C56-E56-F56)/(1-V$20/100))</f>
        <v>0</v>
      </c>
      <c r="O56" s="7" t="n">
        <f aca="false">L56+M56</f>
        <v>3.55424846278197</v>
      </c>
      <c r="P56" s="49" t="n">
        <f aca="false">IF( N56=0,I56*(1-G56/100)+J56*(1-H56/100),-N56)</f>
        <v>31.2101365163355</v>
      </c>
      <c r="Q56" s="54" t="n">
        <f aca="false">IF(P55&gt;0,Q55+P55*(1-V$24/100),Q55+P55)</f>
        <v>722.426541264534</v>
      </c>
      <c r="R56" s="55" t="n">
        <f aca="false">R$4+Q56/V$32</f>
        <v>47.0257356313804</v>
      </c>
    </row>
    <row r="57" customFormat="false" ht="12.8" hidden="false" customHeight="false" outlineLevel="0" collapsed="false">
      <c r="A57" s="1" t="n">
        <v>53</v>
      </c>
      <c r="B57" s="44" t="n">
        <v>43598</v>
      </c>
      <c r="C57" s="45" t="n">
        <f aca="false">V$30-V$30*SIN(2*PI()/365*A57)</f>
        <v>3.38196197810301</v>
      </c>
      <c r="D57" s="3" t="n">
        <f aca="false">IF((E57+F57)&gt;C57,C57,E57+F57)</f>
        <v>3.38196197810301</v>
      </c>
      <c r="E57" s="46" t="n">
        <f aca="false">(V$27+V$28*SIN(2*PI()/365*A57))*V$29/100*V$9*V$10/100</f>
        <v>0</v>
      </c>
      <c r="F57" s="46" t="n">
        <f aca="false">(V$27+V$28*SIN(2*PI()/365*A57))*V$29/100*V$11*(1-V$18/100)*(1-V$20/100)</f>
        <v>32.1286978329635</v>
      </c>
      <c r="G57" s="46" t="n">
        <f aca="false">IF(C57&gt;E57,100,C57/E57*100)</f>
        <v>100</v>
      </c>
      <c r="H57" s="46" t="n">
        <f aca="false">L57/F57*100</f>
        <v>10.5262964458932</v>
      </c>
      <c r="I57" s="47" t="n">
        <f aca="false">(V$27+V$28*SIN(2*PI()/365*A57))*V$29/100*V$9*V$10/100*(1-V$19/100)</f>
        <v>0</v>
      </c>
      <c r="J57" s="47" t="n">
        <f aca="false">(V$27+V$28*SIN(2*PI()/365*A57))*V$29/100*V$11*(1-V$18/100)</f>
        <v>35.306261354905</v>
      </c>
      <c r="K57" s="48" t="n">
        <f aca="false">IF(E57/C57*100&lt;100,E57/C57*100,100)</f>
        <v>0</v>
      </c>
      <c r="L57" s="7" t="n">
        <f aca="false">IF(((C57-E57)&gt;0)AND(F57&gt;(C57-E57)),(C57-E57),IF(C57&lt;E57,0,F57))</f>
        <v>3.38196197810301</v>
      </c>
      <c r="M57" s="7" t="n">
        <f aca="false">IF(C57&lt;(E57+F57),0,C57-E57-F57)</f>
        <v>0</v>
      </c>
      <c r="N57" s="7" t="n">
        <f aca="false">IF(C57&lt;(E57+F57),0,(C57-E57-F57)/(1-V$20/100))</f>
        <v>0</v>
      </c>
      <c r="O57" s="7" t="n">
        <f aca="false">L57+M57</f>
        <v>3.38196197810301</v>
      </c>
      <c r="P57" s="49" t="n">
        <f aca="false">IF( N57=0,I57*(1-G57/100)+J57*(1-H57/100),-N57)</f>
        <v>31.5898196207259</v>
      </c>
      <c r="Q57" s="54" t="n">
        <f aca="false">IF(P56&gt;0,Q56+P56*(1-V$24/100),Q56+P56)</f>
        <v>746.458346382112</v>
      </c>
      <c r="R57" s="55" t="n">
        <f aca="false">R$4+Q57/V$32</f>
        <v>47.2594495107257</v>
      </c>
    </row>
    <row r="58" customFormat="false" ht="12.8" hidden="false" customHeight="false" outlineLevel="0" collapsed="false">
      <c r="A58" s="1" t="n">
        <v>54</v>
      </c>
      <c r="B58" s="44" t="n">
        <v>43599</v>
      </c>
      <c r="C58" s="45" t="n">
        <f aca="false">V$30-V$30*SIN(2*PI()/365*A58)</f>
        <v>3.21346706671104</v>
      </c>
      <c r="D58" s="3" t="n">
        <f aca="false">IF((E58+F58)&gt;C58,C58,E58+F58)</f>
        <v>3.21346706671104</v>
      </c>
      <c r="E58" s="46" t="n">
        <f aca="false">(V$27+V$28*SIN(2*PI()/365*A58))*V$29/100*V$9*V$10/100</f>
        <v>0</v>
      </c>
      <c r="F58" s="46" t="n">
        <f aca="false">(V$27+V$28*SIN(2*PI()/365*A58))*V$29/100*V$11*(1-V$18/100)*(1-V$20/100)</f>
        <v>32.2981107426462</v>
      </c>
      <c r="G58" s="46" t="n">
        <f aca="false">IF(C58&gt;E58,100,C58/E58*100)</f>
        <v>100</v>
      </c>
      <c r="H58" s="46" t="n">
        <f aca="false">L58/F58*100</f>
        <v>9.94939639756699</v>
      </c>
      <c r="I58" s="47" t="n">
        <f aca="false">(V$27+V$28*SIN(2*PI()/365*A58))*V$29/100*V$9*V$10/100*(1-V$19/100)</f>
        <v>0</v>
      </c>
      <c r="J58" s="47" t="n">
        <f aca="false">(V$27+V$28*SIN(2*PI()/365*A58))*V$29/100*V$11*(1-V$18/100)</f>
        <v>35.4924293875233</v>
      </c>
      <c r="K58" s="48" t="n">
        <f aca="false">IF(E58/C58*100&lt;100,E58/C58*100,100)</f>
        <v>0</v>
      </c>
      <c r="L58" s="7" t="n">
        <f aca="false">IF(((C58-E58)&gt;0)AND(F58&gt;(C58-E58)),(C58-E58),IF(C58&lt;E58,0,F58))</f>
        <v>3.21346706671104</v>
      </c>
      <c r="M58" s="7" t="n">
        <f aca="false">IF(C58&lt;(E58+F58),0,C58-E58-F58)</f>
        <v>0</v>
      </c>
      <c r="N58" s="7" t="n">
        <f aca="false">IF(C58&lt;(E58+F58),0,(C58-E58-F58)/(1-V$20/100))</f>
        <v>0</v>
      </c>
      <c r="O58" s="7" t="n">
        <f aca="false">L58+M58</f>
        <v>3.21346706671104</v>
      </c>
      <c r="P58" s="49" t="n">
        <f aca="false">IF( N58=0,I58*(1-G58/100)+J58*(1-H58/100),-N58)</f>
        <v>31.961146896632</v>
      </c>
      <c r="Q58" s="54" t="n">
        <f aca="false">IF(P57&gt;0,Q57+P57*(1-V$24/100),Q57+P57)</f>
        <v>770.782507490071</v>
      </c>
      <c r="R58" s="55" t="n">
        <f aca="false">R$4+Q58/V$32</f>
        <v>47.4960066077289</v>
      </c>
    </row>
    <row r="59" customFormat="false" ht="12.8" hidden="false" customHeight="false" outlineLevel="0" collapsed="false">
      <c r="A59" s="1" t="n">
        <v>55</v>
      </c>
      <c r="B59" s="44" t="n">
        <v>43600</v>
      </c>
      <c r="C59" s="45" t="n">
        <f aca="false">V$30-V$30*SIN(2*PI()/365*A59)</f>
        <v>3.0488136572847</v>
      </c>
      <c r="D59" s="3" t="n">
        <f aca="false">IF((E59+F59)&gt;C59,C59,E59+F59)</f>
        <v>3.0488136572847</v>
      </c>
      <c r="E59" s="46" t="n">
        <f aca="false">(V$27+V$28*SIN(2*PI()/365*A59))*V$29/100*V$9*V$10/100</f>
        <v>0</v>
      </c>
      <c r="F59" s="46" t="n">
        <f aca="false">(V$27+V$28*SIN(2*PI()/365*A59))*V$29/100*V$11*(1-V$18/100)*(1-V$20/100)</f>
        <v>32.4636612209938</v>
      </c>
      <c r="G59" s="46" t="n">
        <f aca="false">IF(C59&gt;E59,100,C59/E59*100)</f>
        <v>100</v>
      </c>
      <c r="H59" s="46" t="n">
        <f aca="false">L59/F59*100</f>
        <v>9.39146585017057</v>
      </c>
      <c r="I59" s="47" t="n">
        <f aca="false">(V$27+V$28*SIN(2*PI()/365*A59))*V$29/100*V$9*V$10/100*(1-V$19/100)</f>
        <v>0</v>
      </c>
      <c r="J59" s="47" t="n">
        <f aca="false">(V$27+V$28*SIN(2*PI()/365*A59))*V$29/100*V$11*(1-V$18/100)</f>
        <v>35.6743529901031</v>
      </c>
      <c r="K59" s="48" t="n">
        <f aca="false">IF(E59/C59*100&lt;100,E59/C59*100,100)</f>
        <v>0</v>
      </c>
      <c r="L59" s="7" t="n">
        <f aca="false">IF(((C59-E59)&gt;0)AND(F59&gt;(C59-E59)),(C59-E59),IF(C59&lt;E59,0,F59))</f>
        <v>3.0488136572847</v>
      </c>
      <c r="M59" s="7" t="n">
        <f aca="false">IF(C59&lt;(E59+F59),0,C59-E59-F59)</f>
        <v>0</v>
      </c>
      <c r="N59" s="7" t="n">
        <f aca="false">IF(C59&lt;(E59+F59),0,(C59-E59-F59)/(1-V$20/100))</f>
        <v>0</v>
      </c>
      <c r="O59" s="7" t="n">
        <f aca="false">L59+M59</f>
        <v>3.0488136572847</v>
      </c>
      <c r="P59" s="49" t="n">
        <f aca="false">IF( N59=0,I59*(1-G59/100)+J59*(1-H59/100),-N59)</f>
        <v>32.3240083117682</v>
      </c>
      <c r="Q59" s="54" t="n">
        <f aca="false">IF(P58&gt;0,Q58+P58*(1-V$24/100),Q58+P58)</f>
        <v>795.392590600478</v>
      </c>
      <c r="R59" s="55" t="n">
        <f aca="false">R$4+Q59/V$32</f>
        <v>47.7353443506327</v>
      </c>
    </row>
    <row r="60" customFormat="false" ht="12.8" hidden="false" customHeight="false" outlineLevel="0" collapsed="false">
      <c r="A60" s="1" t="n">
        <v>56</v>
      </c>
      <c r="B60" s="44" t="n">
        <v>43601</v>
      </c>
      <c r="C60" s="45" t="n">
        <f aca="false">V$30-V$30*SIN(2*PI()/365*A60)</f>
        <v>2.88805054018273</v>
      </c>
      <c r="D60" s="3" t="n">
        <f aca="false">IF((E60+F60)&gt;C60,C60,E60+F60)</f>
        <v>2.88805054018273</v>
      </c>
      <c r="E60" s="46" t="n">
        <f aca="false">(V$27+V$28*SIN(2*PI()/365*A60))*V$29/100*V$9*V$10/100</f>
        <v>0</v>
      </c>
      <c r="F60" s="46" t="n">
        <f aca="false">(V$27+V$28*SIN(2*PI()/365*A60))*V$29/100*V$11*(1-V$18/100)*(1-V$20/100)</f>
        <v>32.6253002118268</v>
      </c>
      <c r="G60" s="46" t="n">
        <f aca="false">IF(C60&gt;E60,100,C60/E60*100)</f>
        <v>100</v>
      </c>
      <c r="H60" s="46" t="n">
        <f aca="false">L60/F60*100</f>
        <v>8.85218073529266</v>
      </c>
      <c r="I60" s="47" t="n">
        <f aca="false">(V$27+V$28*SIN(2*PI()/365*A60))*V$29/100*V$9*V$10/100*(1-V$19/100)</f>
        <v>0</v>
      </c>
      <c r="J60" s="47" t="n">
        <f aca="false">(V$27+V$28*SIN(2*PI()/365*A60))*V$29/100*V$11*(1-V$18/100)</f>
        <v>35.8519782547547</v>
      </c>
      <c r="K60" s="48" t="n">
        <f aca="false">IF(E60/C60*100&lt;100,E60/C60*100,100)</f>
        <v>0</v>
      </c>
      <c r="L60" s="7" t="n">
        <f aca="false">IF(((C60-E60)&gt;0)AND(F60&gt;(C60-E60)),(C60-E60),IF(C60&lt;E60,0,F60))</f>
        <v>2.88805054018273</v>
      </c>
      <c r="M60" s="7" t="n">
        <f aca="false">IF(C60&lt;(E60+F60),0,C60-E60-F60)</f>
        <v>0</v>
      </c>
      <c r="N60" s="7" t="n">
        <f aca="false">IF(C60&lt;(E60+F60),0,(C60-E60-F60)/(1-V$20/100))</f>
        <v>0</v>
      </c>
      <c r="O60" s="7" t="n">
        <f aca="false">L60+M60</f>
        <v>2.88805054018273</v>
      </c>
      <c r="P60" s="49" t="n">
        <f aca="false">IF( N60=0,I60*(1-G60/100)+J60*(1-H60/100),-N60)</f>
        <v>32.678296342466</v>
      </c>
      <c r="Q60" s="54" t="n">
        <f aca="false">IF(P59&gt;0,Q59+P59*(1-V$24/100),Q59+P59)</f>
        <v>820.282077000539</v>
      </c>
      <c r="R60" s="55" t="n">
        <f aca="false">R$4+Q60/V$32</f>
        <v>47.9773993437142</v>
      </c>
    </row>
    <row r="61" customFormat="false" ht="12.8" hidden="false" customHeight="false" outlineLevel="0" collapsed="false">
      <c r="A61" s="1" t="n">
        <v>57</v>
      </c>
      <c r="B61" s="44" t="n">
        <v>43602</v>
      </c>
      <c r="C61" s="45" t="n">
        <f aca="false">V$30-V$30*SIN(2*PI()/365*A61)</f>
        <v>2.73122535298628</v>
      </c>
      <c r="D61" s="3" t="n">
        <f aca="false">IF((E61+F61)&gt;C61,C61,E61+F61)</f>
        <v>2.73122535298628</v>
      </c>
      <c r="E61" s="46" t="n">
        <f aca="false">(V$27+V$28*SIN(2*PI()/365*A61))*V$29/100*V$9*V$10/100</f>
        <v>0</v>
      </c>
      <c r="F61" s="46" t="n">
        <f aca="false">(V$27+V$28*SIN(2*PI()/365*A61))*V$29/100*V$11*(1-V$18/100)*(1-V$20/100)</f>
        <v>32.7829798180237</v>
      </c>
      <c r="G61" s="46" t="n">
        <f aca="false">IF(C61&gt;E61,100,C61/E61*100)</f>
        <v>100</v>
      </c>
      <c r="H61" s="46" t="n">
        <f aca="false">L61/F61*100</f>
        <v>8.33122970561901</v>
      </c>
      <c r="I61" s="47" t="n">
        <f aca="false">(V$27+V$28*SIN(2*PI()/365*A61))*V$29/100*V$9*V$10/100*(1-V$19/100)</f>
        <v>0</v>
      </c>
      <c r="J61" s="47" t="n">
        <f aca="false">(V$27+V$28*SIN(2*PI()/365*A61))*V$29/100*V$11*(1-V$18/100)</f>
        <v>36.0252525472788</v>
      </c>
      <c r="K61" s="48" t="n">
        <f aca="false">IF(E61/C61*100&lt;100,E61/C61*100,100)</f>
        <v>0</v>
      </c>
      <c r="L61" s="7" t="n">
        <f aca="false">IF(((C61-E61)&gt;0)AND(F61&gt;(C61-E61)),(C61-E61),IF(C61&lt;E61,0,F61))</f>
        <v>2.73122535298628</v>
      </c>
      <c r="M61" s="7" t="n">
        <f aca="false">IF(C61&lt;(E61+F61),0,C61-E61-F61)</f>
        <v>0</v>
      </c>
      <c r="N61" s="7" t="n">
        <f aca="false">IF(C61&lt;(E61+F61),0,(C61-E61-F61)/(1-V$20/100))</f>
        <v>0</v>
      </c>
      <c r="O61" s="7" t="n">
        <f aca="false">L61+M61</f>
        <v>2.73122535298628</v>
      </c>
      <c r="P61" s="49" t="n">
        <f aca="false">IF( N61=0,I61*(1-G61/100)+J61*(1-H61/100),-N61)</f>
        <v>33.0239060055357</v>
      </c>
      <c r="Q61" s="54" t="n">
        <f aca="false">IF(P60&gt;0,Q60+P60*(1-V$24/100),Q60+P60)</f>
        <v>845.444365184238</v>
      </c>
      <c r="R61" s="55" t="n">
        <f aca="false">R$4+Q61/V$32</f>
        <v>48.2221073860708</v>
      </c>
    </row>
    <row r="62" customFormat="false" ht="12.8" hidden="false" customHeight="false" outlineLevel="0" collapsed="false">
      <c r="A62" s="1" t="n">
        <v>58</v>
      </c>
      <c r="B62" s="44" t="n">
        <v>43603</v>
      </c>
      <c r="C62" s="45" t="n">
        <f aca="false">V$30-V$30*SIN(2*PI()/365*A62)</f>
        <v>2.57838456638287</v>
      </c>
      <c r="D62" s="3" t="n">
        <f aca="false">IF((E62+F62)&gt;C62,C62,E62+F62)</f>
        <v>2.57838456638287</v>
      </c>
      <c r="E62" s="46" t="n">
        <f aca="false">(V$27+V$28*SIN(2*PI()/365*A62))*V$29/100*V$9*V$10/100</f>
        <v>0</v>
      </c>
      <c r="F62" s="46" t="n">
        <f aca="false">(V$27+V$28*SIN(2*PI()/365*A62))*V$29/100*V$11*(1-V$18/100)*(1-V$20/100)</f>
        <v>32.9366533157143</v>
      </c>
      <c r="G62" s="46" t="n">
        <f aca="false">IF(C62&gt;E62,100,C62/E62*100)</f>
        <v>100</v>
      </c>
      <c r="H62" s="46" t="n">
        <f aca="false">L62/F62*100</f>
        <v>7.82831376845658</v>
      </c>
      <c r="I62" s="47" t="n">
        <f aca="false">(V$27+V$28*SIN(2*PI()/365*A62))*V$29/100*V$9*V$10/100*(1-V$19/100)</f>
        <v>0</v>
      </c>
      <c r="J62" s="47" t="n">
        <f aca="false">(V$27+V$28*SIN(2*PI()/365*A62))*V$29/100*V$11*(1-V$18/100)</f>
        <v>36.194124522763</v>
      </c>
      <c r="K62" s="48" t="n">
        <f aca="false">IF(E62/C62*100&lt;100,E62/C62*100,100)</f>
        <v>0</v>
      </c>
      <c r="L62" s="7" t="n">
        <f aca="false">IF(((C62-E62)&gt;0)AND(F62&gt;(C62-E62)),(C62-E62),IF(C62&lt;E62,0,F62))</f>
        <v>2.57838456638287</v>
      </c>
      <c r="M62" s="7" t="n">
        <f aca="false">IF(C62&lt;(E62+F62),0,C62-E62-F62)</f>
        <v>0</v>
      </c>
      <c r="N62" s="7" t="n">
        <f aca="false">IF(C62&lt;(E62+F62),0,(C62-E62-F62)/(1-V$20/100))</f>
        <v>0</v>
      </c>
      <c r="O62" s="7" t="n">
        <f aca="false">L62+M62</f>
        <v>2.57838456638287</v>
      </c>
      <c r="P62" s="49" t="n">
        <f aca="false">IF( N62=0,I62*(1-G62/100)+J62*(1-H62/100),-N62)</f>
        <v>33.3607348893752</v>
      </c>
      <c r="Q62" s="54" t="n">
        <f aca="false">IF(P61&gt;0,Q61+P61*(1-V$24/100),Q61+P61)</f>
        <v>870.872772808501</v>
      </c>
      <c r="R62" s="55" t="n">
        <f aca="false">R$4+Q62/V$32</f>
        <v>48.469403490644</v>
      </c>
    </row>
    <row r="63" customFormat="false" ht="12.8" hidden="false" customHeight="false" outlineLevel="0" collapsed="false">
      <c r="A63" s="1" t="n">
        <v>59</v>
      </c>
      <c r="B63" s="44" t="n">
        <v>43604</v>
      </c>
      <c r="C63" s="45" t="n">
        <f aca="false">V$30-V$30*SIN(2*PI()/365*A63)</f>
        <v>2.42957347039616</v>
      </c>
      <c r="D63" s="3" t="n">
        <f aca="false">IF((E63+F63)&gt;C63,C63,E63+F63)</f>
        <v>2.42957347039616</v>
      </c>
      <c r="E63" s="46" t="n">
        <f aca="false">(V$27+V$28*SIN(2*PI()/365*A63))*V$29/100*V$9*V$10/100</f>
        <v>0</v>
      </c>
      <c r="F63" s="46" t="n">
        <f aca="false">(V$27+V$28*SIN(2*PI()/365*A63))*V$29/100*V$11*(1-V$18/100)*(1-V$20/100)</f>
        <v>33.0862751681245</v>
      </c>
      <c r="G63" s="46" t="n">
        <f aca="false">IF(C63&gt;E63,100,C63/E63*100)</f>
        <v>100</v>
      </c>
      <c r="H63" s="46" t="n">
        <f aca="false">L63/F63*100</f>
        <v>7.34314593604304</v>
      </c>
      <c r="I63" s="47" t="n">
        <f aca="false">(V$27+V$28*SIN(2*PI()/365*A63))*V$29/100*V$9*V$10/100*(1-V$19/100)</f>
        <v>0</v>
      </c>
      <c r="J63" s="47" t="n">
        <f aca="false">(V$27+V$28*SIN(2*PI()/365*A63))*V$29/100*V$11*(1-V$18/100)</f>
        <v>36.3585441407962</v>
      </c>
      <c r="K63" s="48" t="n">
        <f aca="false">IF(E63/C63*100&lt;100,E63/C63*100,100)</f>
        <v>0</v>
      </c>
      <c r="L63" s="7" t="n">
        <f aca="false">IF(((C63-E63)&gt;0)AND(F63&gt;(C63-E63)),(C63-E63),IF(C63&lt;E63,0,F63))</f>
        <v>2.42957347039616</v>
      </c>
      <c r="M63" s="7" t="n">
        <f aca="false">IF(C63&lt;(E63+F63),0,C63-E63-F63)</f>
        <v>0</v>
      </c>
      <c r="N63" s="7" t="n">
        <f aca="false">IF(C63&lt;(E63+F63),0,(C63-E63-F63)/(1-V$20/100))</f>
        <v>0</v>
      </c>
      <c r="O63" s="7" t="n">
        <f aca="false">L63+M63</f>
        <v>2.42957347039616</v>
      </c>
      <c r="P63" s="49" t="n">
        <f aca="false">IF( N63=0,I63*(1-G63/100)+J63*(1-H63/100),-N63)</f>
        <v>33.6886831843169</v>
      </c>
      <c r="Q63" s="54" t="n">
        <f aca="false">IF(P62&gt;0,Q62+P62*(1-V$24/100),Q62+P62)</f>
        <v>896.560538673319</v>
      </c>
      <c r="R63" s="55" t="n">
        <f aca="false">R$4+Q63/V$32</f>
        <v>48.7192219034768</v>
      </c>
    </row>
    <row r="64" customFormat="false" ht="12.8" hidden="false" customHeight="false" outlineLevel="0" collapsed="false">
      <c r="A64" s="1" t="n">
        <v>60</v>
      </c>
      <c r="B64" s="44" t="n">
        <v>43605</v>
      </c>
      <c r="C64" s="45" t="n">
        <f aca="false">V$30-V$30*SIN(2*PI()/365*A64)</f>
        <v>2.28483616096548</v>
      </c>
      <c r="D64" s="3" t="n">
        <f aca="false">IF((E64+F64)&gt;C64,C64,E64+F64)</f>
        <v>2.28483616096548</v>
      </c>
      <c r="E64" s="46" t="n">
        <f aca="false">(V$27+V$28*SIN(2*PI()/365*A64))*V$29/100*V$9*V$10/100</f>
        <v>0</v>
      </c>
      <c r="F64" s="46" t="n">
        <f aca="false">(V$27+V$28*SIN(2*PI()/365*A64))*V$29/100*V$11*(1-V$18/100)*(1-V$20/100)</f>
        <v>33.2318010390706</v>
      </c>
      <c r="G64" s="46" t="n">
        <f aca="false">IF(C64&gt;E64,100,C64/E64*100)</f>
        <v>100</v>
      </c>
      <c r="H64" s="46" t="n">
        <f aca="false">L64/F64*100</f>
        <v>6.8754508919911</v>
      </c>
      <c r="I64" s="47" t="n">
        <f aca="false">(V$27+V$28*SIN(2*PI()/365*A64))*V$29/100*V$9*V$10/100*(1-V$19/100)</f>
        <v>0</v>
      </c>
      <c r="J64" s="47" t="n">
        <f aca="false">(V$27+V$28*SIN(2*PI()/365*A64))*V$29/100*V$11*(1-V$18/100)</f>
        <v>36.5184626802973</v>
      </c>
      <c r="K64" s="48" t="n">
        <f aca="false">IF(E64/C64*100&lt;100,E64/C64*100,100)</f>
        <v>0</v>
      </c>
      <c r="L64" s="7" t="n">
        <f aca="false">IF(((C64-E64)&gt;0)AND(F64&gt;(C64-E64)),(C64-E64),IF(C64&lt;E64,0,F64))</f>
        <v>2.28483616096548</v>
      </c>
      <c r="M64" s="7" t="n">
        <f aca="false">IF(C64&lt;(E64+F64),0,C64-E64-F64)</f>
        <v>0</v>
      </c>
      <c r="N64" s="7" t="n">
        <f aca="false">IF(C64&lt;(E64+F64),0,(C64-E64-F64)/(1-V$20/100))</f>
        <v>0</v>
      </c>
      <c r="O64" s="7" t="n">
        <f aca="false">L64+M64</f>
        <v>2.28483616096548</v>
      </c>
      <c r="P64" s="49" t="n">
        <f aca="false">IF( N64=0,I64*(1-G64/100)+J64*(1-H64/100),-N64)</f>
        <v>34.0076537122034</v>
      </c>
      <c r="Q64" s="54" t="n">
        <f aca="false">IF(P63&gt;0,Q63+P63*(1-V$24/100),Q63+P63)</f>
        <v>922.500824725243</v>
      </c>
      <c r="R64" s="55" t="n">
        <f aca="false">R$4+Q64/V$32</f>
        <v>48.9714961231978</v>
      </c>
    </row>
    <row r="65" customFormat="false" ht="12.8" hidden="false" customHeight="false" outlineLevel="0" collapsed="false">
      <c r="A65" s="1" t="n">
        <v>61</v>
      </c>
      <c r="B65" s="44" t="n">
        <v>43606</v>
      </c>
      <c r="C65" s="45" t="n">
        <f aca="false">V$30-V$30*SIN(2*PI()/365*A65)</f>
        <v>2.14421552687932</v>
      </c>
      <c r="D65" s="3" t="n">
        <f aca="false">IF((E65+F65)&gt;C65,C65,E65+F65)</f>
        <v>2.14421552687932</v>
      </c>
      <c r="E65" s="46" t="n">
        <f aca="false">(V$27+V$28*SIN(2*PI()/365*A65))*V$29/100*V$9*V$10/100</f>
        <v>0</v>
      </c>
      <c r="F65" s="46" t="n">
        <f aca="false">(V$27+V$28*SIN(2*PI()/365*A65))*V$29/100*V$11*(1-V$18/100)*(1-V$20/100)</f>
        <v>33.373187806096</v>
      </c>
      <c r="G65" s="46" t="n">
        <f aca="false">IF(C65&gt;E65,100,C65/E65*100)</f>
        <v>100</v>
      </c>
      <c r="H65" s="46" t="n">
        <f aca="false">L65/F65*100</f>
        <v>6.42496467325082</v>
      </c>
      <c r="I65" s="47" t="n">
        <f aca="false">(V$27+V$28*SIN(2*PI()/365*A65))*V$29/100*V$9*V$10/100*(1-V$19/100)</f>
        <v>0</v>
      </c>
      <c r="J65" s="47" t="n">
        <f aca="false">(V$27+V$28*SIN(2*PI()/365*A65))*V$29/100*V$11*(1-V$18/100)</f>
        <v>36.6738327539517</v>
      </c>
      <c r="K65" s="48" t="n">
        <f aca="false">IF(E65/C65*100&lt;100,E65/C65*100,100)</f>
        <v>0</v>
      </c>
      <c r="L65" s="7" t="n">
        <f aca="false">IF(((C65-E65)&gt;0)AND(F65&gt;(C65-E65)),(C65-E65),IF(C65&lt;E65,0,F65))</f>
        <v>2.14421552687932</v>
      </c>
      <c r="M65" s="7" t="n">
        <f aca="false">IF(C65&lt;(E65+F65),0,C65-E65-F65)</f>
        <v>0</v>
      </c>
      <c r="N65" s="7" t="n">
        <f aca="false">IF(C65&lt;(E65+F65),0,(C65-E65-F65)/(1-V$20/100))</f>
        <v>0</v>
      </c>
      <c r="O65" s="7" t="n">
        <f aca="false">L65+M65</f>
        <v>2.14421552687932</v>
      </c>
      <c r="P65" s="49" t="n">
        <f aca="false">IF( N65=0,I65*(1-G65/100)+J65*(1-H65/100),-N65)</f>
        <v>34.3175519551832</v>
      </c>
      <c r="Q65" s="54" t="n">
        <f aca="false">IF(P64&gt;0,Q64+P64*(1-V$24/100),Q64+P64)</f>
        <v>948.68671808364</v>
      </c>
      <c r="R65" s="55" t="n">
        <f aca="false">R$4+Q65/V$32</f>
        <v>49.2261589207267</v>
      </c>
    </row>
    <row r="66" customFormat="false" ht="12.8" hidden="false" customHeight="false" outlineLevel="0" collapsed="false">
      <c r="A66" s="1" t="n">
        <v>62</v>
      </c>
      <c r="B66" s="44" t="n">
        <v>43607</v>
      </c>
      <c r="C66" s="45" t="n">
        <f aca="false">V$30-V$30*SIN(2*PI()/365*A66)</f>
        <v>2.00775323706639</v>
      </c>
      <c r="D66" s="3" t="n">
        <f aca="false">IF((E66+F66)&gt;C66,C66,E66+F66)</f>
        <v>2.00775323706639</v>
      </c>
      <c r="E66" s="46" t="n">
        <f aca="false">(V$27+V$28*SIN(2*PI()/365*A66))*V$29/100*V$9*V$10/100</f>
        <v>0</v>
      </c>
      <c r="F66" s="46" t="n">
        <f aca="false">(V$27+V$28*SIN(2*PI()/365*A66))*V$29/100*V$11*(1-V$18/100)*(1-V$20/100)</f>
        <v>33.5103935732505</v>
      </c>
      <c r="G66" s="46" t="n">
        <f aca="false">IF(C66&gt;E66,100,C66/E66*100)</f>
        <v>100</v>
      </c>
      <c r="H66" s="46" t="n">
        <f aca="false">L66/F66*100</f>
        <v>5.99143436700507</v>
      </c>
      <c r="I66" s="47" t="n">
        <f aca="false">(V$27+V$28*SIN(2*PI()/365*A66))*V$29/100*V$9*V$10/100*(1-V$19/100)</f>
        <v>0</v>
      </c>
      <c r="J66" s="47" t="n">
        <f aca="false">(V$27+V$28*SIN(2*PI()/365*A66))*V$29/100*V$11*(1-V$18/100)</f>
        <v>36.8246083222533</v>
      </c>
      <c r="K66" s="48" t="n">
        <f aca="false">IF(E66/C66*100&lt;100,E66/C66*100,100)</f>
        <v>0</v>
      </c>
      <c r="L66" s="7" t="n">
        <f aca="false">IF(((C66-E66)&gt;0)AND(F66&gt;(C66-E66)),(C66-E66),IF(C66&lt;E66,0,F66))</f>
        <v>2.00775323706639</v>
      </c>
      <c r="M66" s="7" t="n">
        <f aca="false">IF(C66&lt;(E66+F66),0,C66-E66-F66)</f>
        <v>0</v>
      </c>
      <c r="N66" s="7" t="n">
        <f aca="false">IF(C66&lt;(E66+F66),0,(C66-E66-F66)/(1-V$20/100))</f>
        <v>0</v>
      </c>
      <c r="O66" s="7" t="n">
        <f aca="false">L66+M66</f>
        <v>2.00775323706639</v>
      </c>
      <c r="P66" s="49" t="n">
        <f aca="false">IF( N66=0,I66*(1-G66/100)+J66*(1-H66/100),-N66)</f>
        <v>34.6182860837188</v>
      </c>
      <c r="Q66" s="54" t="n">
        <f aca="false">IF(P65&gt;0,Q65+P65*(1-V$24/100),Q65+P65)</f>
        <v>975.111233089131</v>
      </c>
      <c r="R66" s="55" t="n">
        <f aca="false">R$4+Q66/V$32</f>
        <v>49.4831423591966</v>
      </c>
    </row>
    <row r="67" customFormat="false" ht="12.8" hidden="false" customHeight="false" outlineLevel="0" collapsed="false">
      <c r="A67" s="1" t="n">
        <v>63</v>
      </c>
      <c r="B67" s="44" t="n">
        <v>43608</v>
      </c>
      <c r="C67" s="45" t="n">
        <f aca="false">V$30-V$30*SIN(2*PI()/365*A67)</f>
        <v>1.87548972824826</v>
      </c>
      <c r="D67" s="3" t="n">
        <f aca="false">IF((E67+F67)&gt;C67,C67,E67+F67)</f>
        <v>1.87548972824826</v>
      </c>
      <c r="E67" s="46" t="n">
        <f aca="false">(V$27+V$28*SIN(2*PI()/365*A67))*V$29/100*V$9*V$10/100</f>
        <v>0</v>
      </c>
      <c r="F67" s="46" t="n">
        <f aca="false">(V$27+V$28*SIN(2*PI()/365*A67))*V$29/100*V$11*(1-V$18/100)*(1-V$20/100)</f>
        <v>33.6433776835041</v>
      </c>
      <c r="G67" s="46" t="n">
        <f aca="false">IF(C67&gt;E67,100,C67/E67*100)</f>
        <v>100</v>
      </c>
      <c r="H67" s="46" t="n">
        <f aca="false">L67/F67*100</f>
        <v>5.57461782194314</v>
      </c>
      <c r="I67" s="47" t="n">
        <f aca="false">(V$27+V$28*SIN(2*PI()/365*A67))*V$29/100*V$9*V$10/100*(1-V$19/100)</f>
        <v>0</v>
      </c>
      <c r="J67" s="47" t="n">
        <f aca="false">(V$27+V$28*SIN(2*PI()/365*A67))*V$29/100*V$11*(1-V$18/100)</f>
        <v>36.9707447071473</v>
      </c>
      <c r="K67" s="48" t="n">
        <f aca="false">IF(E67/C67*100&lt;100,E67/C67*100,100)</f>
        <v>0</v>
      </c>
      <c r="L67" s="7" t="n">
        <f aca="false">IF(((C67-E67)&gt;0)AND(F67&gt;(C67-E67)),(C67-E67),IF(C67&lt;E67,0,F67))</f>
        <v>1.87548972824826</v>
      </c>
      <c r="M67" s="7" t="n">
        <f aca="false">IF(C67&lt;(E67+F67),0,C67-E67-F67)</f>
        <v>0</v>
      </c>
      <c r="N67" s="7" t="n">
        <f aca="false">IF(C67&lt;(E67+F67),0,(C67-E67-F67)/(1-V$20/100))</f>
        <v>0</v>
      </c>
      <c r="O67" s="7" t="n">
        <f aca="false">L67+M67</f>
        <v>1.87548972824826</v>
      </c>
      <c r="P67" s="49" t="n">
        <f aca="false">IF( N67=0,I67*(1-G67/100)+J67*(1-H67/100),-N67)</f>
        <v>34.9097669837976</v>
      </c>
      <c r="Q67" s="54" t="n">
        <f aca="false">IF(P66&gt;0,Q66+P66*(1-V$24/100),Q66+P66)</f>
        <v>1001.76731337359</v>
      </c>
      <c r="R67" s="55" t="n">
        <f aca="false">R$4+Q67/V$32</f>
        <v>49.742377814084</v>
      </c>
    </row>
    <row r="68" customFormat="false" ht="12.8" hidden="false" customHeight="false" outlineLevel="0" collapsed="false">
      <c r="A68" s="1" t="n">
        <v>64</v>
      </c>
      <c r="B68" s="44" t="n">
        <v>43609</v>
      </c>
      <c r="C68" s="45" t="n">
        <f aca="false">V$30-V$30*SIN(2*PI()/365*A68)</f>
        <v>1.74746419295707</v>
      </c>
      <c r="D68" s="3" t="n">
        <f aca="false">IF((E68+F68)&gt;C68,C68,E68+F68)</f>
        <v>1.74746419295707</v>
      </c>
      <c r="E68" s="46" t="n">
        <f aca="false">(V$27+V$28*SIN(2*PI()/365*A68))*V$29/100*V$9*V$10/100</f>
        <v>0</v>
      </c>
      <c r="F68" s="46" t="n">
        <f aca="false">(V$27+V$28*SIN(2*PI()/365*A68))*V$29/100*V$11*(1-V$18/100)*(1-V$20/100)</f>
        <v>33.7721007307948</v>
      </c>
      <c r="G68" s="46" t="n">
        <f aca="false">IF(C68&gt;E68,100,C68/E68*100)</f>
        <v>100</v>
      </c>
      <c r="H68" s="46" t="n">
        <f aca="false">L68/F68*100</f>
        <v>5.17428337338715</v>
      </c>
      <c r="I68" s="47" t="n">
        <f aca="false">(V$27+V$28*SIN(2*PI()/365*A68))*V$29/100*V$9*V$10/100*(1-V$19/100)</f>
        <v>0</v>
      </c>
      <c r="J68" s="47" t="n">
        <f aca="false">(V$27+V$28*SIN(2*PI()/365*A68))*V$29/100*V$11*(1-V$18/100)</f>
        <v>37.112198605269</v>
      </c>
      <c r="K68" s="48" t="n">
        <f aca="false">IF(E68/C68*100&lt;100,E68/C68*100,100)</f>
        <v>0</v>
      </c>
      <c r="L68" s="7" t="n">
        <f aca="false">IF(((C68-E68)&gt;0)AND(F68&gt;(C68-E68)),(C68-E68),IF(C68&lt;E68,0,F68))</f>
        <v>1.74746419295707</v>
      </c>
      <c r="M68" s="7" t="n">
        <f aca="false">IF(C68&lt;(E68+F68),0,C68-E68-F68)</f>
        <v>0</v>
      </c>
      <c r="N68" s="7" t="n">
        <f aca="false">IF(C68&lt;(E68+F68),0,(C68-E68-F68)/(1-V$20/100))</f>
        <v>0</v>
      </c>
      <c r="O68" s="7" t="n">
        <f aca="false">L68+M68</f>
        <v>1.74746419295707</v>
      </c>
      <c r="P68" s="49" t="n">
        <f aca="false">IF( N68=0,I68*(1-G68/100)+J68*(1-H68/100),-N68)</f>
        <v>35.1919082833381</v>
      </c>
      <c r="Q68" s="54" t="n">
        <f aca="false">IF(P67&gt;0,Q67+P67*(1-V$24/100),Q67+P67)</f>
        <v>1028.64783395112</v>
      </c>
      <c r="R68" s="55" t="n">
        <f aca="false">R$4+Q68/V$32</f>
        <v>50.0037959935449</v>
      </c>
    </row>
    <row r="69" customFormat="false" ht="12.8" hidden="false" customHeight="false" outlineLevel="0" collapsed="false">
      <c r="A69" s="1" t="n">
        <v>65</v>
      </c>
      <c r="B69" s="44" t="n">
        <v>43610</v>
      </c>
      <c r="C69" s="45" t="n">
        <f aca="false">V$30-V$30*SIN(2*PI()/365*A69)</f>
        <v>1.62371456792196</v>
      </c>
      <c r="D69" s="3" t="n">
        <f aca="false">IF((E69+F69)&gt;C69,C69,E69+F69)</f>
        <v>1.62371456792196</v>
      </c>
      <c r="E69" s="46" t="n">
        <f aca="false">(V$27+V$28*SIN(2*PI()/365*A69))*V$29/100*V$9*V$10/100</f>
        <v>0</v>
      </c>
      <c r="F69" s="46" t="n">
        <f aca="false">(V$27+V$28*SIN(2*PI()/365*A69))*V$29/100*V$11*(1-V$18/100)*(1-V$20/100)</f>
        <v>33.8965245717057</v>
      </c>
      <c r="G69" s="46" t="n">
        <f aca="false">IF(C69&gt;E69,100,C69/E69*100)</f>
        <v>100</v>
      </c>
      <c r="H69" s="46" t="n">
        <f aca="false">L69/F69*100</f>
        <v>4.79020958177322</v>
      </c>
      <c r="I69" s="47" t="n">
        <f aca="false">(V$27+V$28*SIN(2*PI()/365*A69))*V$29/100*V$9*V$10/100*(1-V$19/100)</f>
        <v>0</v>
      </c>
      <c r="J69" s="47" t="n">
        <f aca="false">(V$27+V$28*SIN(2*PI()/365*A69))*V$29/100*V$11*(1-V$18/100)</f>
        <v>37.2489281007755</v>
      </c>
      <c r="K69" s="48" t="n">
        <f aca="false">IF(E69/C69*100&lt;100,E69/C69*100,100)</f>
        <v>0</v>
      </c>
      <c r="L69" s="7" t="n">
        <f aca="false">IF(((C69-E69)&gt;0)AND(F69&gt;(C69-E69)),(C69-E69),IF(C69&lt;E69,0,F69))</f>
        <v>1.62371456792196</v>
      </c>
      <c r="M69" s="7" t="n">
        <f aca="false">IF(C69&lt;(E69+F69),0,C69-E69-F69)</f>
        <v>0</v>
      </c>
      <c r="N69" s="7" t="n">
        <f aca="false">IF(C69&lt;(E69+F69),0,(C69-E69-F69)/(1-V$20/100))</f>
        <v>0</v>
      </c>
      <c r="O69" s="7" t="n">
        <f aca="false">L69+M69</f>
        <v>1.62371456792196</v>
      </c>
      <c r="P69" s="49" t="n">
        <f aca="false">IF( N69=0,I69*(1-G69/100)+J69*(1-H69/100),-N69)</f>
        <v>35.4646263777843</v>
      </c>
      <c r="Q69" s="54" t="n">
        <f aca="false">IF(P68&gt;0,Q68+P68*(1-V$24/100),Q68+P68)</f>
        <v>1055.74560332929</v>
      </c>
      <c r="R69" s="55" t="n">
        <f aca="false">R$4+Q69/V$32</f>
        <v>50.2673269589464</v>
      </c>
    </row>
    <row r="70" customFormat="false" ht="12.8" hidden="false" customHeight="false" outlineLevel="0" collapsed="false">
      <c r="A70" s="1" t="n">
        <v>66</v>
      </c>
      <c r="B70" s="44" t="n">
        <v>43611</v>
      </c>
      <c r="C70" s="45" t="n">
        <f aca="false">V$30-V$30*SIN(2*PI()/365*A70)</f>
        <v>1.50427752282755</v>
      </c>
      <c r="D70" s="3" t="n">
        <f aca="false">IF((E70+F70)&gt;C70,C70,E70+F70)</f>
        <v>1.50427752282755</v>
      </c>
      <c r="E70" s="46" t="n">
        <f aca="false">(V$27+V$28*SIN(2*PI()/365*A70))*V$29/100*V$9*V$10/100</f>
        <v>0</v>
      </c>
      <c r="F70" s="46" t="n">
        <f aca="false">(V$27+V$28*SIN(2*PI()/365*A70))*V$29/100*V$11*(1-V$18/100)*(1-V$20/100)</f>
        <v>34.0166123367674</v>
      </c>
      <c r="G70" s="46" t="n">
        <f aca="false">IF(C70&gt;E70,100,C70/E70*100)</f>
        <v>100</v>
      </c>
      <c r="H70" s="46" t="n">
        <f aca="false">L70/F70*100</f>
        <v>4.42218498401624</v>
      </c>
      <c r="I70" s="47" t="n">
        <f aca="false">(V$27+V$28*SIN(2*PI()/365*A70))*V$29/100*V$9*V$10/100*(1-V$19/100)</f>
        <v>0</v>
      </c>
      <c r="J70" s="47" t="n">
        <f aca="false">(V$27+V$28*SIN(2*PI()/365*A70))*V$29/100*V$11*(1-V$18/100)</f>
        <v>37.3808926777664</v>
      </c>
      <c r="K70" s="48" t="n">
        <f aca="false">IF(E70/C70*100&lt;100,E70/C70*100,100)</f>
        <v>0</v>
      </c>
      <c r="L70" s="7" t="n">
        <f aca="false">IF(((C70-E70)&gt;0)AND(F70&gt;(C70-E70)),(C70-E70),IF(C70&lt;E70,0,F70))</f>
        <v>1.50427752282755</v>
      </c>
      <c r="M70" s="7" t="n">
        <f aca="false">IF(C70&lt;(E70+F70),0,C70-E70-F70)</f>
        <v>0</v>
      </c>
      <c r="N70" s="7" t="n">
        <f aca="false">IF(C70&lt;(E70+F70),0,(C70-E70-F70)/(1-V$20/100))</f>
        <v>0</v>
      </c>
      <c r="O70" s="7" t="n">
        <f aca="false">L70+M70</f>
        <v>1.50427752282755</v>
      </c>
      <c r="P70" s="49" t="n">
        <f aca="false">IF( N70=0,I70*(1-G70/100)+J70*(1-H70/100),-N70)</f>
        <v>35.727840454879</v>
      </c>
      <c r="Q70" s="54" t="n">
        <f aca="false">IF(P69&gt;0,Q69+P69*(1-V$24/100),Q69+P69)</f>
        <v>1083.05336564018</v>
      </c>
      <c r="R70" s="55" t="n">
        <f aca="false">R$4+Q70/V$32</f>
        <v>50.5329001455919</v>
      </c>
    </row>
    <row r="71" customFormat="false" ht="12.8" hidden="false" customHeight="false" outlineLevel="0" collapsed="false">
      <c r="A71" s="1" t="n">
        <v>67</v>
      </c>
      <c r="B71" s="44" t="n">
        <v>43612</v>
      </c>
      <c r="C71" s="45" t="n">
        <f aca="false">V$30-V$30*SIN(2*PI()/365*A71)</f>
        <v>1.38918844944796</v>
      </c>
      <c r="D71" s="3" t="n">
        <f aca="false">IF((E71+F71)&gt;C71,C71,E71+F71)</f>
        <v>1.38918844944796</v>
      </c>
      <c r="E71" s="46" t="n">
        <f aca="false">(V$27+V$28*SIN(2*PI()/365*A71))*V$29/100*V$9*V$10/100</f>
        <v>0</v>
      </c>
      <c r="F71" s="46" t="n">
        <f aca="false">(V$27+V$28*SIN(2*PI()/365*A71))*V$29/100*V$11*(1-V$18/100)*(1-V$20/100)</f>
        <v>34.1323284413835</v>
      </c>
      <c r="G71" s="46" t="n">
        <f aca="false">IF(C71&gt;E71,100,C71/E71*100)</f>
        <v>100</v>
      </c>
      <c r="H71" s="46" t="n">
        <f aca="false">L71/F71*100</f>
        <v>4.07000785731233</v>
      </c>
      <c r="I71" s="47" t="n">
        <f aca="false">(V$27+V$28*SIN(2*PI()/365*A71))*V$29/100*V$9*V$10/100*(1-V$19/100)</f>
        <v>0</v>
      </c>
      <c r="J71" s="47" t="n">
        <f aca="false">(V$27+V$28*SIN(2*PI()/365*A71))*V$29/100*V$11*(1-V$18/100)</f>
        <v>37.5080532322896</v>
      </c>
      <c r="K71" s="48" t="n">
        <f aca="false">IF(E71/C71*100&lt;100,E71/C71*100,100)</f>
        <v>0</v>
      </c>
      <c r="L71" s="7" t="n">
        <f aca="false">IF(((C71-E71)&gt;0)AND(F71&gt;(C71-E71)),(C71-E71),IF(C71&lt;E71,0,F71))</f>
        <v>1.38918844944796</v>
      </c>
      <c r="M71" s="7" t="n">
        <f aca="false">IF(C71&lt;(E71+F71),0,C71-E71-F71)</f>
        <v>0</v>
      </c>
      <c r="N71" s="7" t="n">
        <f aca="false">IF(C71&lt;(E71+F71),0,(C71-E71-F71)/(1-V$20/100))</f>
        <v>0</v>
      </c>
      <c r="O71" s="7" t="n">
        <f aca="false">L71+M71</f>
        <v>1.38918844944796</v>
      </c>
      <c r="P71" s="49" t="n">
        <f aca="false">IF( N71=0,I71*(1-G71/100)+J71*(1-H71/100),-N71)</f>
        <v>35.9814725186105</v>
      </c>
      <c r="Q71" s="54" t="n">
        <f aca="false">IF(P70&gt;0,Q70+P70*(1-V$24/100),Q70+P70)</f>
        <v>1110.56380279044</v>
      </c>
      <c r="R71" s="55" t="n">
        <f aca="false">R$4+Q71/V$32</f>
        <v>50.8004443836304</v>
      </c>
    </row>
    <row r="72" customFormat="false" ht="12.8" hidden="false" customHeight="false" outlineLevel="0" collapsed="false">
      <c r="A72" s="1" t="n">
        <v>68</v>
      </c>
      <c r="B72" s="44" t="n">
        <v>43613</v>
      </c>
      <c r="C72" s="45" t="n">
        <f aca="false">V$30-V$30*SIN(2*PI()/365*A72)</f>
        <v>1.27848145115946</v>
      </c>
      <c r="D72" s="3" t="n">
        <f aca="false">IF((E72+F72)&gt;C72,C72,E72+F72)</f>
        <v>1.27848145115946</v>
      </c>
      <c r="E72" s="46" t="n">
        <f aca="false">(V$27+V$28*SIN(2*PI()/365*A72))*V$29/100*V$9*V$10/100</f>
        <v>0</v>
      </c>
      <c r="F72" s="46" t="n">
        <f aca="false">(V$27+V$28*SIN(2*PI()/365*A72))*V$29/100*V$11*(1-V$18/100)*(1-V$20/100)</f>
        <v>34.2436385963748</v>
      </c>
      <c r="G72" s="46" t="n">
        <f aca="false">IF(C72&gt;E72,100,C72/E72*100)</f>
        <v>100</v>
      </c>
      <c r="H72" s="46" t="n">
        <f aca="false">L72/F72*100</f>
        <v>3.73348599495735</v>
      </c>
      <c r="I72" s="47" t="n">
        <f aca="false">(V$27+V$28*SIN(2*PI()/365*A72))*V$29/100*V$9*V$10/100*(1-V$19/100)</f>
        <v>0</v>
      </c>
      <c r="J72" s="47" t="n">
        <f aca="false">(V$27+V$28*SIN(2*PI()/365*A72))*V$29/100*V$11*(1-V$18/100)</f>
        <v>37.6303720839284</v>
      </c>
      <c r="K72" s="48" t="n">
        <f aca="false">IF(E72/C72*100&lt;100,E72/C72*100,100)</f>
        <v>0</v>
      </c>
      <c r="L72" s="7" t="n">
        <f aca="false">IF(((C72-E72)&gt;0)AND(F72&gt;(C72-E72)),(C72-E72),IF(C72&lt;E72,0,F72))</f>
        <v>1.27848145115946</v>
      </c>
      <c r="M72" s="7" t="n">
        <f aca="false">IF(C72&lt;(E72+F72),0,C72-E72-F72)</f>
        <v>0</v>
      </c>
      <c r="N72" s="7" t="n">
        <f aca="false">IF(C72&lt;(E72+F72),0,(C72-E72-F72)/(1-V$20/100))</f>
        <v>0</v>
      </c>
      <c r="O72" s="7" t="n">
        <f aca="false">L72+M72</f>
        <v>1.27848145115946</v>
      </c>
      <c r="P72" s="49" t="n">
        <f aca="false">IF( N72=0,I72*(1-G72/100)+J72*(1-H72/100),-N72)</f>
        <v>36.2254474123246</v>
      </c>
      <c r="Q72" s="54" t="n">
        <f aca="false">IF(P71&gt;0,Q71+P71*(1-V$24/100),Q71+P71)</f>
        <v>1138.26953662977</v>
      </c>
      <c r="R72" s="55" t="n">
        <f aca="false">R$4+Q72/V$32</f>
        <v>51.0698879191459</v>
      </c>
    </row>
    <row r="73" customFormat="false" ht="12.8" hidden="false" customHeight="false" outlineLevel="0" collapsed="false">
      <c r="A73" s="1" t="n">
        <v>69</v>
      </c>
      <c r="B73" s="44" t="n">
        <v>43614</v>
      </c>
      <c r="C73" s="45" t="n">
        <f aca="false">V$30-V$30*SIN(2*PI()/365*A73)</f>
        <v>1.17218933283491</v>
      </c>
      <c r="D73" s="3" t="n">
        <f aca="false">IF((E73+F73)&gt;C73,C73,E73+F73)</f>
        <v>1.17218933283491</v>
      </c>
      <c r="E73" s="46" t="n">
        <f aca="false">(V$27+V$28*SIN(2*PI()/365*A73))*V$29/100*V$9*V$10/100</f>
        <v>0</v>
      </c>
      <c r="F73" s="46" t="n">
        <f aca="false">(V$27+V$28*SIN(2*PI()/365*A73))*V$29/100*V$11*(1-V$18/100)*(1-V$20/100)</f>
        <v>34.3505098181401</v>
      </c>
      <c r="G73" s="46" t="n">
        <f aca="false">IF(C73&gt;E73,100,C73/E73*100)</f>
        <v>100</v>
      </c>
      <c r="H73" s="46" t="n">
        <f aca="false">L73/F73*100</f>
        <v>3.41243649378355</v>
      </c>
      <c r="I73" s="47" t="n">
        <f aca="false">(V$27+V$28*SIN(2*PI()/365*A73))*V$29/100*V$9*V$10/100*(1-V$19/100)</f>
        <v>0</v>
      </c>
      <c r="J73" s="47" t="n">
        <f aca="false">(V$27+V$28*SIN(2*PI()/365*A73))*V$29/100*V$11*(1-V$18/100)</f>
        <v>37.7478129869671</v>
      </c>
      <c r="K73" s="48" t="n">
        <f aca="false">IF(E73/C73*100&lt;100,E73/C73*100,100)</f>
        <v>0</v>
      </c>
      <c r="L73" s="7" t="n">
        <f aca="false">IF(((C73-E73)&gt;0)AND(F73&gt;(C73-E73)),(C73-E73),IF(C73&lt;E73,0,F73))</f>
        <v>1.17218933283491</v>
      </c>
      <c r="M73" s="7" t="n">
        <f aca="false">IF(C73&lt;(E73+F73),0,C73-E73-F73)</f>
        <v>0</v>
      </c>
      <c r="N73" s="7" t="n">
        <f aca="false">IF(C73&lt;(E73+F73),0,(C73-E73-F73)/(1-V$20/100))</f>
        <v>0</v>
      </c>
      <c r="O73" s="7" t="n">
        <f aca="false">L73+M73</f>
        <v>1.17218933283491</v>
      </c>
      <c r="P73" s="49" t="n">
        <f aca="false">IF( N73=0,I73*(1-G73/100)+J73*(1-H73/100),-N73)</f>
        <v>36.4596928409947</v>
      </c>
      <c r="Q73" s="54" t="n">
        <f aca="false">IF(P72&gt;0,Q72+P72*(1-V$24/100),Q72+P72)</f>
        <v>1166.16313113726</v>
      </c>
      <c r="R73" s="55" t="n">
        <f aca="false">R$4+Q73/V$32</f>
        <v>51.3411584354194</v>
      </c>
    </row>
    <row r="74" customFormat="false" ht="12.8" hidden="false" customHeight="false" outlineLevel="0" collapsed="false">
      <c r="A74" s="1" t="n">
        <v>70</v>
      </c>
      <c r="B74" s="44" t="n">
        <v>43615</v>
      </c>
      <c r="C74" s="45" t="n">
        <f aca="false">V$30-V$30*SIN(2*PI()/365*A74)</f>
        <v>1.07034359112293</v>
      </c>
      <c r="D74" s="3" t="n">
        <f aca="false">IF((E74+F74)&gt;C74,C74,E74+F74)</f>
        <v>1.07034359112293</v>
      </c>
      <c r="E74" s="46" t="n">
        <f aca="false">(V$27+V$28*SIN(2*PI()/365*A74))*V$29/100*V$9*V$10/100</f>
        <v>0</v>
      </c>
      <c r="F74" s="46" t="n">
        <f aca="false">(V$27+V$28*SIN(2*PI()/365*A74))*V$29/100*V$11*(1-V$18/100)*(1-V$20/100)</f>
        <v>34.4529104384299</v>
      </c>
      <c r="G74" s="46" t="n">
        <f aca="false">IF(C74&gt;E74,100,C74/E74*100)</f>
        <v>100</v>
      </c>
      <c r="H74" s="46" t="n">
        <f aca="false">L74/F74*100</f>
        <v>3.10668555283805</v>
      </c>
      <c r="I74" s="47" t="n">
        <f aca="false">(V$27+V$28*SIN(2*PI()/365*A74))*V$29/100*V$9*V$10/100*(1-V$19/100)</f>
        <v>0</v>
      </c>
      <c r="J74" s="47" t="n">
        <f aca="false">(V$27+V$28*SIN(2*PI()/365*A74))*V$29/100*V$11*(1-V$18/100)</f>
        <v>37.8603411411318</v>
      </c>
      <c r="K74" s="48" t="n">
        <f aca="false">IF(E74/C74*100&lt;100,E74/C74*100,100)</f>
        <v>0</v>
      </c>
      <c r="L74" s="7" t="n">
        <f aca="false">IF(((C74-E74)&gt;0)*AND(F74&gt;(C74-E74)),(C74-E74),IF(C74&lt;E74,0,F74))</f>
        <v>1.07034359112293</v>
      </c>
      <c r="M74" s="7" t="n">
        <f aca="false">IF(C74&lt;(E74+F74),0,C74-E74-F74)</f>
        <v>0</v>
      </c>
      <c r="N74" s="7" t="n">
        <f aca="false">IF(C74&lt;(E74+F74),0,(C74-E74-F74)/(1-V$20/100))</f>
        <v>0</v>
      </c>
      <c r="O74" s="7" t="n">
        <f aca="false">L74+M74</f>
        <v>1.07034359112293</v>
      </c>
      <c r="P74" s="49" t="n">
        <f aca="false">IF(N74=0,I74*(1-G74/100)+J74*(1-H74/100),-N74)</f>
        <v>36.684139392645</v>
      </c>
      <c r="Q74" s="54" t="n">
        <f aca="false">IF(P73&gt;0,Q73+P73*(1-V$24/100),Q73+P73)</f>
        <v>1194.23709462483</v>
      </c>
      <c r="R74" s="55" t="n">
        <f aca="false">R$4+Q74/V$32</f>
        <v>51.6141830743584</v>
      </c>
    </row>
    <row r="75" customFormat="false" ht="12.8" hidden="false" customHeight="false" outlineLevel="0" collapsed="false">
      <c r="A75" s="1" t="n">
        <v>71</v>
      </c>
      <c r="B75" s="44" t="n">
        <v>43616</v>
      </c>
      <c r="C75" s="45" t="n">
        <f aca="false">V$30-V$30*SIN(2*PI()/365*A75)</f>
        <v>0.972974405114803</v>
      </c>
      <c r="D75" s="3" t="n">
        <f aca="false">IF((E75+F75)&gt;C75,C75,E75+F75)</f>
        <v>0.972974405114803</v>
      </c>
      <c r="E75" s="46" t="n">
        <f aca="false">(V$27+V$28*SIN(2*PI()/365*A75))*V$29/100*V$9*V$10/100</f>
        <v>0</v>
      </c>
      <c r="F75" s="46" t="n">
        <f aca="false">(V$27+V$28*SIN(2*PI()/365*A75))*V$29/100*V$11*(1-V$18/100)*(1-V$20/100)</f>
        <v>34.5508101137304</v>
      </c>
      <c r="G75" s="46" t="n">
        <f aca="false">IF(C75&gt;E75,100,C75/E75*100)</f>
        <v>100</v>
      </c>
      <c r="H75" s="46" t="n">
        <f aca="false">L75/F75*100</f>
        <v>2.8160682829493</v>
      </c>
      <c r="I75" s="47" t="n">
        <f aca="false">(V$27+V$28*SIN(2*PI()/365*A75))*V$29/100*V$9*V$10/100*(1-V$19/100)</f>
        <v>0</v>
      </c>
      <c r="J75" s="47" t="n">
        <f aca="false">(V$27+V$28*SIN(2*PI()/365*A75))*V$29/100*V$11*(1-V$18/100)</f>
        <v>37.9679232019016</v>
      </c>
      <c r="K75" s="48" t="n">
        <f aca="false">IF(E75/C75*100&lt;100,E75/C75*100,100)</f>
        <v>0</v>
      </c>
      <c r="L75" s="7" t="n">
        <f aca="false">IF(((C75-E75)&gt;0)*AND(F75&gt;(C75-E75)),(C75-E75),IF(C75&lt;E75,0,F75))</f>
        <v>0.972974405114803</v>
      </c>
      <c r="M75" s="7" t="n">
        <f aca="false">IF(C75&lt;(E75+F75),0,C75-E75-F75)</f>
        <v>0</v>
      </c>
      <c r="N75" s="7" t="n">
        <f aca="false">IF(C75&lt;(E75+F75),0,(C75-E75-F75)/(1-V$20/100))</f>
        <v>0</v>
      </c>
      <c r="O75" s="7" t="n">
        <f aca="false">L75+M75</f>
        <v>0.972974405114803</v>
      </c>
      <c r="P75" s="49" t="n">
        <f aca="false">IF(N75=0,I75*(1-G75/100)+J75*(1-H75/100),-N75)</f>
        <v>36.8987205589183</v>
      </c>
      <c r="Q75" s="54" t="n">
        <f aca="false">IF(P74&gt;0,Q74+P74*(1-V$24/100),Q74+P74)</f>
        <v>1222.48388195716</v>
      </c>
      <c r="R75" s="55" t="n">
        <f aca="false">R$4+Q75/V$32</f>
        <v>51.8888884580856</v>
      </c>
    </row>
    <row r="76" customFormat="false" ht="12.8" hidden="false" customHeight="false" outlineLevel="0" collapsed="false">
      <c r="A76" s="1" t="n">
        <v>72</v>
      </c>
      <c r="B76" s="44" t="n">
        <v>43617</v>
      </c>
      <c r="C76" s="45" t="n">
        <f aca="false">V$30-V$30*SIN(2*PI()/365*A76)</f>
        <v>0.88011062740174</v>
      </c>
      <c r="D76" s="3" t="n">
        <f aca="false">IF((E76+F76)&gt;C76,C76,E76+F76)</f>
        <v>0.88011062740174</v>
      </c>
      <c r="E76" s="46" t="n">
        <f aca="false">(V$27+V$28*SIN(2*PI()/365*A76))*V$29/100*V$9*V$10/100</f>
        <v>0</v>
      </c>
      <c r="F76" s="46" t="n">
        <f aca="false">(V$27+V$28*SIN(2*PI()/365*A76))*V$29/100*V$11*(1-V$18/100)*(1-V$20/100)</f>
        <v>34.6441798342551</v>
      </c>
      <c r="G76" s="46" t="n">
        <f aca="false">IF(C76&gt;E76,100,C76/E76*100)</f>
        <v>100</v>
      </c>
      <c r="H76" s="46" t="n">
        <f aca="false">L76/F76*100</f>
        <v>2.54042852684743</v>
      </c>
      <c r="I76" s="47" t="n">
        <f aca="false">(V$27+V$28*SIN(2*PI()/365*A76))*V$29/100*V$9*V$10/100*(1-V$19/100)</f>
        <v>0</v>
      </c>
      <c r="J76" s="47" t="n">
        <f aca="false">(V$27+V$28*SIN(2*PI()/365*A76))*V$29/100*V$11*(1-V$18/100)</f>
        <v>38.0705272903902</v>
      </c>
      <c r="K76" s="48" t="n">
        <f aca="false">IF(E76/C76*100&lt;100,E76/C76*100,100)</f>
        <v>0</v>
      </c>
      <c r="L76" s="7" t="n">
        <f aca="false">IF(((C76-E76)&gt;0)*AND(F76&gt;(C76-E76)),(C76-E76),IF(C76&lt;E76,0,F76))</f>
        <v>0.88011062740174</v>
      </c>
      <c r="M76" s="7" t="n">
        <f aca="false">IF(C76&lt;(E76+F76),0,C76-E76-F76)</f>
        <v>0</v>
      </c>
      <c r="N76" s="7" t="n">
        <f aca="false">IF(C76&lt;(E76+F76),0,(C76-E76-F76)/(1-V$20/100))</f>
        <v>0</v>
      </c>
      <c r="O76" s="7" t="n">
        <f aca="false">L76+M76</f>
        <v>0.88011062740174</v>
      </c>
      <c r="P76" s="49" t="n">
        <f aca="false">IF(N76=0,I76*(1-G76/100)+J76*(1-H76/100),-N76)</f>
        <v>37.1033727547839</v>
      </c>
      <c r="Q76" s="54" t="n">
        <f aca="false">IF(P75&gt;0,Q75+P75*(1-V$24/100),Q75+P75)</f>
        <v>1250.89589678753</v>
      </c>
      <c r="R76" s="55" t="n">
        <f aca="false">R$4+Q76/V$32</f>
        <v>52.1652007106831</v>
      </c>
    </row>
    <row r="77" customFormat="false" ht="12.8" hidden="false" customHeight="false" outlineLevel="0" collapsed="false">
      <c r="A77" s="1" t="n">
        <v>73</v>
      </c>
      <c r="B77" s="44" t="n">
        <v>43618</v>
      </c>
      <c r="C77" s="45" t="n">
        <f aca="false">V$30-V$30*SIN(2*PI()/365*A77)</f>
        <v>0.791779775525239</v>
      </c>
      <c r="D77" s="3" t="n">
        <f aca="false">IF((E77+F77)&gt;C77,C77,E77+F77)</f>
        <v>0.791779775525239</v>
      </c>
      <c r="E77" s="46" t="n">
        <f aca="false">(V$27+V$28*SIN(2*PI()/365*A77))*V$29/100*V$9*V$10/100</f>
        <v>0</v>
      </c>
      <c r="F77" s="46" t="n">
        <f aca="false">(V$27+V$28*SIN(2*PI()/365*A77))*V$29/100*V$11*(1-V$18/100)*(1-V$20/100)</f>
        <v>34.7329919325405</v>
      </c>
      <c r="G77" s="46" t="n">
        <f aca="false">IF(C77&gt;E77,100,C77/E77*100)</f>
        <v>100</v>
      </c>
      <c r="H77" s="46" t="n">
        <f aca="false">L77/F77*100</f>
        <v>2.27961868952452</v>
      </c>
      <c r="I77" s="47" t="n">
        <f aca="false">(V$27+V$28*SIN(2*PI()/365*A77))*V$29/100*V$9*V$10/100*(1-V$19/100)</f>
        <v>0</v>
      </c>
      <c r="J77" s="47" t="n">
        <f aca="false">(V$27+V$28*SIN(2*PI()/365*A77))*V$29/100*V$11*(1-V$18/100)</f>
        <v>38.1681230027918</v>
      </c>
      <c r="K77" s="48" t="n">
        <f aca="false">IF(E77/C77*100&lt;100,E77/C77*100,100)</f>
        <v>0</v>
      </c>
      <c r="L77" s="7" t="n">
        <f aca="false">IF(((C77-E77)&gt;0)*AND(F77&gt;(C77-E77)),(C77-E77),IF(C77&lt;E77,0,F77))</f>
        <v>0.791779775525239</v>
      </c>
      <c r="M77" s="7" t="n">
        <f aca="false">IF(C77&lt;(E77+F77),0,C77-E77-F77)</f>
        <v>0</v>
      </c>
      <c r="N77" s="7" t="n">
        <f aca="false">IF(C77&lt;(E77+F77),0,(C77-E77-F77)/(1-V$20/100))</f>
        <v>0</v>
      </c>
      <c r="O77" s="7" t="n">
        <f aca="false">L77+M77</f>
        <v>0.791779775525239</v>
      </c>
      <c r="P77" s="49" t="n">
        <f aca="false">IF(N77=0,I77*(1-G77/100)+J77*(1-H77/100),-N77)</f>
        <v>37.2980353373794</v>
      </c>
      <c r="Q77" s="54" t="n">
        <f aca="false">IF(P76&gt;0,Q76+P76*(1-V$24/100),Q76+P76)</f>
        <v>1279.46549380871</v>
      </c>
      <c r="R77" s="55" t="n">
        <f aca="false">R$4+Q77/V$32</f>
        <v>52.4430454800829</v>
      </c>
    </row>
    <row r="78" customFormat="false" ht="12.8" hidden="false" customHeight="false" outlineLevel="0" collapsed="false">
      <c r="A78" s="1" t="n">
        <v>74</v>
      </c>
      <c r="B78" s="44" t="n">
        <v>43619</v>
      </c>
      <c r="C78" s="45" t="n">
        <f aca="false">V$30-V$30*SIN(2*PI()/365*A78)</f>
        <v>0.708008023823053</v>
      </c>
      <c r="D78" s="3" t="n">
        <f aca="false">IF((E78+F78)&gt;C78,C78,E78+F78)</f>
        <v>0.708008023823053</v>
      </c>
      <c r="E78" s="46" t="n">
        <f aca="false">(V$27+V$28*SIN(2*PI()/365*A78))*V$29/100*V$9*V$10/100</f>
        <v>0</v>
      </c>
      <c r="F78" s="46" t="n">
        <f aca="false">(V$27+V$28*SIN(2*PI()/365*A78))*V$29/100*V$11*(1-V$18/100)*(1-V$20/100)</f>
        <v>34.8172200916454</v>
      </c>
      <c r="G78" s="46" t="n">
        <f aca="false">IF(C78&gt;E78,100,C78/E78*100)</f>
        <v>100</v>
      </c>
      <c r="H78" s="46" t="n">
        <f aca="false">L78/F78*100</f>
        <v>2.03349957854029</v>
      </c>
      <c r="I78" s="47" t="n">
        <f aca="false">(V$27+V$28*SIN(2*PI()/365*A78))*V$29/100*V$9*V$10/100*(1-V$19/100)</f>
        <v>0</v>
      </c>
      <c r="J78" s="47" t="n">
        <f aca="false">(V$27+V$28*SIN(2*PI()/365*A78))*V$29/100*V$11*(1-V$18/100)</f>
        <v>38.2606814193905</v>
      </c>
      <c r="K78" s="48" t="n">
        <f aca="false">IF(E78/C78*100&lt;100,E78/C78*100,100)</f>
        <v>0</v>
      </c>
      <c r="L78" s="7" t="n">
        <f aca="false">IF(((C78-E78)&gt;0)*AND(F78&gt;(C78-E78)),(C78-E78),IF(C78&lt;E78,0,F78))</f>
        <v>0.708008023823053</v>
      </c>
      <c r="M78" s="7" t="n">
        <f aca="false">IF(C78&lt;(E78+F78),0,C78-E78-F78)</f>
        <v>0</v>
      </c>
      <c r="N78" s="7" t="n">
        <f aca="false">IF(C78&lt;(E78+F78),0,(C78-E78-F78)/(1-V$20/100))</f>
        <v>0</v>
      </c>
      <c r="O78" s="7" t="n">
        <f aca="false">L78+M78</f>
        <v>0.708008023823053</v>
      </c>
      <c r="P78" s="49" t="n">
        <f aca="false">IF(N78=0,I78*(1-G78/100)+J78*(1-H78/100),-N78)</f>
        <v>37.4826506239806</v>
      </c>
      <c r="Q78" s="54" t="n">
        <f aca="false">IF(P77&gt;0,Q77+P77*(1-V$24/100),Q77+P77)</f>
        <v>1308.1849810185</v>
      </c>
      <c r="R78" s="55" t="n">
        <f aca="false">R$4+Q78/V$32</f>
        <v>52.7223479600991</v>
      </c>
    </row>
    <row r="79" customFormat="false" ht="12.8" hidden="false" customHeight="false" outlineLevel="0" collapsed="false">
      <c r="A79" s="1" t="n">
        <v>75</v>
      </c>
      <c r="B79" s="44" t="n">
        <v>43620</v>
      </c>
      <c r="C79" s="45" t="n">
        <f aca="false">V$30-V$30*SIN(2*PI()/365*A79)</f>
        <v>0.628820195673152</v>
      </c>
      <c r="D79" s="3" t="n">
        <f aca="false">IF((E79+F79)&gt;C79,C79,E79+F79)</f>
        <v>0.628820195673152</v>
      </c>
      <c r="E79" s="46" t="n">
        <f aca="false">(V$27+V$28*SIN(2*PI()/365*A79))*V$29/100*V$9*V$10/100</f>
        <v>0</v>
      </c>
      <c r="F79" s="46" t="n">
        <f aca="false">(V$27+V$28*SIN(2*PI()/365*A79))*V$29/100*V$11*(1-V$18/100)*(1-V$20/100)</f>
        <v>34.8968393529482</v>
      </c>
      <c r="G79" s="46" t="n">
        <f aca="false">IF(C79&gt;E79,100,C79/E79*100)</f>
        <v>100</v>
      </c>
      <c r="H79" s="46" t="n">
        <f aca="false">L79/F79*100</f>
        <v>1.80194025399617</v>
      </c>
      <c r="I79" s="47" t="n">
        <f aca="false">(V$27+V$28*SIN(2*PI()/365*A79))*V$29/100*V$9*V$10/100*(1-V$19/100)</f>
        <v>0</v>
      </c>
      <c r="J79" s="47" t="n">
        <f aca="false">(V$27+V$28*SIN(2*PI()/365*A79))*V$29/100*V$11*(1-V$18/100)</f>
        <v>38.3481751131299</v>
      </c>
      <c r="K79" s="48" t="n">
        <f aca="false">IF(E79/C79*100&lt;100,E79/C79*100,100)</f>
        <v>0</v>
      </c>
      <c r="L79" s="7" t="n">
        <f aca="false">IF(((C79-E79)&gt;0)*AND(F79&gt;(C79-E79)),(C79-E79),IF(C79&lt;E79,0,F79))</f>
        <v>0.628820195673152</v>
      </c>
      <c r="M79" s="7" t="n">
        <f aca="false">IF(C79&lt;(E79+F79),0,C79-E79-F79)</f>
        <v>0</v>
      </c>
      <c r="N79" s="7" t="n">
        <f aca="false">IF(C79&lt;(E79+F79),0,(C79-E79-F79)/(1-V$20/100))</f>
        <v>0</v>
      </c>
      <c r="O79" s="7" t="n">
        <f aca="false">L79+M79</f>
        <v>0.628820195673152</v>
      </c>
      <c r="P79" s="49" t="n">
        <f aca="false">IF(N79=0,I79*(1-G79/100)+J79*(1-H79/100),-N79)</f>
        <v>37.6571639090935</v>
      </c>
      <c r="Q79" s="54" t="n">
        <f aca="false">IF(P78&gt;0,Q78+P78*(1-V$24/100),Q78+P78)</f>
        <v>1337.04662199896</v>
      </c>
      <c r="R79" s="55" t="n">
        <f aca="false">R$4+Q79/V$32</f>
        <v>53.003032912595</v>
      </c>
    </row>
    <row r="80" customFormat="false" ht="12.8" hidden="false" customHeight="false" outlineLevel="0" collapsed="false">
      <c r="A80" s="1" t="n">
        <v>76</v>
      </c>
      <c r="B80" s="44" t="n">
        <v>43621</v>
      </c>
      <c r="C80" s="45" t="n">
        <f aca="false">V$30-V$30*SIN(2*PI()/365*A80)</f>
        <v>0.554239756138029</v>
      </c>
      <c r="D80" s="3" t="n">
        <f aca="false">IF((E80+F80)&gt;C80,C80,E80+F80)</f>
        <v>0.554239756138029</v>
      </c>
      <c r="E80" s="46" t="n">
        <f aca="false">(V$27+V$28*SIN(2*PI()/365*A80))*V$29/100*V$9*V$10/100</f>
        <v>0</v>
      </c>
      <c r="F80" s="46" t="n">
        <f aca="false">(V$27+V$28*SIN(2*PI()/365*A80))*V$29/100*V$11*(1-V$18/100)*(1-V$20/100)</f>
        <v>34.9718261235437</v>
      </c>
      <c r="G80" s="46" t="n">
        <f aca="false">IF(C80&gt;E80,100,C80/E80*100)</f>
        <v>100</v>
      </c>
      <c r="H80" s="46" t="n">
        <f aca="false">L80/F80*100</f>
        <v>1.58481788791951</v>
      </c>
      <c r="I80" s="47" t="n">
        <f aca="false">(V$27+V$28*SIN(2*PI()/365*A80))*V$29/100*V$9*V$10/100*(1-V$19/100)</f>
        <v>0</v>
      </c>
      <c r="J80" s="47" t="n">
        <f aca="false">(V$27+V$28*SIN(2*PI()/365*A80))*V$29/100*V$11*(1-V$18/100)</f>
        <v>38.4305781577403</v>
      </c>
      <c r="K80" s="48" t="n">
        <f aca="false">IF(E80/C80*100&lt;100,E80/C80*100,100)</f>
        <v>0</v>
      </c>
      <c r="L80" s="7" t="n">
        <f aca="false">IF(((C80-E80)&gt;0)*AND(F80&gt;(C80-E80)),(C80-E80),IF(C80&lt;E80,0,F80))</f>
        <v>0.554239756138029</v>
      </c>
      <c r="M80" s="7" t="n">
        <f aca="false">IF(C80&lt;(E80+F80),0,C80-E80-F80)</f>
        <v>0</v>
      </c>
      <c r="N80" s="7" t="n">
        <f aca="false">IF(C80&lt;(E80+F80),0,(C80-E80-F80)/(1-V$20/100))</f>
        <v>0</v>
      </c>
      <c r="O80" s="7" t="n">
        <f aca="false">L80+M80</f>
        <v>0.554239756138029</v>
      </c>
      <c r="P80" s="49" t="n">
        <f aca="false">IF(N80=0,I80*(1-G80/100)+J80*(1-H80/100),-N80)</f>
        <v>37.8215234806656</v>
      </c>
      <c r="Q80" s="54" t="n">
        <f aca="false">IF(P79&gt;0,Q79+P79*(1-V$24/100),Q79+P79)</f>
        <v>1366.04263820896</v>
      </c>
      <c r="R80" s="55" t="n">
        <f aca="false">R$4+Q80/V$32</f>
        <v>53.285024689777</v>
      </c>
    </row>
    <row r="81" customFormat="false" ht="12.8" hidden="false" customHeight="false" outlineLevel="0" collapsed="false">
      <c r="A81" s="1" t="n">
        <v>77</v>
      </c>
      <c r="B81" s="44" t="n">
        <v>43622</v>
      </c>
      <c r="C81" s="45" t="n">
        <f aca="false">V$30-V$30*SIN(2*PI()/365*A81)</f>
        <v>0.484288805011497</v>
      </c>
      <c r="D81" s="3" t="n">
        <f aca="false">IF((E81+F81)&gt;C81,C81,E81+F81)</f>
        <v>0.484288805011497</v>
      </c>
      <c r="E81" s="46" t="n">
        <f aca="false">(V$27+V$28*SIN(2*PI()/365*A81))*V$29/100*V$9*V$10/100</f>
        <v>0</v>
      </c>
      <c r="F81" s="46" t="n">
        <f aca="false">(V$27+V$28*SIN(2*PI()/365*A81))*V$29/100*V$11*(1-V$18/100)*(1-V$20/100)</f>
        <v>35.0421581832333</v>
      </c>
      <c r="G81" s="46" t="n">
        <f aca="false">IF(C81&gt;E81,100,C81/E81*100)</f>
        <v>100</v>
      </c>
      <c r="H81" s="46" t="n">
        <f aca="false">L81/F81*100</f>
        <v>1.38201763281582</v>
      </c>
      <c r="I81" s="47" t="n">
        <f aca="false">(V$27+V$28*SIN(2*PI()/365*A81))*V$29/100*V$9*V$10/100*(1-V$19/100)</f>
        <v>0</v>
      </c>
      <c r="J81" s="47" t="n">
        <f aca="false">(V$27+V$28*SIN(2*PI()/365*A81))*V$29/100*V$11*(1-V$18/100)</f>
        <v>38.5078661354212</v>
      </c>
      <c r="K81" s="48" t="n">
        <f aca="false">IF(E81/C81*100&lt;100,E81/C81*100,100)</f>
        <v>0</v>
      </c>
      <c r="L81" s="7" t="n">
        <f aca="false">IF(((C81-E81)&gt;0)*AND(F81&gt;(C81-E81)),(C81-E81),IF(C81&lt;E81,0,F81))</f>
        <v>0.484288805011497</v>
      </c>
      <c r="M81" s="7" t="n">
        <f aca="false">IF(C81&lt;(E81+F81),0,C81-E81-F81)</f>
        <v>0</v>
      </c>
      <c r="N81" s="7" t="n">
        <f aca="false">IF(C81&lt;(E81+F81),0,(C81-E81-F81)/(1-V$20/100))</f>
        <v>0</v>
      </c>
      <c r="O81" s="7" t="n">
        <f aca="false">L81+M81</f>
        <v>0.484288805011497</v>
      </c>
      <c r="P81" s="49" t="n">
        <f aca="false">IF(N81=0,I81*(1-G81/100)+J81*(1-H81/100),-N81)</f>
        <v>37.9756806354086</v>
      </c>
      <c r="Q81" s="54" t="n">
        <f aca="false">IF(P80&gt;0,Q80+P80*(1-V$24/100),Q80+P80)</f>
        <v>1395.16521128907</v>
      </c>
      <c r="R81" s="55" t="n">
        <f aca="false">R$4+Q81/V$32</f>
        <v>53.5682472566117</v>
      </c>
    </row>
    <row r="82" customFormat="false" ht="12.8" hidden="false" customHeight="false" outlineLevel="0" collapsed="false">
      <c r="A82" s="1" t="n">
        <v>78</v>
      </c>
      <c r="B82" s="44" t="n">
        <v>43623</v>
      </c>
      <c r="C82" s="45" t="n">
        <f aca="false">V$30-V$30*SIN(2*PI()/365*A82)</f>
        <v>0.418988070270039</v>
      </c>
      <c r="D82" s="3" t="n">
        <f aca="false">IF((E82+F82)&gt;C82,C82,E82+F82)</f>
        <v>0.418988070270039</v>
      </c>
      <c r="E82" s="46" t="n">
        <f aca="false">(V$27+V$28*SIN(2*PI()/365*A82))*V$29/100*V$9*V$10/100</f>
        <v>0</v>
      </c>
      <c r="F82" s="46" t="n">
        <f aca="false">(V$27+V$28*SIN(2*PI()/365*A82))*V$29/100*V$11*(1-V$18/100)*(1-V$20/100)</f>
        <v>35.1078146911098</v>
      </c>
      <c r="G82" s="46" t="n">
        <f aca="false">IF(C82&gt;E82,100,C82/E82*100)</f>
        <v>100</v>
      </c>
      <c r="H82" s="46" t="n">
        <f aca="false">L82/F82*100</f>
        <v>1.19343249916417</v>
      </c>
      <c r="I82" s="47" t="n">
        <f aca="false">(V$27+V$28*SIN(2*PI()/365*A82))*V$29/100*V$9*V$10/100*(1-V$19/100)</f>
        <v>0</v>
      </c>
      <c r="J82" s="47" t="n">
        <f aca="false">(V$27+V$28*SIN(2*PI()/365*A82))*V$29/100*V$11*(1-V$18/100)</f>
        <v>38.5800161440767</v>
      </c>
      <c r="K82" s="48" t="n">
        <f aca="false">IF(E82/C82*100&lt;100,E82/C82*100,100)</f>
        <v>0</v>
      </c>
      <c r="L82" s="7" t="n">
        <f aca="false">IF(((C82-E82)&gt;0)*AND(F82&gt;(C82-E82)),(C82-E82),IF(C82&lt;E82,0,F82))</f>
        <v>0.418988070270039</v>
      </c>
      <c r="M82" s="7" t="n">
        <f aca="false">IF(C82&lt;(E82+F82),0,C82-E82-F82)</f>
        <v>0</v>
      </c>
      <c r="N82" s="7" t="n">
        <f aca="false">IF(C82&lt;(E82+F82),0,(C82-E82-F82)/(1-V$20/100))</f>
        <v>0</v>
      </c>
      <c r="O82" s="7" t="n">
        <f aca="false">L82+M82</f>
        <v>0.418988070270039</v>
      </c>
      <c r="P82" s="49" t="n">
        <f aca="false">IF(N82=0,I82*(1-G82/100)+J82*(1-H82/100),-N82)</f>
        <v>38.1195896932305</v>
      </c>
      <c r="Q82" s="54" t="n">
        <f aca="false">IF(P81&gt;0,Q81+P81*(1-V$24/100),Q81+P81)</f>
        <v>1424.40648537834</v>
      </c>
      <c r="R82" s="55" t="n">
        <f aca="false">R$4+Q82/V$32</f>
        <v>53.8526242133557</v>
      </c>
    </row>
    <row r="83" customFormat="false" ht="12.8" hidden="false" customHeight="false" outlineLevel="0" collapsed="false">
      <c r="A83" s="1" t="n">
        <v>79</v>
      </c>
      <c r="B83" s="44" t="n">
        <v>43624</v>
      </c>
      <c r="C83" s="45" t="n">
        <f aca="false">V$30-V$30*SIN(2*PI()/365*A83)</f>
        <v>0.358356901930666</v>
      </c>
      <c r="D83" s="3" t="n">
        <f aca="false">IF((E83+F83)&gt;C83,C83,E83+F83)</f>
        <v>0.358356901930666</v>
      </c>
      <c r="E83" s="46" t="n">
        <f aca="false">(V$27+V$28*SIN(2*PI()/365*A83))*V$29/100*V$9*V$10/100</f>
        <v>0</v>
      </c>
      <c r="F83" s="46" t="n">
        <f aca="false">(V$27+V$28*SIN(2*PI()/365*A83))*V$29/100*V$11*(1-V$18/100)*(1-V$20/100)</f>
        <v>35.1687761917331</v>
      </c>
      <c r="G83" s="46" t="n">
        <f aca="false">IF(C83&gt;E83,100,C83/E83*100)</f>
        <v>100</v>
      </c>
      <c r="H83" s="46" t="n">
        <f aca="false">L83/F83*100</f>
        <v>1.01896324164644</v>
      </c>
      <c r="I83" s="47" t="n">
        <f aca="false">(V$27+V$28*SIN(2*PI()/365*A83))*V$29/100*V$9*V$10/100*(1-V$19/100)</f>
        <v>0</v>
      </c>
      <c r="J83" s="47" t="n">
        <f aca="false">(V$27+V$28*SIN(2*PI()/365*A83))*V$29/100*V$11*(1-V$18/100)</f>
        <v>38.6470068041023</v>
      </c>
      <c r="K83" s="48" t="n">
        <f aca="false">IF(E83/C83*100&lt;100,E83/C83*100,100)</f>
        <v>0</v>
      </c>
      <c r="L83" s="7" t="n">
        <f aca="false">IF(((C83-E83)&gt;0)*AND(F83&gt;(C83-E83)),(C83-E83),IF(C83&lt;E83,0,F83))</f>
        <v>0.358356901930666</v>
      </c>
      <c r="M83" s="7" t="n">
        <f aca="false">IF(C83&lt;(E83+F83),0,C83-E83-F83)</f>
        <v>0</v>
      </c>
      <c r="N83" s="7" t="n">
        <f aca="false">IF(C83&lt;(E83+F83),0,(C83-E83-F83)/(1-V$20/100))</f>
        <v>0</v>
      </c>
      <c r="O83" s="7" t="n">
        <f aca="false">L83+M83</f>
        <v>0.358356901930666</v>
      </c>
      <c r="P83" s="49" t="n">
        <f aca="false">IF(N83=0,I83*(1-G83/100)+J83*(1-H83/100),-N83)</f>
        <v>38.2532080107719</v>
      </c>
      <c r="Q83" s="54" t="n">
        <f aca="false">IF(P82&gt;0,Q82+P82*(1-V$24/100),Q82+P82)</f>
        <v>1453.75856944213</v>
      </c>
      <c r="R83" s="55" t="n">
        <f aca="false">R$4+Q83/V$32</f>
        <v>54.1380788181952</v>
      </c>
    </row>
    <row r="84" customFormat="false" ht="12.8" hidden="false" customHeight="false" outlineLevel="0" collapsed="false">
      <c r="A84" s="1" t="n">
        <v>80</v>
      </c>
      <c r="B84" s="44" t="n">
        <v>43625</v>
      </c>
      <c r="C84" s="45" t="n">
        <f aca="false">V$30-V$30*SIN(2*PI()/365*A84)</f>
        <v>0.302413266317084</v>
      </c>
      <c r="D84" s="3" t="n">
        <f aca="false">IF((E84+F84)&gt;C84,C84,E84+F84)</f>
        <v>0.302413266317084</v>
      </c>
      <c r="E84" s="46" t="n">
        <f aca="false">(V$27+V$28*SIN(2*PI()/365*A84))*V$29/100*V$9*V$10/100</f>
        <v>0</v>
      </c>
      <c r="F84" s="46" t="n">
        <f aca="false">(V$27+V$28*SIN(2*PI()/365*A84))*V$29/100*V$11*(1-V$18/100)*(1-V$20/100)</f>
        <v>35.2250246208947</v>
      </c>
      <c r="G84" s="46" t="n">
        <f aca="false">IF(C84&gt;E84,100,C84/E84*100)</f>
        <v>100</v>
      </c>
      <c r="H84" s="46" t="n">
        <f aca="false">L84/F84*100</f>
        <v>0.858518253916845</v>
      </c>
      <c r="I84" s="47" t="n">
        <f aca="false">(V$27+V$28*SIN(2*PI()/365*A84))*V$29/100*V$9*V$10/100*(1-V$19/100)</f>
        <v>0</v>
      </c>
      <c r="J84" s="47" t="n">
        <f aca="false">(V$27+V$28*SIN(2*PI()/365*A84))*V$29/100*V$11*(1-V$18/100)</f>
        <v>38.7088182647194</v>
      </c>
      <c r="K84" s="48" t="n">
        <f aca="false">IF(E84/C84*100&lt;100,E84/C84*100,100)</f>
        <v>0</v>
      </c>
      <c r="L84" s="7" t="n">
        <f aca="false">IF(((C84-E84)&gt;0)*AND(F84&gt;(C84-E84)),(C84-E84),IF(C84&lt;E84,0,F84))</f>
        <v>0.302413266317084</v>
      </c>
      <c r="M84" s="7" t="n">
        <f aca="false">IF(C84&lt;(E84+F84),0,C84-E84-F84)</f>
        <v>0</v>
      </c>
      <c r="N84" s="7" t="n">
        <f aca="false">IF(C84&lt;(E84+F84),0,(C84-E84-F84)/(1-V$20/100))</f>
        <v>0</v>
      </c>
      <c r="O84" s="7" t="n">
        <f aca="false">L84+M84</f>
        <v>0.302413266317084</v>
      </c>
      <c r="P84" s="49" t="n">
        <f aca="false">IF(N84=0,I84*(1-G84/100)+J84*(1-H84/100),-N84)</f>
        <v>38.3764959940413</v>
      </c>
      <c r="Q84" s="54" t="n">
        <f aca="false">IF(P83&gt;0,Q83+P83*(1-V$24/100),Q83+P83)</f>
        <v>1483.21353961042</v>
      </c>
      <c r="R84" s="55" t="n">
        <f aca="false">R$4+Q84/V$32</f>
        <v>54.4245340099859</v>
      </c>
    </row>
    <row r="85" customFormat="false" ht="12.8" hidden="false" customHeight="false" outlineLevel="0" collapsed="false">
      <c r="A85" s="1" t="n">
        <v>81</v>
      </c>
      <c r="B85" s="44" t="n">
        <v>43626</v>
      </c>
      <c r="C85" s="45" t="n">
        <f aca="false">V$30-V$30*SIN(2*PI()/365*A85)</f>
        <v>0.251173740735885</v>
      </c>
      <c r="D85" s="3" t="n">
        <f aca="false">IF((E85+F85)&gt;C85,C85,E85+F85)</f>
        <v>0.251173740735885</v>
      </c>
      <c r="E85" s="46" t="n">
        <f aca="false">(V$27+V$28*SIN(2*PI()/365*A85))*V$29/100*V$9*V$10/100</f>
        <v>0</v>
      </c>
      <c r="F85" s="46" t="n">
        <f aca="false">(V$27+V$28*SIN(2*PI()/365*A85))*V$29/100*V$11*(1-V$18/100)*(1-V$20/100)</f>
        <v>35.2765433109711</v>
      </c>
      <c r="G85" s="46" t="n">
        <f aca="false">IF(C85&gt;E85,100,C85/E85*100)</f>
        <v>100</v>
      </c>
      <c r="H85" s="46" t="n">
        <f aca="false">L85/F85*100</f>
        <v>0.712013471733124</v>
      </c>
      <c r="I85" s="47" t="n">
        <f aca="false">(V$27+V$28*SIN(2*PI()/365*A85))*V$29/100*V$9*V$10/100*(1-V$19/100)</f>
        <v>0</v>
      </c>
      <c r="J85" s="47" t="n">
        <f aca="false">(V$27+V$28*SIN(2*PI()/365*A85))*V$29/100*V$11*(1-V$18/100)</f>
        <v>38.7654322098584</v>
      </c>
      <c r="K85" s="48" t="n">
        <f aca="false">IF(E85/C85*100&lt;100,E85/C85*100,100)</f>
        <v>0</v>
      </c>
      <c r="L85" s="7" t="n">
        <f aca="false">IF(((C85-E85)&gt;0)*AND(F85&gt;(C85-E85)),(C85-E85),IF(C85&lt;E85,0,F85))</f>
        <v>0.251173740735885</v>
      </c>
      <c r="M85" s="7" t="n">
        <f aca="false">IF(C85&lt;(E85+F85),0,C85-E85-F85)</f>
        <v>0</v>
      </c>
      <c r="N85" s="7" t="n">
        <f aca="false">IF(C85&lt;(E85+F85),0,(C85-E85-F85)/(1-V$20/100))</f>
        <v>0</v>
      </c>
      <c r="O85" s="7" t="n">
        <f aca="false">L85+M85</f>
        <v>0.251173740735885</v>
      </c>
      <c r="P85" s="49" t="n">
        <f aca="false">IF(N85=0,I85*(1-G85/100)+J85*(1-H85/100),-N85)</f>
        <v>38.4894171101486</v>
      </c>
      <c r="Q85" s="54" t="n">
        <f aca="false">IF(P84&gt;0,Q84+P84*(1-V$24/100),Q84+P84)</f>
        <v>1512.76344152583</v>
      </c>
      <c r="R85" s="55" t="n">
        <f aca="false">R$4+Q85/V$32</f>
        <v>54.7119124310881</v>
      </c>
    </row>
    <row r="86" customFormat="false" ht="12.8" hidden="false" customHeight="false" outlineLevel="0" collapsed="false">
      <c r="A86" s="1" t="n">
        <v>82</v>
      </c>
      <c r="B86" s="44" t="n">
        <v>43627</v>
      </c>
      <c r="C86" s="45" t="n">
        <f aca="false">V$30-V$30*SIN(2*PI()/365*A86)</f>
        <v>0.204653508564343</v>
      </c>
      <c r="D86" s="3" t="n">
        <f aca="false">IF((E86+F86)&gt;C86,C86,E86+F86)</f>
        <v>0.204653508564343</v>
      </c>
      <c r="E86" s="46" t="n">
        <f aca="false">(V$27+V$28*SIN(2*PI()/365*A86))*V$29/100*V$9*V$10/100</f>
        <v>0</v>
      </c>
      <c r="F86" s="46" t="n">
        <f aca="false">(V$27+V$28*SIN(2*PI()/365*A86))*V$29/100*V$11*(1-V$18/100)*(1-V$20/100)</f>
        <v>35.3233169958628</v>
      </c>
      <c r="G86" s="46" t="n">
        <f aca="false">IF(C86&gt;E86,100,C86/E86*100)</f>
        <v>100</v>
      </c>
      <c r="H86" s="46" t="n">
        <f aca="false">L86/F86*100</f>
        <v>0.579372284285513</v>
      </c>
      <c r="I86" s="47" t="n">
        <f aca="false">(V$27+V$28*SIN(2*PI()/365*A86))*V$29/100*V$9*V$10/100*(1-V$19/100)</f>
        <v>0</v>
      </c>
      <c r="J86" s="47" t="n">
        <f aca="false">(V$27+V$28*SIN(2*PI()/365*A86))*V$29/100*V$11*(1-V$18/100)</f>
        <v>38.8168318635855</v>
      </c>
      <c r="K86" s="48" t="n">
        <f aca="false">IF(E86/C86*100&lt;100,E86/C86*100,100)</f>
        <v>0</v>
      </c>
      <c r="L86" s="7" t="n">
        <f aca="false">IF(((C86-E86)&gt;0)*AND(F86&gt;(C86-E86)),(C86-E86),IF(C86&lt;E86,0,F86))</f>
        <v>0.204653508564343</v>
      </c>
      <c r="M86" s="7" t="n">
        <f aca="false">IF(C86&lt;(E86+F86),0,C86-E86-F86)</f>
        <v>0</v>
      </c>
      <c r="N86" s="7" t="n">
        <f aca="false">IF(C86&lt;(E86+F86),0,(C86-E86-F86)/(1-V$20/100))</f>
        <v>0</v>
      </c>
      <c r="O86" s="7" t="n">
        <f aca="false">L86+M86</f>
        <v>0.204653508564343</v>
      </c>
      <c r="P86" s="49" t="n">
        <f aca="false">IF(N86=0,I86*(1-G86/100)+J86*(1-H86/100),-N86)</f>
        <v>38.5919378981301</v>
      </c>
      <c r="Q86" s="54" t="n">
        <f aca="false">IF(P85&gt;0,Q85+P85*(1-V$24/100),Q85+P85)</f>
        <v>1542.40029270065</v>
      </c>
      <c r="R86" s="55" t="n">
        <f aca="false">R$4+Q86/V$32</f>
        <v>55.0001364502892</v>
      </c>
    </row>
    <row r="87" customFormat="false" ht="12.8" hidden="false" customHeight="false" outlineLevel="0" collapsed="false">
      <c r="A87" s="1" t="n">
        <v>83</v>
      </c>
      <c r="B87" s="44" t="n">
        <v>43628</v>
      </c>
      <c r="C87" s="45" t="n">
        <f aca="false">V$30-V$30*SIN(2*PI()/365*A87)</f>
        <v>0.162866354751237</v>
      </c>
      <c r="D87" s="3" t="n">
        <f aca="false">IF((E87+F87)&gt;C87,C87,E87+F87)</f>
        <v>0.162866354751237</v>
      </c>
      <c r="E87" s="46" t="n">
        <f aca="false">(V$27+V$28*SIN(2*PI()/365*A87))*V$29/100*V$9*V$10/100</f>
        <v>0</v>
      </c>
      <c r="F87" s="46" t="n">
        <f aca="false">(V$27+V$28*SIN(2*PI()/365*A87))*V$29/100*V$11*(1-V$18/100)*(1-V$20/100)</f>
        <v>35.3653318155173</v>
      </c>
      <c r="G87" s="46" t="n">
        <f aca="false">IF(C87&gt;E87,100,C87/E87*100)</f>
        <v>100</v>
      </c>
      <c r="H87" s="46" t="n">
        <f aca="false">L87/F87*100</f>
        <v>0.46052545357365</v>
      </c>
      <c r="I87" s="47" t="n">
        <f aca="false">(V$27+V$28*SIN(2*PI()/365*A87))*V$29/100*V$9*V$10/100*(1-V$19/100)</f>
        <v>0</v>
      </c>
      <c r="J87" s="47" t="n">
        <f aca="false">(V$27+V$28*SIN(2*PI()/365*A87))*V$29/100*V$11*(1-V$18/100)</f>
        <v>38.8630019950739</v>
      </c>
      <c r="K87" s="48" t="n">
        <f aca="false">IF(E87/C87*100&lt;100,E87/C87*100,100)</f>
        <v>0</v>
      </c>
      <c r="L87" s="7" t="n">
        <f aca="false">IF(((C87-E87)&gt;0)*AND(F87&gt;(C87-E87)),(C87-E87),IF(C87&lt;E87,0,F87))</f>
        <v>0.162866354751237</v>
      </c>
      <c r="M87" s="7" t="n">
        <f aca="false">IF(C87&lt;(E87+F87),0,C87-E87-F87)</f>
        <v>0</v>
      </c>
      <c r="N87" s="7" t="n">
        <f aca="false">IF(C87&lt;(E87+F87),0,(C87-E87-F87)/(1-V$20/100))</f>
        <v>0</v>
      </c>
      <c r="O87" s="7" t="n">
        <f aca="false">L87+M87</f>
        <v>0.162866354751237</v>
      </c>
      <c r="P87" s="49" t="n">
        <f aca="false">IF(N87=0,I87*(1-G87/100)+J87*(1-H87/100),-N87)</f>
        <v>38.6840279788638</v>
      </c>
      <c r="Q87" s="54" t="n">
        <f aca="false">IF(P86&gt;0,Q86+P86*(1-V$24/100),Q86+P86)</f>
        <v>1572.11608488221</v>
      </c>
      <c r="R87" s="55" t="n">
        <f aca="false">R$4+Q87/V$32</f>
        <v>55.2891281858077</v>
      </c>
    </row>
    <row r="88" customFormat="false" ht="12.8" hidden="false" customHeight="false" outlineLevel="0" collapsed="false">
      <c r="A88" s="1" t="n">
        <v>84</v>
      </c>
      <c r="B88" s="44" t="n">
        <v>43629</v>
      </c>
      <c r="C88" s="45" t="n">
        <f aca="false">V$30-V$30*SIN(2*PI()/365*A88)</f>
        <v>0.125824661732082</v>
      </c>
      <c r="D88" s="3" t="n">
        <f aca="false">IF((E88+F88)&gt;C88,C88,E88+F88)</f>
        <v>0.125824661732082</v>
      </c>
      <c r="E88" s="46" t="n">
        <f aca="false">(V$27+V$28*SIN(2*PI()/365*A88))*V$29/100*V$9*V$10/100</f>
        <v>0</v>
      </c>
      <c r="F88" s="46" t="n">
        <f aca="false">(V$27+V$28*SIN(2*PI()/365*A88))*V$29/100*V$11*(1-V$18/100)*(1-V$20/100)</f>
        <v>35.4025753200368</v>
      </c>
      <c r="G88" s="46" t="n">
        <f aca="false">IF(C88&gt;E88,100,C88/E88*100)</f>
        <v>100</v>
      </c>
      <c r="H88" s="46" t="n">
        <f aca="false">L88/F88*100</f>
        <v>0.355411041695798</v>
      </c>
      <c r="I88" s="47" t="n">
        <f aca="false">(V$27+V$28*SIN(2*PI()/365*A88))*V$29/100*V$9*V$10/100*(1-V$19/100)</f>
        <v>0</v>
      </c>
      <c r="J88" s="47" t="n">
        <f aca="false">(V$27+V$28*SIN(2*PI()/365*A88))*V$29/100*V$11*(1-V$18/100)</f>
        <v>38.9039289231174</v>
      </c>
      <c r="K88" s="48" t="n">
        <f aca="false">IF(E88/C88*100&lt;100,E88/C88*100,100)</f>
        <v>0</v>
      </c>
      <c r="L88" s="7" t="n">
        <f aca="false">IF(((C88-E88)&gt;0)*AND(F88&gt;(C88-E88)),(C88-E88),IF(C88&lt;E88,0,F88))</f>
        <v>0.125824661732082</v>
      </c>
      <c r="M88" s="7" t="n">
        <f aca="false">IF(C88&lt;(E88+F88),0,C88-E88-F88)</f>
        <v>0</v>
      </c>
      <c r="N88" s="7" t="n">
        <f aca="false">IF(C88&lt;(E88+F88),0,(C88-E88-F88)/(1-V$20/100))</f>
        <v>0</v>
      </c>
      <c r="O88" s="7" t="n">
        <f aca="false">L88+M88</f>
        <v>0.125824661732082</v>
      </c>
      <c r="P88" s="49" t="n">
        <f aca="false">IF(N88=0,I88*(1-G88/100)+J88*(1-H88/100),-N88)</f>
        <v>38.7656600640711</v>
      </c>
      <c r="Q88" s="54" t="n">
        <f aca="false">IF(P87&gt;0,Q87+P87*(1-V$24/100),Q87+P87)</f>
        <v>1601.90278642593</v>
      </c>
      <c r="R88" s="55" t="n">
        <f aca="false">R$4+Q88/V$32</f>
        <v>55.5788095283712</v>
      </c>
    </row>
    <row r="89" customFormat="false" ht="12.8" hidden="false" customHeight="false" outlineLevel="0" collapsed="false">
      <c r="A89" s="1" t="n">
        <v>85</v>
      </c>
      <c r="B89" s="44" t="n">
        <v>43630</v>
      </c>
      <c r="C89" s="45" t="n">
        <f aca="false">V$30-V$30*SIN(2*PI()/365*A89)</f>
        <v>0.093539405759941</v>
      </c>
      <c r="D89" s="3" t="n">
        <f aca="false">IF((E89+F89)&gt;C89,C89,E89+F89)</f>
        <v>0.093539405759941</v>
      </c>
      <c r="E89" s="46" t="n">
        <f aca="false">(V$27+V$28*SIN(2*PI()/365*A89))*V$29/100*V$9*V$10/100</f>
        <v>0</v>
      </c>
      <c r="F89" s="46" t="n">
        <f aca="false">(V$27+V$28*SIN(2*PI()/365*A89))*V$29/100*V$11*(1-V$18/100)*(1-V$20/100)</f>
        <v>35.4350364733672</v>
      </c>
      <c r="G89" s="46" t="n">
        <f aca="false">IF(C89&gt;E89,100,C89/E89*100)</f>
        <v>100</v>
      </c>
      <c r="H89" s="46" t="n">
        <f aca="false">L89/F89*100</f>
        <v>0.263974345928061</v>
      </c>
      <c r="I89" s="47" t="n">
        <f aca="false">(V$27+V$28*SIN(2*PI()/365*A89))*V$29/100*V$9*V$10/100*(1-V$19/100)</f>
        <v>0</v>
      </c>
      <c r="J89" s="47" t="n">
        <f aca="false">(V$27+V$28*SIN(2*PI()/365*A89))*V$29/100*V$11*(1-V$18/100)</f>
        <v>38.9396005201837</v>
      </c>
      <c r="K89" s="48" t="n">
        <f aca="false">IF(E89/C89*100&lt;100,E89/C89*100,100)</f>
        <v>0</v>
      </c>
      <c r="L89" s="7" t="n">
        <f aca="false">IF(((C89-E89)&gt;0)*AND(F89&gt;(C89-E89)),(C89-E89),IF(C89&lt;E89,0,F89))</f>
        <v>0.093539405759941</v>
      </c>
      <c r="M89" s="7" t="n">
        <f aca="false">IF(C89&lt;(E89+F89),0,C89-E89-F89)</f>
        <v>0</v>
      </c>
      <c r="N89" s="7" t="n">
        <f aca="false">IF(C89&lt;(E89+F89),0,(C89-E89-F89)/(1-V$20/100))</f>
        <v>0</v>
      </c>
      <c r="O89" s="7" t="n">
        <f aca="false">L89+M89</f>
        <v>0.093539405759941</v>
      </c>
      <c r="P89" s="49" t="n">
        <f aca="false">IF(N89=0,I89*(1-G89/100)+J89*(1-H89/100),-N89)</f>
        <v>38.8368099644036</v>
      </c>
      <c r="Q89" s="54" t="n">
        <f aca="false">IF(P88&gt;0,Q88+P88*(1-V$24/100),Q88+P88)</f>
        <v>1631.75234467527</v>
      </c>
      <c r="R89" s="55" t="n">
        <f aca="false">R$4+Q89/V$32</f>
        <v>55.8691021643619</v>
      </c>
    </row>
    <row r="90" customFormat="false" ht="12.8" hidden="false" customHeight="false" outlineLevel="0" collapsed="false">
      <c r="A90" s="1" t="n">
        <v>86</v>
      </c>
      <c r="B90" s="44" t="n">
        <v>43631</v>
      </c>
      <c r="C90" s="45" t="n">
        <f aca="false">V$30-V$30*SIN(2*PI()/365*A90)</f>
        <v>0.0660201536529428</v>
      </c>
      <c r="D90" s="3" t="n">
        <f aca="false">IF((E90+F90)&gt;C90,C90,E90+F90)</f>
        <v>0.0660201536529428</v>
      </c>
      <c r="E90" s="46" t="n">
        <f aca="false">(V$27+V$28*SIN(2*PI()/365*A90))*V$29/100*V$9*V$10/100</f>
        <v>0</v>
      </c>
      <c r="F90" s="46" t="n">
        <f aca="false">(V$27+V$28*SIN(2*PI()/365*A90))*V$29/100*V$11*(1-V$18/100)*(1-V$20/100)</f>
        <v>35.4627056565682</v>
      </c>
      <c r="G90" s="46" t="n">
        <f aca="false">IF(C90&gt;E90,100,C90/E90*100)</f>
        <v>100</v>
      </c>
      <c r="H90" s="46" t="n">
        <f aca="false">L90/F90*100</f>
        <v>0.186167841484805</v>
      </c>
      <c r="I90" s="47" t="n">
        <f aca="false">(V$27+V$28*SIN(2*PI()/365*A90))*V$29/100*V$9*V$10/100*(1-V$19/100)</f>
        <v>0</v>
      </c>
      <c r="J90" s="47" t="n">
        <f aca="false">(V$27+V$28*SIN(2*PI()/365*A90))*V$29/100*V$11*(1-V$18/100)</f>
        <v>38.970006216009</v>
      </c>
      <c r="K90" s="48" t="n">
        <f aca="false">IF(E90/C90*100&lt;100,E90/C90*100,100)</f>
        <v>0</v>
      </c>
      <c r="L90" s="7" t="n">
        <f aca="false">IF(((C90-E90)&gt;0)*AND(F90&gt;(C90-E90)),(C90-E90),IF(C90&lt;E90,0,F90))</f>
        <v>0.0660201536529428</v>
      </c>
      <c r="M90" s="7" t="n">
        <f aca="false">IF(C90&lt;(E90+F90),0,C90-E90-F90)</f>
        <v>0</v>
      </c>
      <c r="N90" s="7" t="n">
        <f aca="false">IF(C90&lt;(E90+F90),0,(C90-E90-F90)/(1-V$20/100))</f>
        <v>0</v>
      </c>
      <c r="O90" s="7" t="n">
        <f aca="false">L90+M90</f>
        <v>0.0660201536529428</v>
      </c>
      <c r="P90" s="49" t="n">
        <f aca="false">IF(N90=0,I90*(1-G90/100)+J90*(1-H90/100),-N90)</f>
        <v>38.8974565966102</v>
      </c>
      <c r="Q90" s="54" t="n">
        <f aca="false">IF(P89&gt;0,Q89+P89*(1-V$24/100),Q89+P89)</f>
        <v>1661.65668834786</v>
      </c>
      <c r="R90" s="55" t="n">
        <f aca="false">R$4+Q90/V$32</f>
        <v>56.1599275990225</v>
      </c>
    </row>
    <row r="91" customFormat="false" ht="12.8" hidden="false" customHeight="false" outlineLevel="0" collapsed="false">
      <c r="A91" s="1" t="n">
        <v>87</v>
      </c>
      <c r="B91" s="44" t="n">
        <v>43632</v>
      </c>
      <c r="C91" s="45" t="n">
        <f aca="false">V$30-V$30*SIN(2*PI()/365*A91)</f>
        <v>0.0432750599593881</v>
      </c>
      <c r="D91" s="3" t="n">
        <f aca="false">IF((E91+F91)&gt;C91,C91,E91+F91)</f>
        <v>0.0432750599593881</v>
      </c>
      <c r="E91" s="46" t="n">
        <f aca="false">(V$27+V$28*SIN(2*PI()/365*A91))*V$29/100*V$9*V$10/100</f>
        <v>0</v>
      </c>
      <c r="F91" s="46" t="n">
        <f aca="false">(V$27+V$28*SIN(2*PI()/365*A91))*V$29/100*V$11*(1-V$18/100)*(1-V$20/100)</f>
        <v>35.4855746706636</v>
      </c>
      <c r="G91" s="46" t="n">
        <f aca="false">IF(C91&gt;E91,100,C91/E91*100)</f>
        <v>100</v>
      </c>
      <c r="H91" s="46" t="n">
        <f aca="false">L91/F91*100</f>
        <v>0.121951131864194</v>
      </c>
      <c r="I91" s="47" t="n">
        <f aca="false">(V$27+V$28*SIN(2*PI()/365*A91))*V$29/100*V$9*V$10/100*(1-V$19/100)</f>
        <v>0</v>
      </c>
      <c r="J91" s="47" t="n">
        <f aca="false">(V$27+V$28*SIN(2*PI()/365*A91))*V$29/100*V$11*(1-V$18/100)</f>
        <v>38.9951370007292</v>
      </c>
      <c r="K91" s="48" t="n">
        <f aca="false">IF(E91/C91*100&lt;100,E91/C91*100,100)</f>
        <v>0</v>
      </c>
      <c r="L91" s="7" t="n">
        <f aca="false">IF(((C91-E91)&gt;0)*AND(F91&gt;(C91-E91)),(C91-E91),IF(C91&lt;E91,0,F91))</f>
        <v>0.0432750599593881</v>
      </c>
      <c r="M91" s="7" t="n">
        <f aca="false">IF(C91&lt;(E91+F91),0,C91-E91-F91)</f>
        <v>0</v>
      </c>
      <c r="N91" s="7" t="n">
        <f aca="false">IF(C91&lt;(E91+F91),0,(C91-E91-F91)/(1-V$20/100))</f>
        <v>0</v>
      </c>
      <c r="O91" s="7" t="n">
        <f aca="false">L91+M91</f>
        <v>0.0432750599593881</v>
      </c>
      <c r="P91" s="49" t="n">
        <f aca="false">IF(N91=0,I91*(1-G91/100)+J91*(1-H91/100),-N91)</f>
        <v>38.9475819897849</v>
      </c>
      <c r="Q91" s="54" t="n">
        <f aca="false">IF(P90&gt;0,Q90+P90*(1-V$24/100),Q90+P90)</f>
        <v>1691.60772992725</v>
      </c>
      <c r="R91" s="55" t="n">
        <f aca="false">R$4+Q91/V$32</f>
        <v>56.4512071797158</v>
      </c>
    </row>
    <row r="92" customFormat="false" ht="12.8" hidden="false" customHeight="false" outlineLevel="0" collapsed="false">
      <c r="A92" s="1" t="n">
        <v>88</v>
      </c>
      <c r="B92" s="44" t="n">
        <v>43633</v>
      </c>
      <c r="C92" s="45" t="n">
        <f aca="false">V$30-V$30*SIN(2*PI()/365*A92)</f>
        <v>0.0253108645414244</v>
      </c>
      <c r="D92" s="3" t="n">
        <f aca="false">IF((E92+F92)&gt;C92,C92,E92+F92)</f>
        <v>0.0253108645414244</v>
      </c>
      <c r="E92" s="46" t="n">
        <f aca="false">(V$27+V$28*SIN(2*PI()/365*A92))*V$29/100*V$9*V$10/100</f>
        <v>0</v>
      </c>
      <c r="F92" s="46" t="n">
        <f aca="false">(V$27+V$28*SIN(2*PI()/365*A92))*V$29/100*V$11*(1-V$18/100)*(1-V$20/100)</f>
        <v>35.503636739071</v>
      </c>
      <c r="G92" s="46" t="n">
        <f aca="false">IF(C92&gt;E92,100,C92/E92*100)</f>
        <v>100</v>
      </c>
      <c r="H92" s="46" t="n">
        <f aca="false">L92/F92*100</f>
        <v>0.0712909066962436</v>
      </c>
      <c r="I92" s="47" t="n">
        <f aca="false">(V$27+V$28*SIN(2*PI()/365*A92))*V$29/100*V$9*V$10/100*(1-V$19/100)</f>
        <v>0</v>
      </c>
      <c r="J92" s="47" t="n">
        <f aca="false">(V$27+V$28*SIN(2*PI()/365*A92))*V$29/100*V$11*(1-V$18/100)</f>
        <v>39.0149854275506</v>
      </c>
      <c r="K92" s="48" t="n">
        <f aca="false">IF(E92/C92*100&lt;100,E92/C92*100,100)</f>
        <v>0</v>
      </c>
      <c r="L92" s="7" t="n">
        <f aca="false">IF(((C92-E92)&gt;0)*AND(F92&gt;(C92-E92)),(C92-E92),IF(C92&lt;E92,0,F92))</f>
        <v>0.0253108645414244</v>
      </c>
      <c r="M92" s="7" t="n">
        <f aca="false">IF(C92&lt;(E92+F92),0,C92-E92-F92)</f>
        <v>0</v>
      </c>
      <c r="N92" s="7" t="n">
        <f aca="false">IF(C92&lt;(E92+F92),0,(C92-E92-F92)/(1-V$20/100))</f>
        <v>0</v>
      </c>
      <c r="O92" s="7" t="n">
        <f aca="false">L92+M92</f>
        <v>0.0253108645414244</v>
      </c>
      <c r="P92" s="49" t="n">
        <f aca="false">IF(N92=0,I92*(1-G92/100)+J92*(1-H92/100),-N92)</f>
        <v>38.9871712906919</v>
      </c>
      <c r="Q92" s="54" t="n">
        <f aca="false">IF(P91&gt;0,Q91+P91*(1-V$24/100),Q91+P91)</f>
        <v>1721.59736805938</v>
      </c>
      <c r="R92" s="55" t="n">
        <f aca="false">R$4+Q92/V$32</f>
        <v>56.7428621192316</v>
      </c>
    </row>
    <row r="93" customFormat="false" ht="12.8" hidden="false" customHeight="false" outlineLevel="0" collapsed="false">
      <c r="A93" s="1" t="n">
        <v>89</v>
      </c>
      <c r="B93" s="44" t="n">
        <v>43634</v>
      </c>
      <c r="C93" s="45" t="n">
        <f aca="false">V$30-V$30*SIN(2*PI()/365*A93)</f>
        <v>0.0121328905778526</v>
      </c>
      <c r="D93" s="3" t="n">
        <f aca="false">IF((E93+F93)&gt;C93,C93,E93+F93)</f>
        <v>0.0121328905778526</v>
      </c>
      <c r="E93" s="46" t="n">
        <f aca="false">(V$27+V$28*SIN(2*PI()/365*A93))*V$29/100*V$9*V$10/100</f>
        <v>0</v>
      </c>
      <c r="F93" s="46" t="n">
        <f aca="false">(V$27+V$28*SIN(2*PI()/365*A93))*V$29/100*V$11*(1-V$18/100)*(1-V$20/100)</f>
        <v>35.5168865096098</v>
      </c>
      <c r="G93" s="46" t="n">
        <f aca="false">IF(C93&gt;E93,100,C93/E93*100)</f>
        <v>100</v>
      </c>
      <c r="H93" s="46" t="n">
        <f aca="false">L93/F93*100</f>
        <v>0.0341609070225506</v>
      </c>
      <c r="I93" s="47" t="n">
        <f aca="false">(V$27+V$28*SIN(2*PI()/365*A93))*V$29/100*V$9*V$10/100*(1-V$19/100)</f>
        <v>0</v>
      </c>
      <c r="J93" s="47" t="n">
        <f aca="false">(V$27+V$28*SIN(2*PI()/365*A93))*V$29/100*V$11*(1-V$18/100)</f>
        <v>39.0295456149558</v>
      </c>
      <c r="K93" s="48" t="n">
        <f aca="false">IF(E93/C93*100&lt;100,E93/C93*100,100)</f>
        <v>0</v>
      </c>
      <c r="L93" s="7" t="n">
        <f aca="false">IF(((C93-E93)&gt;0)*AND(F93&gt;(C93-E93)),(C93-E93),IF(C93&lt;E93,0,F93))</f>
        <v>0.0121328905778526</v>
      </c>
      <c r="M93" s="7" t="n">
        <f aca="false">IF(C93&lt;(E93+F93),0,C93-E93-F93)</f>
        <v>0</v>
      </c>
      <c r="N93" s="7" t="n">
        <f aca="false">IF(C93&lt;(E93+F93),0,(C93-E93-F93)/(1-V$20/100))</f>
        <v>0</v>
      </c>
      <c r="O93" s="7" t="n">
        <f aca="false">L93+M93</f>
        <v>0.0121328905778526</v>
      </c>
      <c r="P93" s="49" t="n">
        <f aca="false">IF(N93=0,I93*(1-G93/100)+J93*(1-H93/100),-N93)</f>
        <v>39.016212768167</v>
      </c>
      <c r="Q93" s="54" t="n">
        <f aca="false">IF(P92&gt;0,Q92+P92*(1-V$24/100),Q92+P92)</f>
        <v>1751.61748995321</v>
      </c>
      <c r="R93" s="55" t="n">
        <f aca="false">R$4+Q93/V$32</f>
        <v>57.0348135191327</v>
      </c>
    </row>
    <row r="94" customFormat="false" ht="12.8" hidden="false" customHeight="false" outlineLevel="0" collapsed="false">
      <c r="A94" s="1" t="n">
        <v>90</v>
      </c>
      <c r="B94" s="44" t="n">
        <v>43635</v>
      </c>
      <c r="C94" s="45" t="n">
        <f aca="false">V$30-V$30*SIN(2*PI()/365*A94)</f>
        <v>0.00374504298676115</v>
      </c>
      <c r="D94" s="3" t="n">
        <f aca="false">IF((E94+F94)&gt;C94,C94,E94+F94)</f>
        <v>0.00374504298676115</v>
      </c>
      <c r="E94" s="46" t="n">
        <f aca="false">(V$27+V$28*SIN(2*PI()/365*A94))*V$29/100*V$9*V$10/100</f>
        <v>0</v>
      </c>
      <c r="F94" s="46" t="n">
        <f aca="false">(V$27+V$28*SIN(2*PI()/365*A94))*V$29/100*V$11*(1-V$18/100)*(1-V$20/100)</f>
        <v>35.5253200560869</v>
      </c>
      <c r="G94" s="46" t="n">
        <f aca="false">IF(C94&gt;E94,100,C94/E94*100)</f>
        <v>100</v>
      </c>
      <c r="H94" s="46" t="n">
        <f aca="false">L94/F94*100</f>
        <v>0.0105418979501058</v>
      </c>
      <c r="I94" s="47" t="n">
        <f aca="false">(V$27+V$28*SIN(2*PI()/365*A94))*V$29/100*V$9*V$10/100*(1-V$19/100)</f>
        <v>0</v>
      </c>
      <c r="J94" s="47" t="n">
        <f aca="false">(V$27+V$28*SIN(2*PI()/365*A94))*V$29/100*V$11*(1-V$18/100)</f>
        <v>39.0388132484471</v>
      </c>
      <c r="K94" s="48" t="n">
        <f aca="false">IF(E94/C94*100&lt;100,E94/C94*100,100)</f>
        <v>0</v>
      </c>
      <c r="L94" s="7" t="n">
        <f aca="false">IF(((C94-E94)&gt;0)*AND(F94&gt;(C94-E94)),(C94-E94),IF(C94&lt;E94,0,F94))</f>
        <v>0.00374504298676115</v>
      </c>
      <c r="M94" s="7" t="n">
        <f aca="false">IF(C94&lt;(E94+F94),0,C94-E94-F94)</f>
        <v>0</v>
      </c>
      <c r="N94" s="7" t="n">
        <f aca="false">IF(C94&lt;(E94+F94),0,(C94-E94-F94)/(1-V$20/100))</f>
        <v>0</v>
      </c>
      <c r="O94" s="7" t="n">
        <f aca="false">L94+M94</f>
        <v>0.00374504298676115</v>
      </c>
      <c r="P94" s="49" t="n">
        <f aca="false">IF(N94=0,I94*(1-G94/100)+J94*(1-H94/100),-N94)</f>
        <v>39.0346978165936</v>
      </c>
      <c r="Q94" s="54" t="n">
        <f aca="false">IF(P93&gt;0,Q93+P93*(1-V$24/100),Q93+P93)</f>
        <v>1781.6599737847</v>
      </c>
      <c r="R94" s="55" t="n">
        <f aca="false">R$4+Q94/V$32</f>
        <v>57.3269823931342</v>
      </c>
    </row>
    <row r="95" customFormat="false" ht="12.8" hidden="false" customHeight="false" outlineLevel="0" collapsed="false">
      <c r="A95" s="1" t="n">
        <v>91</v>
      </c>
      <c r="B95" s="44" t="n">
        <v>43636</v>
      </c>
      <c r="C95" s="45" t="n">
        <f aca="false">V$30-V$30*SIN(2*PI()/365*A95)</f>
        <v>0.000149807268417845</v>
      </c>
      <c r="D95" s="3" t="n">
        <f aca="false">IF((E95+F95)&gt;C95,C95,E95+F95)</f>
        <v>0.000149807268417845</v>
      </c>
      <c r="E95" s="46" t="n">
        <f aca="false">(V$27+V$28*SIN(2*PI()/365*A95))*V$29/100*V$9*V$10/100</f>
        <v>0</v>
      </c>
      <c r="F95" s="46" t="n">
        <f aca="false">(V$27+V$28*SIN(2*PI()/365*A95))*V$29/100*V$11*(1-V$18/100)*(1-V$20/100)</f>
        <v>35.5289348794605</v>
      </c>
      <c r="G95" s="46" t="n">
        <f aca="false">IF(C95&gt;E95,100,C95/E95*100)</f>
        <v>100</v>
      </c>
      <c r="H95" s="46" t="n">
        <f aca="false">L95/F95*100</f>
        <v>0.000421648633504208</v>
      </c>
      <c r="I95" s="47" t="n">
        <f aca="false">(V$27+V$28*SIN(2*PI()/365*A95))*V$29/100*V$9*V$10/100*(1-V$19/100)</f>
        <v>0</v>
      </c>
      <c r="J95" s="47" t="n">
        <f aca="false">(V$27+V$28*SIN(2*PI()/365*A95))*V$29/100*V$11*(1-V$18/100)</f>
        <v>39.0427855818248</v>
      </c>
      <c r="K95" s="48" t="n">
        <f aca="false">IF(E95/C95*100&lt;100,E95/C95*100,100)</f>
        <v>0</v>
      </c>
      <c r="L95" s="7" t="n">
        <f aca="false">IF(((C95-E95)&gt;0)*AND(F95&gt;(C95-E95)),(C95-E95),IF(C95&lt;E95,0,F95))</f>
        <v>0.000149807268417845</v>
      </c>
      <c r="M95" s="7" t="n">
        <f aca="false">IF(C95&lt;(E95+F95),0,C95-E95-F95)</f>
        <v>0</v>
      </c>
      <c r="N95" s="7" t="n">
        <f aca="false">IF(C95&lt;(E95+F95),0,(C95-E95-F95)/(1-V$20/100))</f>
        <v>0</v>
      </c>
      <c r="O95" s="7" t="n">
        <f aca="false">L95+M95</f>
        <v>0.000149807268417845</v>
      </c>
      <c r="P95" s="49" t="n">
        <f aca="false">IF(N95=0,I95*(1-G95/100)+J95*(1-H95/100),-N95)</f>
        <v>39.0426209584529</v>
      </c>
      <c r="Q95" s="54" t="n">
        <f aca="false">IF(P94&gt;0,Q94+P94*(1-V$24/100),Q94+P94)</f>
        <v>1811.71669110348</v>
      </c>
      <c r="R95" s="55" t="n">
        <f aca="false">R$4+Q95/V$32</f>
        <v>57.619289690509</v>
      </c>
    </row>
    <row r="96" customFormat="false" ht="12.8" hidden="false" customHeight="false" outlineLevel="0" collapsed="false">
      <c r="A96" s="1" t="n">
        <v>92</v>
      </c>
      <c r="B96" s="44" t="n">
        <v>43637</v>
      </c>
      <c r="C96" s="45" t="n">
        <f aca="false">V$30-V$30*SIN(2*PI()/365*A96)</f>
        <v>0.00134824876875328</v>
      </c>
      <c r="D96" s="3" t="n">
        <f aca="false">IF((E96+F96)&gt;C96,C96,E96+F96)</f>
        <v>0.00134824876875328</v>
      </c>
      <c r="E96" s="46" t="n">
        <f aca="false">(V$27+V$28*SIN(2*PI()/365*A96))*V$29/100*V$9*V$10/100</f>
        <v>0</v>
      </c>
      <c r="F96" s="46" t="n">
        <f aca="false">(V$27+V$28*SIN(2*PI()/365*A96))*V$29/100*V$11*(1-V$18/100)*(1-V$20/100)</f>
        <v>35.5277299085805</v>
      </c>
      <c r="G96" s="46" t="n">
        <f aca="false">IF(C96&gt;E96,100,C96/E96*100)</f>
        <v>100</v>
      </c>
      <c r="H96" s="46" t="n">
        <f aca="false">L96/F96*100</f>
        <v>0.0037949195521993</v>
      </c>
      <c r="I96" s="47" t="n">
        <f aca="false">(V$27+V$28*SIN(2*PI()/365*A96))*V$29/100*V$9*V$10/100*(1-V$19/100)</f>
        <v>0</v>
      </c>
      <c r="J96" s="47" t="n">
        <f aca="false">(V$27+V$28*SIN(2*PI()/365*A96))*V$29/100*V$11*(1-V$18/100)</f>
        <v>39.0414614380006</v>
      </c>
      <c r="K96" s="48" t="n">
        <f aca="false">IF(E96/C96*100&lt;100,E96/C96*100,100)</f>
        <v>0</v>
      </c>
      <c r="L96" s="7" t="n">
        <f aca="false">IF(((C96-E96)&gt;0)*AND(F96&gt;(C96-E96)),(C96-E96),IF(C96&lt;E96,0,F96))</f>
        <v>0.00134824876875328</v>
      </c>
      <c r="M96" s="7" t="n">
        <f aca="false">IF(C96&lt;(E96+F96),0,C96-E96-F96)</f>
        <v>0</v>
      </c>
      <c r="N96" s="7" t="n">
        <f aca="false">IF(C96&lt;(E96+F96),0,(C96-E96-F96)/(1-V$20/100))</f>
        <v>0</v>
      </c>
      <c r="O96" s="7" t="n">
        <f aca="false">L96+M96</f>
        <v>0.00134824876875328</v>
      </c>
      <c r="P96" s="49" t="n">
        <f aca="false">IF(N96=0,I96*(1-G96/100)+J96*(1-H96/100),-N96)</f>
        <v>39.039979845947</v>
      </c>
      <c r="Q96" s="54" t="n">
        <f aca="false">IF(P95&gt;0,Q95+P95*(1-V$24/100),Q95+P95)</f>
        <v>1841.77950924149</v>
      </c>
      <c r="R96" s="55" t="n">
        <f aca="false">R$4+Q96/V$32</f>
        <v>57.9116563195122</v>
      </c>
    </row>
    <row r="97" customFormat="false" ht="12.8" hidden="false" customHeight="false" outlineLevel="0" collapsed="false">
      <c r="A97" s="1" t="n">
        <v>93</v>
      </c>
      <c r="B97" s="44" t="n">
        <v>43638</v>
      </c>
      <c r="C97" s="45" t="n">
        <f aca="false">V$30-V$30*SIN(2*PI()/365*A97)</f>
        <v>0.00734001236369153</v>
      </c>
      <c r="D97" s="3" t="n">
        <f aca="false">IF((E97+F97)&gt;C97,C97,E97+F97)</f>
        <v>0.00734001236369153</v>
      </c>
      <c r="E97" s="46" t="n">
        <f aca="false">(V$27+V$28*SIN(2*PI()/365*A97))*V$29/100*V$9*V$10/100</f>
        <v>0</v>
      </c>
      <c r="F97" s="46" t="n">
        <f aca="false">(V$27+V$28*SIN(2*PI()/365*A97))*V$29/100*V$11*(1-V$18/100)*(1-V$20/100)</f>
        <v>35.5217055005058</v>
      </c>
      <c r="G97" s="46" t="n">
        <f aca="false">IF(C97&gt;E97,100,C97/E97*100)</f>
        <v>100</v>
      </c>
      <c r="H97" s="46" t="n">
        <f aca="false">L97/F97*100</f>
        <v>0.020663457061731</v>
      </c>
      <c r="I97" s="47" t="n">
        <f aca="false">(V$27+V$28*SIN(2*PI()/365*A97))*V$29/100*V$9*V$10/100*(1-V$19/100)</f>
        <v>0</v>
      </c>
      <c r="J97" s="47" t="n">
        <f aca="false">(V$27+V$28*SIN(2*PI()/365*A97))*V$29/100*V$11*(1-V$18/100)</f>
        <v>39.034841209347</v>
      </c>
      <c r="K97" s="48" t="n">
        <f aca="false">IF(E97/C97*100&lt;100,E97/C97*100,100)</f>
        <v>0</v>
      </c>
      <c r="L97" s="7" t="n">
        <f aca="false">IF(((C97-E97)&gt;0)*AND(F97&gt;(C97-E97)),(C97-E97),IF(C97&lt;E97,0,F97))</f>
        <v>0.00734001236369153</v>
      </c>
      <c r="M97" s="7" t="n">
        <f aca="false">IF(C97&lt;(E97+F97),0,C97-E97-F97)</f>
        <v>0</v>
      </c>
      <c r="N97" s="7" t="n">
        <f aca="false">IF(C97&lt;(E97+F97),0,(C97-E97-F97)/(1-V$20/100))</f>
        <v>0</v>
      </c>
      <c r="O97" s="7" t="n">
        <f aca="false">L97+M97</f>
        <v>0.00734001236369153</v>
      </c>
      <c r="P97" s="49" t="n">
        <f aca="false">IF(N97=0,I97*(1-G97/100)+J97*(1-H97/100),-N97)</f>
        <v>39.0267752616946</v>
      </c>
      <c r="Q97" s="54" t="n">
        <f aca="false">IF(P96&gt;0,Q96+P96*(1-V$24/100),Q96+P96)</f>
        <v>1871.84029372287</v>
      </c>
      <c r="R97" s="55" t="n">
        <f aca="false">R$4+Q97/V$32</f>
        <v>58.2040031708175</v>
      </c>
    </row>
    <row r="98" customFormat="false" ht="12.8" hidden="false" customHeight="false" outlineLevel="0" collapsed="false">
      <c r="A98" s="1" t="n">
        <v>94</v>
      </c>
      <c r="B98" s="44" t="n">
        <v>43639</v>
      </c>
      <c r="C98" s="45" t="n">
        <f aca="false">V$30-V$30*SIN(2*PI()/365*A98)</f>
        <v>0.0181233225643602</v>
      </c>
      <c r="D98" s="3" t="n">
        <f aca="false">IF((E98+F98)&gt;C98,C98,E98+F98)</f>
        <v>0.0181233225643602</v>
      </c>
      <c r="E98" s="46" t="n">
        <f aca="false">(V$27+V$28*SIN(2*PI()/365*A98))*V$29/100*V$9*V$10/100</f>
        <v>0</v>
      </c>
      <c r="F98" s="46" t="n">
        <f aca="false">(V$27+V$28*SIN(2*PI()/365*A98))*V$29/100*V$11*(1-V$18/100)*(1-V$20/100)</f>
        <v>35.5108634403983</v>
      </c>
      <c r="G98" s="46" t="n">
        <f aca="false">IF(C98&gt;E98,100,C98/E98*100)</f>
        <v>100</v>
      </c>
      <c r="H98" s="46" t="n">
        <f aca="false">L98/F98*100</f>
        <v>0.0510359952096871</v>
      </c>
      <c r="I98" s="47" t="n">
        <f aca="false">(V$27+V$28*SIN(2*PI()/365*A98))*V$29/100*V$9*V$10/100*(1-V$19/100)</f>
        <v>0</v>
      </c>
      <c r="J98" s="47" t="n">
        <f aca="false">(V$27+V$28*SIN(2*PI()/365*A98))*V$29/100*V$11*(1-V$18/100)</f>
        <v>39.0229268575806</v>
      </c>
      <c r="K98" s="48" t="n">
        <f aca="false">IF(E98/C98*100&lt;100,E98/C98*100,100)</f>
        <v>0</v>
      </c>
      <c r="L98" s="7" t="n">
        <f aca="false">IF(((C98-E98)&gt;0)*AND(F98&gt;(C98-E98)),(C98-E98),IF(C98&lt;E98,0,F98))</f>
        <v>0.0181233225643602</v>
      </c>
      <c r="M98" s="7" t="n">
        <f aca="false">IF(C98&lt;(E98+F98),0,C98-E98-F98)</f>
        <v>0</v>
      </c>
      <c r="N98" s="7" t="n">
        <f aca="false">IF(C98&lt;(E98+F98),0,(C98-E98-F98)/(1-V$20/100))</f>
        <v>0</v>
      </c>
      <c r="O98" s="7" t="n">
        <f aca="false">L98+M98</f>
        <v>0.0181233225643602</v>
      </c>
      <c r="P98" s="49" t="n">
        <f aca="false">IF(N98=0,I98*(1-G98/100)+J98*(1-H98/100),-N98)</f>
        <v>39.0030111184989</v>
      </c>
      <c r="Q98" s="54" t="n">
        <f aca="false">IF(P97&gt;0,Q97+P97*(1-V$24/100),Q97+P97)</f>
        <v>1901.89091067437</v>
      </c>
      <c r="R98" s="55" t="n">
        <f aca="false">R$4+Q98/V$32</f>
        <v>58.4962511409593</v>
      </c>
    </row>
    <row r="99" customFormat="false" ht="12.8" hidden="false" customHeight="false" outlineLevel="0" collapsed="false">
      <c r="A99" s="1" t="n">
        <v>95</v>
      </c>
      <c r="B99" s="44" t="n">
        <v>43640</v>
      </c>
      <c r="C99" s="45" t="n">
        <f aca="false">V$30-V$30*SIN(2*PI()/365*A99)</f>
        <v>0.0336949840432332</v>
      </c>
      <c r="D99" s="3" t="n">
        <f aca="false">IF((E99+F99)&gt;C99,C99,E99+F99)</f>
        <v>0.0336949840432332</v>
      </c>
      <c r="E99" s="46" t="n">
        <f aca="false">(V$27+V$28*SIN(2*PI()/365*A99))*V$29/100*V$9*V$10/100</f>
        <v>0</v>
      </c>
      <c r="F99" s="46" t="n">
        <f aca="false">(V$27+V$28*SIN(2*PI()/365*A99))*V$29/100*V$11*(1-V$18/100)*(1-V$20/100)</f>
        <v>35.4952069409947</v>
      </c>
      <c r="G99" s="46" t="n">
        <f aca="false">IF(C99&gt;E99,100,C99/E99*100)</f>
        <v>100</v>
      </c>
      <c r="H99" s="46" t="n">
        <f aca="false">L99/F99*100</f>
        <v>0.0949282648196585</v>
      </c>
      <c r="I99" s="47" t="n">
        <f aca="false">(V$27+V$28*SIN(2*PI()/365*A99))*V$29/100*V$9*V$10/100*(1-V$19/100)</f>
        <v>0</v>
      </c>
      <c r="J99" s="47" t="n">
        <f aca="false">(V$27+V$28*SIN(2*PI()/365*A99))*V$29/100*V$11*(1-V$18/100)</f>
        <v>39.005721913181</v>
      </c>
      <c r="K99" s="48" t="n">
        <f aca="false">IF(E99/C99*100&lt;100,E99/C99*100,100)</f>
        <v>0</v>
      </c>
      <c r="L99" s="7" t="n">
        <f aca="false">IF(((C99-E99)&gt;0)*AND(F99&gt;(C99-E99)),(C99-E99),IF(C99&lt;E99,0,F99))</f>
        <v>0.0336949840432332</v>
      </c>
      <c r="M99" s="7" t="n">
        <f aca="false">IF(C99&lt;(E99+F99),0,C99-E99-F99)</f>
        <v>0</v>
      </c>
      <c r="N99" s="7" t="n">
        <f aca="false">IF(C99&lt;(E99+F99),0,(C99-E99-F99)/(1-V$20/100))</f>
        <v>0</v>
      </c>
      <c r="O99" s="7" t="n">
        <f aca="false">L99+M99</f>
        <v>0.0336949840432332</v>
      </c>
      <c r="P99" s="49" t="n">
        <f aca="false">IF(N99=0,I99*(1-G99/100)+J99*(1-H99/100),-N99)</f>
        <v>38.9686944581884</v>
      </c>
      <c r="Q99" s="54" t="n">
        <f aca="false">IF(P98&gt;0,Q98+P98*(1-V$24/100),Q98+P98)</f>
        <v>1931.92322923562</v>
      </c>
      <c r="R99" s="55" t="n">
        <f aca="false">R$4+Q99/V$32</f>
        <v>58.7883211557727</v>
      </c>
    </row>
    <row r="100" customFormat="false" ht="12.8" hidden="false" customHeight="false" outlineLevel="0" collapsed="false">
      <c r="A100" s="1" t="n">
        <v>96</v>
      </c>
      <c r="B100" s="44" t="n">
        <v>43641</v>
      </c>
      <c r="C100" s="45" t="n">
        <f aca="false">V$30-V$30*SIN(2*PI()/365*A100)</f>
        <v>0.0540503825809395</v>
      </c>
      <c r="D100" s="3" t="n">
        <f aca="false">IF((E100+F100)&gt;C100,C100,E100+F100)</f>
        <v>0.0540503825809395</v>
      </c>
      <c r="E100" s="46" t="n">
        <f aca="false">(V$27+V$28*SIN(2*PI()/365*A100))*V$29/100*V$9*V$10/100</f>
        <v>0</v>
      </c>
      <c r="F100" s="46" t="n">
        <f aca="false">(V$27+V$28*SIN(2*PI()/365*A100))*V$29/100*V$11*(1-V$18/100)*(1-V$20/100)</f>
        <v>35.4747406416535</v>
      </c>
      <c r="G100" s="46" t="n">
        <f aca="false">IF(C100&gt;E100,100,C100/E100*100)</f>
        <v>100</v>
      </c>
      <c r="H100" s="46" t="n">
        <f aca="false">L100/F100*100</f>
        <v>0.152363009857992</v>
      </c>
      <c r="I100" s="47" t="n">
        <f aca="false">(V$27+V$28*SIN(2*PI()/365*A100))*V$29/100*V$9*V$10/100*(1-V$19/100)</f>
        <v>0</v>
      </c>
      <c r="J100" s="47" t="n">
        <f aca="false">(V$27+V$28*SIN(2*PI()/365*A100))*V$29/100*V$11*(1-V$18/100)</f>
        <v>38.9832314743444</v>
      </c>
      <c r="K100" s="48" t="n">
        <f aca="false">IF(E100/C100*100&lt;100,E100/C100*100,100)</f>
        <v>0</v>
      </c>
      <c r="L100" s="7" t="n">
        <f aca="false">IF(((C100-E100)&gt;0)AND(F100&gt;(C100-E100)),(C100-E100),IF(C100&lt;E100,0,F100))</f>
        <v>0.0540503825809395</v>
      </c>
      <c r="M100" s="7" t="n">
        <f aca="false">IF(C100&lt;(E100+F100),0,C100-E100-F100)</f>
        <v>0</v>
      </c>
      <c r="N100" s="7" t="n">
        <f aca="false">IF(C100&lt;(E100+F100),0,(C100-E100-F100)/(1-V$20/100))</f>
        <v>0</v>
      </c>
      <c r="O100" s="7" t="n">
        <f aca="false">L100+M100</f>
        <v>0.0540503825809395</v>
      </c>
      <c r="P100" s="49" t="n">
        <f aca="false">IF( N100=0,I100*(1-G100/100)+J100*(1-H100/100),-N100)</f>
        <v>38.9238354495302</v>
      </c>
      <c r="Q100" s="54" t="n">
        <f aca="false">IF(P99&gt;0,Q99+P99*(1-V$24/100),Q99+P99)</f>
        <v>1961.92912396842</v>
      </c>
      <c r="R100" s="55" t="n">
        <f aca="false">R$4+Q100/V$32</f>
        <v>59.0801341938246</v>
      </c>
    </row>
    <row r="101" customFormat="false" ht="12.8" hidden="false" customHeight="false" outlineLevel="0" collapsed="false">
      <c r="A101" s="1" t="n">
        <v>97</v>
      </c>
      <c r="B101" s="44" t="n">
        <v>43642</v>
      </c>
      <c r="C101" s="45" t="n">
        <f aca="false">V$30-V$30*SIN(2*PI()/365*A101)</f>
        <v>0.0791834864335961</v>
      </c>
      <c r="D101" s="3" t="n">
        <f aca="false">IF((E101+F101)&gt;C101,C101,E101+F101)</f>
        <v>0.0791834864335961</v>
      </c>
      <c r="E101" s="46" t="n">
        <f aca="false">(V$27+V$28*SIN(2*PI()/365*A101))*V$29/100*V$9*V$10/100</f>
        <v>0</v>
      </c>
      <c r="F101" s="46" t="n">
        <f aca="false">(V$27+V$28*SIN(2*PI()/365*A101))*V$29/100*V$11*(1-V$18/100)*(1-V$20/100)</f>
        <v>35.4494706069808</v>
      </c>
      <c r="G101" s="46" t="n">
        <f aca="false">IF(C101&gt;E101,100,C101/E101*100)</f>
        <v>100</v>
      </c>
      <c r="H101" s="46" t="n">
        <f aca="false">L101/F101*100</f>
        <v>0.223370011110978</v>
      </c>
      <c r="I101" s="47" t="n">
        <f aca="false">(V$27+V$28*SIN(2*PI()/365*A101))*V$29/100*V$9*V$10/100*(1-V$19/100)</f>
        <v>0</v>
      </c>
      <c r="J101" s="47" t="n">
        <f aca="false">(V$27+V$28*SIN(2*PI()/365*A101))*V$29/100*V$11*(1-V$18/100)</f>
        <v>38.9554622054734</v>
      </c>
      <c r="K101" s="48" t="n">
        <f aca="false">IF(E101/C101*100&lt;100,E101/C101*100,100)</f>
        <v>0</v>
      </c>
      <c r="L101" s="7" t="n">
        <f aca="false">IF(((C101-E101)&gt;0)AND(F101&gt;(C101-E101)),(C101-E101),IF(C101&lt;E101,0,F101))</f>
        <v>0.0791834864335961</v>
      </c>
      <c r="M101" s="7" t="n">
        <f aca="false">IF(C101&lt;(E101+F101),0,C101-E101-F101)</f>
        <v>0</v>
      </c>
      <c r="N101" s="7" t="n">
        <f aca="false">IF(C101&lt;(E101+F101),0,(C101-E101-F101)/(1-V$20/100))</f>
        <v>0</v>
      </c>
      <c r="O101" s="7" t="n">
        <f aca="false">L101+M101</f>
        <v>0.0791834864335961</v>
      </c>
      <c r="P101" s="49" t="n">
        <f aca="false">IF( N101=0,I101*(1-G101/100)+J101*(1-H101/100),-N101)</f>
        <v>38.8684473852167</v>
      </c>
      <c r="Q101" s="54" t="n">
        <f aca="false">IF(P100&gt;0,Q100+P100*(1-V$24/100),Q100+P100)</f>
        <v>1991.90047726456</v>
      </c>
      <c r="R101" s="55" t="n">
        <f aca="false">R$4+Q101/V$32</f>
        <v>59.3716113098297</v>
      </c>
    </row>
    <row r="102" customFormat="false" ht="12.8" hidden="false" customHeight="false" outlineLevel="0" collapsed="false">
      <c r="A102" s="1" t="n">
        <v>98</v>
      </c>
      <c r="B102" s="44" t="n">
        <v>43643</v>
      </c>
      <c r="C102" s="45" t="n">
        <f aca="false">V$30-V$30*SIN(2*PI()/365*A102)</f>
        <v>0.109086848120107</v>
      </c>
      <c r="D102" s="3" t="n">
        <f aca="false">IF((E102+F102)&gt;C102,C102,E102+F102)</f>
        <v>0.109086848120107</v>
      </c>
      <c r="E102" s="46" t="n">
        <f aca="false">(V$27+V$28*SIN(2*PI()/365*A102))*V$29/100*V$9*V$10/100</f>
        <v>0</v>
      </c>
      <c r="F102" s="46" t="n">
        <f aca="false">(V$27+V$28*SIN(2*PI()/365*A102))*V$29/100*V$11*(1-V$18/100)*(1-V$20/100)</f>
        <v>35.4194043250335</v>
      </c>
      <c r="G102" s="46" t="n">
        <f aca="false">IF(C102&gt;E102,100,C102/E102*100)</f>
        <v>100</v>
      </c>
      <c r="H102" s="46" t="n">
        <f aca="false">L102/F102*100</f>
        <v>0.307986117211484</v>
      </c>
      <c r="I102" s="47" t="n">
        <f aca="false">(V$27+V$28*SIN(2*PI()/365*A102))*V$29/100*V$9*V$10/100*(1-V$19/100)</f>
        <v>0</v>
      </c>
      <c r="J102" s="47" t="n">
        <f aca="false">(V$27+V$28*SIN(2*PI()/365*A102))*V$29/100*V$11*(1-V$18/100)</f>
        <v>38.9224223352016</v>
      </c>
      <c r="K102" s="48" t="n">
        <f aca="false">IF(E102/C102*100&lt;100,E102/C102*100,100)</f>
        <v>0</v>
      </c>
      <c r="L102" s="7" t="n">
        <f aca="false">IF(((C102-E102)&gt;0)AND(F102&gt;(C102-E102)),(C102-E102),IF(C102&lt;E102,0,F102))</f>
        <v>0.109086848120107</v>
      </c>
      <c r="M102" s="7" t="n">
        <f aca="false">IF(C102&lt;(E102+F102),0,C102-E102-F102)</f>
        <v>0</v>
      </c>
      <c r="N102" s="7" t="n">
        <f aca="false">IF(C102&lt;(E102+F102),0,(C102-E102-F102)/(1-V$20/100))</f>
        <v>0</v>
      </c>
      <c r="O102" s="7" t="n">
        <f aca="false">L102+M102</f>
        <v>0.109086848120107</v>
      </c>
      <c r="P102" s="49" t="n">
        <f aca="false">IF( N102=0,I102*(1-G102/100)+J102*(1-H102/100),-N102)</f>
        <v>38.8025466779268</v>
      </c>
      <c r="Q102" s="54" t="n">
        <f aca="false">IF(P101&gt;0,Q101+P101*(1-V$24/100),Q101+P101)</f>
        <v>2021.82918175118</v>
      </c>
      <c r="R102" s="55" t="n">
        <f aca="false">R$4+Q102/V$32</f>
        <v>59.6626736580439</v>
      </c>
    </row>
    <row r="103" customFormat="false" ht="12.8" hidden="false" customHeight="false" outlineLevel="0" collapsed="false">
      <c r="A103" s="1" t="n">
        <v>99</v>
      </c>
      <c r="B103" s="44" t="n">
        <v>43644</v>
      </c>
      <c r="C103" s="45" t="n">
        <f aca="false">V$30-V$30*SIN(2*PI()/365*A103)</f>
        <v>0.143751606629042</v>
      </c>
      <c r="D103" s="3" t="n">
        <f aca="false">IF((E103+F103)&gt;C103,C103,E103+F103)</f>
        <v>0.143751606629042</v>
      </c>
      <c r="E103" s="46" t="n">
        <f aca="false">(V$27+V$28*SIN(2*PI()/365*A103))*V$29/100*V$9*V$10/100</f>
        <v>0</v>
      </c>
      <c r="F103" s="46" t="n">
        <f aca="false">(V$27+V$28*SIN(2*PI()/365*A103))*V$29/100*V$11*(1-V$18/100)*(1-V$20/100)</f>
        <v>35.3845507050996</v>
      </c>
      <c r="G103" s="46" t="n">
        <f aca="false">IF(C103&gt;E103,100,C103/E103*100)</f>
        <v>100</v>
      </c>
      <c r="H103" s="46" t="n">
        <f aca="false">L103/F103*100</f>
        <v>0.406255283067151</v>
      </c>
      <c r="I103" s="47" t="n">
        <f aca="false">(V$27+V$28*SIN(2*PI()/365*A103))*V$29/100*V$9*V$10/100*(1-V$19/100)</f>
        <v>0</v>
      </c>
      <c r="J103" s="47" t="n">
        <f aca="false">(V$27+V$28*SIN(2*PI()/365*A103))*V$29/100*V$11*(1-V$18/100)</f>
        <v>38.8841216539556</v>
      </c>
      <c r="K103" s="48" t="n">
        <f aca="false">IF(E103/C103*100&lt;100,E103/C103*100,100)</f>
        <v>0</v>
      </c>
      <c r="L103" s="7" t="n">
        <f aca="false">IF(((C103-E103)&gt;0)AND(F103&gt;(C103-E103)),(C103-E103),IF(C103&lt;E103,0,F103))</f>
        <v>0.143751606629042</v>
      </c>
      <c r="M103" s="7" t="n">
        <f aca="false">IF(C103&lt;(E103+F103),0,C103-E103-F103)</f>
        <v>0</v>
      </c>
      <c r="N103" s="7" t="n">
        <f aca="false">IF(C103&lt;(E103+F103),0,(C103-E103-F103)/(1-V$20/100))</f>
        <v>0</v>
      </c>
      <c r="O103" s="7" t="n">
        <f aca="false">L103+M103</f>
        <v>0.143751606629042</v>
      </c>
      <c r="P103" s="49" t="n">
        <f aca="false">IF( N103=0,I103*(1-G103/100)+J103*(1-H103/100),-N103)</f>
        <v>38.7261528554622</v>
      </c>
      <c r="Q103" s="54" t="n">
        <f aca="false">IF(P102&gt;0,Q102+P102*(1-V$24/100),Q102+P102)</f>
        <v>2051.70714269318</v>
      </c>
      <c r="R103" s="55" t="n">
        <f aca="false">R$4+Q103/V$32</f>
        <v>59.9532425156274</v>
      </c>
    </row>
    <row r="104" customFormat="false" ht="12.8" hidden="false" customHeight="false" outlineLevel="0" collapsed="false">
      <c r="A104" s="1" t="n">
        <v>100</v>
      </c>
      <c r="B104" s="44" t="n">
        <v>43645</v>
      </c>
      <c r="C104" s="45" t="n">
        <f aca="false">V$30-V$30*SIN(2*PI()/365*A104)</f>
        <v>0.18316749004433</v>
      </c>
      <c r="D104" s="3" t="n">
        <f aca="false">IF((E104+F104)&gt;C104,C104,E104+F104)</f>
        <v>0.18316749004433</v>
      </c>
      <c r="E104" s="46" t="n">
        <f aca="false">(V$27+V$28*SIN(2*PI()/365*A104))*V$29/100*V$9*V$10/100</f>
        <v>0</v>
      </c>
      <c r="F104" s="46" t="n">
        <f aca="false">(V$27+V$28*SIN(2*PI()/365*A104))*V$29/100*V$11*(1-V$18/100)*(1-V$20/100)</f>
        <v>35.3449200750591</v>
      </c>
      <c r="G104" s="46" t="n">
        <f aca="false">IF(C104&gt;E104,100,C104/E104*100)</f>
        <v>100</v>
      </c>
      <c r="H104" s="46" t="n">
        <f aca="false">L104/F104*100</f>
        <v>0.518228615753981</v>
      </c>
      <c r="I104" s="47" t="n">
        <f aca="false">(V$27+V$28*SIN(2*PI()/365*A104))*V$29/100*V$9*V$10/100*(1-V$19/100)</f>
        <v>0</v>
      </c>
      <c r="J104" s="47" t="n">
        <f aca="false">(V$27+V$28*SIN(2*PI()/365*A104))*V$29/100*V$11*(1-V$18/100)</f>
        <v>38.8405715110539</v>
      </c>
      <c r="K104" s="48" t="n">
        <f aca="false">IF(E104/C104*100&lt;100,E104/C104*100,100)</f>
        <v>0</v>
      </c>
      <c r="L104" s="7" t="n">
        <f aca="false">IF(((C104-E104)&gt;0)AND(F104&gt;(C104-E104)),(C104-E104),IF(C104&lt;E104,0,F104))</f>
        <v>0.18316749004433</v>
      </c>
      <c r="M104" s="7" t="n">
        <f aca="false">IF(C104&lt;(E104+F104),0,C104-E104-F104)</f>
        <v>0</v>
      </c>
      <c r="N104" s="7" t="n">
        <f aca="false">IF(C104&lt;(E104+F104),0,(C104-E104-F104)/(1-V$20/100))</f>
        <v>0</v>
      </c>
      <c r="O104" s="7" t="n">
        <f aca="false">L104+M104</f>
        <v>0.18316749004433</v>
      </c>
      <c r="P104" s="49" t="n">
        <f aca="false">IF( N104=0,I104*(1-G104/100)+J104*(1-H104/100),-N104)</f>
        <v>38.6392885549612</v>
      </c>
      <c r="Q104" s="54" t="n">
        <f aca="false">IF(P103&gt;0,Q103+P103*(1-V$24/100),Q103+P103)</f>
        <v>2081.52628039189</v>
      </c>
      <c r="R104" s="55" t="n">
        <f aca="false">R$4+Q104/V$32</f>
        <v>60.2432393059725</v>
      </c>
    </row>
    <row r="105" customFormat="false" ht="12.8" hidden="false" customHeight="false" outlineLevel="0" collapsed="false">
      <c r="A105" s="1" t="n">
        <v>101</v>
      </c>
      <c r="B105" s="44" t="n">
        <v>43646</v>
      </c>
      <c r="C105" s="45" t="n">
        <f aca="false">V$30-V$30*SIN(2*PI()/365*A105)</f>
        <v>0.227322818589045</v>
      </c>
      <c r="D105" s="3" t="n">
        <f aca="false">IF((E105+F105)&gt;C105,C105,E105+F105)</f>
        <v>0.227322818589045</v>
      </c>
      <c r="E105" s="46" t="n">
        <f aca="false">(V$27+V$28*SIN(2*PI()/365*A105))*V$29/100*V$9*V$10/100</f>
        <v>0</v>
      </c>
      <c r="F105" s="46" t="n">
        <f aca="false">(V$27+V$28*SIN(2*PI()/365*A105))*V$29/100*V$11*(1-V$18/100)*(1-V$20/100)</f>
        <v>35.3005241783227</v>
      </c>
      <c r="G105" s="46" t="n">
        <f aca="false">IF(C105&gt;E105,100,C105/E105*100)</f>
        <v>100</v>
      </c>
      <c r="H105" s="46" t="n">
        <f aca="false">L105/F105*100</f>
        <v>0.643964427952145</v>
      </c>
      <c r="I105" s="47" t="n">
        <f aca="false">(V$27+V$28*SIN(2*PI()/365*A105))*V$29/100*V$9*V$10/100*(1-V$19/100)</f>
        <v>0</v>
      </c>
      <c r="J105" s="47" t="n">
        <f aca="false">(V$27+V$28*SIN(2*PI()/365*A105))*V$29/100*V$11*(1-V$18/100)</f>
        <v>38.7917848113437</v>
      </c>
      <c r="K105" s="48" t="n">
        <f aca="false">IF(E105/C105*100&lt;100,E105/C105*100,100)</f>
        <v>0</v>
      </c>
      <c r="L105" s="7" t="n">
        <f aca="false">IF(((C105-E105)&gt;0)AND(F105&gt;(C105-E105)),(C105-E105),IF(C105&lt;E105,0,F105))</f>
        <v>0.227322818589045</v>
      </c>
      <c r="M105" s="7" t="n">
        <f aca="false">IF(C105&lt;(E105+F105),0,C105-E105-F105)</f>
        <v>0</v>
      </c>
      <c r="N105" s="7" t="n">
        <f aca="false">IF(C105&lt;(E105+F105),0,(C105-E105-F105)/(1-V$20/100))</f>
        <v>0</v>
      </c>
      <c r="O105" s="7" t="n">
        <f aca="false">L105+M105</f>
        <v>0.227322818589045</v>
      </c>
      <c r="P105" s="49" t="n">
        <f aca="false">IF( N105=0,I105*(1-G105/100)+J105*(1-H105/100),-N105)</f>
        <v>38.5419795161909</v>
      </c>
      <c r="Q105" s="54" t="n">
        <f aca="false">IF(P104&gt;0,Q104+P104*(1-V$24/100),Q104+P104)</f>
        <v>2111.27853257921</v>
      </c>
      <c r="R105" s="55" t="n">
        <f aca="false">R$4+Q105/V$32</f>
        <v>60.5325856219874</v>
      </c>
    </row>
    <row r="106" customFormat="false" ht="12.8" hidden="false" customHeight="false" outlineLevel="0" collapsed="false">
      <c r="A106" s="1" t="n">
        <v>102</v>
      </c>
      <c r="B106" s="44" t="n">
        <v>43647</v>
      </c>
      <c r="C106" s="45" t="n">
        <f aca="false">V$30-V$30*SIN(2*PI()/365*A106)</f>
        <v>0.276204508086392</v>
      </c>
      <c r="D106" s="3" t="n">
        <f aca="false">IF((E106+F106)&gt;C106,C106,E106+F106)</f>
        <v>0.276204508086392</v>
      </c>
      <c r="E106" s="46" t="n">
        <f aca="false">(V$27+V$28*SIN(2*PI()/365*A106))*V$29/100*V$9*V$10/100</f>
        <v>0</v>
      </c>
      <c r="F106" s="46" t="n">
        <f aca="false">(V$27+V$28*SIN(2*PI()/365*A106))*V$29/100*V$11*(1-V$18/100)*(1-V$20/100)</f>
        <v>35.251376170353</v>
      </c>
      <c r="G106" s="46" t="n">
        <f aca="false">IF(C106&gt;E106,100,C106/E106*100)</f>
        <v>100</v>
      </c>
      <c r="H106" s="46" t="n">
        <f aca="false">L106/F106*100</f>
        <v>0.783528299013429</v>
      </c>
      <c r="I106" s="47" t="n">
        <f aca="false">(V$27+V$28*SIN(2*PI()/365*A106))*V$29/100*V$9*V$10/100*(1-V$19/100)</f>
        <v>0</v>
      </c>
      <c r="J106" s="47" t="n">
        <f aca="false">(V$27+V$28*SIN(2*PI()/365*A106))*V$29/100*V$11*(1-V$18/100)</f>
        <v>38.737776011377</v>
      </c>
      <c r="K106" s="48" t="n">
        <f aca="false">IF(E106/C106*100&lt;100,E106/C106*100,100)</f>
        <v>0</v>
      </c>
      <c r="L106" s="7" t="n">
        <f aca="false">IF(((C106-E106)&gt;0)AND(F106&gt;(C106-E106)),(C106-E106),IF(C106&lt;E106,0,F106))</f>
        <v>0.276204508086392</v>
      </c>
      <c r="M106" s="7" t="n">
        <f aca="false">IF(C106&lt;(E106+F106),0,C106-E106-F106)</f>
        <v>0</v>
      </c>
      <c r="N106" s="7" t="n">
        <f aca="false">IF(C106&lt;(E106+F106),0,(C106-E106-F106)/(1-V$20/100))</f>
        <v>0</v>
      </c>
      <c r="O106" s="7" t="n">
        <f aca="false">L106+M106</f>
        <v>0.276204508086392</v>
      </c>
      <c r="P106" s="49" t="n">
        <f aca="false">IF( N106=0,I106*(1-G106/100)+J106*(1-H106/100),-N106)</f>
        <v>38.4342545739194</v>
      </c>
      <c r="Q106" s="54" t="n">
        <f aca="false">IF(P105&gt;0,Q105+P105*(1-V$24/100),Q105+P105)</f>
        <v>2140.95585680667</v>
      </c>
      <c r="R106" s="55" t="n">
        <f aca="false">R$4+Q106/V$32</f>
        <v>60.8212032493298</v>
      </c>
    </row>
    <row r="107" customFormat="false" ht="12.8" hidden="false" customHeight="false" outlineLevel="0" collapsed="false">
      <c r="A107" s="1" t="n">
        <v>103</v>
      </c>
      <c r="B107" s="44" t="n">
        <v>43648</v>
      </c>
      <c r="C107" s="45" t="n">
        <f aca="false">V$30-V$30*SIN(2*PI()/365*A107)</f>
        <v>0.329798073836821</v>
      </c>
      <c r="D107" s="3" t="n">
        <f aca="false">IF((E107+F107)&gt;C107,C107,E107+F107)</f>
        <v>0.329798073836821</v>
      </c>
      <c r="E107" s="46" t="n">
        <f aca="false">(V$27+V$28*SIN(2*PI()/365*A107))*V$29/100*V$9*V$10/100</f>
        <v>0</v>
      </c>
      <c r="F107" s="46" t="n">
        <f aca="false">(V$27+V$28*SIN(2*PI()/365*A107))*V$29/100*V$11*(1-V$18/100)*(1-V$20/100)</f>
        <v>35.1974906147654</v>
      </c>
      <c r="G107" s="46" t="n">
        <f aca="false">IF(C107&gt;E107,100,C107/E107*100)</f>
        <v>100</v>
      </c>
      <c r="H107" s="46" t="n">
        <f aca="false">L107/F107*100</f>
        <v>0.936993143762558</v>
      </c>
      <c r="I107" s="47" t="n">
        <f aca="false">(V$27+V$28*SIN(2*PI()/365*A107))*V$29/100*V$9*V$10/100*(1-V$19/100)</f>
        <v>0</v>
      </c>
      <c r="J107" s="47" t="n">
        <f aca="false">(V$27+V$28*SIN(2*PI()/365*A107))*V$29/100*V$11*(1-V$18/100)</f>
        <v>38.6785611151268</v>
      </c>
      <c r="K107" s="48" t="n">
        <f aca="false">IF(E107/C107*100&lt;100,E107/C107*100,100)</f>
        <v>0</v>
      </c>
      <c r="L107" s="7" t="n">
        <f aca="false">IF(((C107-E107)&gt;0)AND(F107&gt;(C107-E107)),(C107-E107),IF(C107&lt;E107,0,F107))</f>
        <v>0.329798073836821</v>
      </c>
      <c r="M107" s="7" t="n">
        <f aca="false">IF(C107&lt;(E107+F107),0,C107-E107-F107)</f>
        <v>0</v>
      </c>
      <c r="N107" s="7" t="n">
        <f aca="false">IF(C107&lt;(E107+F107),0,(C107-E107-F107)/(1-V$20/100))</f>
        <v>0</v>
      </c>
      <c r="O107" s="7" t="n">
        <f aca="false">L107+M107</f>
        <v>0.329798073836821</v>
      </c>
      <c r="P107" s="49" t="n">
        <f aca="false">IF( N107=0,I107*(1-G107/100)+J107*(1-H107/100),-N107)</f>
        <v>38.316145649372</v>
      </c>
      <c r="Q107" s="54" t="n">
        <f aca="false">IF(P106&gt;0,Q106+P106*(1-V$24/100),Q106+P106)</f>
        <v>2170.55023282859</v>
      </c>
      <c r="R107" s="55" t="n">
        <f aca="false">R$4+Q107/V$32</f>
        <v>61.1090141895836</v>
      </c>
    </row>
    <row r="108" customFormat="false" ht="12.8" hidden="false" customHeight="false" outlineLevel="0" collapsed="false">
      <c r="A108" s="1" t="n">
        <v>104</v>
      </c>
      <c r="B108" s="44" t="n">
        <v>43649</v>
      </c>
      <c r="C108" s="45" t="n">
        <f aca="false">V$30-V$30*SIN(2*PI()/365*A108)</f>
        <v>0.388087634910153</v>
      </c>
      <c r="D108" s="3" t="n">
        <f aca="false">IF((E108+F108)&gt;C108,C108,E108+F108)</f>
        <v>0.388087634910153</v>
      </c>
      <c r="E108" s="46" t="n">
        <f aca="false">(V$27+V$28*SIN(2*PI()/365*A108))*V$29/100*V$9*V$10/100</f>
        <v>0</v>
      </c>
      <c r="F108" s="46" t="n">
        <f aca="false">(V$27+V$28*SIN(2*PI()/365*A108))*V$29/100*V$11*(1-V$18/100)*(1-V$20/100)</f>
        <v>35.1388834790129</v>
      </c>
      <c r="G108" s="46" t="n">
        <f aca="false">IF(C108&gt;E108,100,C108/E108*100)</f>
        <v>100</v>
      </c>
      <c r="H108" s="46" t="n">
        <f aca="false">L108/F108*100</f>
        <v>1.104439289148</v>
      </c>
      <c r="I108" s="47" t="n">
        <f aca="false">(V$27+V$28*SIN(2*PI()/365*A108))*V$29/100*V$9*V$10/100*(1-V$19/100)</f>
        <v>0</v>
      </c>
      <c r="J108" s="47" t="n">
        <f aca="false">(V$27+V$28*SIN(2*PI()/365*A108))*V$29/100*V$11*(1-V$18/100)</f>
        <v>38.6141576692449</v>
      </c>
      <c r="K108" s="48" t="n">
        <f aca="false">IF(E108/C108*100&lt;100,E108/C108*100,100)</f>
        <v>0</v>
      </c>
      <c r="L108" s="7" t="n">
        <f aca="false">IF(((C108-E108)&gt;0)AND(F108&gt;(C108-E108)),(C108-E108),IF(C108&lt;E108,0,F108))</f>
        <v>0.388087634910153</v>
      </c>
      <c r="M108" s="7" t="n">
        <f aca="false">IF(C108&lt;(E108+F108),0,C108-E108-F108)</f>
        <v>0</v>
      </c>
      <c r="N108" s="7" t="n">
        <f aca="false">IF(C108&lt;(E108+F108),0,(C108-E108-F108)/(1-V$20/100))</f>
        <v>0</v>
      </c>
      <c r="O108" s="7" t="n">
        <f aca="false">L108+M108</f>
        <v>0.388087634910153</v>
      </c>
      <c r="P108" s="49" t="n">
        <f aca="false">IF( N108=0,I108*(1-G108/100)+J108*(1-H108/100),-N108)</f>
        <v>38.1876877407722</v>
      </c>
      <c r="Q108" s="54" t="n">
        <f aca="false">IF(P107&gt;0,Q107+P107*(1-V$24/100),Q107+P107)</f>
        <v>2200.05366497861</v>
      </c>
      <c r="R108" s="55" t="n">
        <f aca="false">R$4+Q108/V$32</f>
        <v>61.3959406833715</v>
      </c>
    </row>
    <row r="109" customFormat="false" ht="12.8" hidden="false" customHeight="false" outlineLevel="0" collapsed="false">
      <c r="A109" s="1" t="n">
        <v>105</v>
      </c>
      <c r="B109" s="44" t="n">
        <v>43650</v>
      </c>
      <c r="C109" s="45" t="n">
        <f aca="false">V$30-V$30*SIN(2*PI()/365*A109)</f>
        <v>0.451055918851454</v>
      </c>
      <c r="D109" s="3" t="n">
        <f aca="false">IF((E109+F109)&gt;C109,C109,E109+F109)</f>
        <v>0.451055918851454</v>
      </c>
      <c r="E109" s="46" t="n">
        <f aca="false">(V$27+V$28*SIN(2*PI()/365*A109))*V$29/100*V$9*V$10/100</f>
        <v>0</v>
      </c>
      <c r="F109" s="46" t="n">
        <f aca="false">(V$27+V$28*SIN(2*PI()/365*A109))*V$29/100*V$11*(1-V$18/100)*(1-V$20/100)</f>
        <v>35.0755721296547</v>
      </c>
      <c r="G109" s="46" t="n">
        <f aca="false">IF(C109&gt;E109,100,C109/E109*100)</f>
        <v>100</v>
      </c>
      <c r="H109" s="46" t="n">
        <f aca="false">L109/F109*100</f>
        <v>1.28595455887121</v>
      </c>
      <c r="I109" s="47" t="n">
        <f aca="false">(V$27+V$28*SIN(2*PI()/365*A109))*V$29/100*V$9*V$10/100*(1-V$19/100)</f>
        <v>0</v>
      </c>
      <c r="J109" s="47" t="n">
        <f aca="false">(V$27+V$28*SIN(2*PI()/365*A109))*V$29/100*V$11*(1-V$18/100)</f>
        <v>38.5445847578623</v>
      </c>
      <c r="K109" s="48" t="n">
        <f aca="false">IF(E109/C109*100&lt;100,E109/C109*100,100)</f>
        <v>0</v>
      </c>
      <c r="L109" s="7" t="n">
        <f aca="false">IF(((C109-E109)&gt;0)AND(F109&gt;(C109-E109)),(C109-E109),IF(C109&lt;E109,0,F109))</f>
        <v>0.451055918851454</v>
      </c>
      <c r="M109" s="7" t="n">
        <f aca="false">IF(C109&lt;(E109+F109),0,C109-E109-F109)</f>
        <v>0</v>
      </c>
      <c r="N109" s="7" t="n">
        <f aca="false">IF(C109&lt;(E109+F109),0,(C109-E109-F109)/(1-V$20/100))</f>
        <v>0</v>
      </c>
      <c r="O109" s="7" t="n">
        <f aca="false">L109+M109</f>
        <v>0.451055918851454</v>
      </c>
      <c r="P109" s="49" t="n">
        <f aca="false">IF( N109=0,I109*(1-G109/100)+J109*(1-H109/100),-N109)</f>
        <v>38.0489189129706</v>
      </c>
      <c r="Q109" s="54" t="n">
        <f aca="false">IF(P108&gt;0,Q108+P108*(1-V$24/100),Q108+P108)</f>
        <v>2229.458184539</v>
      </c>
      <c r="R109" s="55" t="n">
        <f aca="false">R$4+Q109/V$32</f>
        <v>61.6819052333969</v>
      </c>
    </row>
    <row r="110" customFormat="false" ht="12.8" hidden="false" customHeight="false" outlineLevel="0" collapsed="false">
      <c r="A110" s="1" t="n">
        <v>106</v>
      </c>
      <c r="B110" s="44" t="n">
        <v>43651</v>
      </c>
      <c r="C110" s="45" t="n">
        <f aca="false">V$30-V$30*SIN(2*PI()/365*A110)</f>
        <v>0.51868426679922</v>
      </c>
      <c r="D110" s="3" t="n">
        <f aca="false">IF((E110+F110)&gt;C110,C110,E110+F110)</f>
        <v>0.51868426679922</v>
      </c>
      <c r="E110" s="46" t="n">
        <f aca="false">(V$27+V$28*SIN(2*PI()/365*A110))*V$29/100*V$9*V$10/100</f>
        <v>0</v>
      </c>
      <c r="F110" s="46" t="n">
        <f aca="false">(V$27+V$28*SIN(2*PI()/365*A110))*V$29/100*V$11*(1-V$18/100)*(1-V$20/100)</f>
        <v>35.0075753272099</v>
      </c>
      <c r="G110" s="46" t="n">
        <f aca="false">IF(C110&gt;E110,100,C110/E110*100)</f>
        <v>100</v>
      </c>
      <c r="H110" s="46" t="n">
        <f aca="false">L110/F110*100</f>
        <v>1.48163436613694</v>
      </c>
      <c r="I110" s="47" t="n">
        <f aca="false">(V$27+V$28*SIN(2*PI()/365*A110))*V$29/100*V$9*V$10/100*(1-V$19/100)</f>
        <v>0</v>
      </c>
      <c r="J110" s="47" t="n">
        <f aca="false">(V$27+V$28*SIN(2*PI()/365*A110))*V$29/100*V$11*(1-V$18/100)</f>
        <v>38.469862996934</v>
      </c>
      <c r="K110" s="48" t="n">
        <f aca="false">IF(E110/C110*100&lt;100,E110/C110*100,100)</f>
        <v>0</v>
      </c>
      <c r="L110" s="7" t="n">
        <f aca="false">IF(((C110-E110)&gt;0)AND(F110&gt;(C110-E110)),(C110-E110),IF(C110&lt;E110,0,F110))</f>
        <v>0.51868426679922</v>
      </c>
      <c r="M110" s="7" t="n">
        <f aca="false">IF(C110&lt;(E110+F110),0,C110-E110-F110)</f>
        <v>0</v>
      </c>
      <c r="N110" s="7" t="n">
        <f aca="false">IF(C110&lt;(E110+F110),0,(C110-E110-F110)/(1-V$20/100))</f>
        <v>0</v>
      </c>
      <c r="O110" s="7" t="n">
        <f aca="false">L110+M110</f>
        <v>0.51868426679922</v>
      </c>
      <c r="P110" s="49" t="n">
        <f aca="false">IF( N110=0,I110*(1-G110/100)+J110*(1-H110/100),-N110)</f>
        <v>37.8998802861656</v>
      </c>
      <c r="Q110" s="54" t="n">
        <f aca="false">IF(P109&gt;0,Q109+P109*(1-V$24/100),Q109+P109)</f>
        <v>2258.75585210199</v>
      </c>
      <c r="R110" s="55" t="n">
        <f aca="false">R$4+Q110/V$32</f>
        <v>61.9668306274076</v>
      </c>
    </row>
    <row r="111" customFormat="false" ht="12.8" hidden="false" customHeight="false" outlineLevel="0" collapsed="false">
      <c r="A111" s="1" t="n">
        <v>107</v>
      </c>
      <c r="B111" s="44" t="n">
        <v>43652</v>
      </c>
      <c r="C111" s="45" t="n">
        <f aca="false">V$30-V$30*SIN(2*PI()/365*A111)</f>
        <v>0.590952639014422</v>
      </c>
      <c r="D111" s="3" t="n">
        <f aca="false">IF((E111+F111)&gt;C111,C111,E111+F111)</f>
        <v>0.590952639014422</v>
      </c>
      <c r="E111" s="46" t="n">
        <f aca="false">(V$27+V$28*SIN(2*PI()/365*A111))*V$29/100*V$9*V$10/100</f>
        <v>0</v>
      </c>
      <c r="F111" s="46" t="n">
        <f aca="false">(V$27+V$28*SIN(2*PI()/365*A111))*V$29/100*V$11*(1-V$18/100)*(1-V$20/100)</f>
        <v>34.9349132205988</v>
      </c>
      <c r="G111" s="46" t="n">
        <f aca="false">IF(C111&gt;E111,100,C111/E111*100)</f>
        <v>100</v>
      </c>
      <c r="H111" s="46" t="n">
        <f aca="false">L111/F111*100</f>
        <v>1.69158181468153</v>
      </c>
      <c r="I111" s="47" t="n">
        <f aca="false">(V$27+V$28*SIN(2*PI()/365*A111))*V$29/100*V$9*V$10/100*(1-V$19/100)</f>
        <v>0</v>
      </c>
      <c r="J111" s="47" t="n">
        <f aca="false">(V$27+V$28*SIN(2*PI()/365*A111))*V$29/100*V$11*(1-V$18/100)</f>
        <v>38.3900145281305</v>
      </c>
      <c r="K111" s="48" t="n">
        <f aca="false">IF(E111/C111*100&lt;100,E111/C111*100,100)</f>
        <v>0</v>
      </c>
      <c r="L111" s="7" t="n">
        <f aca="false">IF(((C111-E111)&gt;0)AND(F111&gt;(C111-E111)),(C111-E111),IF(C111&lt;E111,0,F111))</f>
        <v>0.590952639014422</v>
      </c>
      <c r="M111" s="7" t="n">
        <f aca="false">IF(C111&lt;(E111+F111),0,C111-E111-F111)</f>
        <v>0</v>
      </c>
      <c r="N111" s="7" t="n">
        <f aca="false">IF(C111&lt;(E111+F111),0,(C111-E111-F111)/(1-V$20/100))</f>
        <v>0</v>
      </c>
      <c r="O111" s="7" t="n">
        <f aca="false">L111+M111</f>
        <v>0.590952639014422</v>
      </c>
      <c r="P111" s="49" t="n">
        <f aca="false">IF( N111=0,I111*(1-G111/100)+J111*(1-H111/100),-N111)</f>
        <v>37.7406160237191</v>
      </c>
      <c r="Q111" s="54" t="n">
        <f aca="false">IF(P110&gt;0,Q110+P110*(1-V$24/100),Q110+P110)</f>
        <v>2287.93875992234</v>
      </c>
      <c r="R111" s="55" t="n">
        <f aca="false">R$4+Q111/V$32</f>
        <v>62.2506399610761</v>
      </c>
    </row>
    <row r="112" customFormat="false" ht="12.8" hidden="false" customHeight="false" outlineLevel="0" collapsed="false">
      <c r="A112" s="1" t="n">
        <v>108</v>
      </c>
      <c r="B112" s="44" t="n">
        <v>43653</v>
      </c>
      <c r="C112" s="45" t="n">
        <f aca="false">V$30-V$30*SIN(2*PI()/365*A112)</f>
        <v>0.667839620818688</v>
      </c>
      <c r="D112" s="3" t="n">
        <f aca="false">IF((E112+F112)&gt;C112,C112,E112+F112)</f>
        <v>0.667839620818688</v>
      </c>
      <c r="E112" s="46" t="n">
        <f aca="false">(V$27+V$28*SIN(2*PI()/365*A112))*V$29/100*V$9*V$10/100</f>
        <v>0</v>
      </c>
      <c r="F112" s="46" t="n">
        <f aca="false">(V$27+V$28*SIN(2*PI()/365*A112))*V$29/100*V$11*(1-V$18/100)*(1-V$20/100)</f>
        <v>34.8576073411715</v>
      </c>
      <c r="G112" s="46" t="n">
        <f aca="false">IF(C112&gt;E112,100,C112/E112*100)</f>
        <v>100</v>
      </c>
      <c r="H112" s="46" t="n">
        <f aca="false">L112/F112*100</f>
        <v>1.91590780825017</v>
      </c>
      <c r="I112" s="47" t="n">
        <f aca="false">(V$27+V$28*SIN(2*PI()/365*A112))*V$29/100*V$9*V$10/100*(1-V$19/100)</f>
        <v>0</v>
      </c>
      <c r="J112" s="47" t="n">
        <f aca="false">(V$27+V$28*SIN(2*PI()/365*A112))*V$29/100*V$11*(1-V$18/100)</f>
        <v>38.3050630122764</v>
      </c>
      <c r="K112" s="48" t="n">
        <f aca="false">IF(E112/C112*100&lt;100,E112/C112*100,100)</f>
        <v>0</v>
      </c>
      <c r="L112" s="7" t="n">
        <f aca="false">IF(((C112-E112)&gt;0)AND(F112&gt;(C112-E112)),(C112-E112),IF(C112&lt;E112,0,F112))</f>
        <v>0.667839620818688</v>
      </c>
      <c r="M112" s="7" t="n">
        <f aca="false">IF(C112&lt;(E112+F112),0,C112-E112-F112)</f>
        <v>0</v>
      </c>
      <c r="N112" s="7" t="n">
        <f aca="false">IF(C112&lt;(E112+F112),0,(C112-E112-F112)/(1-V$20/100))</f>
        <v>0</v>
      </c>
      <c r="O112" s="7" t="n">
        <f aca="false">L112+M112</f>
        <v>0.667839620818688</v>
      </c>
      <c r="P112" s="49" t="n">
        <f aca="false">IF( N112=0,I112*(1-G112/100)+J112*(1-H112/100),-N112)</f>
        <v>37.571173319069</v>
      </c>
      <c r="Q112" s="54" t="n">
        <f aca="false">IF(P111&gt;0,Q111+P111*(1-V$24/100),Q111+P111)</f>
        <v>2316.9990342606</v>
      </c>
      <c r="R112" s="55" t="n">
        <f aca="false">R$4+Q112/V$32</f>
        <v>62.5332566607874</v>
      </c>
    </row>
    <row r="113" customFormat="false" ht="12.8" hidden="false" customHeight="false" outlineLevel="0" collapsed="false">
      <c r="A113" s="1" t="n">
        <v>109</v>
      </c>
      <c r="B113" s="44" t="n">
        <v>43654</v>
      </c>
      <c r="C113" s="45" t="n">
        <f aca="false">V$30-V$30*SIN(2*PI()/365*A113)</f>
        <v>0.749322428939951</v>
      </c>
      <c r="D113" s="3" t="n">
        <f aca="false">IF((E113+F113)&gt;C113,C113,E113+F113)</f>
        <v>0.749322428939951</v>
      </c>
      <c r="E113" s="46" t="n">
        <f aca="false">(V$27+V$28*SIN(2*PI()/365*A113))*V$29/100*V$9*V$10/100</f>
        <v>0</v>
      </c>
      <c r="F113" s="46" t="n">
        <f aca="false">(V$27+V$28*SIN(2*PI()/365*A113))*V$29/100*V$11*(1-V$18/100)*(1-V$20/100)</f>
        <v>34.7756805963286</v>
      </c>
      <c r="G113" s="46" t="n">
        <f aca="false">IF(C113&gt;E113,100,C113/E113*100)</f>
        <v>100</v>
      </c>
      <c r="H113" s="46" t="n">
        <f aca="false">L113/F113*100</f>
        <v>2.15473116870949</v>
      </c>
      <c r="I113" s="47" t="n">
        <f aca="false">(V$27+V$28*SIN(2*PI()/365*A113))*V$29/100*V$9*V$10/100*(1-V$19/100)</f>
        <v>0</v>
      </c>
      <c r="J113" s="47" t="n">
        <f aca="false">(V$27+V$28*SIN(2*PI()/365*A113))*V$29/100*V$11*(1-V$18/100)</f>
        <v>38.2150336223391</v>
      </c>
      <c r="K113" s="48" t="n">
        <f aca="false">IF(E113/C113*100&lt;100,E113/C113*100,100)</f>
        <v>0</v>
      </c>
      <c r="L113" s="7" t="n">
        <f aca="false">IF(((C113-E113)&gt;0)AND(F113&gt;(C113-E113)),(C113-E113),IF(C113&lt;E113,0,F113))</f>
        <v>0.749322428939951</v>
      </c>
      <c r="M113" s="7" t="n">
        <f aca="false">IF(C113&lt;(E113+F113),0,C113-E113-F113)</f>
        <v>0</v>
      </c>
      <c r="N113" s="7" t="n">
        <f aca="false">IF(C113&lt;(E113+F113),0,(C113-E113-F113)/(1-V$20/100))</f>
        <v>0</v>
      </c>
      <c r="O113" s="7" t="n">
        <f aca="false">L113+M113</f>
        <v>0.749322428939951</v>
      </c>
      <c r="P113" s="49" t="n">
        <f aca="false">IF( N113=0,I113*(1-G113/100)+J113*(1-H113/100),-N113)</f>
        <v>37.3916023817458</v>
      </c>
      <c r="Q113" s="54" t="n">
        <f aca="false">IF(P112&gt;0,Q112+P112*(1-V$24/100),Q112+P112)</f>
        <v>2345.92883771629</v>
      </c>
      <c r="R113" s="55" t="n">
        <f aca="false">R$4+Q113/V$32</f>
        <v>62.8146045063298</v>
      </c>
    </row>
    <row r="114" customFormat="false" ht="12.8" hidden="false" customHeight="false" outlineLevel="0" collapsed="false">
      <c r="A114" s="1" t="n">
        <v>110</v>
      </c>
      <c r="B114" s="44" t="n">
        <v>43655</v>
      </c>
      <c r="C114" s="45" t="n">
        <f aca="false">V$30-V$30*SIN(2*PI()/365*A114)</f>
        <v>0.835376918263629</v>
      </c>
      <c r="D114" s="3" t="n">
        <f aca="false">IF((E114+F114)&gt;C114,C114,E114+F114)</f>
        <v>0.835376918263629</v>
      </c>
      <c r="E114" s="46" t="n">
        <f aca="false">(V$27+V$28*SIN(2*PI()/365*A114))*V$29/100*V$9*V$10/100</f>
        <v>0</v>
      </c>
      <c r="F114" s="46" t="n">
        <f aca="false">(V$27+V$28*SIN(2*PI()/365*A114))*V$29/100*V$11*(1-V$18/100)*(1-V$20/100)</f>
        <v>34.6891572627327</v>
      </c>
      <c r="G114" s="46" t="n">
        <f aca="false">IF(C114&gt;E114,100,C114/E114*100)</f>
        <v>100</v>
      </c>
      <c r="H114" s="46" t="n">
        <f aca="false">L114/F114*100</f>
        <v>2.40817876299662</v>
      </c>
      <c r="I114" s="47" t="n">
        <f aca="false">(V$27+V$28*SIN(2*PI()/365*A114))*V$29/100*V$9*V$10/100*(1-V$19/100)</f>
        <v>0</v>
      </c>
      <c r="J114" s="47" t="n">
        <f aca="false">(V$27+V$28*SIN(2*PI()/365*A114))*V$29/100*V$11*(1-V$18/100)</f>
        <v>38.11995303597</v>
      </c>
      <c r="K114" s="48" t="n">
        <f aca="false">IF(E114/C114*100&lt;100,E114/C114*100,100)</f>
        <v>0</v>
      </c>
      <c r="L114" s="7" t="n">
        <f aca="false">IF(((C114-E114)&gt;0)AND(F114&gt;(C114-E114)),(C114-E114),IF(C114&lt;E114,0,F114))</f>
        <v>0.835376918263629</v>
      </c>
      <c r="M114" s="7" t="n">
        <f aca="false">IF(C114&lt;(E114+F114),0,C114-E114-F114)</f>
        <v>0</v>
      </c>
      <c r="N114" s="7" t="n">
        <f aca="false">IF(C114&lt;(E114+F114),0,(C114-E114-F114)/(1-V$20/100))</f>
        <v>0</v>
      </c>
      <c r="O114" s="7" t="n">
        <f aca="false">L114+M114</f>
        <v>0.835376918263629</v>
      </c>
      <c r="P114" s="49" t="n">
        <f aca="false">IF( N114=0,I114*(1-G114/100)+J114*(1-H114/100),-N114)</f>
        <v>37.2019564224935</v>
      </c>
      <c r="Q114" s="54" t="n">
        <f aca="false">IF(P113&gt;0,Q113+P113*(1-V$24/100),Q113+P113)</f>
        <v>2374.72037155023</v>
      </c>
      <c r="R114" s="55" t="n">
        <f aca="false">R$4+Q114/V$32</f>
        <v>63.0946076534805</v>
      </c>
    </row>
    <row r="115" customFormat="false" ht="12.8" hidden="false" customHeight="false" outlineLevel="0" collapsed="false">
      <c r="A115" s="1" t="n">
        <v>111</v>
      </c>
      <c r="B115" s="44" t="n">
        <v>43656</v>
      </c>
      <c r="C115" s="45" t="n">
        <f aca="false">V$30-V$30*SIN(2*PI()/365*A115)</f>
        <v>0.925977588987321</v>
      </c>
      <c r="D115" s="3" t="n">
        <f aca="false">IF((E115+F115)&gt;C115,C115,E115+F115)</f>
        <v>0.925977588987321</v>
      </c>
      <c r="E115" s="46" t="n">
        <f aca="false">(V$27+V$28*SIN(2*PI()/365*A115))*V$29/100*V$9*V$10/100</f>
        <v>0</v>
      </c>
      <c r="F115" s="46" t="n">
        <f aca="false">(V$27+V$28*SIN(2*PI()/365*A115))*V$29/100*V$11*(1-V$18/100)*(1-V$20/100)</f>
        <v>34.5980629791149</v>
      </c>
      <c r="G115" s="46" t="n">
        <f aca="false">IF(C115&gt;E115,100,C115/E115*100)</f>
        <v>100</v>
      </c>
      <c r="H115" s="46" t="n">
        <f aca="false">L115/F115*100</f>
        <v>2.67638563912172</v>
      </c>
      <c r="I115" s="47" t="n">
        <f aca="false">(V$27+V$28*SIN(2*PI()/365*A115))*V$29/100*V$9*V$10/100*(1-V$19/100)</f>
        <v>0</v>
      </c>
      <c r="J115" s="47" t="n">
        <f aca="false">(V$27+V$28*SIN(2*PI()/365*A115))*V$29/100*V$11*(1-V$18/100)</f>
        <v>38.0198494275988</v>
      </c>
      <c r="K115" s="48" t="n">
        <f aca="false">IF(E115/C115*100&lt;100,E115/C115*100,100)</f>
        <v>0</v>
      </c>
      <c r="L115" s="7" t="n">
        <f aca="false">IF(((C115-E115)&gt;0)AND(F115&gt;(C115-E115)),(C115-E115),IF(C115&lt;E115,0,F115))</f>
        <v>0.925977588987321</v>
      </c>
      <c r="M115" s="7" t="n">
        <f aca="false">IF(C115&lt;(E115+F115),0,C115-E115-F115)</f>
        <v>0</v>
      </c>
      <c r="N115" s="7" t="n">
        <f aca="false">IF(C115&lt;(E115+F115),0,(C115-E115-F115)/(1-V$20/100))</f>
        <v>0</v>
      </c>
      <c r="O115" s="7" t="n">
        <f aca="false">L115+M115</f>
        <v>0.925977588987321</v>
      </c>
      <c r="P115" s="49" t="n">
        <f aca="false">IF( N115=0,I115*(1-G115/100)+J115*(1-H115/100),-N115)</f>
        <v>37.0022916375029</v>
      </c>
      <c r="Q115" s="54" t="n">
        <f aca="false">IF(P114&gt;0,Q114+P114*(1-V$24/100),Q114+P114)</f>
        <v>2403.36587799555</v>
      </c>
      <c r="R115" s="55" t="n">
        <f aca="false">R$4+Q115/V$32</f>
        <v>63.3731906564797</v>
      </c>
    </row>
    <row r="116" customFormat="false" ht="12.8" hidden="false" customHeight="false" outlineLevel="0" collapsed="false">
      <c r="A116" s="1" t="n">
        <v>112</v>
      </c>
      <c r="B116" s="44" t="n">
        <v>43657</v>
      </c>
      <c r="C116" s="45" t="n">
        <f aca="false">V$30-V$30*SIN(2*PI()/365*A116)</f>
        <v>1.02109759417697</v>
      </c>
      <c r="D116" s="3" t="n">
        <f aca="false">IF((E116+F116)&gt;C116,C116,E116+F116)</f>
        <v>1.02109759417697</v>
      </c>
      <c r="E116" s="46" t="n">
        <f aca="false">(V$27+V$28*SIN(2*PI()/365*A116))*V$29/100*V$9*V$10/100</f>
        <v>0</v>
      </c>
      <c r="F116" s="46" t="n">
        <f aca="false">(V$27+V$28*SIN(2*PI()/365*A116))*V$29/100*V$11*(1-V$18/100)*(1-V$20/100)</f>
        <v>34.5024247386774</v>
      </c>
      <c r="G116" s="46" t="n">
        <f aca="false">IF(C116&gt;E116,100,C116/E116*100)</f>
        <v>100</v>
      </c>
      <c r="H116" s="46" t="n">
        <f aca="false">L116/F116*100</f>
        <v>2.95949517145766</v>
      </c>
      <c r="I116" s="47" t="n">
        <f aca="false">(V$27+V$28*SIN(2*PI()/365*A116))*V$29/100*V$9*V$10/100*(1-V$19/100)</f>
        <v>0</v>
      </c>
      <c r="J116" s="47" t="n">
        <f aca="false">(V$27+V$28*SIN(2*PI()/365*A116))*V$29/100*V$11*(1-V$18/100)</f>
        <v>37.9147524600851</v>
      </c>
      <c r="K116" s="48" t="n">
        <f aca="false">IF(E116/C116*100&lt;100,E116/C116*100,100)</f>
        <v>0</v>
      </c>
      <c r="L116" s="7" t="n">
        <f aca="false">IF(((C116-E116)&gt;0)AND(F116&gt;(C116-E116)),(C116-E116),IF(C116&lt;E116,0,F116))</f>
        <v>1.02109759417697</v>
      </c>
      <c r="M116" s="7" t="n">
        <f aca="false">IF(C116&lt;(E116+F116),0,C116-E116-F116)</f>
        <v>0</v>
      </c>
      <c r="N116" s="7" t="n">
        <f aca="false">IF(C116&lt;(E116+F116),0,(C116-E116-F116)/(1-V$20/100))</f>
        <v>0</v>
      </c>
      <c r="O116" s="7" t="n">
        <f aca="false">L116+M116</f>
        <v>1.02109759417697</v>
      </c>
      <c r="P116" s="49" t="n">
        <f aca="false">IF( N116=0,I116*(1-G116/100)+J116*(1-H116/100),-N116)</f>
        <v>36.7926671917587</v>
      </c>
      <c r="Q116" s="54" t="n">
        <f aca="false">IF(P115&gt;0,Q115+P115*(1-V$24/100),Q115+P115)</f>
        <v>2431.85764255643</v>
      </c>
      <c r="R116" s="55" t="n">
        <f aca="false">R$4+Q116/V$32</f>
        <v>63.6502784903872</v>
      </c>
    </row>
    <row r="117" customFormat="false" ht="12.8" hidden="false" customHeight="false" outlineLevel="0" collapsed="false">
      <c r="A117" s="1" t="n">
        <v>113</v>
      </c>
      <c r="B117" s="44" t="n">
        <v>43658</v>
      </c>
      <c r="C117" s="45" t="n">
        <f aca="false">V$30-V$30*SIN(2*PI()/365*A117)</f>
        <v>1.12070874772218</v>
      </c>
      <c r="D117" s="3" t="n">
        <f aca="false">IF((E117+F117)&gt;C117,C117,E117+F117)</f>
        <v>1.12070874772218</v>
      </c>
      <c r="E117" s="46" t="n">
        <f aca="false">(V$27+V$28*SIN(2*PI()/365*A117))*V$29/100*V$9*V$10/100</f>
        <v>0</v>
      </c>
      <c r="F117" s="46" t="n">
        <f aca="false">(V$27+V$28*SIN(2*PI()/365*A117))*V$29/100*V$11*(1-V$18/100)*(1-V$20/100)</f>
        <v>34.4022708810948</v>
      </c>
      <c r="G117" s="46" t="n">
        <f aca="false">IF(C117&gt;E117,100,C117/E117*100)</f>
        <v>100</v>
      </c>
      <c r="H117" s="46" t="n">
        <f aca="false">L117/F117*100</f>
        <v>3.25765921556664</v>
      </c>
      <c r="I117" s="47" t="n">
        <f aca="false">(V$27+V$28*SIN(2*PI()/365*A117))*V$29/100*V$9*V$10/100*(1-V$19/100)</f>
        <v>0</v>
      </c>
      <c r="J117" s="47" t="n">
        <f aca="false">(V$27+V$28*SIN(2*PI()/365*A117))*V$29/100*V$11*(1-V$18/100)</f>
        <v>37.8046932759284</v>
      </c>
      <c r="K117" s="48" t="n">
        <f aca="false">IF(E117/C117*100&lt;100,E117/C117*100,100)</f>
        <v>0</v>
      </c>
      <c r="L117" s="7" t="n">
        <f aca="false">IF(((C117-E117)&gt;0)AND(F117&gt;(C117-E117)),(C117-E117),IF(C117&lt;E117,0,F117))</f>
        <v>1.12070874772218</v>
      </c>
      <c r="M117" s="7" t="n">
        <f aca="false">IF(C117&lt;(E117+F117),0,C117-E117-F117)</f>
        <v>0</v>
      </c>
      <c r="N117" s="7" t="n">
        <f aca="false">IF(C117&lt;(E117+F117),0,(C117-E117-F117)/(1-V$20/100))</f>
        <v>0</v>
      </c>
      <c r="O117" s="7" t="n">
        <f aca="false">L117+M117</f>
        <v>1.12070874772218</v>
      </c>
      <c r="P117" s="49" t="n">
        <f aca="false">IF( N117=0,I117*(1-G117/100)+J117*(1-H117/100),-N117)</f>
        <v>36.5731452015084</v>
      </c>
      <c r="Q117" s="54" t="n">
        <f aca="false">IF(P116&gt;0,Q116+P116*(1-V$24/100),Q116+P116)</f>
        <v>2460.18799629408</v>
      </c>
      <c r="R117" s="55" t="n">
        <f aca="false">R$4+Q117/V$32</f>
        <v>63.9257965733134</v>
      </c>
    </row>
    <row r="118" customFormat="false" ht="12.8" hidden="false" customHeight="false" outlineLevel="0" collapsed="false">
      <c r="A118" s="1" t="n">
        <v>114</v>
      </c>
      <c r="B118" s="44" t="n">
        <v>43659</v>
      </c>
      <c r="C118" s="45" t="n">
        <f aca="false">V$30-V$30*SIN(2*PI()/365*A118)</f>
        <v>1.22478153268838</v>
      </c>
      <c r="D118" s="3" t="n">
        <f aca="false">IF((E118+F118)&gt;C118,C118,E118+F118)</f>
        <v>1.22478153268838</v>
      </c>
      <c r="E118" s="46" t="n">
        <f aca="false">(V$27+V$28*SIN(2*PI()/365*A118))*V$29/100*V$9*V$10/100</f>
        <v>0</v>
      </c>
      <c r="F118" s="46" t="n">
        <f aca="false">(V$27+V$28*SIN(2*PI()/365*A118))*V$29/100*V$11*(1-V$18/100)*(1-V$20/100)</f>
        <v>34.2976310841167</v>
      </c>
      <c r="G118" s="46" t="n">
        <f aca="false">IF(C118&gt;E118,100,C118/E118*100)</f>
        <v>100</v>
      </c>
      <c r="H118" s="46" t="n">
        <f aca="false">L118/F118*100</f>
        <v>3.57103827283154</v>
      </c>
      <c r="I118" s="47" t="n">
        <f aca="false">(V$27+V$28*SIN(2*PI()/365*A118))*V$29/100*V$9*V$10/100*(1-V$19/100)</f>
        <v>0</v>
      </c>
      <c r="J118" s="47" t="n">
        <f aca="false">(V$27+V$28*SIN(2*PI()/365*A118))*V$29/100*V$11*(1-V$18/100)</f>
        <v>37.6897044880404</v>
      </c>
      <c r="K118" s="48" t="n">
        <f aca="false">IF(E118/C118*100&lt;100,E118/C118*100,100)</f>
        <v>0</v>
      </c>
      <c r="L118" s="7" t="n">
        <f aca="false">IF(((C118-E118)&gt;0)AND(F118&gt;(C118-E118)),(C118-E118),IF(C118&lt;E118,0,F118))</f>
        <v>1.22478153268838</v>
      </c>
      <c r="M118" s="7" t="n">
        <f aca="false">IF(C118&lt;(E118+F118),0,C118-E118-F118)</f>
        <v>0</v>
      </c>
      <c r="N118" s="7" t="n">
        <f aca="false">IF(C118&lt;(E118+F118),0,(C118-E118-F118)/(1-V$20/100))</f>
        <v>0</v>
      </c>
      <c r="O118" s="7" t="n">
        <f aca="false">L118+M118</f>
        <v>1.22478153268838</v>
      </c>
      <c r="P118" s="49" t="n">
        <f aca="false">IF( N118=0,I118*(1-G118/100)+J118*(1-H118/100),-N118)</f>
        <v>36.3437907158553</v>
      </c>
      <c r="Q118" s="54" t="n">
        <f aca="false">IF(P117&gt;0,Q117+P117*(1-V$24/100),Q117+P117)</f>
        <v>2488.34931809924</v>
      </c>
      <c r="R118" s="55" t="n">
        <f aca="false">R$4+Q118/V$32</f>
        <v>64.1996707885201</v>
      </c>
    </row>
    <row r="119" customFormat="false" ht="12.8" hidden="false" customHeight="false" outlineLevel="0" collapsed="false">
      <c r="A119" s="1" t="n">
        <v>115</v>
      </c>
      <c r="B119" s="44" t="n">
        <v>43660</v>
      </c>
      <c r="C119" s="45" t="n">
        <f aca="false">V$30-V$30*SIN(2*PI()/365*A119)</f>
        <v>1.3332851100633</v>
      </c>
      <c r="D119" s="3" t="n">
        <f aca="false">IF((E119+F119)&gt;C119,C119,E119+F119)</f>
        <v>1.3332851100633</v>
      </c>
      <c r="E119" s="46" t="n">
        <f aca="false">(V$27+V$28*SIN(2*PI()/365*A119))*V$29/100*V$9*V$10/100</f>
        <v>0</v>
      </c>
      <c r="F119" s="46" t="n">
        <f aca="false">(V$27+V$28*SIN(2*PI()/365*A119))*V$29/100*V$11*(1-V$18/100)*(1-V$20/100)</f>
        <v>34.1885363547733</v>
      </c>
      <c r="G119" s="46" t="n">
        <f aca="false">IF(C119&gt;E119,100,C119/E119*100)</f>
        <v>100</v>
      </c>
      <c r="H119" s="46" t="n">
        <f aca="false">L119/F119*100</f>
        <v>3.89980166517759</v>
      </c>
      <c r="I119" s="47" t="n">
        <f aca="false">(V$27+V$28*SIN(2*PI()/365*A119))*V$29/100*V$9*V$10/100*(1-V$19/100)</f>
        <v>0</v>
      </c>
      <c r="J119" s="47" t="n">
        <f aca="false">(V$27+V$28*SIN(2*PI()/365*A119))*V$29/100*V$11*(1-V$18/100)</f>
        <v>37.5698201700805</v>
      </c>
      <c r="K119" s="48" t="n">
        <f aca="false">IF(E119/C119*100&lt;100,E119/C119*100,100)</f>
        <v>0</v>
      </c>
      <c r="L119" s="7" t="n">
        <f aca="false">IF(((C119-E119)&gt;0)AND(F119&gt;(C119-E119)),(C119-E119),IF(C119&lt;E119,0,F119))</f>
        <v>1.3332851100633</v>
      </c>
      <c r="M119" s="7" t="n">
        <f aca="false">IF(C119&lt;(E119+F119),0,C119-E119-F119)</f>
        <v>0</v>
      </c>
      <c r="N119" s="7" t="n">
        <f aca="false">IF(C119&lt;(E119+F119),0,(C119-E119-F119)/(1-V$20/100))</f>
        <v>0</v>
      </c>
      <c r="O119" s="7" t="n">
        <f aca="false">L119+M119</f>
        <v>1.3332851100633</v>
      </c>
      <c r="P119" s="49" t="n">
        <f aca="false">IF( N119=0,I119*(1-G119/100)+J119*(1-H119/100),-N119)</f>
        <v>36.1046716974835</v>
      </c>
      <c r="Q119" s="54" t="n">
        <f aca="false">IF(P118&gt;0,Q118+P118*(1-V$24/100),Q118+P118)</f>
        <v>2516.33403695045</v>
      </c>
      <c r="R119" s="55" t="n">
        <f aca="false">R$4+Q119/V$32</f>
        <v>64.4718275063823</v>
      </c>
    </row>
    <row r="120" customFormat="false" ht="12.8" hidden="false" customHeight="false" outlineLevel="0" collapsed="false">
      <c r="A120" s="1" t="n">
        <v>116</v>
      </c>
      <c r="B120" s="44" t="n">
        <v>43661</v>
      </c>
      <c r="C120" s="45" t="n">
        <f aca="false">V$30-V$30*SIN(2*PI()/365*A120)</f>
        <v>1.44618732789526</v>
      </c>
      <c r="D120" s="3" t="n">
        <f aca="false">IF((E120+F120)&gt;C120,C120,E120+F120)</f>
        <v>1.44618732789526</v>
      </c>
      <c r="E120" s="46" t="n">
        <f aca="false">(V$27+V$28*SIN(2*PI()/365*A120))*V$29/100*V$9*V$10/100</f>
        <v>0</v>
      </c>
      <c r="F120" s="46" t="n">
        <f aca="false">(V$27+V$28*SIN(2*PI()/365*A120))*V$29/100*V$11*(1-V$18/100)*(1-V$20/100)</f>
        <v>34.0750190201872</v>
      </c>
      <c r="G120" s="46" t="n">
        <f aca="false">IF(C120&gt;E120,100,C120/E120*100)</f>
        <v>100</v>
      </c>
      <c r="H120" s="46" t="n">
        <f aca="false">L120/F120*100</f>
        <v>4.24412772018848</v>
      </c>
      <c r="I120" s="47" t="n">
        <f aca="false">(V$27+V$28*SIN(2*PI()/365*A120))*V$29/100*V$9*V$10/100*(1-V$19/100)</f>
        <v>0</v>
      </c>
      <c r="J120" s="47" t="n">
        <f aca="false">(V$27+V$28*SIN(2*PI()/365*A120))*V$29/100*V$11*(1-V$18/100)</f>
        <v>37.4450758463595</v>
      </c>
      <c r="K120" s="48" t="n">
        <f aca="false">IF(E120/C120*100&lt;100,E120/C120*100,100)</f>
        <v>0</v>
      </c>
      <c r="L120" s="7" t="n">
        <f aca="false">IF(((C120-E120)&gt;0)AND(F120&gt;(C120-E120)),(C120-E120),IF(C120&lt;E120,0,F120))</f>
        <v>1.44618732789526</v>
      </c>
      <c r="M120" s="7" t="n">
        <f aca="false">IF(C120&lt;(E120+F120),0,C120-E120-F120)</f>
        <v>0</v>
      </c>
      <c r="N120" s="7" t="n">
        <f aca="false">IF(C120&lt;(E120+F120),0,(C120-E120-F120)/(1-V$20/100))</f>
        <v>0</v>
      </c>
      <c r="O120" s="7" t="n">
        <f aca="false">L120+M120</f>
        <v>1.44618732789526</v>
      </c>
      <c r="P120" s="49" t="n">
        <f aca="false">IF( N120=0,I120*(1-G120/100)+J120*(1-H120/100),-N120)</f>
        <v>35.8558590025186</v>
      </c>
      <c r="Q120" s="54" t="n">
        <f aca="false">IF(P119&gt;0,Q119+P119*(1-V$24/100),Q119+P119)</f>
        <v>2544.13463415751</v>
      </c>
      <c r="R120" s="55" t="n">
        <f aca="false">R$4+Q120/V$32</f>
        <v>64.7421936062067</v>
      </c>
    </row>
    <row r="121" customFormat="false" ht="12.8" hidden="false" customHeight="false" outlineLevel="0" collapsed="false">
      <c r="A121" s="1" t="n">
        <v>117</v>
      </c>
      <c r="B121" s="44" t="n">
        <v>43662</v>
      </c>
      <c r="C121" s="45" t="n">
        <f aca="false">V$30-V$30*SIN(2*PI()/365*A121)</f>
        <v>1.5634547308205</v>
      </c>
      <c r="D121" s="3" t="n">
        <f aca="false">IF((E121+F121)&gt;C121,C121,E121+F121)</f>
        <v>1.5634547308205</v>
      </c>
      <c r="E121" s="46" t="n">
        <f aca="false">(V$27+V$28*SIN(2*PI()/365*A121))*V$29/100*V$9*V$10/100</f>
        <v>0</v>
      </c>
      <c r="F121" s="46" t="n">
        <f aca="false">(V$27+V$28*SIN(2*PI()/365*A121))*V$29/100*V$11*(1-V$18/100)*(1-V$20/100)</f>
        <v>33.9571127179946</v>
      </c>
      <c r="G121" s="46" t="n">
        <f aca="false">IF(C121&gt;E121,100,C121/E121*100)</f>
        <v>100</v>
      </c>
      <c r="H121" s="46" t="n">
        <f aca="false">L121/F121*100</f>
        <v>4.60420396694089</v>
      </c>
      <c r="I121" s="47" t="n">
        <f aca="false">(V$27+V$28*SIN(2*PI()/365*A121))*V$29/100*V$9*V$10/100*(1-V$19/100)</f>
        <v>0</v>
      </c>
      <c r="J121" s="47" t="n">
        <f aca="false">(V$27+V$28*SIN(2*PI()/365*A121))*V$29/100*V$11*(1-V$18/100)</f>
        <v>37.3155084813128</v>
      </c>
      <c r="K121" s="48" t="n">
        <f aca="false">IF(E121/C121*100&lt;100,E121/C121*100,100)</f>
        <v>0</v>
      </c>
      <c r="L121" s="7" t="n">
        <f aca="false">IF(((C121-E121)&gt;0)AND(F121&gt;(C121-E121)),(C121-E121),IF(C121&lt;E121,0,F121))</f>
        <v>1.5634547308205</v>
      </c>
      <c r="M121" s="7" t="n">
        <f aca="false">IF(C121&lt;(E121+F121),0,C121-E121-F121)</f>
        <v>0</v>
      </c>
      <c r="N121" s="7" t="n">
        <f aca="false">IF(C121&lt;(E121+F121),0,(C121-E121-F121)/(1-V$20/100))</f>
        <v>0</v>
      </c>
      <c r="O121" s="7" t="n">
        <f aca="false">L121+M121</f>
        <v>1.5634547308205</v>
      </c>
      <c r="P121" s="49" t="n">
        <f aca="false">IF( N121=0,I121*(1-G121/100)+J121*(1-H121/100),-N121)</f>
        <v>35.597426359532</v>
      </c>
      <c r="Q121" s="54" t="n">
        <f aca="false">IF(P120&gt;0,Q120+P120*(1-V$24/100),Q120+P120)</f>
        <v>2571.74364558945</v>
      </c>
      <c r="R121" s="55" t="n">
        <f aca="false">R$4+Q121/V$32</f>
        <v>65.0106964978986</v>
      </c>
    </row>
    <row r="122" customFormat="false" ht="12.8" hidden="false" customHeight="false" outlineLevel="0" collapsed="false">
      <c r="A122" s="1" t="n">
        <v>118</v>
      </c>
      <c r="B122" s="44" t="n">
        <v>43663</v>
      </c>
      <c r="C122" s="45" t="n">
        <f aca="false">V$30-V$30*SIN(2*PI()/365*A122)</f>
        <v>1.68505256997668</v>
      </c>
      <c r="D122" s="3" t="n">
        <f aca="false">IF((E122+F122)&gt;C122,C122,E122+F122)</f>
        <v>1.68505256997668</v>
      </c>
      <c r="E122" s="46" t="n">
        <f aca="false">(V$27+V$28*SIN(2*PI()/365*A122))*V$29/100*V$9*V$10/100</f>
        <v>0</v>
      </c>
      <c r="F122" s="46" t="n">
        <f aca="false">(V$27+V$28*SIN(2*PI()/365*A122))*V$29/100*V$11*(1-V$18/100)*(1-V$20/100)</f>
        <v>33.8348523863776</v>
      </c>
      <c r="G122" s="46" t="n">
        <f aca="false">IF(C122&gt;E122,100,C122/E122*100)</f>
        <v>100</v>
      </c>
      <c r="H122" s="46" t="n">
        <f aca="false">L122/F122*100</f>
        <v>4.98022734290134</v>
      </c>
      <c r="I122" s="47" t="n">
        <f aca="false">(V$27+V$28*SIN(2*PI()/365*A122))*V$29/100*V$9*V$10/100*(1-V$19/100)</f>
        <v>0</v>
      </c>
      <c r="J122" s="47" t="n">
        <f aca="false">(V$27+V$28*SIN(2*PI()/365*A122))*V$29/100*V$11*(1-V$18/100)</f>
        <v>37.1811564685468</v>
      </c>
      <c r="K122" s="48" t="n">
        <f aca="false">IF(E122/C122*100&lt;100,E122/C122*100,100)</f>
        <v>0</v>
      </c>
      <c r="L122" s="7" t="n">
        <f aca="false">IF(((C122-E122)&gt;0)AND(F122&gt;(C122-E122)),(C122-E122),IF(C122&lt;E122,0,F122))</f>
        <v>1.68505256997668</v>
      </c>
      <c r="M122" s="7" t="n">
        <f aca="false">IF(C122&lt;(E122+F122),0,C122-E122-F122)</f>
        <v>0</v>
      </c>
      <c r="N122" s="7" t="n">
        <f aca="false">IF(C122&lt;(E122+F122),0,(C122-E122-F122)/(1-V$20/100))</f>
        <v>0</v>
      </c>
      <c r="O122" s="7" t="n">
        <f aca="false">L122+M122</f>
        <v>1.68505256997668</v>
      </c>
      <c r="P122" s="49" t="n">
        <f aca="false">IF( N122=0,I122*(1-G122/100)+J122*(1-H122/100),-N122)</f>
        <v>35.3294503476933</v>
      </c>
      <c r="Q122" s="54" t="n">
        <f aca="false">IF(P121&gt;0,Q121+P121*(1-V$24/100),Q121+P121)</f>
        <v>2599.15366388629</v>
      </c>
      <c r="R122" s="55" t="n">
        <f aca="false">R$4+Q122/V$32</f>
        <v>65.2772641434724</v>
      </c>
    </row>
    <row r="123" customFormat="false" ht="12.8" hidden="false" customHeight="false" outlineLevel="0" collapsed="false">
      <c r="A123" s="1" t="n">
        <v>119</v>
      </c>
      <c r="B123" s="44" t="n">
        <v>43664</v>
      </c>
      <c r="C123" s="45" t="n">
        <f aca="false">V$30-V$30*SIN(2*PI()/365*A123)</f>
        <v>1.81094481329978</v>
      </c>
      <c r="D123" s="3" t="n">
        <f aca="false">IF((E123+F123)&gt;C123,C123,E123+F123)</f>
        <v>1.81094481329978</v>
      </c>
      <c r="E123" s="46" t="n">
        <f aca="false">(V$27+V$28*SIN(2*PI()/365*A123))*V$29/100*V$9*V$10/100</f>
        <v>0</v>
      </c>
      <c r="F123" s="46" t="n">
        <f aca="false">(V$27+V$28*SIN(2*PI()/365*A123))*V$29/100*V$11*(1-V$18/100)*(1-V$20/100)</f>
        <v>33.7082742537109</v>
      </c>
      <c r="G123" s="46" t="n">
        <f aca="false">IF(C123&gt;E123,100,C123/E123*100)</f>
        <v>100</v>
      </c>
      <c r="H123" s="46" t="n">
        <f aca="false">L123/F123*100</f>
        <v>5.37240441225026</v>
      </c>
      <c r="I123" s="47" t="n">
        <f aca="false">(V$27+V$28*SIN(2*PI()/365*A123))*V$29/100*V$9*V$10/100*(1-V$19/100)</f>
        <v>0</v>
      </c>
      <c r="J123" s="47" t="n">
        <f aca="false">(V$27+V$28*SIN(2*PI()/365*A123))*V$29/100*V$11*(1-V$18/100)</f>
        <v>37.0420596194625</v>
      </c>
      <c r="K123" s="48" t="n">
        <f aca="false">IF(E123/C123*100&lt;100,E123/C123*100,100)</f>
        <v>0</v>
      </c>
      <c r="L123" s="7" t="n">
        <f aca="false">IF(((C123-E123)&gt;0)AND(F123&gt;(C123-E123)),(C123-E123),IF(C123&lt;E123,0,F123))</f>
        <v>1.81094481329978</v>
      </c>
      <c r="M123" s="7" t="n">
        <f aca="false">IF(C123&lt;(E123+F123),0,C123-E123-F123)</f>
        <v>0</v>
      </c>
      <c r="N123" s="7" t="n">
        <f aca="false">IF(C123&lt;(E123+F123),0,(C123-E123-F123)/(1-V$20/100))</f>
        <v>0</v>
      </c>
      <c r="O123" s="7" t="n">
        <f aca="false">L123+M123</f>
        <v>1.81094481329978</v>
      </c>
      <c r="P123" s="49" t="n">
        <f aca="false">IF( N123=0,I123*(1-G123/100)+J123*(1-H123/100),-N123)</f>
        <v>35.0520103740781</v>
      </c>
      <c r="Q123" s="54" t="n">
        <f aca="false">IF(P122&gt;0,Q122+P122*(1-V$24/100),Q122+P122)</f>
        <v>2626.35734065402</v>
      </c>
      <c r="R123" s="55" t="n">
        <f aca="false">R$4+Q123/V$32</f>
        <v>65.5418250783974</v>
      </c>
    </row>
    <row r="124" customFormat="false" ht="12.8" hidden="false" customHeight="false" outlineLevel="0" collapsed="false">
      <c r="A124" s="1" t="n">
        <v>120</v>
      </c>
      <c r="B124" s="44" t="n">
        <v>43665</v>
      </c>
      <c r="C124" s="45" t="n">
        <f aca="false">V$30-V$30*SIN(2*PI()/365*A124)</f>
        <v>1.94109415620112</v>
      </c>
      <c r="D124" s="3" t="n">
        <f aca="false">IF((E124+F124)&gt;C124,C124,E124+F124)</f>
        <v>1.94109415620112</v>
      </c>
      <c r="E124" s="46" t="n">
        <f aca="false">(V$27+V$28*SIN(2*PI()/365*A124))*V$29/100*V$9*V$10/100</f>
        <v>0</v>
      </c>
      <c r="F124" s="46" t="n">
        <f aca="false">(V$27+V$28*SIN(2*PI()/365*A124))*V$29/100*V$11*(1-V$18/100)*(1-V$20/100)</f>
        <v>33.577415827827</v>
      </c>
      <c r="G124" s="46" t="n">
        <f aca="false">IF(C124&gt;E124,100,C124/E124*100)</f>
        <v>100</v>
      </c>
      <c r="H124" s="46" t="n">
        <f aca="false">L124/F124*100</f>
        <v>5.78095159602024</v>
      </c>
      <c r="I124" s="47" t="n">
        <f aca="false">(V$27+V$28*SIN(2*PI()/365*A124))*V$29/100*V$9*V$10/100*(1-V$19/100)</f>
        <v>0</v>
      </c>
      <c r="J124" s="47" t="n">
        <f aca="false">(V$27+V$28*SIN(2*PI()/365*A124))*V$29/100*V$11*(1-V$18/100)</f>
        <v>36.8982591514582</v>
      </c>
      <c r="K124" s="48" t="n">
        <f aca="false">IF(E124/C124*100&lt;100,E124/C124*100,100)</f>
        <v>0</v>
      </c>
      <c r="L124" s="7" t="n">
        <f aca="false">IF(((C124-E124)&gt;0)AND(F124&gt;(C124-E124)),(C124-E124),IF(C124&lt;E124,0,F124))</f>
        <v>1.94109415620112</v>
      </c>
      <c r="M124" s="7" t="n">
        <f aca="false">IF(C124&lt;(E124+F124),0,C124-E124-F124)</f>
        <v>0</v>
      </c>
      <c r="N124" s="7" t="n">
        <f aca="false">IF(C124&lt;(E124+F124),0,(C124-E124-F124)/(1-V$20/100))</f>
        <v>0</v>
      </c>
      <c r="O124" s="7" t="n">
        <f aca="false">L124+M124</f>
        <v>1.94109415620112</v>
      </c>
      <c r="P124" s="49" t="n">
        <f aca="false">IF( N124=0,I124*(1-G124/100)+J124*(1-H124/100),-N124)</f>
        <v>34.7651886501383</v>
      </c>
      <c r="Q124" s="54" t="n">
        <f aca="false">IF(P123&gt;0,Q123+P123*(1-V$24/100),Q123+P123)</f>
        <v>2653.34738864206</v>
      </c>
      <c r="R124" s="55" t="n">
        <f aca="false">R$4+Q124/V$32</f>
        <v>65.8043084327746</v>
      </c>
    </row>
    <row r="125" customFormat="false" ht="12.8" hidden="false" customHeight="false" outlineLevel="0" collapsed="false">
      <c r="A125" s="1" t="n">
        <v>121</v>
      </c>
      <c r="B125" s="44" t="n">
        <v>43666</v>
      </c>
      <c r="C125" s="45" t="n">
        <f aca="false">V$30-V$30*SIN(2*PI()/365*A125)</f>
        <v>2.07546203262154</v>
      </c>
      <c r="D125" s="3" t="n">
        <f aca="false">IF((E125+F125)&gt;C125,C125,E125+F125)</f>
        <v>2.07546203262154</v>
      </c>
      <c r="E125" s="46" t="n">
        <f aca="false">(V$27+V$28*SIN(2*PI()/365*A125))*V$29/100*V$9*V$10/100</f>
        <v>0</v>
      </c>
      <c r="F125" s="46" t="n">
        <f aca="false">(V$27+V$28*SIN(2*PI()/365*A125))*V$29/100*V$11*(1-V$18/100)*(1-V$20/100)</f>
        <v>33.4423158849017</v>
      </c>
      <c r="G125" s="46" t="n">
        <f aca="false">IF(C125&gt;E125,100,C125/E125*100)</f>
        <v>100</v>
      </c>
      <c r="H125" s="46" t="n">
        <f aca="false">L125/F125*100</f>
        <v>6.20609541445828</v>
      </c>
      <c r="I125" s="47" t="n">
        <f aca="false">(V$27+V$28*SIN(2*PI()/365*A125))*V$29/100*V$9*V$10/100*(1-V$19/100)</f>
        <v>0</v>
      </c>
      <c r="J125" s="47" t="n">
        <f aca="false">(V$27+V$28*SIN(2*PI()/365*A125))*V$29/100*V$11*(1-V$18/100)</f>
        <v>36.7497976757161</v>
      </c>
      <c r="K125" s="48" t="n">
        <f aca="false">IF(E125/C125*100&lt;100,E125/C125*100,100)</f>
        <v>0</v>
      </c>
      <c r="L125" s="7" t="n">
        <f aca="false">IF(((C125-E125)&gt;0)AND(F125&gt;(C125-E125)),(C125-E125),IF(C125&lt;E125,0,F125))</f>
        <v>2.07546203262154</v>
      </c>
      <c r="M125" s="7" t="n">
        <f aca="false">IF(C125&lt;(E125+F125),0,C125-E125-F125)</f>
        <v>0</v>
      </c>
      <c r="N125" s="7" t="n">
        <f aca="false">IF(C125&lt;(E125+F125),0,(C125-E125-F125)/(1-V$20/100))</f>
        <v>0</v>
      </c>
      <c r="O125" s="7" t="n">
        <f aca="false">L125+M125</f>
        <v>2.07546203262154</v>
      </c>
      <c r="P125" s="49" t="n">
        <f aca="false">IF( N125=0,I125*(1-G125/100)+J125*(1-H125/100),-N125)</f>
        <v>34.4690701673408</v>
      </c>
      <c r="Q125" s="54" t="n">
        <f aca="false">IF(P124&gt;0,Q124+P124*(1-V$24/100),Q124+P124)</f>
        <v>2680.11658390266</v>
      </c>
      <c r="R125" s="55" t="n">
        <f aca="false">R$4+Q125/V$32</f>
        <v>66.0646439523371</v>
      </c>
    </row>
    <row r="126" customFormat="false" ht="12.8" hidden="false" customHeight="false" outlineLevel="0" collapsed="false">
      <c r="A126" s="1" t="n">
        <v>122</v>
      </c>
      <c r="B126" s="44" t="n">
        <v>43667</v>
      </c>
      <c r="C126" s="45" t="n">
        <f aca="false">V$30-V$30*SIN(2*PI()/365*A126)</f>
        <v>2.21400862645936</v>
      </c>
      <c r="D126" s="3" t="n">
        <f aca="false">IF((E126+F126)&gt;C126,C126,E126+F126)</f>
        <v>2.21400862645936</v>
      </c>
      <c r="E126" s="46" t="n">
        <f aca="false">(V$27+V$28*SIN(2*PI()/365*A126))*V$29/100*V$9*V$10/100</f>
        <v>0</v>
      </c>
      <c r="F126" s="46" t="n">
        <f aca="false">(V$27+V$28*SIN(2*PI()/365*A126))*V$29/100*V$11*(1-V$18/100)*(1-V$20/100)</f>
        <v>33.3030144579638</v>
      </c>
      <c r="G126" s="46" t="n">
        <f aca="false">IF(C126&gt;E126,100,C126/E126*100)</f>
        <v>100</v>
      </c>
      <c r="H126" s="46" t="n">
        <f aca="false">L126/F126*100</f>
        <v>6.64807274204549</v>
      </c>
      <c r="I126" s="47" t="n">
        <f aca="false">(V$27+V$28*SIN(2*PI()/365*A126))*V$29/100*V$9*V$10/100*(1-V$19/100)</f>
        <v>0</v>
      </c>
      <c r="J126" s="47" t="n">
        <f aca="false">(V$27+V$28*SIN(2*PI()/365*A126))*V$29/100*V$11*(1-V$18/100)</f>
        <v>36.5967191845756</v>
      </c>
      <c r="K126" s="48" t="n">
        <f aca="false">IF(E126/C126*100&lt;100,E126/C126*100,100)</f>
        <v>0</v>
      </c>
      <c r="L126" s="7" t="n">
        <f aca="false">IF(((C126-E126)&gt;0)AND(F126&gt;(C126-E126)),(C126-E126),IF(C126&lt;E126,0,F126))</f>
        <v>2.21400862645936</v>
      </c>
      <c r="M126" s="7" t="n">
        <f aca="false">IF(C126&lt;(E126+F126),0,C126-E126-F126)</f>
        <v>0</v>
      </c>
      <c r="N126" s="7" t="n">
        <f aca="false">IF(C126&lt;(E126+F126),0,(C126-E126-F126)/(1-V$20/100))</f>
        <v>0</v>
      </c>
      <c r="O126" s="7" t="n">
        <f aca="false">L126+M126</f>
        <v>2.21400862645936</v>
      </c>
      <c r="P126" s="49" t="n">
        <f aca="false">IF( N126=0,I126*(1-G126/100)+J126*(1-H126/100),-N126)</f>
        <v>34.1637426719829</v>
      </c>
      <c r="Q126" s="54" t="n">
        <f aca="false">IF(P125&gt;0,Q125+P125*(1-V$24/100),Q125+P125)</f>
        <v>2706.65776793152</v>
      </c>
      <c r="R126" s="55" t="n">
        <f aca="false">R$4+Q126/V$32</f>
        <v>66.3227620192676</v>
      </c>
    </row>
    <row r="127" customFormat="false" ht="12.8" hidden="false" customHeight="false" outlineLevel="0" collapsed="false">
      <c r="A127" s="1" t="n">
        <v>123</v>
      </c>
      <c r="B127" s="44" t="n">
        <v>43668</v>
      </c>
      <c r="C127" s="45" t="n">
        <f aca="false">V$30-V$30*SIN(2*PI()/365*A127)</f>
        <v>2.35669288336875</v>
      </c>
      <c r="D127" s="3" t="n">
        <f aca="false">IF((E127+F127)&gt;C127,C127,E127+F127)</f>
        <v>2.35669288336875</v>
      </c>
      <c r="E127" s="46" t="n">
        <f aca="false">(V$27+V$28*SIN(2*PI()/365*A127))*V$29/100*V$9*V$10/100</f>
        <v>0</v>
      </c>
      <c r="F127" s="46" t="n">
        <f aca="false">(V$27+V$28*SIN(2*PI()/365*A127))*V$29/100*V$11*(1-V$18/100)*(1-V$20/100)</f>
        <v>33.1595528250324</v>
      </c>
      <c r="G127" s="46" t="n">
        <f aca="false">IF(C127&gt;E127,100,C127/E127*100)</f>
        <v>100</v>
      </c>
      <c r="H127" s="46" t="n">
        <f aca="false">L127/F127*100</f>
        <v>7.10713107563279</v>
      </c>
      <c r="I127" s="47" t="n">
        <f aca="false">(V$27+V$28*SIN(2*PI()/365*A127))*V$29/100*V$9*V$10/100*(1-V$19/100)</f>
        <v>0</v>
      </c>
      <c r="J127" s="47" t="n">
        <f aca="false">(V$27+V$28*SIN(2*PI()/365*A127))*V$29/100*V$11*(1-V$18/100)</f>
        <v>36.4390690384971</v>
      </c>
      <c r="K127" s="48" t="n">
        <f aca="false">IF(E127/C127*100&lt;100,E127/C127*100,100)</f>
        <v>0</v>
      </c>
      <c r="L127" s="7" t="n">
        <f aca="false">IF(((C127-E127)&gt;0)AND(F127&gt;(C127-E127)),(C127-E127),IF(C127&lt;E127,0,F127))</f>
        <v>2.35669288336875</v>
      </c>
      <c r="M127" s="7" t="n">
        <f aca="false">IF(C127&lt;(E127+F127),0,C127-E127-F127)</f>
        <v>0</v>
      </c>
      <c r="N127" s="7" t="n">
        <f aca="false">IF(C127&lt;(E127+F127),0,(C127-E127-F127)/(1-V$20/100))</f>
        <v>0</v>
      </c>
      <c r="O127" s="7" t="n">
        <f aca="false">L127+M127</f>
        <v>2.35669288336875</v>
      </c>
      <c r="P127" s="49" t="n">
        <f aca="false">IF( N127=0,I127*(1-G127/100)+J127*(1-H127/100),-N127)</f>
        <v>33.8492966391908</v>
      </c>
      <c r="Q127" s="54" t="n">
        <f aca="false">IF(P126&gt;0,Q126+P126*(1-V$24/100),Q126+P126)</f>
        <v>2732.96384978894</v>
      </c>
      <c r="R127" s="55" t="n">
        <f aca="false">R$4+Q127/V$32</f>
        <v>66.5785936728282</v>
      </c>
    </row>
    <row r="128" customFormat="false" ht="12.8" hidden="false" customHeight="false" outlineLevel="0" collapsed="false">
      <c r="A128" s="1" t="n">
        <v>124</v>
      </c>
      <c r="B128" s="44" t="n">
        <v>43669</v>
      </c>
      <c r="C128" s="45" t="n">
        <f aca="false">V$30-V$30*SIN(2*PI()/365*A128)</f>
        <v>2.503472522925</v>
      </c>
      <c r="D128" s="3" t="n">
        <f aca="false">IF((E128+F128)&gt;C128,C128,E128+F128)</f>
        <v>2.503472522925</v>
      </c>
      <c r="E128" s="46" t="n">
        <f aca="false">(V$27+V$28*SIN(2*PI()/365*A128))*V$29/100*V$9*V$10/100</f>
        <v>0</v>
      </c>
      <c r="F128" s="46" t="n">
        <f aca="false">(V$27+V$28*SIN(2*PI()/365*A128))*V$29/100*V$11*(1-V$18/100)*(1-V$20/100)</f>
        <v>33.0119734968855</v>
      </c>
      <c r="G128" s="46" t="n">
        <f aca="false">IF(C128&gt;E128,100,C128/E128*100)</f>
        <v>100</v>
      </c>
      <c r="H128" s="46" t="n">
        <f aca="false">L128/F128*100</f>
        <v>7.58352881617693</v>
      </c>
      <c r="I128" s="47" t="n">
        <f aca="false">(V$27+V$28*SIN(2*PI()/365*A128))*V$29/100*V$9*V$10/100*(1-V$19/100)</f>
        <v>0</v>
      </c>
      <c r="J128" s="47" t="n">
        <f aca="false">(V$27+V$28*SIN(2*PI()/365*A128))*V$29/100*V$11*(1-V$18/100)</f>
        <v>36.2768939526214</v>
      </c>
      <c r="K128" s="48" t="n">
        <f aca="false">IF(E128/C128*100&lt;100,E128/C128*100,100)</f>
        <v>0</v>
      </c>
      <c r="L128" s="7" t="n">
        <f aca="false">IF(((C128-E128)&gt;0)AND(F128&gt;(C128-E128)),(C128-E128),IF(C128&lt;E128,0,F128))</f>
        <v>2.503472522925</v>
      </c>
      <c r="M128" s="7" t="n">
        <f aca="false">IF(C128&lt;(E128+F128),0,C128-E128-F128)</f>
        <v>0</v>
      </c>
      <c r="N128" s="7" t="n">
        <f aca="false">IF(C128&lt;(E128+F128),0,(C128-E128-F128)/(1-V$20/100))</f>
        <v>0</v>
      </c>
      <c r="O128" s="7" t="n">
        <f aca="false">L128+M128</f>
        <v>2.503472522925</v>
      </c>
      <c r="P128" s="49" t="n">
        <f aca="false">IF( N128=0,I128*(1-G128/100)+J128*(1-H128/100),-N128)</f>
        <v>33.5258252461104</v>
      </c>
      <c r="Q128" s="54" t="n">
        <f aca="false">IF(P127&gt;0,Q127+P127*(1-V$24/100),Q127+P127)</f>
        <v>2759.02780820112</v>
      </c>
      <c r="R128" s="55" t="n">
        <f aca="false">R$4+Q128/V$32</f>
        <v>66.8320706297942</v>
      </c>
    </row>
    <row r="129" customFormat="false" ht="12.8" hidden="false" customHeight="false" outlineLevel="0" collapsed="false">
      <c r="A129" s="1" t="n">
        <v>125</v>
      </c>
      <c r="B129" s="44" t="n">
        <v>43670</v>
      </c>
      <c r="C129" s="45" t="n">
        <f aca="false">V$30-V$30*SIN(2*PI()/365*A129)</f>
        <v>2.65430405115316</v>
      </c>
      <c r="D129" s="3" t="n">
        <f aca="false">IF((E129+F129)&gt;C129,C129,E129+F129)</f>
        <v>2.65430405115316</v>
      </c>
      <c r="E129" s="46" t="n">
        <f aca="false">(V$27+V$28*SIN(2*PI()/365*A129))*V$29/100*V$9*V$10/100</f>
        <v>0</v>
      </c>
      <c r="F129" s="46" t="n">
        <f aca="false">(V$27+V$28*SIN(2*PI()/365*A129))*V$29/100*V$11*(1-V$18/100)*(1-V$20/100)</f>
        <v>32.8603202044631</v>
      </c>
      <c r="G129" s="46" t="n">
        <f aca="false">IF(C129&gt;E129,100,C129/E129*100)</f>
        <v>100</v>
      </c>
      <c r="H129" s="46" t="n">
        <f aca="false">L129/F129*100</f>
        <v>8.07753556458848</v>
      </c>
      <c r="I129" s="47" t="n">
        <f aca="false">(V$27+V$28*SIN(2*PI()/365*A129))*V$29/100*V$9*V$10/100*(1-V$19/100)</f>
        <v>0</v>
      </c>
      <c r="J129" s="47" t="n">
        <f aca="false">(V$27+V$28*SIN(2*PI()/365*A129))*V$29/100*V$11*(1-V$18/100)</f>
        <v>36.1102419829265</v>
      </c>
      <c r="K129" s="48" t="n">
        <f aca="false">IF(E129/C129*100&lt;100,E129/C129*100,100)</f>
        <v>0</v>
      </c>
      <c r="L129" s="7" t="n">
        <f aca="false">IF(((C129-E129)&gt;0)AND(F129&gt;(C129-E129)),(C129-E129),IF(C129&lt;E129,0,F129))</f>
        <v>2.65430405115316</v>
      </c>
      <c r="M129" s="7" t="n">
        <f aca="false">IF(C129&lt;(E129+F129),0,C129-E129-F129)</f>
        <v>0</v>
      </c>
      <c r="N129" s="7" t="n">
        <f aca="false">IF(C129&lt;(E129+F129),0,(C129-E129-F129)/(1-V$20/100))</f>
        <v>0</v>
      </c>
      <c r="O129" s="7" t="n">
        <f aca="false">L129+M129</f>
        <v>2.65430405115316</v>
      </c>
      <c r="P129" s="49" t="n">
        <f aca="false">IF( N129=0,I129*(1-G129/100)+J129*(1-H129/100),-N129)</f>
        <v>33.1934243442966</v>
      </c>
      <c r="Q129" s="54" t="n">
        <f aca="false">IF(P128&gt;0,Q128+P128*(1-V$24/100),Q128+P128)</f>
        <v>2784.84269364062</v>
      </c>
      <c r="R129" s="55" t="n">
        <f aca="false">R$4+Q129/V$32</f>
        <v>67.0831253046887</v>
      </c>
    </row>
    <row r="130" customFormat="false" ht="12.8" hidden="false" customHeight="false" outlineLevel="0" collapsed="false">
      <c r="A130" s="1" t="n">
        <v>126</v>
      </c>
      <c r="B130" s="44" t="n">
        <v>43671</v>
      </c>
      <c r="C130" s="45" t="n">
        <f aca="false">V$30-V$30*SIN(2*PI()/365*A130)</f>
        <v>2.8091427734162</v>
      </c>
      <c r="D130" s="3" t="n">
        <f aca="false">IF((E130+F130)&gt;C130,C130,E130+F130)</f>
        <v>2.8091427734162</v>
      </c>
      <c r="E130" s="46" t="n">
        <f aca="false">(V$27+V$28*SIN(2*PI()/365*A130))*V$29/100*V$9*V$10/100</f>
        <v>0</v>
      </c>
      <c r="F130" s="46" t="n">
        <f aca="false">(V$27+V$28*SIN(2*PI()/365*A130))*V$29/100*V$11*(1-V$18/100)*(1-V$20/100)</f>
        <v>32.7046378859087</v>
      </c>
      <c r="G130" s="46" t="n">
        <f aca="false">IF(C130&gt;E130,100,C130/E130*100)</f>
        <v>100</v>
      </c>
      <c r="H130" s="46" t="n">
        <f aca="false">L130/F130*100</f>
        <v>8.58943243223178</v>
      </c>
      <c r="I130" s="47" t="n">
        <f aca="false">(V$27+V$28*SIN(2*PI()/365*A130))*V$29/100*V$9*V$10/100*(1-V$19/100)</f>
        <v>0</v>
      </c>
      <c r="J130" s="47" t="n">
        <f aca="false">(V$27+V$28*SIN(2*PI()/365*A130))*V$29/100*V$11*(1-V$18/100)</f>
        <v>35.9391625119876</v>
      </c>
      <c r="K130" s="48" t="n">
        <f aca="false">IF(E130/C130*100&lt;100,E130/C130*100,100)</f>
        <v>0</v>
      </c>
      <c r="L130" s="7" t="n">
        <f aca="false">IF(((C130-E130)&gt;0)AND(F130&gt;(C130-E130)),(C130-E130),IF(C130&lt;E130,0,F130))</f>
        <v>2.8091427734162</v>
      </c>
      <c r="M130" s="7" t="n">
        <f aca="false">IF(C130&lt;(E130+F130),0,C130-E130-F130)</f>
        <v>0</v>
      </c>
      <c r="N130" s="7" t="n">
        <f aca="false">IF(C130&lt;(E130+F130),0,(C130-E130-F130)/(1-V$20/100))</f>
        <v>0</v>
      </c>
      <c r="O130" s="7" t="n">
        <f aca="false">L130+M130</f>
        <v>2.8091427734162</v>
      </c>
      <c r="P130" s="49" t="n">
        <f aca="false">IF( N130=0,I130*(1-G130/100)+J130*(1-H130/100),-N130)</f>
        <v>32.8521924313104</v>
      </c>
      <c r="Q130" s="54" t="n">
        <f aca="false">IF(P129&gt;0,Q129+P129*(1-V$24/100),Q129+P129)</f>
        <v>2810.40163038573</v>
      </c>
      <c r="R130" s="55" t="n">
        <f aca="false">R$4+Q130/V$32</f>
        <v>67.3316908298091</v>
      </c>
    </row>
    <row r="131" customFormat="false" ht="12.8" hidden="false" customHeight="false" outlineLevel="0" collapsed="false">
      <c r="A131" s="1" t="n">
        <v>127</v>
      </c>
      <c r="B131" s="44" t="n">
        <v>43672</v>
      </c>
      <c r="C131" s="45" t="n">
        <f aca="false">V$30-V$30*SIN(2*PI()/365*A131)</f>
        <v>2.96794280765902</v>
      </c>
      <c r="D131" s="3" t="n">
        <f aca="false">IF((E131+F131)&gt;C131,C131,E131+F131)</f>
        <v>2.96794280765902</v>
      </c>
      <c r="E131" s="46" t="n">
        <f aca="false">(V$27+V$28*SIN(2*PI()/365*A131))*V$29/100*V$9*V$10/100</f>
        <v>0</v>
      </c>
      <c r="F131" s="46" t="n">
        <f aca="false">(V$27+V$28*SIN(2*PI()/365*A131))*V$29/100*V$11*(1-V$18/100)*(1-V$20/100)</f>
        <v>32.5449726732532</v>
      </c>
      <c r="G131" s="46" t="n">
        <f aca="false">IF(C131&gt;E131,100,C131/E131*100)</f>
        <v>100</v>
      </c>
      <c r="H131" s="46" t="n">
        <f aca="false">L131/F131*100</f>
        <v>9.11951236664642</v>
      </c>
      <c r="I131" s="47" t="n">
        <f aca="false">(V$27+V$28*SIN(2*PI()/365*A131))*V$29/100*V$9*V$10/100*(1-V$19/100)</f>
        <v>0</v>
      </c>
      <c r="J131" s="47" t="n">
        <f aca="false">(V$27+V$28*SIN(2*PI()/365*A131))*V$29/100*V$11*(1-V$18/100)</f>
        <v>35.7637062343441</v>
      </c>
      <c r="K131" s="48" t="n">
        <f aca="false">IF(E131/C131*100&lt;100,E131/C131*100,100)</f>
        <v>0</v>
      </c>
      <c r="L131" s="7" t="n">
        <f aca="false">IF(((C131-E131)&gt;0)AND(F131&gt;(C131-E131)),(C131-E131),IF(C131&lt;E131,0,F131))</f>
        <v>2.96794280765902</v>
      </c>
      <c r="M131" s="7" t="n">
        <f aca="false">IF(C131&lt;(E131+F131),0,C131-E131-F131)</f>
        <v>0</v>
      </c>
      <c r="N131" s="7" t="n">
        <f aca="false">IF(C131&lt;(E131+F131),0,(C131-E131-F131)/(1-V$20/100))</f>
        <v>0</v>
      </c>
      <c r="O131" s="7" t="n">
        <f aca="false">L131+M131</f>
        <v>2.96794280765902</v>
      </c>
      <c r="P131" s="49" t="n">
        <f aca="false">IF( N131=0,I131*(1-G131/100)+J131*(1-H131/100),-N131)</f>
        <v>32.502230621532</v>
      </c>
      <c r="Q131" s="54" t="n">
        <f aca="false">IF(P130&gt;0,Q130+P130*(1-V$24/100),Q130+P130)</f>
        <v>2835.69781855784</v>
      </c>
      <c r="R131" s="55" t="n">
        <f aca="false">R$4+Q131/V$32</f>
        <v>67.5777010750415</v>
      </c>
    </row>
    <row r="132" customFormat="false" ht="12.8" hidden="false" customHeight="false" outlineLevel="0" collapsed="false">
      <c r="A132" s="1" t="n">
        <v>128</v>
      </c>
      <c r="B132" s="44" t="n">
        <v>43673</v>
      </c>
      <c r="C132" s="45" t="n">
        <f aca="false">V$30-V$30*SIN(2*PI()/365*A132)</f>
        <v>3.13065709800428</v>
      </c>
      <c r="D132" s="3" t="n">
        <f aca="false">IF((E132+F132)&gt;C132,C132,E132+F132)</f>
        <v>3.13065709800428</v>
      </c>
      <c r="E132" s="46" t="n">
        <f aca="false">(V$27+V$28*SIN(2*PI()/365*A132))*V$29/100*V$9*V$10/100</f>
        <v>0</v>
      </c>
      <c r="F132" s="46" t="n">
        <f aca="false">(V$27+V$28*SIN(2*PI()/365*A132))*V$29/100*V$11*(1-V$18/100)*(1-V$20/100)</f>
        <v>32.3813718787448</v>
      </c>
      <c r="G132" s="46" t="n">
        <f aca="false">IF(C132&gt;E132,100,C132/E132*100)</f>
        <v>100</v>
      </c>
      <c r="H132" s="46" t="n">
        <f aca="false">L132/F132*100</f>
        <v>9.6680804930913</v>
      </c>
      <c r="I132" s="47" t="n">
        <f aca="false">(V$27+V$28*SIN(2*PI()/365*A132))*V$29/100*V$9*V$10/100*(1-V$19/100)</f>
        <v>0</v>
      </c>
      <c r="J132" s="47" t="n">
        <f aca="false">(V$27+V$28*SIN(2*PI()/365*A132))*V$29/100*V$11*(1-V$18/100)</f>
        <v>35.5839251414778</v>
      </c>
      <c r="K132" s="48" t="n">
        <f aca="false">IF(E132/C132*100&lt;100,E132/C132*100,100)</f>
        <v>0</v>
      </c>
      <c r="L132" s="7" t="n">
        <f aca="false">IF(((C132-E132)&gt;0)AND(F132&gt;(C132-E132)),(C132-E132),IF(C132&lt;E132,0,F132))</f>
        <v>3.13065709800428</v>
      </c>
      <c r="M132" s="7" t="n">
        <f aca="false">IF(C132&lt;(E132+F132),0,C132-E132-F132)</f>
        <v>0</v>
      </c>
      <c r="N132" s="7" t="n">
        <f aca="false">IF(C132&lt;(E132+F132),0,(C132-E132-F132)/(1-V$20/100))</f>
        <v>0</v>
      </c>
      <c r="O132" s="7" t="n">
        <f aca="false">L132+M132</f>
        <v>3.13065709800428</v>
      </c>
      <c r="P132" s="49" t="n">
        <f aca="false">IF( N132=0,I132*(1-G132/100)+J132*(1-H132/100),-N132)</f>
        <v>32.1436426161984</v>
      </c>
      <c r="Q132" s="54" t="n">
        <f aca="false">IF(P131&gt;0,Q131+P131*(1-V$24/100),Q131+P131)</f>
        <v>2860.72453613642</v>
      </c>
      <c r="R132" s="55" t="n">
        <f aca="false">R$4+Q132/V$32</f>
        <v>67.8210906674567</v>
      </c>
    </row>
    <row r="133" customFormat="false" ht="12.8" hidden="false" customHeight="false" outlineLevel="0" collapsed="false">
      <c r="A133" s="1" t="n">
        <v>129</v>
      </c>
      <c r="B133" s="44" t="n">
        <v>43674</v>
      </c>
      <c r="C133" s="45" t="n">
        <f aca="false">V$30-V$30*SIN(2*PI()/365*A133)</f>
        <v>3.2972374286961</v>
      </c>
      <c r="D133" s="3" t="n">
        <f aca="false">IF((E133+F133)&gt;C133,C133,E133+F133)</f>
        <v>3.2972374286961</v>
      </c>
      <c r="E133" s="46" t="n">
        <f aca="false">(V$27+V$28*SIN(2*PI()/365*A133))*V$29/100*V$9*V$10/100</f>
        <v>0</v>
      </c>
      <c r="F133" s="46" t="n">
        <f aca="false">(V$27+V$28*SIN(2*PI()/365*A133))*V$29/100*V$11*(1-V$18/100)*(1-V$20/100)</f>
        <v>32.21388398083</v>
      </c>
      <c r="G133" s="46" t="n">
        <f aca="false">IF(C133&gt;E133,100,C133/E133*100)</f>
        <v>100</v>
      </c>
      <c r="H133" s="46" t="n">
        <f aca="false">L133/F133*100</f>
        <v>10.2354544725443</v>
      </c>
      <c r="I133" s="47" t="n">
        <f aca="false">(V$27+V$28*SIN(2*PI()/365*A133))*V$29/100*V$9*V$10/100*(1-V$19/100)</f>
        <v>0</v>
      </c>
      <c r="J133" s="47" t="n">
        <f aca="false">(V$27+V$28*SIN(2*PI()/365*A133))*V$29/100*V$11*(1-V$18/100)</f>
        <v>35.3998725064065</v>
      </c>
      <c r="K133" s="48" t="n">
        <f aca="false">IF(E133/C133*100&lt;100,E133/C133*100,100)</f>
        <v>0</v>
      </c>
      <c r="L133" s="7" t="n">
        <f aca="false">IF(((C133-E133)&gt;0)AND(F133&gt;(C133-E133)),(C133-E133),IF(C133&lt;E133,0,F133))</f>
        <v>3.2972374286961</v>
      </c>
      <c r="M133" s="7" t="n">
        <f aca="false">IF(C133&lt;(E133+F133),0,C133-E133-F133)</f>
        <v>0</v>
      </c>
      <c r="N133" s="7" t="n">
        <f aca="false">IF(C133&lt;(E133+F133),0,(C133-E133-F133)/(1-V$20/100))</f>
        <v>0</v>
      </c>
      <c r="O133" s="7" t="n">
        <f aca="false">L133+M133</f>
        <v>3.2972374286961</v>
      </c>
      <c r="P133" s="49" t="n">
        <f aca="false">IF( N133=0,I133*(1-G133/100)+J133*(1-H133/100),-N133)</f>
        <v>31.7765346726746</v>
      </c>
      <c r="Q133" s="54" t="n">
        <f aca="false">IF(P132&gt;0,Q132+P132*(1-V$24/100),Q132+P132)</f>
        <v>2885.47514095089</v>
      </c>
      <c r="R133" s="55" t="n">
        <f aca="false">R$4+Q133/V$32</f>
        <v>68.0617950106816</v>
      </c>
    </row>
    <row r="134" customFormat="false" ht="12.8" hidden="false" customHeight="false" outlineLevel="0" collapsed="false">
      <c r="A134" s="1" t="n">
        <v>130</v>
      </c>
      <c r="B134" s="44" t="n">
        <v>43675</v>
      </c>
      <c r="C134" s="45" t="n">
        <f aca="false">V$30-V$30*SIN(2*PI()/365*A134)</f>
        <v>3.46763443838739</v>
      </c>
      <c r="D134" s="3" t="n">
        <f aca="false">IF((E134+F134)&gt;C134,C134,E134+F134)</f>
        <v>3.46763443838739</v>
      </c>
      <c r="E134" s="46" t="n">
        <f aca="false">(V$27+V$28*SIN(2*PI()/365*A134))*V$29/100*V$9*V$10/100</f>
        <v>0</v>
      </c>
      <c r="F134" s="46" t="n">
        <f aca="false">(V$27+V$28*SIN(2*PI()/365*A134))*V$29/100*V$11*(1-V$18/100)*(1-V$20/100)</f>
        <v>32.0425586097874</v>
      </c>
      <c r="G134" s="46" t="n">
        <f aca="false">IF(C134&gt;E134,100,C134/E134*100)</f>
        <v>100</v>
      </c>
      <c r="H134" s="46" t="n">
        <f aca="false">L134/F134*100</f>
        <v>10.8219648768254</v>
      </c>
      <c r="I134" s="47" t="n">
        <f aca="false">(V$27+V$28*SIN(2*PI()/365*A134))*V$29/100*V$9*V$10/100*(1-V$19/100)</f>
        <v>0</v>
      </c>
      <c r="J134" s="47" t="n">
        <f aca="false">(V$27+V$28*SIN(2*PI()/365*A134))*V$29/100*V$11*(1-V$18/100)</f>
        <v>35.2116028678982</v>
      </c>
      <c r="K134" s="48" t="n">
        <f aca="false">IF(E134/C134*100&lt;100,E134/C134*100,100)</f>
        <v>0</v>
      </c>
      <c r="L134" s="7" t="n">
        <f aca="false">IF(((C134-E134)&gt;0)AND(F134&gt;(C134-E134)),(C134-E134),IF(C134&lt;E134,0,F134))</f>
        <v>3.46763443838739</v>
      </c>
      <c r="M134" s="7" t="n">
        <f aca="false">IF(C134&lt;(E134+F134),0,C134-E134-F134)</f>
        <v>0</v>
      </c>
      <c r="N134" s="7" t="n">
        <f aca="false">IF(C134&lt;(E134+F134),0,(C134-E134-F134)/(1-V$20/100))</f>
        <v>0</v>
      </c>
      <c r="O134" s="7" t="n">
        <f aca="false">L134+M134</f>
        <v>3.46763443838739</v>
      </c>
      <c r="P134" s="49" t="n">
        <f aca="false">IF( N134=0,I134*(1-G134/100)+J134*(1-H134/100),-N134)</f>
        <v>31.401015572967</v>
      </c>
      <c r="Q134" s="54" t="n">
        <f aca="false">IF(P133&gt;0,Q133+P133*(1-V$24/100),Q133+P133)</f>
        <v>2909.94307264885</v>
      </c>
      <c r="R134" s="55" t="n">
        <f aca="false">R$4+Q134/V$32</f>
        <v>68.29975030404</v>
      </c>
    </row>
    <row r="135" customFormat="false" ht="12.8" hidden="false" customHeight="false" outlineLevel="0" collapsed="false">
      <c r="A135" s="1" t="n">
        <v>131</v>
      </c>
      <c r="B135" s="44" t="n">
        <v>43676</v>
      </c>
      <c r="C135" s="45" t="n">
        <f aca="false">V$30-V$30*SIN(2*PI()/365*A135)</f>
        <v>3.64179763476672</v>
      </c>
      <c r="D135" s="3" t="n">
        <f aca="false">IF((E135+F135)&gt;C135,C135,E135+F135)</f>
        <v>3.64179763476672</v>
      </c>
      <c r="E135" s="46" t="n">
        <f aca="false">(V$27+V$28*SIN(2*PI()/365*A135))*V$29/100*V$9*V$10/100</f>
        <v>0</v>
      </c>
      <c r="F135" s="46" t="n">
        <f aca="false">(V$27+V$28*SIN(2*PI()/365*A135))*V$29/100*V$11*(1-V$18/100)*(1-V$20/100)</f>
        <v>31.867446533022</v>
      </c>
      <c r="G135" s="46" t="n">
        <f aca="false">IF(C135&gt;E135,100,C135/E135*100)</f>
        <v>100</v>
      </c>
      <c r="H135" s="46" t="n">
        <f aca="false">L135/F135*100</f>
        <v>11.4279555815462</v>
      </c>
      <c r="I135" s="47" t="n">
        <f aca="false">(V$27+V$28*SIN(2*PI()/365*A135))*V$29/100*V$9*V$10/100*(1-V$19/100)</f>
        <v>0</v>
      </c>
      <c r="J135" s="47" t="n">
        <f aca="false">(V$27+V$28*SIN(2*PI()/365*A135))*V$29/100*V$11*(1-V$18/100)</f>
        <v>35.0191720143098</v>
      </c>
      <c r="K135" s="48" t="n">
        <f aca="false">IF(E135/C135*100&lt;100,E135/C135*100,100)</f>
        <v>0</v>
      </c>
      <c r="L135" s="7" t="n">
        <f aca="false">IF(((C135-E135)&gt;0)AND(F135&gt;(C135-E135)),(C135-E135),IF(C135&lt;E135,0,F135))</f>
        <v>3.64179763476672</v>
      </c>
      <c r="M135" s="7" t="n">
        <f aca="false">IF(C135&lt;(E135+F135),0,C135-E135-F135)</f>
        <v>0</v>
      </c>
      <c r="N135" s="7" t="n">
        <f aca="false">IF(C135&lt;(E135+F135),0,(C135-E135-F135)/(1-V$20/100))</f>
        <v>0</v>
      </c>
      <c r="O135" s="7" t="n">
        <f aca="false">L135+M135</f>
        <v>3.64179763476672</v>
      </c>
      <c r="P135" s="49" t="n">
        <f aca="false">IF( N135=0,I135*(1-G135/100)+J135*(1-H135/100),-N135)</f>
        <v>31.0171965914893</v>
      </c>
      <c r="Q135" s="54" t="n">
        <f aca="false">IF(P134&gt;0,Q134+P134*(1-V$24/100),Q134+P134)</f>
        <v>2934.12185464004</v>
      </c>
      <c r="R135" s="55" t="n">
        <f aca="false">R$4+Q135/V$32</f>
        <v>68.534893561459</v>
      </c>
    </row>
    <row r="136" customFormat="false" ht="12.8" hidden="false" customHeight="false" outlineLevel="0" collapsed="false">
      <c r="A136" s="1" t="n">
        <v>132</v>
      </c>
      <c r="B136" s="44" t="n">
        <v>43677</v>
      </c>
      <c r="C136" s="45" t="n">
        <f aca="false">V$30-V$30*SIN(2*PI()/365*A136)</f>
        <v>3.81967540952024</v>
      </c>
      <c r="D136" s="3" t="n">
        <f aca="false">IF((E136+F136)&gt;C136,C136,E136+F136)</f>
        <v>3.81967540952024</v>
      </c>
      <c r="E136" s="46" t="n">
        <f aca="false">(V$27+V$28*SIN(2*PI()/365*A136))*V$29/100*V$9*V$10/100</f>
        <v>0</v>
      </c>
      <c r="F136" s="46" t="n">
        <f aca="false">(V$27+V$28*SIN(2*PI()/365*A136))*V$29/100*V$11*(1-V$18/100)*(1-V$20/100)</f>
        <v>31.6885996400214</v>
      </c>
      <c r="G136" s="46" t="n">
        <f aca="false">IF(C136&gt;E136,100,C136/E136*100)</f>
        <v>100</v>
      </c>
      <c r="H136" s="46" t="n">
        <f aca="false">L136/F136*100</f>
        <v>12.0537841776263</v>
      </c>
      <c r="I136" s="47" t="n">
        <f aca="false">(V$27+V$28*SIN(2*PI()/365*A136))*V$29/100*V$9*V$10/100*(1-V$19/100)</f>
        <v>0</v>
      </c>
      <c r="J136" s="47" t="n">
        <f aca="false">(V$27+V$28*SIN(2*PI()/365*A136))*V$29/100*V$11*(1-V$18/100)</f>
        <v>34.8226369670565</v>
      </c>
      <c r="K136" s="48" t="n">
        <f aca="false">IF(E136/C136*100&lt;100,E136/C136*100,100)</f>
        <v>0</v>
      </c>
      <c r="L136" s="7" t="n">
        <f aca="false">IF(((C136-E136)&gt;0)AND(F136&gt;(C136-E136)),(C136-E136),IF(C136&lt;E136,0,F136))</f>
        <v>3.81967540952024</v>
      </c>
      <c r="M136" s="7" t="n">
        <f aca="false">IF(C136&lt;(E136+F136),0,C136-E136-F136)</f>
        <v>0</v>
      </c>
      <c r="N136" s="7" t="n">
        <f aca="false">IF(C136&lt;(E136+F136),0,(C136-E136-F136)/(1-V$20/100))</f>
        <v>0</v>
      </c>
      <c r="O136" s="7" t="n">
        <f aca="false">L136+M136</f>
        <v>3.81967540952024</v>
      </c>
      <c r="P136" s="49" t="n">
        <f aca="false">IF( N136=0,I136*(1-G136/100)+J136*(1-H136/100),-N136)</f>
        <v>30.6251914620891</v>
      </c>
      <c r="Q136" s="54" t="n">
        <f aca="false">IF(P135&gt;0,Q135+P135*(1-V$24/100),Q135+P135)</f>
        <v>2958.00509601548</v>
      </c>
      <c r="R136" s="55" t="n">
        <f aca="false">R$4+Q136/V$32</f>
        <v>68.7671626301322</v>
      </c>
    </row>
    <row r="137" customFormat="false" ht="12.8" hidden="false" customHeight="false" outlineLevel="0" collapsed="false">
      <c r="A137" s="1" t="n">
        <v>133</v>
      </c>
      <c r="B137" s="44" t="n">
        <v>43678</v>
      </c>
      <c r="C137" s="45" t="n">
        <f aca="false">V$30-V$30*SIN(2*PI()/365*A137)</f>
        <v>4.00121505362439</v>
      </c>
      <c r="D137" s="3" t="n">
        <f aca="false">IF((E137+F137)&gt;C137,C137,E137+F137)</f>
        <v>4.00121505362439</v>
      </c>
      <c r="E137" s="46" t="n">
        <f aca="false">(V$27+V$28*SIN(2*PI()/365*A137))*V$29/100*V$9*V$10/100</f>
        <v>0</v>
      </c>
      <c r="F137" s="46" t="n">
        <f aca="false">(V$27+V$28*SIN(2*PI()/365*A137))*V$29/100*V$11*(1-V$18/100)*(1-V$20/100)</f>
        <v>31.5060709269798</v>
      </c>
      <c r="G137" s="46" t="n">
        <f aca="false">IF(C137&gt;E137,100,C137/E137*100)</f>
        <v>100</v>
      </c>
      <c r="H137" s="46" t="n">
        <f aca="false">L137/F137*100</f>
        <v>12.6998224021581</v>
      </c>
      <c r="I137" s="47" t="n">
        <f aca="false">(V$27+V$28*SIN(2*PI()/365*A137))*V$29/100*V$9*V$10/100*(1-V$19/100)</f>
        <v>0</v>
      </c>
      <c r="J137" s="47" t="n">
        <f aca="false">(V$27+V$28*SIN(2*PI()/365*A137))*V$29/100*V$11*(1-V$18/100)</f>
        <v>34.6220559637141</v>
      </c>
      <c r="K137" s="48" t="n">
        <f aca="false">IF(E137/C137*100&lt;100,E137/C137*100,100)</f>
        <v>0</v>
      </c>
      <c r="L137" s="7" t="n">
        <f aca="false">IF(((C137-E137)&gt;0)AND(F137&gt;(C137-E137)),(C137-E137),IF(C137&lt;E137,0,F137))</f>
        <v>4.00121505362439</v>
      </c>
      <c r="M137" s="7" t="n">
        <f aca="false">IF(C137&lt;(E137+F137),0,C137-E137-F137)</f>
        <v>0</v>
      </c>
      <c r="N137" s="7" t="n">
        <f aca="false">IF(C137&lt;(E137+F137),0,(C137-E137-F137)/(1-V$20/100))</f>
        <v>0</v>
      </c>
      <c r="O137" s="7" t="n">
        <f aca="false">L137+M137</f>
        <v>4.00121505362439</v>
      </c>
      <c r="P137" s="49" t="n">
        <f aca="false">IF( N137=0,I137*(1-G137/100)+J137*(1-H137/100),-N137)</f>
        <v>30.2251163443466</v>
      </c>
      <c r="Q137" s="54" t="n">
        <f aca="false">IF(P136&gt;0,Q136+P136*(1-V$24/100),Q136+P136)</f>
        <v>2981.58649344129</v>
      </c>
      <c r="R137" s="55" t="n">
        <f aca="false">R$4+Q137/V$32</f>
        <v>68.9964962089376</v>
      </c>
    </row>
    <row r="138" customFormat="false" ht="12.8" hidden="false" customHeight="false" outlineLevel="0" collapsed="false">
      <c r="A138" s="1" t="n">
        <v>134</v>
      </c>
      <c r="B138" s="44" t="n">
        <v>43679</v>
      </c>
      <c r="C138" s="45" t="n">
        <f aca="false">V$30-V$30*SIN(2*PI()/365*A138)</f>
        <v>4.18636277296466</v>
      </c>
      <c r="D138" s="3" t="n">
        <f aca="false">IF((E138+F138)&gt;C138,C138,E138+F138)</f>
        <v>4.18636277296466</v>
      </c>
      <c r="E138" s="46" t="n">
        <f aca="false">(V$27+V$28*SIN(2*PI()/365*A138))*V$29/100*V$9*V$10/100</f>
        <v>0</v>
      </c>
      <c r="F138" s="46" t="n">
        <f aca="false">(V$27+V$28*SIN(2*PI()/365*A138))*V$29/100*V$11*(1-V$18/100)*(1-V$20/100)</f>
        <v>31.3199144810942</v>
      </c>
      <c r="G138" s="46" t="n">
        <f aca="false">IF(C138&gt;E138,100,C138/E138*100)</f>
        <v>100</v>
      </c>
      <c r="H138" s="46" t="n">
        <f aca="false">L138/F138*100</f>
        <v>13.3664565894383</v>
      </c>
      <c r="I138" s="47" t="n">
        <f aca="false">(V$27+V$28*SIN(2*PI()/365*A138))*V$29/100*V$9*V$10/100*(1-V$19/100)</f>
        <v>0</v>
      </c>
      <c r="J138" s="47" t="n">
        <f aca="false">(V$27+V$28*SIN(2*PI()/365*A138))*V$29/100*V$11*(1-V$18/100)</f>
        <v>34.4174884407628</v>
      </c>
      <c r="K138" s="48" t="n">
        <f aca="false">IF(E138/C138*100&lt;100,E138/C138*100,100)</f>
        <v>0</v>
      </c>
      <c r="L138" s="7" t="n">
        <f aca="false">IF(((C138-E138)&gt;0)AND(F138&gt;(C138-E138)),(C138-E138),IF(C138&lt;E138,0,F138))</f>
        <v>4.18636277296466</v>
      </c>
      <c r="M138" s="7" t="n">
        <f aca="false">IF(C138&lt;(E138+F138),0,C138-E138-F138)</f>
        <v>0</v>
      </c>
      <c r="N138" s="7" t="n">
        <f aca="false">IF(C138&lt;(E138+F138),0,(C138-E138-F138)/(1-V$20/100))</f>
        <v>0</v>
      </c>
      <c r="O138" s="7" t="n">
        <f aca="false">L138+M138</f>
        <v>4.18636277296466</v>
      </c>
      <c r="P138" s="49" t="n">
        <f aca="false">IF( N138=0,I138*(1-G138/100)+J138*(1-H138/100),-N138)</f>
        <v>29.8170897891533</v>
      </c>
      <c r="Q138" s="54" t="n">
        <f aca="false">IF(P137&gt;0,Q137+P137*(1-V$24/100),Q137+P137)</f>
        <v>3004.85983302644</v>
      </c>
      <c r="R138" s="55" t="n">
        <f aca="false">R$4+Q138/V$32</f>
        <v>69.2228338666023</v>
      </c>
    </row>
    <row r="139" customFormat="false" ht="12.8" hidden="false" customHeight="false" outlineLevel="0" collapsed="false">
      <c r="A139" s="1" t="n">
        <v>135</v>
      </c>
      <c r="B139" s="44" t="n">
        <v>43680</v>
      </c>
      <c r="C139" s="45" t="n">
        <f aca="false">V$30-V$30*SIN(2*PI()/365*A139)</f>
        <v>4.37506370427599</v>
      </c>
      <c r="D139" s="3" t="n">
        <f aca="false">IF((E139+F139)&gt;C139,C139,E139+F139)</f>
        <v>4.37506370427599</v>
      </c>
      <c r="E139" s="46" t="n">
        <f aca="false">(V$27+V$28*SIN(2*PI()/365*A139))*V$29/100*V$9*V$10/100</f>
        <v>0</v>
      </c>
      <c r="F139" s="46" t="n">
        <f aca="false">(V$27+V$28*SIN(2*PI()/365*A139))*V$29/100*V$11*(1-V$18/100)*(1-V$20/100)</f>
        <v>31.1301854645371</v>
      </c>
      <c r="G139" s="46" t="n">
        <f aca="false">IF(C139&gt;E139,100,C139/E139*100)</f>
        <v>100</v>
      </c>
      <c r="H139" s="46" t="n">
        <f aca="false">L139/F139*100</f>
        <v>14.054088143034</v>
      </c>
      <c r="I139" s="47" t="n">
        <f aca="false">(V$27+V$28*SIN(2*PI()/365*A139))*V$29/100*V$9*V$10/100*(1-V$19/100)</f>
        <v>0</v>
      </c>
      <c r="J139" s="47" t="n">
        <f aca="false">(V$27+V$28*SIN(2*PI()/365*A139))*V$29/100*V$11*(1-V$18/100)</f>
        <v>34.2089950159748</v>
      </c>
      <c r="K139" s="48" t="n">
        <f aca="false">IF(E139/C139*100&lt;100,E139/C139*100,100)</f>
        <v>0</v>
      </c>
      <c r="L139" s="7" t="n">
        <f aca="false">IF(((C139-E139)&gt;0)AND(F139&gt;(C139-E139)),(C139-E139),IF(C139&lt;E139,0,F139))</f>
        <v>4.37506370427599</v>
      </c>
      <c r="M139" s="7" t="n">
        <f aca="false">IF(C139&lt;(E139+F139),0,C139-E139-F139)</f>
        <v>0</v>
      </c>
      <c r="N139" s="7" t="n">
        <f aca="false">IF(C139&lt;(E139+F139),0,(C139-E139-F139)/(1-V$20/100))</f>
        <v>0</v>
      </c>
      <c r="O139" s="7" t="n">
        <f aca="false">L139+M139</f>
        <v>4.37506370427599</v>
      </c>
      <c r="P139" s="49" t="n">
        <f aca="false">IF( N139=0,I139*(1-G139/100)+J139*(1-H139/100),-N139)</f>
        <v>29.4012327035836</v>
      </c>
      <c r="Q139" s="54" t="n">
        <f aca="false">IF(P138&gt;0,Q138+P138*(1-V$24/100),Q138+P138)</f>
        <v>3027.81899216409</v>
      </c>
      <c r="R139" s="55" t="n">
        <f aca="false">R$4+Q139/V$32</f>
        <v>69.4461160596091</v>
      </c>
    </row>
    <row r="140" customFormat="false" ht="12.8" hidden="false" customHeight="false" outlineLevel="0" collapsed="false">
      <c r="A140" s="1" t="n">
        <v>136</v>
      </c>
      <c r="B140" s="44" t="n">
        <v>43681</v>
      </c>
      <c r="C140" s="45" t="n">
        <f aca="false">V$30-V$30*SIN(2*PI()/365*A140)</f>
        <v>4.56726193139996</v>
      </c>
      <c r="D140" s="3" t="n">
        <f aca="false">IF((E140+F140)&gt;C140,C140,E140+F140)</f>
        <v>4.56726193139996</v>
      </c>
      <c r="E140" s="46" t="n">
        <f aca="false">(V$27+V$28*SIN(2*PI()/365*A140))*V$29/100*V$9*V$10/100</f>
        <v>0</v>
      </c>
      <c r="F140" s="46" t="n">
        <f aca="false">(V$27+V$28*SIN(2*PI()/365*A140))*V$29/100*V$11*(1-V$18/100)*(1-V$20/100)</f>
        <v>30.9369400981108</v>
      </c>
      <c r="G140" s="46" t="n">
        <f aca="false">IF(C140&gt;E140,100,C140/E140*100)</f>
        <v>100</v>
      </c>
      <c r="H140" s="46" t="n">
        <f aca="false">L140/F140*100</f>
        <v>14.7631340297901</v>
      </c>
      <c r="I140" s="47" t="n">
        <f aca="false">(V$27+V$28*SIN(2*PI()/365*A140))*V$29/100*V$9*V$10/100*(1-V$19/100)</f>
        <v>0</v>
      </c>
      <c r="J140" s="47" t="n">
        <f aca="false">(V$27+V$28*SIN(2*PI()/365*A140))*V$29/100*V$11*(1-V$18/100)</f>
        <v>33.9966374704514</v>
      </c>
      <c r="K140" s="48" t="n">
        <f aca="false">IF(E140/C140*100&lt;100,E140/C140*100,100)</f>
        <v>0</v>
      </c>
      <c r="L140" s="7" t="n">
        <f aca="false">IF(((C140-E140)&gt;0)AND(F140&gt;(C140-E140)),(C140-E140),IF(C140&lt;E140,0,F140))</f>
        <v>4.56726193139996</v>
      </c>
      <c r="M140" s="7" t="n">
        <f aca="false">IF(C140&lt;(E140+F140),0,C140-E140-F140)</f>
        <v>0</v>
      </c>
      <c r="N140" s="7" t="n">
        <f aca="false">IF(C140&lt;(E140+F140),0,(C140-E140-F140)/(1-V$20/100))</f>
        <v>0</v>
      </c>
      <c r="O140" s="7" t="n">
        <f aca="false">L140+M140</f>
        <v>4.56726193139996</v>
      </c>
      <c r="P140" s="49" t="n">
        <f aca="false">IF( N140=0,I140*(1-G140/100)+J140*(1-H140/100),-N140)</f>
        <v>28.9776683150668</v>
      </c>
      <c r="Q140" s="54" t="n">
        <f aca="false">IF(P139&gt;0,Q139+P139*(1-V$24/100),Q139+P139)</f>
        <v>3050.45794134585</v>
      </c>
      <c r="R140" s="55" t="n">
        <f aca="false">R$4+Q140/V$32</f>
        <v>69.6662841498414</v>
      </c>
    </row>
    <row r="141" customFormat="false" ht="12.8" hidden="false" customHeight="false" outlineLevel="0" collapsed="false">
      <c r="A141" s="1" t="n">
        <v>137</v>
      </c>
      <c r="B141" s="44" t="n">
        <v>43682</v>
      </c>
      <c r="C141" s="45" t="n">
        <f aca="false">V$30-V$30*SIN(2*PI()/365*A141)</f>
        <v>4.76290050185387</v>
      </c>
      <c r="D141" s="3" t="n">
        <f aca="false">IF((E141+F141)&gt;C141,C141,E141+F141)</f>
        <v>4.76290050185387</v>
      </c>
      <c r="E141" s="46" t="n">
        <f aca="false">(V$27+V$28*SIN(2*PI()/365*A141))*V$29/100*V$9*V$10/100</f>
        <v>0</v>
      </c>
      <c r="F141" s="46" t="n">
        <f aca="false">(V$27+V$28*SIN(2*PI()/365*A141))*V$29/100*V$11*(1-V$18/100)*(1-V$20/100)</f>
        <v>30.7402356445879</v>
      </c>
      <c r="G141" s="46" t="n">
        <f aca="false">IF(C141&gt;E141,100,C141/E141*100)</f>
        <v>100</v>
      </c>
      <c r="H141" s="46" t="n">
        <f aca="false">L141/F141*100</f>
        <v>15.4940272967375</v>
      </c>
      <c r="I141" s="47" t="n">
        <f aca="false">(V$27+V$28*SIN(2*PI()/365*A141))*V$29/100*V$9*V$10/100*(1-V$19/100)</f>
        <v>0</v>
      </c>
      <c r="J141" s="47" t="n">
        <f aca="false">(V$27+V$28*SIN(2*PI()/365*A141))*V$29/100*V$11*(1-V$18/100)</f>
        <v>33.7804787303163</v>
      </c>
      <c r="K141" s="48" t="n">
        <f aca="false">IF(E141/C141*100&lt;100,E141/C141*100,100)</f>
        <v>0</v>
      </c>
      <c r="L141" s="7" t="n">
        <f aca="false">IF(((C141-E141)&gt;0)AND(F141&gt;(C141-E141)),(C141-E141),IF(C141&lt;E141,0,F141))</f>
        <v>4.76290050185387</v>
      </c>
      <c r="M141" s="7" t="n">
        <f aca="false">IF(C141&lt;(E141+F141),0,C141-E141-F141)</f>
        <v>0</v>
      </c>
      <c r="N141" s="7" t="n">
        <f aca="false">IF(C141&lt;(E141+F141),0,(C141-E141-F141)/(1-V$20/100))</f>
        <v>0</v>
      </c>
      <c r="O141" s="7" t="n">
        <f aca="false">L141+M141</f>
        <v>4.76290050185387</v>
      </c>
      <c r="P141" s="49" t="n">
        <f aca="false">IF( N141=0,I141*(1-G141/100)+J141*(1-H141/100),-N141)</f>
        <v>28.5465221348725</v>
      </c>
      <c r="Q141" s="54" t="n">
        <f aca="false">IF(P140&gt;0,Q140+P140*(1-V$24/100),Q140+P140)</f>
        <v>3072.77074594845</v>
      </c>
      <c r="R141" s="55" t="n">
        <f aca="false">R$4+Q141/V$32</f>
        <v>69.883280421958</v>
      </c>
    </row>
    <row r="142" customFormat="false" ht="12.8" hidden="false" customHeight="false" outlineLevel="0" collapsed="false">
      <c r="A142" s="1" t="n">
        <v>138</v>
      </c>
      <c r="B142" s="44" t="n">
        <v>43683</v>
      </c>
      <c r="C142" s="45" t="n">
        <f aca="false">V$30-V$30*SIN(2*PI()/365*A142)</f>
        <v>4.96192144370708</v>
      </c>
      <c r="D142" s="3" t="n">
        <f aca="false">IF((E142+F142)&gt;C142,C142,E142+F142)</f>
        <v>4.96192144370708</v>
      </c>
      <c r="E142" s="46" t="n">
        <f aca="false">(V$27+V$28*SIN(2*PI()/365*A142))*V$29/100*V$9*V$10/100</f>
        <v>0</v>
      </c>
      <c r="F142" s="46" t="n">
        <f aca="false">(V$27+V$28*SIN(2*PI()/365*A142))*V$29/100*V$11*(1-V$18/100)*(1-V$20/100)</f>
        <v>30.5401303917432</v>
      </c>
      <c r="G142" s="46" t="n">
        <f aca="false">IF(C142&gt;E142,100,C142/E142*100)</f>
        <v>100</v>
      </c>
      <c r="H142" s="46" t="n">
        <f aca="false">L142/F142*100</f>
        <v>16.2472176119083</v>
      </c>
      <c r="I142" s="47" t="n">
        <f aca="false">(V$27+V$28*SIN(2*PI()/365*A142))*V$29/100*V$9*V$10/100*(1-V$19/100)</f>
        <v>0</v>
      </c>
      <c r="J142" s="47" t="n">
        <f aca="false">(V$27+V$28*SIN(2*PI()/365*A142))*V$29/100*V$11*(1-V$18/100)</f>
        <v>33.5605828480695</v>
      </c>
      <c r="K142" s="48" t="n">
        <f aca="false">IF(E142/C142*100&lt;100,E142/C142*100,100)</f>
        <v>0</v>
      </c>
      <c r="L142" s="7" t="n">
        <f aca="false">IF(((C142-E142)&gt;0)AND(F142&gt;(C142-E142)),(C142-E142),IF(C142&lt;E142,0,F142))</f>
        <v>4.96192144370708</v>
      </c>
      <c r="M142" s="7" t="n">
        <f aca="false">IF(C142&lt;(E142+F142),0,C142-E142-F142)</f>
        <v>0</v>
      </c>
      <c r="N142" s="7" t="n">
        <f aca="false">IF(C142&lt;(E142+F142),0,(C142-E142-F142)/(1-V$20/100))</f>
        <v>0</v>
      </c>
      <c r="O142" s="7" t="n">
        <f aca="false">L142+M142</f>
        <v>4.96192144370708</v>
      </c>
      <c r="P142" s="49" t="n">
        <f aca="false">IF( N142=0,I142*(1-G142/100)+J142*(1-H142/100),-N142)</f>
        <v>28.1079219209188</v>
      </c>
      <c r="Q142" s="54" t="n">
        <f aca="false">IF(P141&gt;0,Q141+P141*(1-V$24/100),Q141+P141)</f>
        <v>3094.7515679923</v>
      </c>
      <c r="R142" s="55" t="n">
        <f aca="false">R$4+Q142/V$32</f>
        <v>70.0970481004963</v>
      </c>
    </row>
    <row r="143" customFormat="false" ht="12.8" hidden="false" customHeight="false" outlineLevel="0" collapsed="false">
      <c r="A143" s="1" t="n">
        <v>139</v>
      </c>
      <c r="B143" s="44" t="n">
        <v>43684</v>
      </c>
      <c r="C143" s="45" t="n">
        <f aca="false">V$30-V$30*SIN(2*PI()/365*A143)</f>
        <v>5.16426578275929</v>
      </c>
      <c r="D143" s="3" t="n">
        <f aca="false">IF((E143+F143)&gt;C143,C143,E143+F143)</f>
        <v>5.16426578275929</v>
      </c>
      <c r="E143" s="46" t="n">
        <f aca="false">(V$27+V$28*SIN(2*PI()/365*A143))*V$29/100*V$9*V$10/100</f>
        <v>0</v>
      </c>
      <c r="F143" s="46" t="n">
        <f aca="false">(V$27+V$28*SIN(2*PI()/365*A143))*V$29/100*V$11*(1-V$18/100)*(1-V$20/100)</f>
        <v>30.3366836350818</v>
      </c>
      <c r="G143" s="46" t="n">
        <f aca="false">IF(C143&gt;E143,100,C143/E143*100)</f>
        <v>100</v>
      </c>
      <c r="H143" s="46" t="n">
        <f aca="false">L143/F143*100</f>
        <v>17.0231718301181</v>
      </c>
      <c r="I143" s="47" t="n">
        <f aca="false">(V$27+V$28*SIN(2*PI()/365*A143))*V$29/100*V$9*V$10/100*(1-V$19/100)</f>
        <v>0</v>
      </c>
      <c r="J143" s="47" t="n">
        <f aca="false">(V$27+V$28*SIN(2*PI()/365*A143))*V$29/100*V$11*(1-V$18/100)</f>
        <v>33.3370149836064</v>
      </c>
      <c r="K143" s="48" t="n">
        <f aca="false">IF(E143/C143*100&lt;100,E143/C143*100,100)</f>
        <v>0</v>
      </c>
      <c r="L143" s="7" t="n">
        <f aca="false">IF(((C143-E143)&gt;0)AND(F143&gt;(C143-E143)),(C143-E143),IF(C143&lt;E143,0,F143))</f>
        <v>5.16426578275929</v>
      </c>
      <c r="M143" s="7" t="n">
        <f aca="false">IF(C143&lt;(E143+F143),0,C143-E143-F143)</f>
        <v>0</v>
      </c>
      <c r="N143" s="7" t="n">
        <f aca="false">IF(C143&lt;(E143+F143),0,(C143-E143-F143)/(1-V$20/100))</f>
        <v>0</v>
      </c>
      <c r="O143" s="7" t="n">
        <f aca="false">L143+M143</f>
        <v>5.16426578275929</v>
      </c>
      <c r="P143" s="49" t="n">
        <f aca="false">IF( N143=0,I143*(1-G143/100)+J143*(1-H143/100),-N143)</f>
        <v>27.6619976399149</v>
      </c>
      <c r="Q143" s="54" t="n">
        <f aca="false">IF(P142&gt;0,Q142+P142*(1-V$24/100),Q142+P142)</f>
        <v>3116.39466787141</v>
      </c>
      <c r="R143" s="55" t="n">
        <f aca="false">R$4+Q143/V$32</f>
        <v>70.3075313666952</v>
      </c>
    </row>
    <row r="144" customFormat="false" ht="12.8" hidden="false" customHeight="false" outlineLevel="0" collapsed="false">
      <c r="A144" s="1" t="n">
        <v>140</v>
      </c>
      <c r="B144" s="44" t="n">
        <v>43685</v>
      </c>
      <c r="C144" s="45" t="n">
        <f aca="false">V$30-V$30*SIN(2*PI()/365*A144)</f>
        <v>5.36987356001589</v>
      </c>
      <c r="D144" s="3" t="n">
        <f aca="false">IF((E144+F144)&gt;C144,C144,E144+F144)</f>
        <v>5.36987356001589</v>
      </c>
      <c r="E144" s="46" t="n">
        <f aca="false">(V$27+V$28*SIN(2*PI()/365*A144))*V$29/100*V$9*V$10/100</f>
        <v>0</v>
      </c>
      <c r="F144" s="46" t="n">
        <f aca="false">(V$27+V$28*SIN(2*PI()/365*A144))*V$29/100*V$11*(1-V$18/100)*(1-V$20/100)</f>
        <v>30.1299556602685</v>
      </c>
      <c r="G144" s="46" t="n">
        <f aca="false">IF(C144&gt;E144,100,C144/E144*100)</f>
        <v>100</v>
      </c>
      <c r="H144" s="46" t="n">
        <f aca="false">L144/F144*100</f>
        <v>17.8223745848288</v>
      </c>
      <c r="I144" s="47" t="n">
        <f aca="false">(V$27+V$28*SIN(2*PI()/365*A144))*V$29/100*V$9*V$10/100*(1-V$19/100)</f>
        <v>0</v>
      </c>
      <c r="J144" s="47" t="n">
        <f aca="false">(V$27+V$28*SIN(2*PI()/365*A144))*V$29/100*V$11*(1-V$18/100)</f>
        <v>33.1098413849104</v>
      </c>
      <c r="K144" s="48" t="n">
        <f aca="false">IF(E144/C144*100&lt;100,E144/C144*100,100)</f>
        <v>0</v>
      </c>
      <c r="L144" s="7" t="n">
        <f aca="false">IF(((C144-E144)&gt;0)AND(F144&gt;(C144-E144)),(C144-E144),IF(C144&lt;E144,0,F144))</f>
        <v>5.36987356001589</v>
      </c>
      <c r="M144" s="7" t="n">
        <f aca="false">IF(C144&lt;(E144+F144),0,C144-E144-F144)</f>
        <v>0</v>
      </c>
      <c r="N144" s="7" t="n">
        <f aca="false">IF(C144&lt;(E144+F144),0,(C144-E144-F144)/(1-V$20/100))</f>
        <v>0</v>
      </c>
      <c r="O144" s="7" t="n">
        <f aca="false">L144+M144</f>
        <v>5.36987356001589</v>
      </c>
      <c r="P144" s="49" t="n">
        <f aca="false">IF( N144=0,I144*(1-G144/100)+J144*(1-H144/100),-N144)</f>
        <v>27.208881428849</v>
      </c>
      <c r="Q144" s="54" t="n">
        <f aca="false">IF(P143&gt;0,Q143+P143*(1-V$24/100),Q143+P143)</f>
        <v>3137.69440605414</v>
      </c>
      <c r="R144" s="55" t="n">
        <f aca="false">R$4+Q144/V$32</f>
        <v>70.5146753750363</v>
      </c>
    </row>
    <row r="145" customFormat="false" ht="12.8" hidden="false" customHeight="false" outlineLevel="0" collapsed="false">
      <c r="A145" s="1" t="n">
        <v>141</v>
      </c>
      <c r="B145" s="44" t="n">
        <v>43686</v>
      </c>
      <c r="C145" s="45" t="n">
        <f aca="false">V$30-V$30*SIN(2*PI()/365*A145)</f>
        <v>5.57868384945511</v>
      </c>
      <c r="D145" s="3" t="n">
        <f aca="false">IF((E145+F145)&gt;C145,C145,E145+F145)</f>
        <v>5.57868384945511</v>
      </c>
      <c r="E145" s="46" t="n">
        <f aca="false">(V$27+V$28*SIN(2*PI()/365*A145))*V$29/100*V$9*V$10/100</f>
        <v>0</v>
      </c>
      <c r="F145" s="46" t="n">
        <f aca="false">(V$27+V$28*SIN(2*PI()/365*A145))*V$29/100*V$11*(1-V$18/100)*(1-V$20/100)</f>
        <v>29.9200077252636</v>
      </c>
      <c r="G145" s="46" t="n">
        <f aca="false">IF(C145&gt;E145,100,C145/E145*100)</f>
        <v>100</v>
      </c>
      <c r="H145" s="46" t="n">
        <f aca="false">L145/F145*100</f>
        <v>18.645328907267</v>
      </c>
      <c r="I145" s="47" t="n">
        <f aca="false">(V$27+V$28*SIN(2*PI()/365*A145))*V$29/100*V$9*V$10/100*(1-V$19/100)</f>
        <v>0</v>
      </c>
      <c r="J145" s="47" t="n">
        <f aca="false">(V$27+V$28*SIN(2*PI()/365*A145))*V$29/100*V$11*(1-V$18/100)</f>
        <v>32.8791293684216</v>
      </c>
      <c r="K145" s="48" t="n">
        <f aca="false">IF(E145/C145*100&lt;100,E145/C145*100,100)</f>
        <v>0</v>
      </c>
      <c r="L145" s="7" t="n">
        <f aca="false">IF(((C145-E145)&gt;0)AND(F145&gt;(C145-E145)),(C145-E145),IF(C145&lt;E145,0,F145))</f>
        <v>5.57868384945511</v>
      </c>
      <c r="M145" s="7" t="n">
        <f aca="false">IF(C145&lt;(E145+F145),0,C145-E145-F145)</f>
        <v>0</v>
      </c>
      <c r="N145" s="7" t="n">
        <f aca="false">IF(C145&lt;(E145+F145),0,(C145-E145-F145)/(1-V$20/100))</f>
        <v>0</v>
      </c>
      <c r="O145" s="7" t="n">
        <f aca="false">L145+M145</f>
        <v>5.57868384945511</v>
      </c>
      <c r="P145" s="49" t="n">
        <f aca="false">IF( N145=0,I145*(1-G145/100)+J145*(1-H145/100),-N145)</f>
        <v>26.7487075558335</v>
      </c>
      <c r="Q145" s="54" t="n">
        <f aca="false">IF(P144&gt;0,Q144+P144*(1-V$24/100),Q144+P144)</f>
        <v>3158.64524475436</v>
      </c>
      <c r="R145" s="55" t="n">
        <f aca="false">R$4+Q145/V$32</f>
        <v>70.718426269495</v>
      </c>
    </row>
    <row r="146" customFormat="false" ht="12.8" hidden="false" customHeight="false" outlineLevel="0" collapsed="false">
      <c r="A146" s="1" t="n">
        <v>142</v>
      </c>
      <c r="B146" s="44" t="n">
        <v>43687</v>
      </c>
      <c r="C146" s="45" t="n">
        <f aca="false">V$30-V$30*SIN(2*PI()/365*A146)</f>
        <v>5.79063477608168</v>
      </c>
      <c r="D146" s="3" t="n">
        <f aca="false">IF((E146+F146)&gt;C146,C146,E146+F146)</f>
        <v>5.79063477608168</v>
      </c>
      <c r="E146" s="46" t="n">
        <f aca="false">(V$27+V$28*SIN(2*PI()/365*A146))*V$29/100*V$9*V$10/100</f>
        <v>0</v>
      </c>
      <c r="F146" s="46" t="n">
        <f aca="false">(V$27+V$28*SIN(2*PI()/365*A146))*V$29/100*V$11*(1-V$18/100)*(1-V$20/100)</f>
        <v>29.7069020421715</v>
      </c>
      <c r="G146" s="46" t="n">
        <f aca="false">IF(C146&gt;E146,100,C146/E146*100)</f>
        <v>100</v>
      </c>
      <c r="H146" s="46" t="n">
        <f aca="false">L146/F146*100</f>
        <v>19.4925568740267</v>
      </c>
      <c r="I146" s="47" t="n">
        <f aca="false">(V$27+V$28*SIN(2*PI()/365*A146))*V$29/100*V$9*V$10/100*(1-V$19/100)</f>
        <v>0</v>
      </c>
      <c r="J146" s="47" t="n">
        <f aca="false">(V$27+V$28*SIN(2*PI()/365*A146))*V$29/100*V$11*(1-V$18/100)</f>
        <v>32.6449472990895</v>
      </c>
      <c r="K146" s="48" t="n">
        <f aca="false">IF(E146/C146*100&lt;100,E146/C146*100,100)</f>
        <v>0</v>
      </c>
      <c r="L146" s="7" t="n">
        <f aca="false">IF(((C146-E146)&gt;0)AND(F146&gt;(C146-E146)),(C146-E146),IF(C146&lt;E146,0,F146))</f>
        <v>5.79063477608168</v>
      </c>
      <c r="M146" s="7" t="n">
        <f aca="false">IF(C146&lt;(E146+F146),0,C146-E146-F146)</f>
        <v>0</v>
      </c>
      <c r="N146" s="7" t="n">
        <f aca="false">IF(C146&lt;(E146+F146),0,(C146-E146-F146)/(1-V$20/100))</f>
        <v>0</v>
      </c>
      <c r="O146" s="7" t="n">
        <f aca="false">L146+M146</f>
        <v>5.79063477608168</v>
      </c>
      <c r="P146" s="49" t="n">
        <f aca="false">IF( N146=0,I146*(1-G146/100)+J146*(1-H146/100),-N146)</f>
        <v>26.2816123803185</v>
      </c>
      <c r="Q146" s="54" t="n">
        <f aca="false">IF(P145&gt;0,Q145+P145*(1-V$24/100),Q145+P145)</f>
        <v>3179.24174957235</v>
      </c>
      <c r="R146" s="55" t="n">
        <f aca="false">R$4+Q146/V$32</f>
        <v>70.9187311994999</v>
      </c>
    </row>
    <row r="147" customFormat="false" ht="12.8" hidden="false" customHeight="false" outlineLevel="0" collapsed="false">
      <c r="A147" s="1" t="n">
        <v>143</v>
      </c>
      <c r="B147" s="44" t="n">
        <v>43688</v>
      </c>
      <c r="C147" s="45" t="n">
        <f aca="false">V$30-V$30*SIN(2*PI()/365*A147)</f>
        <v>6.00566353426177</v>
      </c>
      <c r="D147" s="3" t="n">
        <f aca="false">IF((E147+F147)&gt;C147,C147,E147+F147)</f>
        <v>6.00566353426177</v>
      </c>
      <c r="E147" s="46" t="n">
        <f aca="false">(V$27+V$28*SIN(2*PI()/365*A147))*V$29/100*V$9*V$10/100</f>
        <v>0</v>
      </c>
      <c r="F147" s="46" t="n">
        <f aca="false">(V$27+V$28*SIN(2*PI()/365*A147))*V$29/100*V$11*(1-V$18/100)*(1-V$20/100)</f>
        <v>29.4907017588051</v>
      </c>
      <c r="G147" s="46" t="n">
        <f aca="false">IF(C147&gt;E147,100,C147/E147*100)</f>
        <v>100</v>
      </c>
      <c r="H147" s="46" t="n">
        <f aca="false">L147/F147*100</f>
        <v>20.3646002844562</v>
      </c>
      <c r="I147" s="47" t="n">
        <f aca="false">(V$27+V$28*SIN(2*PI()/365*A147))*V$29/100*V$9*V$10/100*(1-V$19/100)</f>
        <v>0</v>
      </c>
      <c r="J147" s="47" t="n">
        <f aca="false">(V$27+V$28*SIN(2*PI()/365*A147))*V$29/100*V$11*(1-V$18/100)</f>
        <v>32.4073645701155</v>
      </c>
      <c r="K147" s="48" t="n">
        <f aca="false">IF(E147/C147*100&lt;100,E147/C147*100,100)</f>
        <v>0</v>
      </c>
      <c r="L147" s="7" t="n">
        <f aca="false">IF(((C147-E147)&gt;0)AND(F147&gt;(C147-E147)),(C147-E147),IF(C147&lt;E147,0,F147))</f>
        <v>6.00566353426177</v>
      </c>
      <c r="M147" s="7" t="n">
        <f aca="false">IF(C147&lt;(E147+F147),0,C147-E147-F147)</f>
        <v>0</v>
      </c>
      <c r="N147" s="7" t="n">
        <f aca="false">IF(C147&lt;(E147+F147),0,(C147-E147-F147)/(1-V$20/100))</f>
        <v>0</v>
      </c>
      <c r="O147" s="7" t="n">
        <f aca="false">L147+M147</f>
        <v>6.00566353426177</v>
      </c>
      <c r="P147" s="49" t="n">
        <f aca="false">IF( N147=0,I147*(1-G147/100)+J147*(1-H147/100),-N147)</f>
        <v>25.807734312685</v>
      </c>
      <c r="Q147" s="54" t="n">
        <f aca="false">IF(P146&gt;0,Q146+P146*(1-V$24/100),Q146+P146)</f>
        <v>3199.47859110519</v>
      </c>
      <c r="R147" s="55" t="n">
        <f aca="false">R$4+Q147/V$32</f>
        <v>71.115538335593</v>
      </c>
    </row>
    <row r="148" customFormat="false" ht="12.8" hidden="false" customHeight="false" outlineLevel="0" collapsed="false">
      <c r="A148" s="1" t="n">
        <v>144</v>
      </c>
      <c r="B148" s="44" t="n">
        <v>43689</v>
      </c>
      <c r="C148" s="45" t="n">
        <f aca="false">V$30-V$30*SIN(2*PI()/365*A148)</f>
        <v>6.22370640633363</v>
      </c>
      <c r="D148" s="3" t="n">
        <f aca="false">IF((E148+F148)&gt;C148,C148,E148+F148)</f>
        <v>6.22370640633363</v>
      </c>
      <c r="E148" s="46" t="n">
        <f aca="false">(V$27+V$28*SIN(2*PI()/365*A148))*V$29/100*V$9*V$10/100</f>
        <v>0</v>
      </c>
      <c r="F148" s="46" t="n">
        <f aca="false">(V$27+V$28*SIN(2*PI()/365*A148))*V$29/100*V$11*(1-V$18/100)*(1-V$20/100)</f>
        <v>29.2714709399745</v>
      </c>
      <c r="G148" s="46" t="n">
        <f aca="false">IF(C148&gt;E148,100,C148/E148*100)</f>
        <v>100</v>
      </c>
      <c r="H148" s="46" t="n">
        <f aca="false">L148/F148*100</f>
        <v>21.26202136919</v>
      </c>
      <c r="I148" s="47" t="n">
        <f aca="false">(V$27+V$28*SIN(2*PI()/365*A148))*V$29/100*V$9*V$10/100*(1-V$19/100)</f>
        <v>0</v>
      </c>
      <c r="J148" s="47" t="n">
        <f aca="false">(V$27+V$28*SIN(2*PI()/365*A148))*V$29/100*V$11*(1-V$18/100)</f>
        <v>32.1664515823896</v>
      </c>
      <c r="K148" s="48" t="n">
        <f aca="false">IF(E148/C148*100&lt;100,E148/C148*100,100)</f>
        <v>0</v>
      </c>
      <c r="L148" s="7" t="n">
        <f aca="false">IF(((C148-E148)&gt;0)AND(F148&gt;(C148-E148)),(C148-E148),IF(C148&lt;E148,0,F148))</f>
        <v>6.22370640633363</v>
      </c>
      <c r="M148" s="7" t="n">
        <f aca="false">IF(C148&lt;(E148+F148),0,C148-E148-F148)</f>
        <v>0</v>
      </c>
      <c r="N148" s="7" t="n">
        <f aca="false">IF(C148&lt;(E148+F148),0,(C148-E148-F148)/(1-V$20/100))</f>
        <v>0</v>
      </c>
      <c r="O148" s="7" t="n">
        <f aca="false">L148+M148</f>
        <v>6.22370640633363</v>
      </c>
      <c r="P148" s="49" t="n">
        <f aca="false">IF( N148=0,I148*(1-G148/100)+J148*(1-H148/100),-N148)</f>
        <v>25.3272137732318</v>
      </c>
      <c r="Q148" s="54" t="n">
        <f aca="false">IF(P147&gt;0,Q147+P147*(1-V$24/100),Q147+P147)</f>
        <v>3219.35054652596</v>
      </c>
      <c r="R148" s="55" t="n">
        <f aca="false">R$4+Q148/V$32</f>
        <v>71.3087968847882</v>
      </c>
    </row>
    <row r="149" customFormat="false" ht="12.8" hidden="false" customHeight="false" outlineLevel="0" collapsed="false">
      <c r="A149" s="1" t="n">
        <v>145</v>
      </c>
      <c r="B149" s="44" t="n">
        <v>43690</v>
      </c>
      <c r="C149" s="45" t="n">
        <f aca="false">V$30-V$30*SIN(2*PI()/365*A149)</f>
        <v>6.44469878148852</v>
      </c>
      <c r="D149" s="3" t="n">
        <f aca="false">IF((E149+F149)&gt;C149,C149,E149+F149)</f>
        <v>6.44469878148852</v>
      </c>
      <c r="E149" s="46" t="n">
        <f aca="false">(V$27+V$28*SIN(2*PI()/365*A149))*V$29/100*V$9*V$10/100</f>
        <v>0</v>
      </c>
      <c r="F149" s="46" t="n">
        <f aca="false">(V$27+V$28*SIN(2*PI()/365*A149))*V$29/100*V$11*(1-V$18/100)*(1-V$20/100)</f>
        <v>29.0492745485027</v>
      </c>
      <c r="G149" s="46" t="n">
        <f aca="false">IF(C149&gt;E149,100,C149/E149*100)</f>
        <v>100</v>
      </c>
      <c r="H149" s="46" t="n">
        <f aca="false">L149/F149*100</f>
        <v>22.1854035312586</v>
      </c>
      <c r="I149" s="47" t="n">
        <f aca="false">(V$27+V$28*SIN(2*PI()/365*A149))*V$29/100*V$9*V$10/100*(1-V$19/100)</f>
        <v>0</v>
      </c>
      <c r="J149" s="47" t="n">
        <f aca="false">(V$27+V$28*SIN(2*PI()/365*A149))*V$29/100*V$11*(1-V$18/100)</f>
        <v>31.9222797236293</v>
      </c>
      <c r="K149" s="48" t="n">
        <f aca="false">IF(E149/C149*100&lt;100,E149/C149*100,100)</f>
        <v>0</v>
      </c>
      <c r="L149" s="7" t="n">
        <f aca="false">IF(((C149-E149)&gt;0)AND(F149&gt;(C149-E149)),(C149-E149),IF(C149&lt;E149,0,F149))</f>
        <v>6.44469878148852</v>
      </c>
      <c r="M149" s="7" t="n">
        <f aca="false">IF(C149&lt;(E149+F149),0,C149-E149-F149)</f>
        <v>0</v>
      </c>
      <c r="N149" s="7" t="n">
        <f aca="false">IF(C149&lt;(E149+F149),0,(C149-E149-F149)/(1-V$20/100))</f>
        <v>0</v>
      </c>
      <c r="O149" s="7" t="n">
        <f aca="false">L149+M149</f>
        <v>6.44469878148852</v>
      </c>
      <c r="P149" s="49" t="n">
        <f aca="false">IF( N149=0,I149*(1-G149/100)+J149*(1-H149/100),-N149)</f>
        <v>24.840193150565</v>
      </c>
      <c r="Q149" s="54" t="n">
        <f aca="false">IF(P148&gt;0,Q148+P148*(1-V$24/100),Q148+P148)</f>
        <v>3238.85250113135</v>
      </c>
      <c r="R149" s="55" t="n">
        <f aca="false">R$4+Q149/V$32</f>
        <v>71.4984571056223</v>
      </c>
    </row>
    <row r="150" customFormat="false" ht="12.8" hidden="false" customHeight="false" outlineLevel="0" collapsed="false">
      <c r="A150" s="1" t="n">
        <v>146</v>
      </c>
      <c r="B150" s="44" t="n">
        <v>43691</v>
      </c>
      <c r="C150" s="45" t="n">
        <f aca="false">V$30-V$30*SIN(2*PI()/365*A150)</f>
        <v>6.66857517491628</v>
      </c>
      <c r="D150" s="3" t="n">
        <f aca="false">IF((E150+F150)&gt;C150,C150,E150+F150)</f>
        <v>6.66857517491628</v>
      </c>
      <c r="E150" s="46" t="n">
        <f aca="false">(V$27+V$28*SIN(2*PI()/365*A150))*V$29/100*V$9*V$10/100</f>
        <v>0</v>
      </c>
      <c r="F150" s="46" t="n">
        <f aca="false">(V$27+V$28*SIN(2*PI()/365*A150))*V$29/100*V$11*(1-V$18/100)*(1-V$20/100)</f>
        <v>28.8241784259758</v>
      </c>
      <c r="G150" s="46" t="n">
        <f aca="false">IF(C150&gt;E150,100,C150/E150*100)</f>
        <v>100</v>
      </c>
      <c r="H150" s="46" t="n">
        <f aca="false">L150/F150*100</f>
        <v>23.1353521212826</v>
      </c>
      <c r="I150" s="47" t="n">
        <f aca="false">(V$27+V$28*SIN(2*PI()/365*A150))*V$29/100*V$9*V$10/100*(1-V$19/100)</f>
        <v>0</v>
      </c>
      <c r="J150" s="47" t="n">
        <f aca="false">(V$27+V$28*SIN(2*PI()/365*A150))*V$29/100*V$11*(1-V$18/100)</f>
        <v>31.6749213472261</v>
      </c>
      <c r="K150" s="48" t="n">
        <f aca="false">IF(E150/C150*100&lt;100,E150/C150*100,100)</f>
        <v>0</v>
      </c>
      <c r="L150" s="7" t="n">
        <f aca="false">IF(((C150-E150)&gt;0)AND(F150&gt;(C150-E150)),(C150-E150),IF(C150&lt;E150,0,F150))</f>
        <v>6.66857517491628</v>
      </c>
      <c r="M150" s="7" t="n">
        <f aca="false">IF(C150&lt;(E150+F150),0,C150-E150-F150)</f>
        <v>0</v>
      </c>
      <c r="N150" s="7" t="n">
        <f aca="false">IF(C150&lt;(E150+F150),0,(C150-E150-F150)/(1-V$20/100))</f>
        <v>0</v>
      </c>
      <c r="O150" s="7" t="n">
        <f aca="false">L150+M150</f>
        <v>6.66857517491628</v>
      </c>
      <c r="P150" s="49" t="n">
        <f aca="false">IF( N150=0,I150*(1-G150/100)+J150*(1-H150/100),-N150)</f>
        <v>24.346816759406</v>
      </c>
      <c r="Q150" s="54" t="n">
        <f aca="false">IF(P149&gt;0,Q149+P149*(1-V$24/100),Q149+P149)</f>
        <v>3257.97944985728</v>
      </c>
      <c r="R150" s="55" t="n">
        <f aca="false">R$4+Q150/V$32</f>
        <v>71.6844703228944</v>
      </c>
    </row>
    <row r="151" customFormat="false" ht="12.8" hidden="false" customHeight="false" outlineLevel="0" collapsed="false">
      <c r="A151" s="1" t="n">
        <v>147</v>
      </c>
      <c r="B151" s="44" t="n">
        <v>43692</v>
      </c>
      <c r="C151" s="45" t="n">
        <f aca="false">V$30-V$30*SIN(2*PI()/365*A151)</f>
        <v>6.89526924720987</v>
      </c>
      <c r="D151" s="3" t="n">
        <f aca="false">IF((E151+F151)&gt;C151,C151,E151+F151)</f>
        <v>6.89526924720987</v>
      </c>
      <c r="E151" s="46" t="n">
        <f aca="false">(V$27+V$28*SIN(2*PI()/365*A151))*V$29/100*V$9*V$10/100</f>
        <v>0</v>
      </c>
      <c r="F151" s="46" t="n">
        <f aca="false">(V$27+V$28*SIN(2*PI()/365*A151))*V$29/100*V$11*(1-V$18/100)*(1-V$20/100)</f>
        <v>28.5962492732329</v>
      </c>
      <c r="G151" s="46" t="n">
        <f aca="false">IF(C151&gt;E151,100,C151/E151*100)</f>
        <v>100</v>
      </c>
      <c r="H151" s="46" t="n">
        <f aca="false">L151/F151*100</f>
        <v>24.1124952483335</v>
      </c>
      <c r="I151" s="47" t="n">
        <f aca="false">(V$27+V$28*SIN(2*PI()/365*A151))*V$29/100*V$9*V$10/100*(1-V$19/100)</f>
        <v>0</v>
      </c>
      <c r="J151" s="47" t="n">
        <f aca="false">(V$27+V$28*SIN(2*PI()/365*A151))*V$29/100*V$11*(1-V$18/100)</f>
        <v>31.4244497508054</v>
      </c>
      <c r="K151" s="48" t="n">
        <f aca="false">IF(E151/C151*100&lt;100,E151/C151*100,100)</f>
        <v>0</v>
      </c>
      <c r="L151" s="7" t="n">
        <f aca="false">IF(((C151-E151)&gt;0)AND(F151&gt;(C151-E151)),(C151-E151),IF(C151&lt;E151,0,F151))</f>
        <v>6.89526924720987</v>
      </c>
      <c r="M151" s="7" t="n">
        <f aca="false">IF(C151&lt;(E151+F151),0,C151-E151-F151)</f>
        <v>0</v>
      </c>
      <c r="N151" s="7" t="n">
        <f aca="false">IF(C151&lt;(E151+F151),0,(C151-E151-F151)/(1-V$20/100))</f>
        <v>0</v>
      </c>
      <c r="O151" s="7" t="n">
        <f aca="false">L151+M151</f>
        <v>6.89526924720987</v>
      </c>
      <c r="P151" s="49" t="n">
        <f aca="false">IF( N151=0,I151*(1-G151/100)+J151*(1-H151/100),-N151)</f>
        <v>23.8472307978275</v>
      </c>
      <c r="Q151" s="54" t="n">
        <f aca="false">IF(P150&gt;0,Q150+P150*(1-V$24/100),Q150+P150)</f>
        <v>3276.72649876203</v>
      </c>
      <c r="R151" s="55" t="n">
        <f aca="false">R$4+Q151/V$32</f>
        <v>71.8667889420896</v>
      </c>
    </row>
    <row r="152" customFormat="false" ht="12.8" hidden="false" customHeight="false" outlineLevel="0" collapsed="false">
      <c r="A152" s="1" t="n">
        <v>148</v>
      </c>
      <c r="B152" s="44" t="n">
        <v>43693</v>
      </c>
      <c r="C152" s="45" t="n">
        <f aca="false">V$30-V$30*SIN(2*PI()/365*A152)</f>
        <v>7.12471382402323</v>
      </c>
      <c r="D152" s="3" t="n">
        <f aca="false">IF((E152+F152)&gt;C152,C152,E152+F152)</f>
        <v>7.12471382402323</v>
      </c>
      <c r="E152" s="46" t="n">
        <f aca="false">(V$27+V$28*SIN(2*PI()/365*A152))*V$29/100*V$9*V$10/100</f>
        <v>0</v>
      </c>
      <c r="F152" s="46" t="n">
        <f aca="false">(V$27+V$28*SIN(2*PI()/365*A152))*V$29/100*V$11*(1-V$18/100)*(1-V$20/100)</f>
        <v>28.3655546306011</v>
      </c>
      <c r="G152" s="46" t="n">
        <f aca="false">IF(C152&gt;E152,100,C152/E152*100)</f>
        <v>100</v>
      </c>
      <c r="H152" s="46" t="n">
        <f aca="false">L152/F152*100</f>
        <v>25.1174846281236</v>
      </c>
      <c r="I152" s="47" t="n">
        <f aca="false">(V$27+V$28*SIN(2*PI()/365*A152))*V$29/100*V$9*V$10/100*(1-V$19/100)</f>
        <v>0</v>
      </c>
      <c r="J152" s="47" t="n">
        <f aca="false">(V$27+V$28*SIN(2*PI()/365*A152))*V$29/100*V$11*(1-V$18/100)</f>
        <v>31.1709391545067</v>
      </c>
      <c r="K152" s="48" t="n">
        <f aca="false">IF(E152/C152*100&lt;100,E152/C152*100,100)</f>
        <v>0</v>
      </c>
      <c r="L152" s="7" t="n">
        <f aca="false">IF(((C152-E152)&gt;0)AND(F152&gt;(C152-E152)),(C152-E152),IF(C152&lt;E152,0,F152))</f>
        <v>7.12471382402323</v>
      </c>
      <c r="M152" s="7" t="n">
        <f aca="false">IF(C152&lt;(E152+F152),0,C152-E152-F152)</f>
        <v>0</v>
      </c>
      <c r="N152" s="7" t="n">
        <f aca="false">IF(C152&lt;(E152+F152),0,(C152-E152-F152)/(1-V$20/100))</f>
        <v>0</v>
      </c>
      <c r="O152" s="7" t="n">
        <f aca="false">L152+M152</f>
        <v>7.12471382402323</v>
      </c>
      <c r="P152" s="49" t="n">
        <f aca="false">IF( N152=0,I152*(1-G152/100)+J152*(1-H152/100),-N152)</f>
        <v>23.3415833039317</v>
      </c>
      <c r="Q152" s="54" t="n">
        <f aca="false">IF(P151&gt;0,Q151+P151*(1-V$24/100),Q151+P151)</f>
        <v>3295.08886647635</v>
      </c>
      <c r="R152" s="55" t="n">
        <f aca="false">R$4+Q152/V$32</f>
        <v>72.0453664634819</v>
      </c>
    </row>
    <row r="153" customFormat="false" ht="12.8" hidden="false" customHeight="false" outlineLevel="0" collapsed="false">
      <c r="A153" s="1" t="n">
        <v>149</v>
      </c>
      <c r="B153" s="44" t="n">
        <v>43694</v>
      </c>
      <c r="C153" s="45" t="n">
        <f aca="false">V$30-V$30*SIN(2*PI()/365*A153)</f>
        <v>7.35684091597641</v>
      </c>
      <c r="D153" s="3" t="n">
        <f aca="false">IF((E153+F153)&gt;C153,C153,E153+F153)</f>
        <v>7.35684091597641</v>
      </c>
      <c r="E153" s="46" t="n">
        <f aca="false">(V$27+V$28*SIN(2*PI()/365*A153))*V$29/100*V$9*V$10/100</f>
        <v>0</v>
      </c>
      <c r="F153" s="46" t="n">
        <f aca="false">(V$27+V$28*SIN(2*PI()/365*A153))*V$29/100*V$11*(1-V$18/100)*(1-V$20/100)</f>
        <v>28.1321628578818</v>
      </c>
      <c r="G153" s="46" t="n">
        <f aca="false">IF(C153&gt;E153,100,C153/E153*100)</f>
        <v>100</v>
      </c>
      <c r="H153" s="46" t="n">
        <f aca="false">L153/F153*100</f>
        <v>26.1509964702741</v>
      </c>
      <c r="I153" s="47" t="n">
        <f aca="false">(V$27+V$28*SIN(2*PI()/365*A153))*V$29/100*V$9*V$10/100*(1-V$19/100)</f>
        <v>0</v>
      </c>
      <c r="J153" s="47" t="n">
        <f aca="false">(V$27+V$28*SIN(2*PI()/365*A153))*V$29/100*V$11*(1-V$18/100)</f>
        <v>30.9144646789909</v>
      </c>
      <c r="K153" s="48" t="n">
        <f aca="false">IF(E153/C153*100&lt;100,E153/C153*100,100)</f>
        <v>0</v>
      </c>
      <c r="L153" s="7" t="n">
        <f aca="false">IF(((C153-E153)&gt;0)AND(F153&gt;(C153-E153)),(C153-E153),IF(C153&lt;E153,0,F153))</f>
        <v>7.35684091597641</v>
      </c>
      <c r="M153" s="7" t="n">
        <f aca="false">IF(C153&lt;(E153+F153),0,C153-E153-F153)</f>
        <v>0</v>
      </c>
      <c r="N153" s="7" t="n">
        <f aca="false">IF(C153&lt;(E153+F153),0,(C153-E153-F153)/(1-V$20/100))</f>
        <v>0</v>
      </c>
      <c r="O153" s="7" t="n">
        <f aca="false">L153+M153</f>
        <v>7.35684091597641</v>
      </c>
      <c r="P153" s="49" t="n">
        <f aca="false">IF( N153=0,I153*(1-G153/100)+J153*(1-H153/100),-N153)</f>
        <v>22.8300241119839</v>
      </c>
      <c r="Q153" s="54" t="n">
        <f aca="false">IF(P152&gt;0,Q152+P152*(1-V$24/100),Q152+P152)</f>
        <v>3313.06188562038</v>
      </c>
      <c r="R153" s="55" t="n">
        <f aca="false">R$4+Q153/V$32</f>
        <v>72.2201574959136</v>
      </c>
    </row>
    <row r="154" customFormat="false" ht="12.8" hidden="false" customHeight="false" outlineLevel="0" collapsed="false">
      <c r="A154" s="1" t="n">
        <v>150</v>
      </c>
      <c r="B154" s="44" t="n">
        <v>43695</v>
      </c>
      <c r="C154" s="45" t="n">
        <f aca="false">V$30-V$30*SIN(2*PI()/365*A154)</f>
        <v>7.59158173880237</v>
      </c>
      <c r="D154" s="3" t="n">
        <f aca="false">IF((E154+F154)&gt;C154,C154,E154+F154)</f>
        <v>7.59158173880237</v>
      </c>
      <c r="E154" s="46" t="n">
        <f aca="false">(V$27+V$28*SIN(2*PI()/365*A154))*V$29/100*V$9*V$10/100</f>
        <v>0</v>
      </c>
      <c r="F154" s="46" t="n">
        <f aca="false">(V$27+V$28*SIN(2*PI()/365*A154))*V$29/100*V$11*(1-V$18/100)*(1-V$20/100)</f>
        <v>27.8961431140942</v>
      </c>
      <c r="G154" s="46" t="n">
        <f aca="false">IF(C154&gt;E154,100,C154/E154*100)</f>
        <v>100</v>
      </c>
      <c r="H154" s="46" t="n">
        <f aca="false">L154/F154*100</f>
        <v>27.2137324064946</v>
      </c>
      <c r="I154" s="47" t="n">
        <f aca="false">(V$27+V$28*SIN(2*PI()/365*A154))*V$29/100*V$9*V$10/100*(1-V$19/100)</f>
        <v>0</v>
      </c>
      <c r="J154" s="47" t="n">
        <f aca="false">(V$27+V$28*SIN(2*PI()/365*A154))*V$29/100*V$11*(1-V$18/100)</f>
        <v>30.6551023231804</v>
      </c>
      <c r="K154" s="48" t="n">
        <f aca="false">IF(E154/C154*100&lt;100,E154/C154*100,100)</f>
        <v>0</v>
      </c>
      <c r="L154" s="7" t="n">
        <f aca="false">IF(((C154-E154)&gt;0)AND(F154&gt;(C154-E154)),(C154-E154),IF(C154&lt;E154,0,F154))</f>
        <v>7.59158173880237</v>
      </c>
      <c r="M154" s="7" t="n">
        <f aca="false">IF(C154&lt;(E154+F154),0,C154-E154-F154)</f>
        <v>0</v>
      </c>
      <c r="N154" s="7" t="n">
        <f aca="false">IF(C154&lt;(E154+F154),0,(C154-E154-F154)/(1-V$20/100))</f>
        <v>0</v>
      </c>
      <c r="O154" s="7" t="n">
        <f aca="false">L154+M154</f>
        <v>7.59158173880237</v>
      </c>
      <c r="P154" s="49" t="n">
        <f aca="false">IF( N154=0,I154*(1-G154/100)+J154*(1-H154/100),-N154)</f>
        <v>22.312704808013</v>
      </c>
      <c r="Q154" s="54" t="n">
        <f aca="false">IF(P153&gt;0,Q153+P153*(1-V$24/100),Q153+P153)</f>
        <v>3330.64100418661</v>
      </c>
      <c r="R154" s="55" t="n">
        <f aca="false">R$4+Q154/V$32</f>
        <v>72.3911177702452</v>
      </c>
    </row>
    <row r="155" customFormat="false" ht="12.8" hidden="false" customHeight="false" outlineLevel="0" collapsed="false">
      <c r="A155" s="1" t="n">
        <v>151</v>
      </c>
      <c r="B155" s="44" t="n">
        <v>43696</v>
      </c>
      <c r="C155" s="45" t="n">
        <f aca="false">V$30-V$30*SIN(2*PI()/365*A155)</f>
        <v>7.82886673372918</v>
      </c>
      <c r="D155" s="3" t="n">
        <f aca="false">IF((E155+F155)&gt;C155,C155,E155+F155)</f>
        <v>7.82886673372918</v>
      </c>
      <c r="E155" s="46" t="n">
        <f aca="false">(V$27+V$28*SIN(2*PI()/365*A155))*V$29/100*V$9*V$10/100</f>
        <v>0</v>
      </c>
      <c r="F155" s="46" t="n">
        <f aca="false">(V$27+V$28*SIN(2*PI()/365*A155))*V$29/100*V$11*(1-V$18/100)*(1-V$20/100)</f>
        <v>27.6575653369822</v>
      </c>
      <c r="G155" s="46" t="n">
        <f aca="false">IF(C155&gt;E155,100,C155/E155*100)</f>
        <v>100</v>
      </c>
      <c r="H155" s="46" t="n">
        <f aca="false">L155/F155*100</f>
        <v>28.3064204616046</v>
      </c>
      <c r="I155" s="47" t="n">
        <f aca="false">(V$27+V$28*SIN(2*PI()/365*A155))*V$29/100*V$9*V$10/100*(1-V$19/100)</f>
        <v>0</v>
      </c>
      <c r="J155" s="47" t="n">
        <f aca="false">(V$27+V$28*SIN(2*PI()/365*A155))*V$29/100*V$11*(1-V$18/100)</f>
        <v>30.3929289417387</v>
      </c>
      <c r="K155" s="48" t="n">
        <f aca="false">IF(E155/C155*100&lt;100,E155/C155*100,100)</f>
        <v>0</v>
      </c>
      <c r="L155" s="7" t="n">
        <f aca="false">IF(((C155-E155)&gt;0)AND(F155&gt;(C155-E155)),(C155-E155),IF(C155&lt;E155,0,F155))</f>
        <v>7.82886673372918</v>
      </c>
      <c r="M155" s="7" t="n">
        <f aca="false">IF(C155&lt;(E155+F155),0,C155-E155-F155)</f>
        <v>0</v>
      </c>
      <c r="N155" s="7" t="n">
        <f aca="false">IF(C155&lt;(E155+F155),0,(C155-E155-F155)/(1-V$20/100))</f>
        <v>0</v>
      </c>
      <c r="O155" s="7" t="n">
        <f aca="false">L155+M155</f>
        <v>7.82886673372918</v>
      </c>
      <c r="P155" s="49" t="n">
        <f aca="false">IF( N155=0,I155*(1-G155/100)+J155*(1-H155/100),-N155)</f>
        <v>21.7897786848934</v>
      </c>
      <c r="Q155" s="54" t="n">
        <f aca="false">IF(P154&gt;0,Q154+P154*(1-V$24/100),Q154+P154)</f>
        <v>3347.82178688878</v>
      </c>
      <c r="R155" s="55" t="n">
        <f aca="false">R$4+Q155/V$32</f>
        <v>72.5582041524735</v>
      </c>
    </row>
    <row r="156" customFormat="false" ht="12.8" hidden="false" customHeight="false" outlineLevel="0" collapsed="false">
      <c r="A156" s="1" t="n">
        <v>152</v>
      </c>
      <c r="B156" s="44" t="n">
        <v>43697</v>
      </c>
      <c r="C156" s="45" t="n">
        <f aca="false">V$30-V$30*SIN(2*PI()/365*A156)</f>
        <v>8.06862558809181</v>
      </c>
      <c r="D156" s="3" t="n">
        <f aca="false">IF((E156+F156)&gt;C156,C156,E156+F156)</f>
        <v>8.06862558809181</v>
      </c>
      <c r="E156" s="46" t="n">
        <f aca="false">(V$27+V$28*SIN(2*PI()/365*A156))*V$29/100*V$9*V$10/100</f>
        <v>0</v>
      </c>
      <c r="F156" s="46" t="n">
        <f aca="false">(V$27+V$28*SIN(2*PI()/365*A156))*V$29/100*V$11*(1-V$18/100)*(1-V$20/100)</f>
        <v>27.4165002222901</v>
      </c>
      <c r="G156" s="46" t="n">
        <f aca="false">IF(C156&gt;E156,100,C156/E156*100)</f>
        <v>100</v>
      </c>
      <c r="H156" s="46" t="n">
        <f aca="false">L156/F156*100</f>
        <v>29.429816069419</v>
      </c>
      <c r="I156" s="47" t="n">
        <f aca="false">(V$27+V$28*SIN(2*PI()/365*A156))*V$29/100*V$9*V$10/100*(1-V$19/100)</f>
        <v>0</v>
      </c>
      <c r="J156" s="47" t="n">
        <f aca="false">(V$27+V$28*SIN(2*PI()/365*A156))*V$29/100*V$11*(1-V$18/100)</f>
        <v>30.1280222222968</v>
      </c>
      <c r="K156" s="48" t="n">
        <f aca="false">IF(E156/C156*100&lt;100,E156/C156*100,100)</f>
        <v>0</v>
      </c>
      <c r="L156" s="7" t="n">
        <f aca="false">IF(((C156-E156)&gt;0)AND(F156&gt;(C156-E156)),(C156-E156),IF(C156&lt;E156,0,F156))</f>
        <v>8.06862558809181</v>
      </c>
      <c r="M156" s="7" t="n">
        <f aca="false">IF(C156&lt;(E156+F156),0,C156-E156-F156)</f>
        <v>0</v>
      </c>
      <c r="N156" s="7" t="n">
        <f aca="false">IF(C156&lt;(E156+F156),0,(C156-E156-F156)/(1-V$20/100))</f>
        <v>0</v>
      </c>
      <c r="O156" s="7" t="n">
        <f aca="false">L156+M156</f>
        <v>8.06862558809181</v>
      </c>
      <c r="P156" s="49" t="n">
        <f aca="false">IF( N156=0,I156*(1-G156/100)+J156*(1-H156/100),-N156)</f>
        <v>21.2614006969212</v>
      </c>
      <c r="Q156" s="54" t="n">
        <f aca="false">IF(P155&gt;0,Q155+P155*(1-V$24/100),Q155+P155)</f>
        <v>3364.59991647615</v>
      </c>
      <c r="R156" s="55" t="n">
        <f aca="false">R$4+Q156/V$32</f>
        <v>72.7213746565134</v>
      </c>
    </row>
    <row r="157" customFormat="false" ht="12.8" hidden="false" customHeight="false" outlineLevel="0" collapsed="false">
      <c r="A157" s="1" t="n">
        <v>153</v>
      </c>
      <c r="B157" s="44" t="n">
        <v>43698</v>
      </c>
      <c r="C157" s="45" t="n">
        <f aca="false">V$30-V$30*SIN(2*PI()/365*A157)</f>
        <v>8.3107872561673</v>
      </c>
      <c r="D157" s="3" t="n">
        <f aca="false">IF((E157+F157)&gt;C157,C157,E157+F157)</f>
        <v>8.3107872561673</v>
      </c>
      <c r="E157" s="46" t="n">
        <f aca="false">(V$27+V$28*SIN(2*PI()/365*A157))*V$29/100*V$9*V$10/100</f>
        <v>0</v>
      </c>
      <c r="F157" s="46" t="n">
        <f aca="false">(V$27+V$28*SIN(2*PI()/365*A157))*V$29/100*V$11*(1-V$18/100)*(1-V$20/100)</f>
        <v>27.1730192028139</v>
      </c>
      <c r="G157" s="46" t="n">
        <f aca="false">IF(C157&gt;E157,100,C157/E157*100)</f>
        <v>100</v>
      </c>
      <c r="H157" s="46" t="n">
        <f aca="false">L157/F157*100</f>
        <v>30.5847031356261</v>
      </c>
      <c r="I157" s="47" t="n">
        <f aca="false">(V$27+V$28*SIN(2*PI()/365*A157))*V$29/100*V$9*V$10/100*(1-V$19/100)</f>
        <v>0</v>
      </c>
      <c r="J157" s="47" t="n">
        <f aca="false">(V$27+V$28*SIN(2*PI()/365*A157))*V$29/100*V$11*(1-V$18/100)</f>
        <v>29.8604606624329</v>
      </c>
      <c r="K157" s="48" t="n">
        <f aca="false">IF(E157/C157*100&lt;100,E157/C157*100,100)</f>
        <v>0</v>
      </c>
      <c r="L157" s="7" t="n">
        <f aca="false">IF(((C157-E157)&gt;0)AND(F157&gt;(C157-E157)),(C157-E157),IF(C157&lt;E157,0,F157))</f>
        <v>8.3107872561673</v>
      </c>
      <c r="M157" s="7" t="n">
        <f aca="false">IF(C157&lt;(E157+F157),0,C157-E157-F157)</f>
        <v>0</v>
      </c>
      <c r="N157" s="7" t="n">
        <f aca="false">IF(C157&lt;(E157+F157),0,(C157-E157-F157)/(1-V$20/100))</f>
        <v>0</v>
      </c>
      <c r="O157" s="7" t="n">
        <f aca="false">L157+M157</f>
        <v>8.3107872561673</v>
      </c>
      <c r="P157" s="49" t="n">
        <f aca="false">IF( N157=0,I157*(1-G157/100)+J157*(1-H157/100),-N157)</f>
        <v>20.7277274138974</v>
      </c>
      <c r="Q157" s="54" t="n">
        <f aca="false">IF(P156&gt;0,Q156+P156*(1-V$24/100),Q156+P156)</f>
        <v>3380.97119501278</v>
      </c>
      <c r="R157" s="55" t="n">
        <f aca="false">R$4+Q157/V$32</f>
        <v>72.8805884566386</v>
      </c>
    </row>
    <row r="158" customFormat="false" ht="12.8" hidden="false" customHeight="false" outlineLevel="0" collapsed="false">
      <c r="A158" s="1" t="n">
        <v>154</v>
      </c>
      <c r="B158" s="44" t="n">
        <v>43699</v>
      </c>
      <c r="C158" s="45" t="n">
        <f aca="false">V$30-V$30*SIN(2*PI()/365*A158)</f>
        <v>8.55527998022711</v>
      </c>
      <c r="D158" s="3" t="n">
        <f aca="false">IF((E158+F158)&gt;C158,C158,E158+F158)</f>
        <v>8.55527998022711</v>
      </c>
      <c r="E158" s="46" t="n">
        <f aca="false">(V$27+V$28*SIN(2*PI()/365*A158))*V$29/100*V$9*V$10/100</f>
        <v>0</v>
      </c>
      <c r="F158" s="46" t="n">
        <f aca="false">(V$27+V$28*SIN(2*PI()/365*A158))*V$29/100*V$11*(1-V$18/100)*(1-V$20/100)</f>
        <v>26.9271944272345</v>
      </c>
      <c r="G158" s="46" t="n">
        <f aca="false">IF(C158&gt;E158,100,C158/E158*100)</f>
        <v>100</v>
      </c>
      <c r="H158" s="46" t="n">
        <f aca="false">L158/F158*100</f>
        <v>31.7718951498868</v>
      </c>
      <c r="I158" s="47" t="n">
        <f aca="false">(V$27+V$28*SIN(2*PI()/365*A158))*V$29/100*V$9*V$10/100*(1-V$19/100)</f>
        <v>0</v>
      </c>
      <c r="J158" s="47" t="n">
        <f aca="false">(V$27+V$28*SIN(2*PI()/365*A158))*V$29/100*V$11*(1-V$18/100)</f>
        <v>29.5903235464115</v>
      </c>
      <c r="K158" s="48" t="n">
        <f aca="false">IF(E158/C158*100&lt;100,E158/C158*100,100)</f>
        <v>0</v>
      </c>
      <c r="L158" s="7" t="n">
        <f aca="false">IF(((C158-E158)&gt;0)AND(F158&gt;(C158-E158)),(C158-E158),IF(C158&lt;E158,0,F158))</f>
        <v>8.55527998022711</v>
      </c>
      <c r="M158" s="7" t="n">
        <f aca="false">IF(C158&lt;(E158+F158),0,C158-E158-F158)</f>
        <v>0</v>
      </c>
      <c r="N158" s="7" t="n">
        <f aca="false">IF(C158&lt;(E158+F158),0,(C158-E158-F158)/(1-V$20/100))</f>
        <v>0</v>
      </c>
      <c r="O158" s="7" t="n">
        <f aca="false">L158+M158</f>
        <v>8.55527998022711</v>
      </c>
      <c r="P158" s="49" t="n">
        <f aca="false">IF( N158=0,I158*(1-G158/100)+J158*(1-H158/100),-N158)</f>
        <v>20.1889169747334</v>
      </c>
      <c r="Q158" s="54" t="n">
        <f aca="false">IF(P157&gt;0,Q157+P157*(1-V$24/100),Q157+P157)</f>
        <v>3396.93154512148</v>
      </c>
      <c r="R158" s="55" t="n">
        <f aca="false">R$4+Q158/V$32</f>
        <v>73.0358058995799</v>
      </c>
    </row>
    <row r="159" customFormat="false" ht="12.8" hidden="false" customHeight="false" outlineLevel="0" collapsed="false">
      <c r="A159" s="1" t="n">
        <v>155</v>
      </c>
      <c r="B159" s="44" t="n">
        <v>43700</v>
      </c>
      <c r="C159" s="45" t="n">
        <f aca="false">V$30-V$30*SIN(2*PI()/365*A159)</f>
        <v>8.80203131180052</v>
      </c>
      <c r="D159" s="3" t="n">
        <f aca="false">IF((E159+F159)&gt;C159,C159,E159+F159)</f>
        <v>8.80203131180052</v>
      </c>
      <c r="E159" s="46" t="n">
        <f aca="false">(V$27+V$28*SIN(2*PI()/365*A159))*V$29/100*V$9*V$10/100</f>
        <v>0</v>
      </c>
      <c r="F159" s="46" t="n">
        <f aca="false">(V$27+V$28*SIN(2*PI()/365*A159))*V$29/100*V$11*(1-V$18/100)*(1-V$20/100)</f>
        <v>26.6790987387382</v>
      </c>
      <c r="G159" s="46" t="n">
        <f aca="false">IF(C159&gt;E159,100,C159/E159*100)</f>
        <v>100</v>
      </c>
      <c r="H159" s="46" t="n">
        <f aca="false">L159/F159*100</f>
        <v>32.9922363494983</v>
      </c>
      <c r="I159" s="47" t="n">
        <f aca="false">(V$27+V$28*SIN(2*PI()/365*A159))*V$29/100*V$9*V$10/100*(1-V$19/100)</f>
        <v>0</v>
      </c>
      <c r="J159" s="47" t="n">
        <f aca="false">(V$27+V$28*SIN(2*PI()/365*A159))*V$29/100*V$11*(1-V$18/100)</f>
        <v>29.3176909216903</v>
      </c>
      <c r="K159" s="48" t="n">
        <f aca="false">IF(E159/C159*100&lt;100,E159/C159*100,100)</f>
        <v>0</v>
      </c>
      <c r="L159" s="7" t="n">
        <f aca="false">IF(((C159-E159)&gt;0)AND(F159&gt;(C159-E159)),(C159-E159),IF(C159&lt;E159,0,F159))</f>
        <v>8.80203131180052</v>
      </c>
      <c r="M159" s="7" t="n">
        <f aca="false">IF(C159&lt;(E159+F159),0,C159-E159-F159)</f>
        <v>0</v>
      </c>
      <c r="N159" s="7" t="n">
        <f aca="false">IF(C159&lt;(E159+F159),0,(C159-E159-F159)/(1-V$20/100))</f>
        <v>0</v>
      </c>
      <c r="O159" s="7" t="n">
        <f aca="false">L159+M159</f>
        <v>8.80203131180052</v>
      </c>
      <c r="P159" s="49" t="n">
        <f aca="false">IF( N159=0,I159*(1-G159/100)+J159*(1-H159/100),-N159)</f>
        <v>19.6451290405908</v>
      </c>
      <c r="Q159" s="54" t="n">
        <f aca="false">IF(P158&gt;0,Q158+P158*(1-V$24/100),Q158+P158)</f>
        <v>3412.47701119202</v>
      </c>
      <c r="R159" s="55" t="n">
        <f aca="false">R$4+Q159/V$32</f>
        <v>73.1869885162748</v>
      </c>
    </row>
    <row r="160" customFormat="false" ht="12.8" hidden="false" customHeight="false" outlineLevel="0" collapsed="false">
      <c r="A160" s="1" t="n">
        <v>156</v>
      </c>
      <c r="B160" s="44" t="n">
        <v>43701</v>
      </c>
      <c r="C160" s="45" t="n">
        <f aca="false">V$30-V$30*SIN(2*PI()/365*A160)</f>
        <v>9.05096813314267</v>
      </c>
      <c r="D160" s="3" t="n">
        <f aca="false">IF((E160+F160)&gt;C160,C160,E160+F160)</f>
        <v>9.05096813314267</v>
      </c>
      <c r="E160" s="46" t="n">
        <f aca="false">(V$27+V$28*SIN(2*PI()/365*A160))*V$29/100*V$9*V$10/100</f>
        <v>0</v>
      </c>
      <c r="F160" s="46" t="n">
        <f aca="false">(V$27+V$28*SIN(2*PI()/365*A160))*V$29/100*V$11*(1-V$18/100)*(1-V$20/100)</f>
        <v>26.4288056534318</v>
      </c>
      <c r="G160" s="46" t="n">
        <f aca="false">IF(C160&gt;E160,100,C160/E160*100)</f>
        <v>100</v>
      </c>
      <c r="H160" s="46" t="n">
        <f aca="false">L160/F160*100</f>
        <v>34.2466029370774</v>
      </c>
      <c r="I160" s="47" t="n">
        <f aca="false">(V$27+V$28*SIN(2*PI()/365*A160))*V$29/100*V$9*V$10/100*(1-V$19/100)</f>
        <v>0</v>
      </c>
      <c r="J160" s="47" t="n">
        <f aca="false">(V$27+V$28*SIN(2*PI()/365*A160))*V$29/100*V$11*(1-V$18/100)</f>
        <v>29.0426435751998</v>
      </c>
      <c r="K160" s="48" t="n">
        <f aca="false">IF(E160/C160*100&lt;100,E160/C160*100,100)</f>
        <v>0</v>
      </c>
      <c r="L160" s="7" t="n">
        <f aca="false">IF(((C160-E160)&gt;0)AND(F160&gt;(C160-E160)),(C160-E160),IF(C160&lt;E160,0,F160))</f>
        <v>9.05096813314267</v>
      </c>
      <c r="M160" s="7" t="n">
        <f aca="false">IF(C160&lt;(E160+F160),0,C160-E160-F160)</f>
        <v>0</v>
      </c>
      <c r="N160" s="7" t="n">
        <f aca="false">IF(C160&lt;(E160+F160),0,(C160-E160-F160)/(1-V$20/100))</f>
        <v>0</v>
      </c>
      <c r="O160" s="7" t="n">
        <f aca="false">L160+M160</f>
        <v>9.05096813314267</v>
      </c>
      <c r="P160" s="49" t="n">
        <f aca="false">IF( N160=0,I160*(1-G160/100)+J160*(1-H160/100),-N160)</f>
        <v>19.0965247475705</v>
      </c>
      <c r="Q160" s="54" t="n">
        <f aca="false">IF(P159&gt;0,Q159+P159*(1-V$24/100),Q159+P159)</f>
        <v>3427.60376055328</v>
      </c>
      <c r="R160" s="55" t="n">
        <f aca="false">R$4+Q160/V$32</f>
        <v>73.3340990332671</v>
      </c>
    </row>
    <row r="161" customFormat="false" ht="12.8" hidden="false" customHeight="false" outlineLevel="0" collapsed="false">
      <c r="A161" s="1" t="n">
        <v>157</v>
      </c>
      <c r="B161" s="44" t="n">
        <v>43702</v>
      </c>
      <c r="C161" s="45" t="n">
        <f aca="false">V$30-V$30*SIN(2*PI()/365*A161)</f>
        <v>9.30201667890088</v>
      </c>
      <c r="D161" s="3" t="n">
        <f aca="false">IF((E161+F161)&gt;C161,C161,E161+F161)</f>
        <v>9.30201667890088</v>
      </c>
      <c r="E161" s="46" t="n">
        <f aca="false">(V$27+V$28*SIN(2*PI()/365*A161))*V$29/100*V$9*V$10/100</f>
        <v>0</v>
      </c>
      <c r="F161" s="46" t="n">
        <f aca="false">(V$27+V$28*SIN(2*PI()/365*A161))*V$29/100*V$11*(1-V$18/100)*(1-V$20/100)</f>
        <v>26.1763893385584</v>
      </c>
      <c r="G161" s="46" t="n">
        <f aca="false">IF(C161&gt;E161,100,C161/E161*100)</f>
        <v>100</v>
      </c>
      <c r="H161" s="46" t="n">
        <f aca="false">L161/F161*100</f>
        <v>35.5359043548409</v>
      </c>
      <c r="I161" s="47" t="n">
        <f aca="false">(V$27+V$28*SIN(2*PI()/365*A161))*V$29/100*V$9*V$10/100*(1-V$19/100)</f>
        <v>0</v>
      </c>
      <c r="J161" s="47" t="n">
        <f aca="false">(V$27+V$28*SIN(2*PI()/365*A161))*V$29/100*V$11*(1-V$18/100)</f>
        <v>28.7652630094048</v>
      </c>
      <c r="K161" s="48" t="n">
        <f aca="false">IF(E161/C161*100&lt;100,E161/C161*100,100)</f>
        <v>0</v>
      </c>
      <c r="L161" s="7" t="n">
        <f aca="false">IF(((C161-E161)&gt;0)AND(F161&gt;(C161-E161)),(C161-E161),IF(C161&lt;E161,0,F161))</f>
        <v>9.30201667890088</v>
      </c>
      <c r="M161" s="7" t="n">
        <f aca="false">IF(C161&lt;(E161+F161),0,C161-E161-F161)</f>
        <v>0</v>
      </c>
      <c r="N161" s="7" t="n">
        <f aca="false">IF(C161&lt;(E161+F161),0,(C161-E161-F161)/(1-V$20/100))</f>
        <v>0</v>
      </c>
      <c r="O161" s="7" t="n">
        <f aca="false">L161+M161</f>
        <v>9.30201667890088</v>
      </c>
      <c r="P161" s="49" t="n">
        <f aca="false">IF( N161=0,I161*(1-G161/100)+J161*(1-H161/100),-N161)</f>
        <v>18.5432666589643</v>
      </c>
      <c r="Q161" s="54" t="n">
        <f aca="false">IF(P160&gt;0,Q160+P160*(1-V$24/100),Q160+P160)</f>
        <v>3442.30808460891</v>
      </c>
      <c r="R161" s="55" t="n">
        <f aca="false">R$4+Q161/V$32</f>
        <v>73.4771013837513</v>
      </c>
    </row>
    <row r="162" customFormat="false" ht="12.8" hidden="false" customHeight="false" outlineLevel="0" collapsed="false">
      <c r="A162" s="1" t="n">
        <v>158</v>
      </c>
      <c r="B162" s="44" t="n">
        <v>43703</v>
      </c>
      <c r="C162" s="45" t="n">
        <f aca="false">V$30-V$30*SIN(2*PI()/365*A162)</f>
        <v>9.55510255797297</v>
      </c>
      <c r="D162" s="3" t="n">
        <f aca="false">IF((E162+F162)&gt;C162,C162,E162+F162)</f>
        <v>9.55510255797297</v>
      </c>
      <c r="E162" s="46" t="n">
        <f aca="false">(V$27+V$28*SIN(2*PI()/365*A162))*V$29/100*V$9*V$10/100</f>
        <v>0</v>
      </c>
      <c r="F162" s="46" t="n">
        <f aca="false">(V$27+V$28*SIN(2*PI()/365*A162))*V$29/100*V$11*(1-V$18/100)*(1-V$20/100)</f>
        <v>25.9219245905195</v>
      </c>
      <c r="G162" s="46" t="n">
        <f aca="false">IF(C162&gt;E162,100,C162/E162*100)</f>
        <v>100</v>
      </c>
      <c r="H162" s="46" t="n">
        <f aca="false">L162/F162*100</f>
        <v>36.861084618183</v>
      </c>
      <c r="I162" s="47" t="n">
        <f aca="false">(V$27+V$28*SIN(2*PI()/365*A162))*V$29/100*V$9*V$10/100*(1-V$19/100)</f>
        <v>0</v>
      </c>
      <c r="J162" s="47" t="n">
        <f aca="false">(V$27+V$28*SIN(2*PI()/365*A162))*V$29/100*V$11*(1-V$18/100)</f>
        <v>28.4856314181533</v>
      </c>
      <c r="K162" s="48" t="n">
        <f aca="false">IF(E162/C162*100&lt;100,E162/C162*100,100)</f>
        <v>0</v>
      </c>
      <c r="L162" s="7" t="n">
        <f aca="false">IF(((C162-E162)&gt;0)AND(F162&gt;(C162-E162)),(C162-E162),IF(C162&lt;E162,0,F162))</f>
        <v>9.55510255797297</v>
      </c>
      <c r="M162" s="7" t="n">
        <f aca="false">IF(C162&lt;(E162+F162),0,C162-E162-F162)</f>
        <v>0</v>
      </c>
      <c r="N162" s="7" t="n">
        <f aca="false">IF(C162&lt;(E162+F162),0,(C162-E162-F162)/(1-V$20/100))</f>
        <v>0</v>
      </c>
      <c r="O162" s="7" t="n">
        <f aca="false">L162+M162</f>
        <v>9.55510255797297</v>
      </c>
      <c r="P162" s="49" t="n">
        <f aca="false">IF( N162=0,I162*(1-G162/100)+J162*(1-H162/100),-N162)</f>
        <v>17.9855187170841</v>
      </c>
      <c r="Q162" s="54" t="n">
        <f aca="false">IF(P161&gt;0,Q161+P161*(1-V$24/100),Q161+P161)</f>
        <v>3456.58639993631</v>
      </c>
      <c r="R162" s="55" t="n">
        <f aca="false">R$4+Q162/V$32</f>
        <v>73.6159607182605</v>
      </c>
    </row>
    <row r="163" customFormat="false" ht="12.8" hidden="false" customHeight="false" outlineLevel="0" collapsed="false">
      <c r="A163" s="1" t="n">
        <v>159</v>
      </c>
      <c r="B163" s="44" t="n">
        <v>43704</v>
      </c>
      <c r="C163" s="45" t="n">
        <f aca="false">V$30-V$30*SIN(2*PI()/365*A163)</f>
        <v>9.81015077555095</v>
      </c>
      <c r="D163" s="3" t="n">
        <f aca="false">IF((E163+F163)&gt;C163,C163,E163+F163)</f>
        <v>9.81015077555095</v>
      </c>
      <c r="E163" s="46" t="n">
        <f aca="false">(V$27+V$28*SIN(2*PI()/365*A163))*V$29/100*V$9*V$10/100</f>
        <v>0</v>
      </c>
      <c r="F163" s="46" t="n">
        <f aca="false">(V$27+V$28*SIN(2*PI()/365*A163))*V$29/100*V$11*(1-V$18/100)*(1-V$20/100)</f>
        <v>25.6654868127119</v>
      </c>
      <c r="G163" s="46" t="n">
        <f aca="false">IF(C163&gt;E163,100,C163/E163*100)</f>
        <v>100</v>
      </c>
      <c r="H163" s="46" t="n">
        <f aca="false">L163/F163*100</f>
        <v>38.2231237113807</v>
      </c>
      <c r="I163" s="47" t="n">
        <f aca="false">(V$27+V$28*SIN(2*PI()/365*A163))*V$29/100*V$9*V$10/100*(1-V$19/100)</f>
        <v>0</v>
      </c>
      <c r="J163" s="47" t="n">
        <f aca="false">(V$27+V$28*SIN(2*PI()/365*A163))*V$29/100*V$11*(1-V$18/100)</f>
        <v>28.2038316623207</v>
      </c>
      <c r="K163" s="48" t="n">
        <f aca="false">IF(E163/C163*100&lt;100,E163/C163*100,100)</f>
        <v>0</v>
      </c>
      <c r="L163" s="7" t="n">
        <f aca="false">IF(((C163-E163)&gt;0)AND(F163&gt;(C163-E163)),(C163-E163),IF(C163&lt;E163,0,F163))</f>
        <v>9.81015077555095</v>
      </c>
      <c r="M163" s="7" t="n">
        <f aca="false">IF(C163&lt;(E163+F163),0,C163-E163-F163)</f>
        <v>0</v>
      </c>
      <c r="N163" s="7" t="n">
        <f aca="false">IF(C163&lt;(E163+F163),0,(C163-E163-F163)/(1-V$20/100))</f>
        <v>0</v>
      </c>
      <c r="O163" s="7" t="n">
        <f aca="false">L163+M163</f>
        <v>9.81015077555095</v>
      </c>
      <c r="P163" s="49" t="n">
        <f aca="false">IF( N163=0,I163*(1-G163/100)+J163*(1-H163/100),-N163)</f>
        <v>17.4234461946823</v>
      </c>
      <c r="Q163" s="54" t="n">
        <f aca="false">IF(P162&gt;0,Q162+P162*(1-V$24/100),Q162+P162)</f>
        <v>3470.43524934846</v>
      </c>
      <c r="R163" s="55" t="n">
        <f aca="false">R$4+Q163/V$32</f>
        <v>73.7506434149929</v>
      </c>
    </row>
    <row r="164" customFormat="false" ht="12.8" hidden="false" customHeight="false" outlineLevel="0" collapsed="false">
      <c r="A164" s="1" t="n">
        <v>160</v>
      </c>
      <c r="B164" s="44" t="n">
        <v>43705</v>
      </c>
      <c r="C164" s="45" t="n">
        <f aca="false">V$30-V$30*SIN(2*PI()/365*A164)</f>
        <v>10.0670857553435</v>
      </c>
      <c r="D164" s="3" t="n">
        <f aca="false">IF((E164+F164)&gt;C164,C164,E164+F164)</f>
        <v>10.0670857553435</v>
      </c>
      <c r="E164" s="46" t="n">
        <f aca="false">(V$27+V$28*SIN(2*PI()/365*A164))*V$29/100*V$9*V$10/100</f>
        <v>0</v>
      </c>
      <c r="F164" s="46" t="n">
        <f aca="false">(V$27+V$28*SIN(2*PI()/365*A164))*V$29/100*V$11*(1-V$18/100)*(1-V$20/100)</f>
        <v>25.4071519931834</v>
      </c>
      <c r="G164" s="46" t="n">
        <f aca="false">IF(C164&gt;E164,100,C164/E164*100)</f>
        <v>100</v>
      </c>
      <c r="H164" s="46" t="n">
        <f aca="false">L164/F164*100</f>
        <v>39.6230390483927</v>
      </c>
      <c r="I164" s="47" t="n">
        <f aca="false">(V$27+V$28*SIN(2*PI()/365*A164))*V$29/100*V$9*V$10/100*(1-V$19/100)</f>
        <v>0</v>
      </c>
      <c r="J164" s="47" t="n">
        <f aca="false">(V$27+V$28*SIN(2*PI()/365*A164))*V$29/100*V$11*(1-V$18/100)</f>
        <v>27.9199472452565</v>
      </c>
      <c r="K164" s="48" t="n">
        <f aca="false">IF(E164/C164*100&lt;100,E164/C164*100,100)</f>
        <v>0</v>
      </c>
      <c r="L164" s="7" t="n">
        <f aca="false">IF(((C164-E164)&gt;0)*AND(F164&gt;(C164-E164)),(C164-E164),IF(C164&lt;E164,0,F164))</f>
        <v>10.0670857553435</v>
      </c>
      <c r="M164" s="7" t="n">
        <f aca="false">IF(C164&lt;(E164+F164),0,C164-E164-F164)</f>
        <v>0</v>
      </c>
      <c r="N164" s="7" t="n">
        <f aca="false">IF(C164&lt;(E164+F164),0,(C164-E164-F164)/(1-V$20/100))</f>
        <v>0</v>
      </c>
      <c r="O164" s="7" t="n">
        <f aca="false">L164+M164</f>
        <v>10.0670857553435</v>
      </c>
      <c r="P164" s="49" t="n">
        <f aca="false">IF(N164=0,I164*(1-G164/100)+J164*(1-H164/100),-N164)</f>
        <v>16.8572156459779</v>
      </c>
      <c r="Q164" s="54" t="n">
        <f aca="false">IF(P163&gt;0,Q163+P163*(1-V$24/100),Q163+P163)</f>
        <v>3483.85130291837</v>
      </c>
      <c r="R164" s="55" t="n">
        <f aca="false">R$4+Q164/V$32</f>
        <v>73.8811170897746</v>
      </c>
    </row>
    <row r="165" customFormat="false" ht="12.8" hidden="false" customHeight="false" outlineLevel="0" collapsed="false">
      <c r="A165" s="1" t="n">
        <v>161</v>
      </c>
      <c r="B165" s="44" t="n">
        <v>43706</v>
      </c>
      <c r="C165" s="45" t="n">
        <f aca="false">V$30-V$30*SIN(2*PI()/365*A165)</f>
        <v>10.3258313619711</v>
      </c>
      <c r="D165" s="3" t="n">
        <f aca="false">IF((E165+F165)&gt;C165,C165,E165+F165)</f>
        <v>10.3258313619711</v>
      </c>
      <c r="E165" s="46" t="n">
        <f aca="false">(V$27+V$28*SIN(2*PI()/365*A165))*V$29/100*V$9*V$10/100</f>
        <v>0</v>
      </c>
      <c r="F165" s="46" t="n">
        <f aca="false">(V$27+V$28*SIN(2*PI()/365*A165))*V$29/100*V$11*(1-V$18/100)*(1-V$20/100)</f>
        <v>25.1469966821165</v>
      </c>
      <c r="G165" s="46" t="n">
        <f aca="false">IF(C165&gt;E165,100,C165/E165*100)</f>
        <v>100</v>
      </c>
      <c r="H165" s="46" t="n">
        <f aca="false">L165/F165*100</f>
        <v>41.061887001856</v>
      </c>
      <c r="I165" s="47" t="n">
        <f aca="false">(V$27+V$28*SIN(2*PI()/365*A165))*V$29/100*V$9*V$10/100*(1-V$19/100)</f>
        <v>0</v>
      </c>
      <c r="J165" s="47" t="n">
        <f aca="false">(V$27+V$28*SIN(2*PI()/365*A165))*V$29/100*V$11*(1-V$18/100)</f>
        <v>27.6340622880401</v>
      </c>
      <c r="K165" s="48" t="n">
        <f aca="false">IF(E165/C165*100&lt;100,E165/C165*100,100)</f>
        <v>0</v>
      </c>
      <c r="L165" s="7" t="n">
        <f aca="false">IF(((C165-E165)&gt;0)*AND(F165&gt;(C165-E165)),(C165-E165),IF(C165&lt;E165,0,F165))</f>
        <v>10.3258313619711</v>
      </c>
      <c r="M165" s="7" t="n">
        <f aca="false">IF(C165&lt;(E165+F165),0,C165-E165-F165)</f>
        <v>0</v>
      </c>
      <c r="N165" s="7" t="n">
        <f aca="false">IF(C165&lt;(E165+F165),0,(C165-E165-F165)/(1-V$20/100))</f>
        <v>0</v>
      </c>
      <c r="O165" s="7" t="n">
        <f aca="false">L165+M165</f>
        <v>10.3258313619711</v>
      </c>
      <c r="P165" s="49" t="n">
        <f aca="false">IF(N165=0,I165*(1-G165/100)+J165*(1-H165/100),-N165)</f>
        <v>16.2869948573026</v>
      </c>
      <c r="Q165" s="54" t="n">
        <f aca="false">IF(P164&gt;0,Q164+P164*(1-V$24/100),Q164+P164)</f>
        <v>3496.83135896577</v>
      </c>
      <c r="R165" s="55" t="n">
        <f aca="false">R$4+Q165/V$32</f>
        <v>74.0073506056556</v>
      </c>
    </row>
    <row r="166" customFormat="false" ht="12.8" hidden="false" customHeight="false" outlineLevel="0" collapsed="false">
      <c r="A166" s="1" t="n">
        <v>162</v>
      </c>
      <c r="B166" s="44" t="n">
        <v>43707</v>
      </c>
      <c r="C166" s="45" t="n">
        <f aca="false">V$30-V$30*SIN(2*PI()/365*A166)</f>
        <v>10.5863109235263</v>
      </c>
      <c r="D166" s="3" t="n">
        <f aca="false">IF((E166+F166)&gt;C166,C166,E166+F166)</f>
        <v>10.5863109235263</v>
      </c>
      <c r="E166" s="46" t="n">
        <f aca="false">(V$27+V$28*SIN(2*PI()/365*A166))*V$29/100*V$9*V$10/100</f>
        <v>0</v>
      </c>
      <c r="F166" s="46" t="n">
        <f aca="false">(V$27+V$28*SIN(2*PI()/365*A166))*V$29/100*V$11*(1-V$18/100)*(1-V$20/100)</f>
        <v>24.8850979691443</v>
      </c>
      <c r="G166" s="46" t="n">
        <f aca="false">IF(C166&gt;E166,100,C166/E166*100)</f>
        <v>100</v>
      </c>
      <c r="H166" s="46" t="n">
        <f aca="false">L166/F166*100</f>
        <v>42.5407645035295</v>
      </c>
      <c r="I166" s="47" t="n">
        <f aca="false">(V$27+V$28*SIN(2*PI()/365*A166))*V$29/100*V$9*V$10/100*(1-V$19/100)</f>
        <v>0</v>
      </c>
      <c r="J166" s="47" t="n">
        <f aca="false">(V$27+V$28*SIN(2*PI()/365*A166))*V$29/100*V$11*(1-V$18/100)</f>
        <v>27.3462615045542</v>
      </c>
      <c r="K166" s="48" t="n">
        <f aca="false">IF(E166/C166*100&lt;100,E166/C166*100,100)</f>
        <v>0</v>
      </c>
      <c r="L166" s="7" t="n">
        <f aca="false">IF(((C166-E166)&gt;0)*AND(F166&gt;(C166-E166)),(C166-E166),IF(C166&lt;E166,0,F166))</f>
        <v>10.5863109235263</v>
      </c>
      <c r="M166" s="7" t="n">
        <f aca="false">IF(C166&lt;(E166+F166),0,C166-E166-F166)</f>
        <v>0</v>
      </c>
      <c r="N166" s="7" t="n">
        <f aca="false">IF(C166&lt;(E166+F166),0,(C166-E166-F166)/(1-V$20/100))</f>
        <v>0</v>
      </c>
      <c r="O166" s="7" t="n">
        <f aca="false">L166+M166</f>
        <v>10.5863109235263</v>
      </c>
      <c r="P166" s="49" t="n">
        <f aca="false">IF(N166=0,I166*(1-G166/100)+J166*(1-H166/100),-N166)</f>
        <v>15.7129527973824</v>
      </c>
      <c r="Q166" s="54" t="n">
        <f aca="false">IF(P165&gt;0,Q165+P165*(1-V$24/100),Q165+P165)</f>
        <v>3509.37234500589</v>
      </c>
      <c r="R166" s="55" t="n">
        <f aca="false">R$4+Q166/V$32</f>
        <v>74.1293140821365</v>
      </c>
    </row>
    <row r="167" customFormat="false" ht="12.8" hidden="false" customHeight="false" outlineLevel="0" collapsed="false">
      <c r="A167" s="1" t="n">
        <v>163</v>
      </c>
      <c r="B167" s="44" t="n">
        <v>43708</v>
      </c>
      <c r="C167" s="45" t="n">
        <f aca="false">V$30-V$30*SIN(2*PI()/365*A167)</f>
        <v>10.8484472542933</v>
      </c>
      <c r="D167" s="3" t="n">
        <f aca="false">IF((E167+F167)&gt;C167,C167,E167+F167)</f>
        <v>10.8484472542933</v>
      </c>
      <c r="E167" s="46" t="n">
        <f aca="false">(V$27+V$28*SIN(2*PI()/365*A167))*V$29/100*V$9*V$10/100</f>
        <v>0</v>
      </c>
      <c r="F167" s="46" t="n">
        <f aca="false">(V$27+V$28*SIN(2*PI()/365*A167))*V$29/100*V$11*(1-V$18/100)*(1-V$20/100)</f>
        <v>24.6215334605079</v>
      </c>
      <c r="G167" s="46" t="n">
        <f aca="false">IF(C167&gt;E167,100,C167/E167*100)</f>
        <v>100</v>
      </c>
      <c r="H167" s="46" t="n">
        <f aca="false">L167/F167*100</f>
        <v>44.0608107195836</v>
      </c>
      <c r="I167" s="47" t="n">
        <f aca="false">(V$27+V$28*SIN(2*PI()/365*A167))*V$29/100*V$9*V$10/100*(1-V$19/100)</f>
        <v>0</v>
      </c>
      <c r="J167" s="47" t="n">
        <f aca="false">(V$27+V$28*SIN(2*PI()/365*A167))*V$29/100*V$11*(1-V$18/100)</f>
        <v>27.0566301763823</v>
      </c>
      <c r="K167" s="48" t="n">
        <f aca="false">IF(E167/C167*100&lt;100,E167/C167*100,100)</f>
        <v>0</v>
      </c>
      <c r="L167" s="7" t="n">
        <f aca="false">IF(((C167-E167)&gt;0)*AND(F167&gt;(C167-E167)),(C167-E167),IF(C167&lt;E167,0,F167))</f>
        <v>10.8484472542933</v>
      </c>
      <c r="M167" s="7" t="n">
        <f aca="false">IF(C167&lt;(E167+F167),0,C167-E167-F167)</f>
        <v>0</v>
      </c>
      <c r="N167" s="7" t="n">
        <f aca="false">IF(C167&lt;(E167+F167),0,(C167-E167-F167)/(1-V$20/100))</f>
        <v>0</v>
      </c>
      <c r="O167" s="7" t="n">
        <f aca="false">L167+M167</f>
        <v>10.8484472542933</v>
      </c>
      <c r="P167" s="49" t="n">
        <f aca="false">IF(N167=0,I167*(1-G167/100)+J167*(1-H167/100),-N167)</f>
        <v>15.1352595672687</v>
      </c>
      <c r="Q167" s="54" t="n">
        <f aca="false">IF(P166&gt;0,Q166+P166*(1-V$24/100),Q166+P166)</f>
        <v>3521.47131865988</v>
      </c>
      <c r="R167" s="55" t="n">
        <f aca="false">R$4+Q167/V$32</f>
        <v>74.246978904023</v>
      </c>
    </row>
    <row r="168" customFormat="false" ht="12.8" hidden="false" customHeight="false" outlineLevel="0" collapsed="false">
      <c r="A168" s="1" t="n">
        <v>164</v>
      </c>
      <c r="B168" s="44" t="n">
        <v>43709</v>
      </c>
      <c r="C168" s="45" t="n">
        <f aca="false">V$30-V$30*SIN(2*PI()/365*A168)</f>
        <v>11.11216267762</v>
      </c>
      <c r="D168" s="3" t="n">
        <f aca="false">IF((E168+F168)&gt;C168,C168,E168+F168)</f>
        <v>11.11216267762</v>
      </c>
      <c r="E168" s="46" t="n">
        <f aca="false">(V$27+V$28*SIN(2*PI()/365*A168))*V$29/100*V$9*V$10/100</f>
        <v>0</v>
      </c>
      <c r="F168" s="46" t="n">
        <f aca="false">(V$27+V$28*SIN(2*PI()/365*A168))*V$29/100*V$11*(1-V$18/100)*(1-V$20/100)</f>
        <v>24.3563812560592</v>
      </c>
      <c r="G168" s="46" t="n">
        <f aca="false">IF(C168&gt;E168,100,C168/E168*100)</f>
        <v>100</v>
      </c>
      <c r="H168" s="46" t="n">
        <f aca="false">L168/F168*100</f>
        <v>45.6232088042866</v>
      </c>
      <c r="I168" s="47" t="n">
        <f aca="false">(V$27+V$28*SIN(2*PI()/365*A168))*V$29/100*V$9*V$10/100*(1-V$19/100)</f>
        <v>0</v>
      </c>
      <c r="J168" s="47" t="n">
        <f aca="false">(V$27+V$28*SIN(2*PI()/365*A168))*V$29/100*V$11*(1-V$18/100)</f>
        <v>26.7652541275376</v>
      </c>
      <c r="K168" s="48" t="n">
        <f aca="false">IF(E168/C168*100&lt;100,E168/C168*100,100)</f>
        <v>0</v>
      </c>
      <c r="L168" s="7" t="n">
        <f aca="false">IF(((C168-E168)&gt;0)*AND(F168&gt;(C168-E168)),(C168-E168),IF(C168&lt;E168,0,F168))</f>
        <v>11.11216267762</v>
      </c>
      <c r="M168" s="7" t="n">
        <f aca="false">IF(C168&lt;(E168+F168),0,C168-E168-F168)</f>
        <v>0</v>
      </c>
      <c r="N168" s="7" t="n">
        <f aca="false">IF(C168&lt;(E168+F168),0,(C168-E168-F168)/(1-V$20/100))</f>
        <v>0</v>
      </c>
      <c r="O168" s="7" t="n">
        <f aca="false">L168+M168</f>
        <v>11.11216267762</v>
      </c>
      <c r="P168" s="49" t="n">
        <f aca="false">IF(N168=0,I168*(1-G168/100)+J168*(1-H168/100),-N168)</f>
        <v>14.5540863499332</v>
      </c>
      <c r="Q168" s="54" t="n">
        <f aca="false">IF(P167&gt;0,Q167+P167*(1-V$24/100),Q167+P167)</f>
        <v>3533.12546852668</v>
      </c>
      <c r="R168" s="55" t="n">
        <f aca="false">R$4+Q168/V$32</f>
        <v>74.3603177299046</v>
      </c>
    </row>
    <row r="169" customFormat="false" ht="12.8" hidden="false" customHeight="false" outlineLevel="0" collapsed="false">
      <c r="A169" s="1" t="n">
        <v>165</v>
      </c>
      <c r="B169" s="44" t="n">
        <v>43710</v>
      </c>
      <c r="C169" s="45" t="n">
        <f aca="false">V$30-V$30*SIN(2*PI()/365*A169)</f>
        <v>11.377379048935</v>
      </c>
      <c r="D169" s="3" t="n">
        <f aca="false">IF((E169+F169)&gt;C169,C169,E169+F169)</f>
        <v>11.377379048935</v>
      </c>
      <c r="E169" s="46" t="n">
        <f aca="false">(V$27+V$28*SIN(2*PI()/365*A169))*V$29/100*V$9*V$10/100</f>
        <v>0</v>
      </c>
      <c r="F169" s="46" t="n">
        <f aca="false">(V$27+V$28*SIN(2*PI()/365*A169))*V$29/100*V$11*(1-V$18/100)*(1-V$20/100)</f>
        <v>24.0897199261189</v>
      </c>
      <c r="G169" s="46" t="n">
        <f aca="false">IF(C169&gt;E169,100,C169/E169*100)</f>
        <v>100</v>
      </c>
      <c r="H169" s="46" t="n">
        <f aca="false">L169/F169*100</f>
        <v>47.2291877357996</v>
      </c>
      <c r="I169" s="47" t="n">
        <f aca="false">(V$27+V$28*SIN(2*PI()/365*A169))*V$29/100*V$9*V$10/100*(1-V$19/100)</f>
        <v>0</v>
      </c>
      <c r="J169" s="47" t="n">
        <f aca="false">(V$27+V$28*SIN(2*PI()/365*A169))*V$29/100*V$11*(1-V$18/100)</f>
        <v>26.4722196990318</v>
      </c>
      <c r="K169" s="48" t="n">
        <f aca="false">IF(E169/C169*100&lt;100,E169/C169*100,100)</f>
        <v>0</v>
      </c>
      <c r="L169" s="7" t="n">
        <f aca="false">IF(((C169-E169)&gt;0)*AND(F169&gt;(C169-E169)),(C169-E169),IF(C169&lt;E169,0,F169))</f>
        <v>11.377379048935</v>
      </c>
      <c r="M169" s="7" t="n">
        <f aca="false">IF(C169&lt;(E169+F169),0,C169-E169-F169)</f>
        <v>0</v>
      </c>
      <c r="N169" s="7" t="n">
        <f aca="false">IF(C169&lt;(E169+F169),0,(C169-E169-F169)/(1-V$20/100))</f>
        <v>0</v>
      </c>
      <c r="O169" s="7" t="n">
        <f aca="false">L169+M169</f>
        <v>11.377379048935</v>
      </c>
      <c r="P169" s="49" t="n">
        <f aca="false">IF(N169=0,I169*(1-G169/100)+J169*(1-H169/100),-N169)</f>
        <v>13.9696053595427</v>
      </c>
      <c r="Q169" s="54" t="n">
        <f aca="false">IF(P168&gt;0,Q168+P168*(1-V$24/100),Q168+P168)</f>
        <v>3544.33211501612</v>
      </c>
      <c r="R169" s="55" t="n">
        <f aca="false">R$4+Q169/V$32</f>
        <v>74.4693045002568</v>
      </c>
    </row>
    <row r="170" customFormat="false" ht="12.8" hidden="false" customHeight="false" outlineLevel="0" collapsed="false">
      <c r="A170" s="1" t="n">
        <v>166</v>
      </c>
      <c r="B170" s="44" t="n">
        <v>43711</v>
      </c>
      <c r="C170" s="45" t="n">
        <f aca="false">V$30-V$30*SIN(2*PI()/365*A170)</f>
        <v>11.6440177789037</v>
      </c>
      <c r="D170" s="3" t="n">
        <f aca="false">IF((E170+F170)&gt;C170,C170,E170+F170)</f>
        <v>11.6440177789037</v>
      </c>
      <c r="E170" s="46" t="n">
        <f aca="false">(V$27+V$28*SIN(2*PI()/365*A170))*V$29/100*V$9*V$10/100</f>
        <v>0</v>
      </c>
      <c r="F170" s="46" t="n">
        <f aca="false">(V$27+V$28*SIN(2*PI()/365*A170))*V$29/100*V$11*(1-V$18/100)*(1-V$20/100)</f>
        <v>23.8216284881942</v>
      </c>
      <c r="G170" s="46" t="n">
        <f aca="false">IF(C170&gt;E170,100,C170/E170*100)</f>
        <v>100</v>
      </c>
      <c r="H170" s="46" t="n">
        <f aca="false">L170/F170*100</f>
        <v>48.88002423795</v>
      </c>
      <c r="I170" s="47" t="n">
        <f aca="false">(V$27+V$28*SIN(2*PI()/365*A170))*V$29/100*V$9*V$10/100*(1-V$19/100)</f>
        <v>0</v>
      </c>
      <c r="J170" s="47" t="n">
        <f aca="false">(V$27+V$28*SIN(2*PI()/365*A170))*V$29/100*V$11*(1-V$18/100)</f>
        <v>26.1776137232903</v>
      </c>
      <c r="K170" s="48" t="n">
        <f aca="false">IF(E170/C170*100&lt;100,E170/C170*100,100)</f>
        <v>0</v>
      </c>
      <c r="L170" s="7" t="n">
        <f aca="false">IF(((C170-E170)&gt;0)*AND(F170&gt;(C170-E170)),(C170-E170),IF(C170&lt;E170,0,F170))</f>
        <v>11.6440177789037</v>
      </c>
      <c r="M170" s="7" t="n">
        <f aca="false">IF(C170&lt;(E170+F170),0,C170-E170-F170)</f>
        <v>0</v>
      </c>
      <c r="N170" s="7" t="n">
        <f aca="false">IF(C170&lt;(E170+F170),0,(C170-E170-F170)/(1-V$20/100))</f>
        <v>0</v>
      </c>
      <c r="O170" s="7" t="n">
        <f aca="false">L170+M170</f>
        <v>11.6440177789037</v>
      </c>
      <c r="P170" s="49" t="n">
        <f aca="false">IF(N170=0,I170*(1-G170/100)+J170*(1-H170/100),-N170)</f>
        <v>13.3819897904291</v>
      </c>
      <c r="Q170" s="54" t="n">
        <f aca="false">IF(P169&gt;0,Q169+P169*(1-V$24/100),Q169+P169)</f>
        <v>3555.08871114297</v>
      </c>
      <c r="R170" s="55" t="n">
        <f aca="false">R$4+Q170/V$32</f>
        <v>74.5739144451635</v>
      </c>
    </row>
    <row r="171" customFormat="false" ht="12.8" hidden="false" customHeight="false" outlineLevel="0" collapsed="false">
      <c r="A171" s="1" t="n">
        <v>167</v>
      </c>
      <c r="B171" s="44" t="n">
        <v>43712</v>
      </c>
      <c r="C171" s="45" t="n">
        <f aca="false">V$30-V$30*SIN(2*PI()/365*A171)</f>
        <v>11.9119998567159</v>
      </c>
      <c r="D171" s="3" t="n">
        <f aca="false">IF((E171+F171)&gt;C171,C171,E171+F171)</f>
        <v>11.9119998567159</v>
      </c>
      <c r="E171" s="46" t="n">
        <f aca="false">(V$27+V$28*SIN(2*PI()/365*A171))*V$29/100*V$9*V$10/100</f>
        <v>0</v>
      </c>
      <c r="F171" s="46" t="n">
        <f aca="false">(V$27+V$28*SIN(2*PI()/365*A171))*V$29/100*V$11*(1-V$18/100)*(1-V$20/100)</f>
        <v>23.5521863835639</v>
      </c>
      <c r="G171" s="46" t="n">
        <f aca="false">IF(C171&gt;E171,100,C171/E171*100)</f>
        <v>100</v>
      </c>
      <c r="H171" s="46" t="n">
        <f aca="false">L171/F171*100</f>
        <v>50.577044792023</v>
      </c>
      <c r="I171" s="47" t="n">
        <f aca="false">(V$27+V$28*SIN(2*PI()/365*A171))*V$29/100*V$9*V$10/100*(1-V$19/100)</f>
        <v>0</v>
      </c>
      <c r="J171" s="47" t="n">
        <f aca="false">(V$27+V$28*SIN(2*PI()/365*A171))*V$29/100*V$11*(1-V$18/100)</f>
        <v>25.8815234984219</v>
      </c>
      <c r="K171" s="48" t="n">
        <f aca="false">IF(E171/C171*100&lt;100,E171/C171*100,100)</f>
        <v>0</v>
      </c>
      <c r="L171" s="7" t="n">
        <f aca="false">IF(((C171-E171)&gt;0)*AND(F171&gt;(C171-E171)),(C171-E171),IF(C171&lt;E171,0,F171))</f>
        <v>11.9119998567159</v>
      </c>
      <c r="M171" s="7" t="n">
        <f aca="false">IF(C171&lt;(E171+F171),0,C171-E171-F171)</f>
        <v>0</v>
      </c>
      <c r="N171" s="7" t="n">
        <f aca="false">IF(C171&lt;(E171+F171),0,(C171-E171-F171)/(1-V$20/100))</f>
        <v>0</v>
      </c>
      <c r="O171" s="7" t="n">
        <f aca="false">L171+M171</f>
        <v>11.9119998567159</v>
      </c>
      <c r="P171" s="49" t="n">
        <f aca="false">IF(N171=0,I171*(1-G171/100)+J171*(1-H171/100),-N171)</f>
        <v>12.7914137657671</v>
      </c>
      <c r="Q171" s="54" t="n">
        <f aca="false">IF(P170&gt;0,Q170+P170*(1-V$24/100),Q170+P170)</f>
        <v>3565.3928432816</v>
      </c>
      <c r="R171" s="55" t="n">
        <f aca="false">R$4+Q171/V$32</f>
        <v>74.6741240916558</v>
      </c>
    </row>
    <row r="172" customFormat="false" ht="12.8" hidden="false" customHeight="false" outlineLevel="0" collapsed="false">
      <c r="A172" s="1" t="n">
        <v>168</v>
      </c>
      <c r="B172" s="44" t="n">
        <v>43713</v>
      </c>
      <c r="C172" s="45" t="n">
        <f aca="false">V$30-V$30*SIN(2*PI()/365*A172)</f>
        <v>12.1812458734982</v>
      </c>
      <c r="D172" s="3" t="n">
        <f aca="false">IF((E172+F172)&gt;C172,C172,E172+F172)</f>
        <v>12.1812458734982</v>
      </c>
      <c r="E172" s="46" t="n">
        <f aca="false">(V$27+V$28*SIN(2*PI()/365*A172))*V$29/100*V$9*V$10/100</f>
        <v>0</v>
      </c>
      <c r="F172" s="46" t="n">
        <f aca="false">(V$27+V$28*SIN(2*PI()/365*A172))*V$29/100*V$11*(1-V$18/100)*(1-V$20/100)</f>
        <v>23.2814734537387</v>
      </c>
      <c r="G172" s="46" t="n">
        <f aca="false">IF(C172&gt;E172,100,C172/E172*100)</f>
        <v>100</v>
      </c>
      <c r="H172" s="46" t="n">
        <f aca="false">L172/F172*100</f>
        <v>52.3216277427753</v>
      </c>
      <c r="I172" s="47" t="n">
        <f aca="false">(V$27+V$28*SIN(2*PI()/365*A172))*V$29/100*V$9*V$10/100*(1-V$19/100)</f>
        <v>0</v>
      </c>
      <c r="J172" s="47" t="n">
        <f aca="false">(V$27+V$28*SIN(2*PI()/365*A172))*V$29/100*V$11*(1-V$18/100)</f>
        <v>25.5840367623502</v>
      </c>
      <c r="K172" s="48" t="n">
        <f aca="false">IF(E172/C172*100&lt;100,E172/C172*100,100)</f>
        <v>0</v>
      </c>
      <c r="L172" s="7" t="n">
        <f aca="false">IF(((C172-E172)&gt;0)*AND(F172&gt;(C172-E172)),(C172-E172),IF(C172&lt;E172,0,F172))</f>
        <v>12.1812458734982</v>
      </c>
      <c r="M172" s="7" t="n">
        <f aca="false">IF(C172&lt;(E172+F172),0,C172-E172-F172)</f>
        <v>0</v>
      </c>
      <c r="N172" s="7" t="n">
        <f aca="false">IF(C172&lt;(E172+F172),0,(C172-E172-F172)/(1-V$20/100))</f>
        <v>0</v>
      </c>
      <c r="O172" s="7" t="n">
        <f aca="false">L172+M172</f>
        <v>12.1812458734982</v>
      </c>
      <c r="P172" s="49" t="n">
        <f aca="false">IF(N172=0,I172*(1-G172/100)+J172*(1-H172/100),-N172)</f>
        <v>12.1980522859786</v>
      </c>
      <c r="Q172" s="54" t="n">
        <f aca="false">IF(P171&gt;0,Q171+P171*(1-V$24/100),Q171+P171)</f>
        <v>3575.24223188124</v>
      </c>
      <c r="R172" s="55" t="n">
        <f aca="false">R$4+Q172/V$32</f>
        <v>74.7699112706688</v>
      </c>
    </row>
    <row r="173" customFormat="false" ht="12.8" hidden="false" customHeight="false" outlineLevel="0" collapsed="false">
      <c r="A173" s="1" t="n">
        <v>169</v>
      </c>
      <c r="B173" s="44" t="n">
        <v>43714</v>
      </c>
      <c r="C173" s="45" t="n">
        <f aca="false">V$30-V$30*SIN(2*PI()/365*A173)</f>
        <v>12.4516760458453</v>
      </c>
      <c r="D173" s="3" t="n">
        <f aca="false">IF((E173+F173)&gt;C173,C173,E173+F173)</f>
        <v>12.4516760458453</v>
      </c>
      <c r="E173" s="46" t="n">
        <f aca="false">(V$27+V$28*SIN(2*PI()/365*A173))*V$29/100*V$9*V$10/100</f>
        <v>0</v>
      </c>
      <c r="F173" s="46" t="n">
        <f aca="false">(V$27+V$28*SIN(2*PI()/365*A173))*V$29/100*V$11*(1-V$18/100)*(1-V$20/100)</f>
        <v>23.0095699168022</v>
      </c>
      <c r="G173" s="46" t="n">
        <f aca="false">IF(C173&gt;E173,100,C173/E173*100)</f>
        <v>100</v>
      </c>
      <c r="H173" s="46" t="n">
        <f aca="false">L173/F173*100</f>
        <v>54.1152055030492</v>
      </c>
      <c r="I173" s="47" t="n">
        <f aca="false">(V$27+V$28*SIN(2*PI()/365*A173))*V$29/100*V$9*V$10/100*(1-V$19/100)</f>
        <v>0</v>
      </c>
      <c r="J173" s="47" t="n">
        <f aca="false">(V$27+V$28*SIN(2*PI()/365*A173))*V$29/100*V$11*(1-V$18/100)</f>
        <v>25.2852416668156</v>
      </c>
      <c r="K173" s="48" t="n">
        <f aca="false">IF(E173/C173*100&lt;100,E173/C173*100,100)</f>
        <v>0</v>
      </c>
      <c r="L173" s="7" t="n">
        <f aca="false">IF(((C173-E173)&gt;0)*AND(F173&gt;(C173-E173)),(C173-E173),IF(C173&lt;E173,0,F173))</f>
        <v>12.4516760458453</v>
      </c>
      <c r="M173" s="7" t="n">
        <f aca="false">IF(C173&lt;(E173+F173),0,C173-E173-F173)</f>
        <v>0</v>
      </c>
      <c r="N173" s="7" t="n">
        <f aca="false">IF(C173&lt;(E173+F173),0,(C173-E173-F173)/(1-V$20/100))</f>
        <v>0</v>
      </c>
      <c r="O173" s="7" t="n">
        <f aca="false">L173+M173</f>
        <v>12.4516760458453</v>
      </c>
      <c r="P173" s="49" t="n">
        <f aca="false">IF(N173=0,I173*(1-G173/100)+J173*(1-H173/100),-N173)</f>
        <v>11.6020811768757</v>
      </c>
      <c r="Q173" s="54" t="n">
        <f aca="false">IF(P172&gt;0,Q172+P172*(1-V$24/100),Q172+P172)</f>
        <v>3584.63473214145</v>
      </c>
      <c r="R173" s="55" t="n">
        <f aca="false">R$4+Q173/V$32</f>
        <v>74.8612551236097</v>
      </c>
    </row>
    <row r="174" customFormat="false" ht="12.8" hidden="false" customHeight="false" outlineLevel="0" collapsed="false">
      <c r="A174" s="1" t="n">
        <v>170</v>
      </c>
      <c r="B174" s="44" t="n">
        <v>43715</v>
      </c>
      <c r="C174" s="45" t="n">
        <f aca="false">V$30-V$30*SIN(2*PI()/365*A174)</f>
        <v>12.7232102394606</v>
      </c>
      <c r="D174" s="3" t="n">
        <f aca="false">IF((E174+F174)&gt;C174,C174,E174+F174)</f>
        <v>12.7232102394606</v>
      </c>
      <c r="E174" s="46" t="n">
        <f aca="false">(V$27+V$28*SIN(2*PI()/365*A174))*V$29/100*V$9*V$10/100</f>
        <v>0</v>
      </c>
      <c r="F174" s="46" t="n">
        <f aca="false">(V$27+V$28*SIN(2*PI()/365*A174))*V$29/100*V$11*(1-V$18/100)*(1-V$20/100)</f>
        <v>22.7365563436404</v>
      </c>
      <c r="G174" s="46" t="n">
        <f aca="false">IF(C174&gt;E174,100,C174/E174*100)</f>
        <v>100</v>
      </c>
      <c r="H174" s="46" t="n">
        <f aca="false">L174/F174*100</f>
        <v>55.9592668615331</v>
      </c>
      <c r="I174" s="47" t="n">
        <f aca="false">(V$27+V$28*SIN(2*PI()/365*A174))*V$29/100*V$9*V$10/100*(1-V$19/100)</f>
        <v>0</v>
      </c>
      <c r="J174" s="47" t="n">
        <f aca="false">(V$27+V$28*SIN(2*PI()/365*A174))*V$29/100*V$11*(1-V$18/100)</f>
        <v>24.9852267512532</v>
      </c>
      <c r="K174" s="48" t="n">
        <f aca="false">IF(E174/C174*100&lt;100,E174/C174*100,100)</f>
        <v>0</v>
      </c>
      <c r="L174" s="7" t="n">
        <f aca="false">IF(((C174-E174)&gt;0)*AND(F174&gt;(C174-E174)),(C174-E174),IF(C174&lt;E174,0,F174))</f>
        <v>12.7232102394606</v>
      </c>
      <c r="M174" s="7" t="n">
        <f aca="false">IF(C174&lt;(E174+F174),0,C174-E174-F174)</f>
        <v>0</v>
      </c>
      <c r="N174" s="7" t="n">
        <f aca="false">IF(C174&lt;(E174+F174),0,(C174-E174-F174)/(1-V$20/100))</f>
        <v>0</v>
      </c>
      <c r="O174" s="7" t="n">
        <f aca="false">L174+M174</f>
        <v>12.7232102394606</v>
      </c>
      <c r="P174" s="49" t="n">
        <f aca="false">IF(N174=0,I174*(1-G174/100)+J174*(1-H174/100),-N174)</f>
        <v>11.0036770375603</v>
      </c>
      <c r="Q174" s="54" t="n">
        <f aca="false">IF(P173&gt;0,Q173+P173*(1-V$24/100),Q173+P173)</f>
        <v>3593.56833464764</v>
      </c>
      <c r="R174" s="55" t="n">
        <f aca="false">R$4+Q174/V$32</f>
        <v>74.9481361085393</v>
      </c>
    </row>
    <row r="175" customFormat="false" ht="12.8" hidden="false" customHeight="false" outlineLevel="0" collapsed="false">
      <c r="A175" s="1" t="n">
        <v>171</v>
      </c>
      <c r="B175" s="44" t="n">
        <v>43716</v>
      </c>
      <c r="C175" s="45" t="n">
        <f aca="false">V$30-V$30*SIN(2*PI()/365*A175)</f>
        <v>12.9957679929023</v>
      </c>
      <c r="D175" s="3" t="n">
        <f aca="false">IF((E175+F175)&gt;C175,C175,E175+F175)</f>
        <v>12.9957679929023</v>
      </c>
      <c r="E175" s="46" t="n">
        <f aca="false">(V$27+V$28*SIN(2*PI()/365*A175))*V$29/100*V$9*V$10/100</f>
        <v>0</v>
      </c>
      <c r="F175" s="46" t="n">
        <f aca="false">(V$27+V$28*SIN(2*PI()/365*A175))*V$29/100*V$11*(1-V$18/100)*(1-V$20/100)</f>
        <v>22.4625136340673</v>
      </c>
      <c r="G175" s="46" t="n">
        <f aca="false">IF(C175&gt;E175,100,C175/E175*100)</f>
        <v>100</v>
      </c>
      <c r="H175" s="46" t="n">
        <f aca="false">L175/F175*100</f>
        <v>57.8553593983915</v>
      </c>
      <c r="I175" s="47" t="n">
        <f aca="false">(V$27+V$28*SIN(2*PI()/365*A175))*V$29/100*V$9*V$10/100*(1-V$19/100)</f>
        <v>0</v>
      </c>
      <c r="J175" s="47" t="n">
        <f aca="false">(V$27+V$28*SIN(2*PI()/365*A175))*V$29/100*V$11*(1-V$18/100)</f>
        <v>24.6840809165575</v>
      </c>
      <c r="K175" s="48" t="n">
        <f aca="false">IF(E175/C175*100&lt;100,E175/C175*100,100)</f>
        <v>0</v>
      </c>
      <c r="L175" s="7" t="n">
        <f aca="false">IF(((C175-E175)&gt;0)*AND(F175&gt;(C175-E175)),(C175-E175),IF(C175&lt;E175,0,F175))</f>
        <v>12.9957679929023</v>
      </c>
      <c r="M175" s="7" t="n">
        <f aca="false">IF(C175&lt;(E175+F175),0,C175-E175-F175)</f>
        <v>0</v>
      </c>
      <c r="N175" s="7" t="n">
        <f aca="false">IF(C175&lt;(E175+F175),0,(C175-E175-F175)/(1-V$20/100))</f>
        <v>0</v>
      </c>
      <c r="O175" s="7" t="n">
        <f aca="false">L175+M175</f>
        <v>12.9957679929023</v>
      </c>
      <c r="P175" s="49" t="n">
        <f aca="false">IF(N175=0,I175*(1-G175/100)+J175*(1-H175/100),-N175)</f>
        <v>10.4030171880934</v>
      </c>
      <c r="Q175" s="54" t="n">
        <f aca="false">IF(P174&gt;0,Q174+P174*(1-V$24/100),Q174+P174)</f>
        <v>3602.04116596656</v>
      </c>
      <c r="R175" s="55" t="n">
        <f aca="false">R$4+Q175/V$32</f>
        <v>75.0305360059625</v>
      </c>
    </row>
    <row r="176" customFormat="false" ht="12.8" hidden="false" customHeight="false" outlineLevel="0" collapsed="false">
      <c r="A176" s="1" t="n">
        <v>172</v>
      </c>
      <c r="B176" s="44" t="n">
        <v>43717</v>
      </c>
      <c r="C176" s="45" t="n">
        <f aca="false">V$30-V$30*SIN(2*PI()/365*A176)</f>
        <v>13.269268541426</v>
      </c>
      <c r="D176" s="3" t="n">
        <f aca="false">IF((E176+F176)&gt;C176,C176,E176+F176)</f>
        <v>13.269268541426</v>
      </c>
      <c r="E176" s="46" t="n">
        <f aca="false">(V$27+V$28*SIN(2*PI()/365*A176))*V$29/100*V$9*V$10/100</f>
        <v>0</v>
      </c>
      <c r="F176" s="46" t="n">
        <f aca="false">(V$27+V$28*SIN(2*PI()/365*A176))*V$29/100*V$11*(1-V$18/100)*(1-V$20/100)</f>
        <v>22.1875229928521</v>
      </c>
      <c r="G176" s="46" t="n">
        <f aca="false">IF(C176&gt;E176,100,C176/E176*100)</f>
        <v>100</v>
      </c>
      <c r="H176" s="46" t="n">
        <f aca="false">L176/F176*100</f>
        <v>59.8050920136547</v>
      </c>
      <c r="I176" s="47" t="n">
        <f aca="false">(V$27+V$28*SIN(2*PI()/365*A176))*V$29/100*V$9*V$10/100*(1-V$19/100)</f>
        <v>0</v>
      </c>
      <c r="J176" s="47" t="n">
        <f aca="false">(V$27+V$28*SIN(2*PI()/365*A176))*V$29/100*V$11*(1-V$18/100)</f>
        <v>24.3818933987386</v>
      </c>
      <c r="K176" s="48" t="n">
        <f aca="false">IF(E176/C176*100&lt;100,E176/C176*100,100)</f>
        <v>0</v>
      </c>
      <c r="L176" s="7" t="n">
        <f aca="false">IF(((C176-E176)&gt;0)*AND(F176&gt;(C176-E176)),(C176-E176),IF(C176&lt;E176,0,F176))</f>
        <v>13.269268541426</v>
      </c>
      <c r="M176" s="7" t="n">
        <f aca="false">IF(C176&lt;(E176+F176),0,C176-E176-F176)</f>
        <v>0</v>
      </c>
      <c r="N176" s="7" t="n">
        <f aca="false">IF(C176&lt;(E176+F176),0,(C176-E176-F176)/(1-V$20/100))</f>
        <v>0</v>
      </c>
      <c r="O176" s="7" t="n">
        <f aca="false">L176+M176</f>
        <v>13.269268541426</v>
      </c>
      <c r="P176" s="49" t="n">
        <f aca="false">IF(N176=0,I176*(1-G176/100)+J176*(1-H176/100),-N176)</f>
        <v>9.80027961695176</v>
      </c>
      <c r="Q176" s="54" t="n">
        <f aca="false">IF(P175&gt;0,Q175+P175*(1-V$24/100),Q175+P175)</f>
        <v>3610.0514892014</v>
      </c>
      <c r="R176" s="55" t="n">
        <f aca="false">R$4+Q176/V$32</f>
        <v>75.1084379242272</v>
      </c>
    </row>
    <row r="177" customFormat="false" ht="12.8" hidden="false" customHeight="false" outlineLevel="0" collapsed="false">
      <c r="A177" s="1" t="n">
        <v>173</v>
      </c>
      <c r="B177" s="44" t="n">
        <v>43718</v>
      </c>
      <c r="C177" s="45" t="n">
        <f aca="false">V$30-V$30*SIN(2*PI()/365*A177)</f>
        <v>13.5436308409163</v>
      </c>
      <c r="D177" s="3" t="n">
        <f aca="false">IF((E177+F177)&gt;C177,C177,E177+F177)</f>
        <v>13.5436308409163</v>
      </c>
      <c r="E177" s="46" t="n">
        <f aca="false">(V$27+V$28*SIN(2*PI()/365*A177))*V$29/100*V$9*V$10/100</f>
        <v>0</v>
      </c>
      <c r="F177" s="46" t="n">
        <f aca="false">(V$27+V$28*SIN(2*PI()/365*A177))*V$29/100*V$11*(1-V$18/100)*(1-V$20/100)</f>
        <v>21.9116659056564</v>
      </c>
      <c r="G177" s="46" t="n">
        <f aca="false">IF(C177&gt;E177,100,C177/E177*100)</f>
        <v>100</v>
      </c>
      <c r="H177" s="46" t="n">
        <f aca="false">L177/F177*100</f>
        <v>61.8101375734288</v>
      </c>
      <c r="I177" s="47" t="n">
        <f aca="false">(V$27+V$28*SIN(2*PI()/365*A177))*V$29/100*V$9*V$10/100*(1-V$19/100)</f>
        <v>0</v>
      </c>
      <c r="J177" s="47" t="n">
        <f aca="false">(V$27+V$28*SIN(2*PI()/365*A177))*V$29/100*V$11*(1-V$18/100)</f>
        <v>24.0787537424796</v>
      </c>
      <c r="K177" s="48" t="n">
        <f aca="false">IF(E177/C177*100&lt;100,E177/C177*100,100)</f>
        <v>0</v>
      </c>
      <c r="L177" s="7" t="n">
        <f aca="false">IF(((C177-E177)&gt;0)*AND(F177&gt;(C177-E177)),(C177-E177),IF(C177&lt;E177,0,F177))</f>
        <v>13.5436308409163</v>
      </c>
      <c r="M177" s="7" t="n">
        <f aca="false">IF(C177&lt;(E177+F177),0,C177-E177-F177)</f>
        <v>0</v>
      </c>
      <c r="N177" s="7" t="n">
        <f aca="false">IF(C177&lt;(E177+F177),0,(C177-E177-F177)/(1-V$20/100))</f>
        <v>0</v>
      </c>
      <c r="O177" s="7" t="n">
        <f aca="false">L177+M177</f>
        <v>13.5436308409163</v>
      </c>
      <c r="P177" s="49" t="n">
        <f aca="false">IF(N177=0,I177*(1-G177/100)+J177*(1-H177/100),-N177)</f>
        <v>9.19564292828582</v>
      </c>
      <c r="Q177" s="54" t="n">
        <f aca="false">IF(P176&gt;0,Q176+P176*(1-V$24/100),Q176+P176)</f>
        <v>3617.59770450645</v>
      </c>
      <c r="R177" s="55" t="n">
        <f aca="false">R$4+Q177/V$32</f>
        <v>75.1818263045295</v>
      </c>
    </row>
    <row r="178" customFormat="false" ht="12.8" hidden="false" customHeight="false" outlineLevel="0" collapsed="false">
      <c r="A178" s="1" t="n">
        <v>174</v>
      </c>
      <c r="B178" s="44" t="n">
        <v>43719</v>
      </c>
      <c r="C178" s="45" t="n">
        <f aca="false">V$30-V$30*SIN(2*PI()/365*A178)</f>
        <v>13.8187735919029</v>
      </c>
      <c r="D178" s="3" t="n">
        <f aca="false">IF((E178+F178)&gt;C178,C178,E178+F178)</f>
        <v>13.8187735919029</v>
      </c>
      <c r="E178" s="46" t="n">
        <f aca="false">(V$27+V$28*SIN(2*PI()/365*A178))*V$29/100*V$9*V$10/100</f>
        <v>0</v>
      </c>
      <c r="F178" s="46" t="n">
        <f aca="false">(V$27+V$28*SIN(2*PI()/365*A178))*V$29/100*V$11*(1-V$18/100)*(1-V$20/100)</f>
        <v>21.6350241148888</v>
      </c>
      <c r="G178" s="46" t="n">
        <f aca="false">IF(C178&gt;E178,100,C178/E178*100)</f>
        <v>100</v>
      </c>
      <c r="H178" s="46" t="n">
        <f aca="false">L178/F178*100</f>
        <v>63.8722356791506</v>
      </c>
      <c r="I178" s="47" t="n">
        <f aca="false">(V$27+V$28*SIN(2*PI()/365*A178))*V$29/100*V$9*V$10/100*(1-V$19/100)</f>
        <v>0</v>
      </c>
      <c r="J178" s="47" t="n">
        <f aca="false">(V$27+V$28*SIN(2*PI()/365*A178))*V$29/100*V$11*(1-V$18/100)</f>
        <v>23.7747517746031</v>
      </c>
      <c r="K178" s="48" t="n">
        <f aca="false">IF(E178/C178*100&lt;100,E178/C178*100,100)</f>
        <v>0</v>
      </c>
      <c r="L178" s="7" t="n">
        <f aca="false">IF(((C178-E178)&gt;0)*AND(F178&gt;(C178-E178)),(C178-E178),IF(C178&lt;E178,0,F178))</f>
        <v>13.8187735919029</v>
      </c>
      <c r="M178" s="7" t="n">
        <f aca="false">IF(C178&lt;(E178+F178),0,C178-E178-F178)</f>
        <v>0</v>
      </c>
      <c r="N178" s="7" t="n">
        <f aca="false">IF(C178&lt;(E178+F178),0,(C178-E178-F178)/(1-V$20/100))</f>
        <v>0</v>
      </c>
      <c r="O178" s="7" t="n">
        <f aca="false">L178+M178</f>
        <v>13.8187735919029</v>
      </c>
      <c r="P178" s="49" t="n">
        <f aca="false">IF(N178=0,I178*(1-G178/100)+J178*(1-H178/100),-N178)</f>
        <v>8.58928628899556</v>
      </c>
      <c r="Q178" s="54" t="n">
        <f aca="false">IF(P177&gt;0,Q177+P177*(1-V$24/100),Q177+P177)</f>
        <v>3624.67834956123</v>
      </c>
      <c r="R178" s="55" t="n">
        <f aca="false">R$4+Q178/V$32</f>
        <v>75.2506869255242</v>
      </c>
    </row>
    <row r="179" customFormat="false" ht="12.8" hidden="false" customHeight="false" outlineLevel="0" collapsed="false">
      <c r="A179" s="1" t="n">
        <v>175</v>
      </c>
      <c r="B179" s="44" t="n">
        <v>43720</v>
      </c>
      <c r="C179" s="45" t="n">
        <f aca="false">V$30-V$30*SIN(2*PI()/365*A179)</f>
        <v>14.0946152636503</v>
      </c>
      <c r="D179" s="3" t="n">
        <f aca="false">IF((E179+F179)&gt;C179,C179,E179+F179)</f>
        <v>14.0946152636503</v>
      </c>
      <c r="E179" s="46" t="n">
        <f aca="false">(V$27+V$28*SIN(2*PI()/365*A179))*V$29/100*V$9*V$10/100</f>
        <v>0</v>
      </c>
      <c r="F179" s="46" t="n">
        <f aca="false">(V$27+V$28*SIN(2*PI()/365*A179))*V$29/100*V$11*(1-V$18/100)*(1-V$20/100)</f>
        <v>21.3576795954822</v>
      </c>
      <c r="G179" s="46" t="n">
        <f aca="false">IF(C179&gt;E179,100,C179/E179*100)</f>
        <v>100</v>
      </c>
      <c r="H179" s="46" t="n">
        <f aca="false">L179/F179*100</f>
        <v>65.99319556527</v>
      </c>
      <c r="I179" s="47" t="n">
        <f aca="false">(V$27+V$28*SIN(2*PI()/365*A179))*V$29/100*V$9*V$10/100*(1-V$19/100)</f>
        <v>0</v>
      </c>
      <c r="J179" s="47" t="n">
        <f aca="false">(V$27+V$28*SIN(2*PI()/365*A179))*V$29/100*V$11*(1-V$18/100)</f>
        <v>23.469977577453</v>
      </c>
      <c r="K179" s="48" t="n">
        <f aca="false">IF(E179/C179*100&lt;100,E179/C179*100,100)</f>
        <v>0</v>
      </c>
      <c r="L179" s="7" t="n">
        <f aca="false">IF(((C179-E179)&gt;0)*AND(F179&gt;(C179-E179)),(C179-E179),IF(C179&lt;E179,0,F179))</f>
        <v>14.0946152636503</v>
      </c>
      <c r="M179" s="7" t="n">
        <f aca="false">IF(C179&lt;(E179+F179),0,C179-E179-F179)</f>
        <v>0</v>
      </c>
      <c r="N179" s="7" t="n">
        <f aca="false">IF(C179&lt;(E179+F179),0,(C179-E179-F179)/(1-V$20/100))</f>
        <v>0</v>
      </c>
      <c r="O179" s="7" t="n">
        <f aca="false">L179+M179</f>
        <v>14.0946152636503</v>
      </c>
      <c r="P179" s="49" t="n">
        <f aca="false">IF(N179=0,I179*(1-G179/100)+J179*(1-H179/100),-N179)</f>
        <v>7.98138937563943</v>
      </c>
      <c r="Q179" s="54" t="n">
        <f aca="false">IF(P178&gt;0,Q178+P178*(1-V$24/100),Q178+P178)</f>
        <v>3631.29210000375</v>
      </c>
      <c r="R179" s="55" t="n">
        <f aca="false">R$4+Q179/V$32</f>
        <v>75.3150069075389</v>
      </c>
    </row>
    <row r="180" customFormat="false" ht="12.8" hidden="false" customHeight="false" outlineLevel="0" collapsed="false">
      <c r="A180" s="1" t="n">
        <v>176</v>
      </c>
      <c r="B180" s="44" t="n">
        <v>43721</v>
      </c>
      <c r="C180" s="45" t="n">
        <f aca="false">V$30-V$30*SIN(2*PI()/365*A180)</f>
        <v>14.3710741183183</v>
      </c>
      <c r="D180" s="3" t="n">
        <f aca="false">IF((E180+F180)&gt;C180,C180,E180+F180)</f>
        <v>14.3710741183183</v>
      </c>
      <c r="E180" s="46" t="n">
        <f aca="false">(V$27+V$28*SIN(2*PI()/365*A180))*V$29/100*V$9*V$10/100</f>
        <v>0</v>
      </c>
      <c r="F180" s="46" t="n">
        <f aca="false">(V$27+V$28*SIN(2*PI()/365*A180))*V$29/100*V$11*(1-V$18/100)*(1-V$20/100)</f>
        <v>21.0797145306034</v>
      </c>
      <c r="G180" s="46" t="n">
        <f aca="false">IF(C180&gt;E180,100,C180/E180*100)</f>
        <v>100</v>
      </c>
      <c r="H180" s="46" t="n">
        <f aca="false">L180/F180*100</f>
        <v>68.1748991308894</v>
      </c>
      <c r="I180" s="47" t="n">
        <f aca="false">(V$27+V$28*SIN(2*PI()/365*A180))*V$29/100*V$9*V$10/100*(1-V$19/100)</f>
        <v>0</v>
      </c>
      <c r="J180" s="47" t="n">
        <f aca="false">(V$27+V$28*SIN(2*PI()/365*A180))*V$29/100*V$11*(1-V$18/100)</f>
        <v>23.1645214622015</v>
      </c>
      <c r="K180" s="48" t="n">
        <f aca="false">IF(E180/C180*100&lt;100,E180/C180*100,100)</f>
        <v>0</v>
      </c>
      <c r="L180" s="7" t="n">
        <f aca="false">IF(((C180-E180)&gt;0)*AND(F180&gt;(C180-E180)),(C180-E180),IF(C180&lt;E180,0,F180))</f>
        <v>14.3710741183183</v>
      </c>
      <c r="M180" s="7" t="n">
        <f aca="false">IF(C180&lt;(E180+F180),0,C180-E180-F180)</f>
        <v>0</v>
      </c>
      <c r="N180" s="7" t="n">
        <f aca="false">IF(C180&lt;(E180+F180),0,(C180-E180-F180)/(1-V$20/100))</f>
        <v>0</v>
      </c>
      <c r="O180" s="7" t="n">
        <f aca="false">L180+M180</f>
        <v>14.3710741183183</v>
      </c>
      <c r="P180" s="49" t="n">
        <f aca="false">IF(N180=0,I180*(1-G180/100)+J180*(1-H180/100),-N180)</f>
        <v>7.3721323211924</v>
      </c>
      <c r="Q180" s="54" t="n">
        <f aca="false">IF(P179&gt;0,Q179+P179*(1-V$24/100),Q179+P179)</f>
        <v>3637.437769823</v>
      </c>
      <c r="R180" s="55" t="n">
        <f aca="false">R$4+Q180/V$32</f>
        <v>75.3747747163907</v>
      </c>
    </row>
    <row r="181" customFormat="false" ht="12.8" hidden="false" customHeight="false" outlineLevel="0" collapsed="false">
      <c r="A181" s="1" t="n">
        <v>177</v>
      </c>
      <c r="B181" s="44" t="n">
        <v>43722</v>
      </c>
      <c r="C181" s="45" t="n">
        <f aca="false">V$30-V$30*SIN(2*PI()/365*A181)</f>
        <v>14.6480682351816</v>
      </c>
      <c r="D181" s="3" t="n">
        <f aca="false">IF((E181+F181)&gt;C181,C181,E181+F181)</f>
        <v>14.6480682351816</v>
      </c>
      <c r="E181" s="46" t="n">
        <f aca="false">(V$27+V$28*SIN(2*PI()/365*A181))*V$29/100*V$9*V$10/100</f>
        <v>0</v>
      </c>
      <c r="F181" s="46" t="n">
        <f aca="false">(V$27+V$28*SIN(2*PI()/365*A181))*V$29/100*V$11*(1-V$18/100)*(1-V$20/100)</f>
        <v>20.8012112873</v>
      </c>
      <c r="G181" s="46" t="n">
        <f aca="false">IF(C181&gt;E181,100,C181/E181*100)</f>
        <v>100</v>
      </c>
      <c r="H181" s="46" t="n">
        <f aca="false">L181/F181*100</f>
        <v>70.4193041110298</v>
      </c>
      <c r="I181" s="47" t="n">
        <f aca="false">(V$27+V$28*SIN(2*PI()/365*A181))*V$29/100*V$9*V$10/100*(1-V$19/100)</f>
        <v>0</v>
      </c>
      <c r="J181" s="47" t="n">
        <f aca="false">(V$27+V$28*SIN(2*PI()/365*A181))*V$29/100*V$11*(1-V$18/100)</f>
        <v>22.8584739420879</v>
      </c>
      <c r="K181" s="48" t="n">
        <f aca="false">IF(E181/C181*100&lt;100,E181/C181*100,100)</f>
        <v>0</v>
      </c>
      <c r="L181" s="7" t="n">
        <f aca="false">IF(((C181-E181)&gt;0)*AND(F181&gt;(C181-E181)),(C181-E181),IF(C181&lt;E181,0,F181))</f>
        <v>14.6480682351816</v>
      </c>
      <c r="M181" s="7" t="n">
        <f aca="false">IF(C181&lt;(E181+F181),0,C181-E181-F181)</f>
        <v>0</v>
      </c>
      <c r="N181" s="7" t="n">
        <f aca="false">IF(C181&lt;(E181+F181),0,(C181-E181-F181)/(1-V$20/100))</f>
        <v>0</v>
      </c>
      <c r="O181" s="7" t="n">
        <f aca="false">L181+M181</f>
        <v>14.6480682351816</v>
      </c>
      <c r="P181" s="49" t="n">
        <f aca="false">IF(N181=0,I181*(1-G181/100)+J181*(1-H181/100),-N181)</f>
        <v>6.7616956616685</v>
      </c>
      <c r="Q181" s="54" t="n">
        <f aca="false">IF(P180&gt;0,Q180+P180*(1-V$24/100),Q180+P180)</f>
        <v>3643.11431171032</v>
      </c>
      <c r="R181" s="55" t="n">
        <f aca="false">R$4+Q181/V$32</f>
        <v>75.4299801668036</v>
      </c>
    </row>
    <row r="182" customFormat="false" ht="12.8" hidden="false" customHeight="false" outlineLevel="0" collapsed="false">
      <c r="A182" s="1" t="n">
        <v>178</v>
      </c>
      <c r="B182" s="44" t="n">
        <v>43723</v>
      </c>
      <c r="C182" s="45" t="n">
        <f aca="false">V$30-V$30*SIN(2*PI()/365*A182)</f>
        <v>14.9255155349055</v>
      </c>
      <c r="D182" s="3" t="n">
        <f aca="false">IF((E182+F182)&gt;C182,C182,E182+F182)</f>
        <v>14.9255155349055</v>
      </c>
      <c r="E182" s="46" t="n">
        <f aca="false">(V$27+V$28*SIN(2*PI()/365*A182))*V$29/100*V$9*V$10/100</f>
        <v>0</v>
      </c>
      <c r="F182" s="46" t="n">
        <f aca="false">(V$27+V$28*SIN(2*PI()/365*A182))*V$29/100*V$11*(1-V$18/100)*(1-V$20/100)</f>
        <v>20.5222523920936</v>
      </c>
      <c r="G182" s="46" t="n">
        <f aca="false">IF(C182&gt;E182,100,C182/E182*100)</f>
        <v>100</v>
      </c>
      <c r="H182" s="46" t="n">
        <f aca="false">L182/F182*100</f>
        <v>72.7284473933071</v>
      </c>
      <c r="I182" s="47" t="n">
        <f aca="false">(V$27+V$28*SIN(2*PI()/365*A182))*V$29/100*V$9*V$10/100*(1-V$19/100)</f>
        <v>0</v>
      </c>
      <c r="J182" s="47" t="n">
        <f aca="false">(V$27+V$28*SIN(2*PI()/365*A182))*V$29/100*V$11*(1-V$18/100)</f>
        <v>22.5519257055973</v>
      </c>
      <c r="K182" s="48" t="n">
        <f aca="false">IF(E182/C182*100&lt;100,E182/C182*100,100)</f>
        <v>0</v>
      </c>
      <c r="L182" s="7" t="n">
        <f aca="false">IF(((C182-E182)&gt;0)*AND(F182&gt;(C182-E182)),(C182-E182),IF(C182&lt;E182,0,F182))</f>
        <v>14.9255155349055</v>
      </c>
      <c r="M182" s="7" t="n">
        <f aca="false">IF(C182&lt;(E182+F182),0,C182-E182-F182)</f>
        <v>0</v>
      </c>
      <c r="N182" s="7" t="n">
        <f aca="false">IF(C182&lt;(E182+F182),0,(C182-E182-F182)/(1-V$20/100))</f>
        <v>0</v>
      </c>
      <c r="O182" s="7" t="n">
        <f aca="false">L182+M182</f>
        <v>14.9255155349055</v>
      </c>
      <c r="P182" s="49" t="n">
        <f aca="false">IF(N182=0,I182*(1-G182/100)+J182*(1-H182/100),-N182)</f>
        <v>6.15026028262428</v>
      </c>
      <c r="Q182" s="54" t="n">
        <f aca="false">IF(P181&gt;0,Q181+P181*(1-V$24/100),Q181+P181)</f>
        <v>3648.3208173698</v>
      </c>
      <c r="R182" s="55" t="n">
        <f aca="false">R$4+Q182/V$32</f>
        <v>75.4806144254271</v>
      </c>
    </row>
    <row r="183" customFormat="false" ht="12.8" hidden="false" customHeight="false" outlineLevel="0" collapsed="false">
      <c r="A183" s="1" t="n">
        <v>179</v>
      </c>
      <c r="B183" s="44" t="n">
        <v>43724</v>
      </c>
      <c r="C183" s="45" t="n">
        <f aca="false">V$30-V$30*SIN(2*PI()/365*A183)</f>
        <v>15.2033338038671</v>
      </c>
      <c r="D183" s="3" t="n">
        <f aca="false">IF((E183+F183)&gt;C183,C183,E183+F183)</f>
        <v>15.2033338038671</v>
      </c>
      <c r="E183" s="46" t="n">
        <f aca="false">(V$27+V$28*SIN(2*PI()/365*A183))*V$29/100*V$9*V$10/100</f>
        <v>0</v>
      </c>
      <c r="F183" s="46" t="n">
        <f aca="false">(V$27+V$28*SIN(2*PI()/365*A183))*V$29/100*V$11*(1-V$18/100)*(1-V$20/100)</f>
        <v>20.2429205065253</v>
      </c>
      <c r="G183" s="46" t="n">
        <f aca="false">IF(C183&gt;E183,100,C183/E183*100)</f>
        <v>100</v>
      </c>
      <c r="H183" s="46" t="n">
        <f aca="false">L183/F183*100</f>
        <v>75.1044484859107</v>
      </c>
      <c r="I183" s="47" t="n">
        <f aca="false">(V$27+V$28*SIN(2*PI()/365*A183))*V$29/100*V$9*V$10/100*(1-V$19/100)</f>
        <v>0</v>
      </c>
      <c r="J183" s="47" t="n">
        <f aca="false">(V$27+V$28*SIN(2*PI()/365*A183))*V$29/100*V$11*(1-V$18/100)</f>
        <v>22.2449675895882</v>
      </c>
      <c r="K183" s="48" t="n">
        <f aca="false">IF(E183/C183*100&lt;100,E183/C183*100,100)</f>
        <v>0</v>
      </c>
      <c r="L183" s="7" t="n">
        <f aca="false">IF(((C183-E183)&gt;0)*AND(F183&gt;(C183-E183)),(C183-E183),IF(C183&lt;E183,0,F183))</f>
        <v>15.2033338038671</v>
      </c>
      <c r="M183" s="7" t="n">
        <f aca="false">IF(C183&lt;(E183+F183),0,C183-E183-F183)</f>
        <v>0</v>
      </c>
      <c r="N183" s="7" t="n">
        <f aca="false">IF(C183&lt;(E183+F183),0,(C183-E183-F183)/(1-V$20/100))</f>
        <v>0</v>
      </c>
      <c r="O183" s="7" t="n">
        <f aca="false">L183+M183</f>
        <v>15.2033338038671</v>
      </c>
      <c r="P183" s="49" t="n">
        <f aca="false">IF(N183=0,I183*(1-G183/100)+J183*(1-H183/100),-N183)</f>
        <v>5.53800736555839</v>
      </c>
      <c r="Q183" s="54" t="n">
        <f aca="false">IF(P182&gt;0,Q182+P182*(1-V$24/100),Q182+P182)</f>
        <v>3653.05651778742</v>
      </c>
      <c r="R183" s="55" t="n">
        <f aca="false">R$4+Q183/V$32</f>
        <v>75.5266700134532</v>
      </c>
    </row>
    <row r="184" customFormat="false" ht="12.8" hidden="false" customHeight="false" outlineLevel="0" collapsed="false">
      <c r="A184" s="1" t="n">
        <v>180</v>
      </c>
      <c r="B184" s="44" t="n">
        <v>43725</v>
      </c>
      <c r="C184" s="45" t="n">
        <f aca="false">V$30-V$30*SIN(2*PI()/365*A184)</f>
        <v>15.4814407185177</v>
      </c>
      <c r="D184" s="3" t="n">
        <f aca="false">IF((E184+F184)&gt;C184,C184,E184+F184)</f>
        <v>15.4814407185177</v>
      </c>
      <c r="E184" s="46" t="n">
        <f aca="false">(V$27+V$28*SIN(2*PI()/365*A184))*V$29/100*V$9*V$10/100</f>
        <v>0</v>
      </c>
      <c r="F184" s="46" t="n">
        <f aca="false">(V$27+V$28*SIN(2*PI()/365*A184))*V$29/100*V$11*(1-V$18/100)*(1-V$20/100)</f>
        <v>19.9632984026612</v>
      </c>
      <c r="G184" s="46" t="n">
        <f aca="false">IF(C184&gt;E184,100,C184/E184*100)</f>
        <v>100</v>
      </c>
      <c r="H184" s="46" t="n">
        <f aca="false">L184/F184*100</f>
        <v>77.5495131428479</v>
      </c>
      <c r="I184" s="47" t="n">
        <f aca="false">(V$27+V$28*SIN(2*PI()/365*A184))*V$29/100*V$9*V$10/100*(1-V$19/100)</f>
        <v>0</v>
      </c>
      <c r="J184" s="47" t="n">
        <f aca="false">(V$27+V$28*SIN(2*PI()/365*A184))*V$29/100*V$11*(1-V$18/100)</f>
        <v>21.937690552375</v>
      </c>
      <c r="K184" s="48" t="n">
        <f aca="false">IF(E184/C184*100&lt;100,E184/C184*100,100)</f>
        <v>0</v>
      </c>
      <c r="L184" s="7" t="n">
        <f aca="false">IF(((C184-E184)&gt;0)*AND(F184&gt;(C184-E184)),(C184-E184),IF(C184&lt;E184,0,F184))</f>
        <v>15.4814407185177</v>
      </c>
      <c r="M184" s="7" t="n">
        <f aca="false">IF(C184&lt;(E184+F184),0,C184-E184-F184)</f>
        <v>0</v>
      </c>
      <c r="N184" s="7" t="n">
        <f aca="false">IF(C184&lt;(E184+F184),0,(C184-E184-F184)/(1-V$20/100))</f>
        <v>0</v>
      </c>
      <c r="O184" s="7" t="n">
        <f aca="false">L184+M184</f>
        <v>15.4814407185177</v>
      </c>
      <c r="P184" s="49" t="n">
        <f aca="false">IF(N184=0,I184*(1-G184/100)+J184*(1-H184/100),-N184)</f>
        <v>4.92511833422364</v>
      </c>
      <c r="Q184" s="54" t="n">
        <f aca="false">IF(P183&gt;0,Q183+P183*(1-V$24/100),Q183+P183)</f>
        <v>3657.3207834589</v>
      </c>
      <c r="R184" s="55" t="n">
        <f aca="false">R$4+Q184/V$32</f>
        <v>75.5681408088331</v>
      </c>
    </row>
    <row r="185" customFormat="false" ht="12.8" hidden="false" customHeight="false" outlineLevel="0" collapsed="false">
      <c r="A185" s="1" t="n">
        <v>181</v>
      </c>
      <c r="B185" s="44" t="n">
        <v>43726</v>
      </c>
      <c r="C185" s="45" t="n">
        <f aca="false">V$30-V$30*SIN(2*PI()/365*A185)</f>
        <v>15.7597538697763</v>
      </c>
      <c r="D185" s="3" t="n">
        <f aca="false">IF((E185+F185)&gt;C185,C185,E185+F185)</f>
        <v>15.7597538697763</v>
      </c>
      <c r="E185" s="46" t="n">
        <f aca="false">(V$27+V$28*SIN(2*PI()/365*A185))*V$29/100*V$9*V$10/100</f>
        <v>0</v>
      </c>
      <c r="F185" s="46" t="n">
        <f aca="false">(V$27+V$28*SIN(2*PI()/365*A185))*V$29/100*V$11*(1-V$18/100)*(1-V$20/100)</f>
        <v>19.6834689385655</v>
      </c>
      <c r="G185" s="46" t="n">
        <f aca="false">IF(C185&gt;E185,100,C185/E185*100)</f>
        <v>100</v>
      </c>
      <c r="H185" s="46" t="n">
        <f aca="false">L185/F185*100</f>
        <v>80.0659371524623</v>
      </c>
      <c r="I185" s="47" t="n">
        <f aca="false">(V$27+V$28*SIN(2*PI()/365*A185))*V$29/100*V$9*V$10/100*(1-V$19/100)</f>
        <v>0</v>
      </c>
      <c r="J185" s="47" t="n">
        <f aca="false">(V$27+V$28*SIN(2*PI()/365*A185))*V$29/100*V$11*(1-V$18/100)</f>
        <v>21.6301856467753</v>
      </c>
      <c r="K185" s="48" t="n">
        <f aca="false">IF(E185/C185*100&lt;100,E185/C185*100,100)</f>
        <v>0</v>
      </c>
      <c r="L185" s="7" t="n">
        <f aca="false">IF(((C185-E185)&gt;0)*AND(F185&gt;(C185-E185)),(C185-E185),IF(C185&lt;E185,0,F185))</f>
        <v>15.7597538697763</v>
      </c>
      <c r="M185" s="7" t="n">
        <f aca="false">IF(C185&lt;(E185+F185),0,C185-E185-F185)</f>
        <v>0</v>
      </c>
      <c r="N185" s="7" t="n">
        <f aca="false">IF(C185&lt;(E185+F185),0,(C185-E185-F185)/(1-V$20/100))</f>
        <v>0</v>
      </c>
      <c r="O185" s="7" t="n">
        <f aca="false">L185+M185</f>
        <v>15.7597538697763</v>
      </c>
      <c r="P185" s="49" t="n">
        <f aca="false">IF(N185=0,I185*(1-G185/100)+J185*(1-H185/100),-N185)</f>
        <v>4.31177480086728</v>
      </c>
      <c r="Q185" s="54" t="n">
        <f aca="false">IF(P184&gt;0,Q184+P184*(1-V$24/100),Q184+P184)</f>
        <v>3661.11312457625</v>
      </c>
      <c r="R185" s="55" t="n">
        <f aca="false">R$4+Q185/V$32</f>
        <v>75.6050220480909</v>
      </c>
    </row>
    <row r="186" customFormat="false" ht="12.8" hidden="false" customHeight="false" outlineLevel="0" collapsed="false">
      <c r="A186" s="1" t="n">
        <v>182</v>
      </c>
      <c r="B186" s="44" t="n">
        <v>43727</v>
      </c>
      <c r="C186" s="45" t="n">
        <f aca="false">V$30-V$30*SIN(2*PI()/365*A186)</f>
        <v>16.0381907874498</v>
      </c>
      <c r="D186" s="3" t="n">
        <f aca="false">IF((E186+F186)&gt;C186,C186,E186+F186)</f>
        <v>16.0381907874498</v>
      </c>
      <c r="E186" s="46" t="n">
        <f aca="false">(V$27+V$28*SIN(2*PI()/365*A186))*V$29/100*V$9*V$10/100</f>
        <v>0</v>
      </c>
      <c r="F186" s="46" t="n">
        <f aca="false">(V$27+V$28*SIN(2*PI()/365*A186))*V$29/100*V$11*(1-V$18/100)*(1-V$20/100)</f>
        <v>19.4035150337477</v>
      </c>
      <c r="G186" s="46" t="n">
        <f aca="false">IF(C186&gt;E186,100,C186/E186*100)</f>
        <v>100</v>
      </c>
      <c r="H186" s="46" t="n">
        <f aca="false">L186/F186*100</f>
        <v>82.6561102952494</v>
      </c>
      <c r="I186" s="47" t="n">
        <f aca="false">(V$27+V$28*SIN(2*PI()/365*A186))*V$29/100*V$9*V$10/100*(1-V$19/100)</f>
        <v>0</v>
      </c>
      <c r="J186" s="47" t="n">
        <f aca="false">(V$27+V$28*SIN(2*PI()/365*A186))*V$29/100*V$11*(1-V$18/100)</f>
        <v>21.3225439931293</v>
      </c>
      <c r="K186" s="48" t="n">
        <f aca="false">IF(E186/C186*100&lt;100,E186/C186*100,100)</f>
        <v>0</v>
      </c>
      <c r="L186" s="7" t="n">
        <f aca="false">IF(((C186-E186)&gt;0)*AND(F186&gt;(C186-E186)),(C186-E186),IF(C186&lt;E186,0,F186))</f>
        <v>16.0381907874498</v>
      </c>
      <c r="M186" s="7" t="n">
        <f aca="false">IF(C186&lt;(E186+F186),0,C186-E186-F186)</f>
        <v>0</v>
      </c>
      <c r="N186" s="7" t="n">
        <f aca="false">IF(C186&lt;(E186+F186),0,(C186-E186-F186)/(1-V$20/100))</f>
        <v>0</v>
      </c>
      <c r="O186" s="7" t="n">
        <f aca="false">L186+M186</f>
        <v>16.0381907874498</v>
      </c>
      <c r="P186" s="49" t="n">
        <f aca="false">IF(N186=0,I186*(1-G186/100)+J186*(1-H186/100),-N186)</f>
        <v>3.69815851241527</v>
      </c>
      <c r="Q186" s="54" t="n">
        <f aca="false">IF(P185&gt;0,Q185+P185*(1-V$24/100),Q185+P185)</f>
        <v>3664.43319117292</v>
      </c>
      <c r="R186" s="55" t="n">
        <f aca="false">R$4+Q186/V$32</f>
        <v>75.6373103277351</v>
      </c>
    </row>
    <row r="187" customFormat="false" ht="12.8" hidden="false" customHeight="false" outlineLevel="0" collapsed="false">
      <c r="A187" s="1" t="n">
        <v>183</v>
      </c>
      <c r="B187" s="44" t="n">
        <v>43728</v>
      </c>
      <c r="C187" s="45" t="n">
        <f aca="false">V$30-V$30*SIN(2*PI()/365*A187)</f>
        <v>16.3166689646702</v>
      </c>
      <c r="D187" s="3" t="n">
        <f aca="false">IF((E187+F187)&gt;C187,C187,E187+F187)</f>
        <v>16.3166689646702</v>
      </c>
      <c r="E187" s="46" t="n">
        <f aca="false">(V$27+V$28*SIN(2*PI()/365*A187))*V$29/100*V$9*V$10/100</f>
        <v>0</v>
      </c>
      <c r="F187" s="46" t="n">
        <f aca="false">(V$27+V$28*SIN(2*PI()/365*A187))*V$29/100*V$11*(1-V$18/100)*(1-V$20/100)</f>
        <v>19.1235196445915</v>
      </c>
      <c r="G187" s="46" t="n">
        <f aca="false">IF(C187&gt;E187,100,C187/E187*100)</f>
        <v>100</v>
      </c>
      <c r="H187" s="46" t="n">
        <f aca="false">L187/F187*100</f>
        <v>85.3225204769504</v>
      </c>
      <c r="I187" s="47" t="n">
        <f aca="false">(V$27+V$28*SIN(2*PI()/365*A187))*V$29/100*V$9*V$10/100*(1-V$19/100)</f>
        <v>0</v>
      </c>
      <c r="J187" s="47" t="n">
        <f aca="false">(V$27+V$28*SIN(2*PI()/365*A187))*V$29/100*V$11*(1-V$18/100)</f>
        <v>21.0148567522983</v>
      </c>
      <c r="K187" s="48" t="n">
        <f aca="false">IF(E187/C187*100&lt;100,E187/C187*100,100)</f>
        <v>0</v>
      </c>
      <c r="L187" s="7" t="n">
        <f aca="false">IF(((C187-E187)&gt;0)*AND(F187&gt;(C187-E187)),(C187-E187),IF(C187&lt;E187,0,F187))</f>
        <v>16.3166689646702</v>
      </c>
      <c r="M187" s="7" t="n">
        <f aca="false">IF(C187&lt;(E187+F187),0,C187-E187-F187)</f>
        <v>0</v>
      </c>
      <c r="N187" s="7" t="n">
        <f aca="false">IF(C187&lt;(E187+F187),0,(C187-E187-F187)/(1-V$20/100))</f>
        <v>0</v>
      </c>
      <c r="O187" s="7" t="n">
        <f aca="false">L187+M187</f>
        <v>16.3166689646702</v>
      </c>
      <c r="P187" s="49" t="n">
        <f aca="false">IF(N187=0,I187*(1-G187/100)+J187*(1-H187/100),-N187)</f>
        <v>3.08445129661679</v>
      </c>
      <c r="Q187" s="54" t="n">
        <f aca="false">IF(P186&gt;0,Q186+P186*(1-V$24/100),Q186+P186)</f>
        <v>3667.28077322748</v>
      </c>
      <c r="R187" s="55" t="n">
        <f aca="false">R$4+Q187/V$32</f>
        <v>75.6650036052675</v>
      </c>
    </row>
    <row r="188" customFormat="false" ht="12.8" hidden="false" customHeight="false" outlineLevel="0" collapsed="false">
      <c r="A188" s="1" t="n">
        <v>184</v>
      </c>
      <c r="B188" s="44" t="n">
        <v>43729</v>
      </c>
      <c r="C188" s="45" t="n">
        <f aca="false">V$30-V$30*SIN(2*PI()/365*A188)</f>
        <v>16.5951058823437</v>
      </c>
      <c r="D188" s="3" t="n">
        <f aca="false">IF((E188+F188)&gt;C188,C188,E188+F188)</f>
        <v>16.5951058823437</v>
      </c>
      <c r="E188" s="46" t="n">
        <f aca="false">(V$27+V$28*SIN(2*PI()/365*A188))*V$29/100*V$9*V$10/100</f>
        <v>0</v>
      </c>
      <c r="F188" s="46" t="n">
        <f aca="false">(V$27+V$28*SIN(2*PI()/365*A188))*V$29/100*V$11*(1-V$18/100)*(1-V$20/100)</f>
        <v>18.8435657397736</v>
      </c>
      <c r="G188" s="46" t="n">
        <f aca="false">IF(C188&gt;E188,100,C188/E188*100)</f>
        <v>100</v>
      </c>
      <c r="H188" s="46" t="n">
        <f aca="false">L188/F188*100</f>
        <v>88.0677580428207</v>
      </c>
      <c r="I188" s="47" t="n">
        <f aca="false">(V$27+V$28*SIN(2*PI()/365*A188))*V$29/100*V$9*V$10/100*(1-V$19/100)</f>
        <v>0</v>
      </c>
      <c r="J188" s="47" t="n">
        <f aca="false">(V$27+V$28*SIN(2*PI()/365*A188))*V$29/100*V$11*(1-V$18/100)</f>
        <v>20.7072150986523</v>
      </c>
      <c r="K188" s="48" t="n">
        <f aca="false">IF(E188/C188*100&lt;100,E188/C188*100,100)</f>
        <v>0</v>
      </c>
      <c r="L188" s="7" t="n">
        <f aca="false">IF(((C188-E188)&gt;0)*AND(F188&gt;(C188-E188)),(C188-E188),IF(C188&lt;E188,0,F188))</f>
        <v>16.5951058823437</v>
      </c>
      <c r="M188" s="7" t="n">
        <f aca="false">IF(C188&lt;(E188+F188),0,C188-E188-F188)</f>
        <v>0</v>
      </c>
      <c r="N188" s="7" t="n">
        <f aca="false">IF(C188&lt;(E188+F188),0,(C188-E188-F188)/(1-V$20/100))</f>
        <v>0</v>
      </c>
      <c r="O188" s="7" t="n">
        <f aca="false">L188+M188</f>
        <v>16.5951058823437</v>
      </c>
      <c r="P188" s="49" t="n">
        <f aca="false">IF(N188=0,I188*(1-G188/100)+J188*(1-H188/100),-N188)</f>
        <v>2.47083500816477</v>
      </c>
      <c r="Q188" s="54" t="n">
        <f aca="false">IF(P187&gt;0,Q187+P187*(1-V$24/100),Q187+P187)</f>
        <v>3669.65580072588</v>
      </c>
      <c r="R188" s="55" t="n">
        <f aca="false">R$4+Q188/V$32</f>
        <v>75.688101199788</v>
      </c>
    </row>
    <row r="189" customFormat="false" ht="12.8" hidden="false" customHeight="false" outlineLevel="0" collapsed="false">
      <c r="A189" s="1" t="n">
        <v>185</v>
      </c>
      <c r="B189" s="44" t="n">
        <v>43730</v>
      </c>
      <c r="C189" s="45" t="n">
        <f aca="false">V$30-V$30*SIN(2*PI()/365*A189)</f>
        <v>16.8734190336023</v>
      </c>
      <c r="D189" s="3" t="n">
        <f aca="false">IF((E189+F189)&gt;C189,C189,E189+F189)</f>
        <v>16.8734190336023</v>
      </c>
      <c r="E189" s="46" t="n">
        <f aca="false">(V$27+V$28*SIN(2*PI()/365*A189))*V$29/100*V$9*V$10/100</f>
        <v>0</v>
      </c>
      <c r="F189" s="46" t="n">
        <f aca="false">(V$27+V$28*SIN(2*PI()/365*A189))*V$29/100*V$11*(1-V$18/100)*(1-V$20/100)</f>
        <v>18.5637362756779</v>
      </c>
      <c r="G189" s="46" t="n">
        <f aca="false">IF(C189&gt;E189,100,C189/E189*100)</f>
        <v>100</v>
      </c>
      <c r="H189" s="46" t="n">
        <f aca="false">L189/F189*100</f>
        <v>90.8945202788176</v>
      </c>
      <c r="I189" s="47" t="n">
        <f aca="false">(V$27+V$28*SIN(2*PI()/365*A189))*V$29/100*V$9*V$10/100*(1-V$19/100)</f>
        <v>0</v>
      </c>
      <c r="J189" s="47" t="n">
        <f aca="false">(V$27+V$28*SIN(2*PI()/365*A189))*V$29/100*V$11*(1-V$18/100)</f>
        <v>20.3997101930527</v>
      </c>
      <c r="K189" s="48" t="n">
        <f aca="false">IF(E189/C189*100&lt;100,E189/C189*100,100)</f>
        <v>0</v>
      </c>
      <c r="L189" s="7" t="n">
        <f aca="false">IF(((C189-E189)&gt;0)*AND(F189&gt;(C189-E189)),(C189-E189),IF(C189&lt;E189,0,F189))</f>
        <v>16.8734190336023</v>
      </c>
      <c r="M189" s="7" t="n">
        <f aca="false">IF(C189&lt;(E189+F189),0,C189-E189-F189)</f>
        <v>0</v>
      </c>
      <c r="N189" s="7" t="n">
        <f aca="false">IF(C189&lt;(E189+F189),0,(C189-E189-F189)/(1-V$20/100))</f>
        <v>0</v>
      </c>
      <c r="O189" s="7" t="n">
        <f aca="false">L189+M189</f>
        <v>16.8734190336023</v>
      </c>
      <c r="P189" s="49" t="n">
        <f aca="false">IF(N189=0,I189*(1-G189/100)+J189*(1-H189/100),-N189)</f>
        <v>1.8574914748084</v>
      </c>
      <c r="Q189" s="54" t="n">
        <f aca="false">IF(P188&gt;0,Q188+P188*(1-V$24/100),Q188+P188)</f>
        <v>3671.55834368216</v>
      </c>
      <c r="R189" s="55" t="n">
        <f aca="false">R$4+Q189/V$32</f>
        <v>75.7066037921967</v>
      </c>
    </row>
    <row r="190" customFormat="false" ht="12.8" hidden="false" customHeight="false" outlineLevel="0" collapsed="false">
      <c r="A190" s="1" t="n">
        <v>186</v>
      </c>
      <c r="B190" s="44" t="n">
        <v>43731</v>
      </c>
      <c r="C190" s="45" t="n">
        <f aca="false">V$30-V$30*SIN(2*PI()/365*A190)</f>
        <v>17.1515259482529</v>
      </c>
      <c r="D190" s="3" t="n">
        <f aca="false">IF((E190+F190)&gt;C190,C190,E190+F190)</f>
        <v>17.1515259482529</v>
      </c>
      <c r="E190" s="46" t="n">
        <f aca="false">(V$27+V$28*SIN(2*PI()/365*A190))*V$29/100*V$9*V$10/100</f>
        <v>0</v>
      </c>
      <c r="F190" s="46" t="n">
        <f aca="false">(V$27+V$28*SIN(2*PI()/365*A190))*V$29/100*V$11*(1-V$18/100)*(1-V$20/100)</f>
        <v>18.2841141718139</v>
      </c>
      <c r="G190" s="46" t="n">
        <f aca="false">IF(C190&gt;E190,100,C190/E190*100)</f>
        <v>100</v>
      </c>
      <c r="H190" s="46" t="n">
        <f aca="false">L190/F190*100</f>
        <v>93.8056161052255</v>
      </c>
      <c r="I190" s="47" t="n">
        <f aca="false">(V$27+V$28*SIN(2*PI()/365*A190))*V$29/100*V$9*V$10/100*(1-V$19/100)</f>
        <v>0</v>
      </c>
      <c r="J190" s="47" t="n">
        <f aca="false">(V$27+V$28*SIN(2*PI()/365*A190))*V$29/100*V$11*(1-V$18/100)</f>
        <v>20.0924331558394</v>
      </c>
      <c r="K190" s="48" t="n">
        <f aca="false">IF(E190/C190*100&lt;100,E190/C190*100,100)</f>
        <v>0</v>
      </c>
      <c r="L190" s="7" t="n">
        <f aca="false">IF(((C190-E190)&gt;0)*AND(F190&gt;(C190-E190)),(C190-E190),IF(C190&lt;E190,0,F190))</f>
        <v>17.1515259482529</v>
      </c>
      <c r="M190" s="7" t="n">
        <f aca="false">IF(C190&lt;(E190+F190),0,C190-E190-F190)</f>
        <v>0</v>
      </c>
      <c r="N190" s="7" t="n">
        <f aca="false">IF(C190&lt;(E190+F190),0,(C190-E190-F190)/(1-V$20/100))</f>
        <v>0</v>
      </c>
      <c r="O190" s="7" t="n">
        <f aca="false">L190+M190</f>
        <v>17.1515259482529</v>
      </c>
      <c r="P190" s="49" t="n">
        <f aca="false">IF(N190=0,I190*(1-G190/100)+J190*(1-H190/100),-N190)</f>
        <v>1.24460244347366</v>
      </c>
      <c r="Q190" s="54" t="n">
        <f aca="false">IF(P189&gt;0,Q189+P189*(1-V$24/100),Q189+P189)</f>
        <v>3672.98861211776</v>
      </c>
      <c r="R190" s="55" t="n">
        <f aca="false">R$4+Q190/V$32</f>
        <v>75.7205134249918</v>
      </c>
    </row>
    <row r="191" customFormat="false" ht="12.8" hidden="false" customHeight="false" outlineLevel="0" collapsed="false">
      <c r="A191" s="1" t="n">
        <v>187</v>
      </c>
      <c r="B191" s="44" t="n">
        <v>43732</v>
      </c>
      <c r="C191" s="45" t="n">
        <f aca="false">V$30-V$30*SIN(2*PI()/365*A191)</f>
        <v>17.4293442172145</v>
      </c>
      <c r="D191" s="3" t="n">
        <f aca="false">IF((E191+F191)&gt;C191,C191,E191+F191)</f>
        <v>17.4293442172145</v>
      </c>
      <c r="E191" s="46" t="n">
        <f aca="false">(V$27+V$28*SIN(2*PI()/365*A191))*V$29/100*V$9*V$10/100</f>
        <v>0</v>
      </c>
      <c r="F191" s="46" t="n">
        <f aca="false">(V$27+V$28*SIN(2*PI()/365*A191))*V$29/100*V$11*(1-V$18/100)*(1-V$20/100)</f>
        <v>18.0047822862456</v>
      </c>
      <c r="G191" s="46" t="n">
        <f aca="false">IF(C191&gt;E191,100,C191/E191*100)</f>
        <v>100</v>
      </c>
      <c r="H191" s="46" t="n">
        <f aca="false">L191/F191*100</f>
        <v>96.8039709679207</v>
      </c>
      <c r="I191" s="47" t="n">
        <f aca="false">(V$27+V$28*SIN(2*PI()/365*A191))*V$29/100*V$9*V$10/100*(1-V$19/100)</f>
        <v>0</v>
      </c>
      <c r="J191" s="47" t="n">
        <f aca="false">(V$27+V$28*SIN(2*PI()/365*A191))*V$29/100*V$11*(1-V$18/100)</f>
        <v>19.7854750398303</v>
      </c>
      <c r="K191" s="48" t="n">
        <f aca="false">IF(E191/C191*100&lt;100,E191/C191*100,100)</f>
        <v>0</v>
      </c>
      <c r="L191" s="7" t="n">
        <f aca="false">IF(((C191-E191)&gt;0)*AND(F191&gt;(C191-E191)),(C191-E191),IF(C191&lt;E191,0,F191))</f>
        <v>17.4293442172145</v>
      </c>
      <c r="M191" s="7" t="n">
        <f aca="false">IF(C191&lt;(E191+F191),0,C191-E191-F191)</f>
        <v>0</v>
      </c>
      <c r="N191" s="7" t="n">
        <f aca="false">IF(C191&lt;(E191+F191),0,(C191-E191-F191)/(1-V$20/100))</f>
        <v>0</v>
      </c>
      <c r="O191" s="7" t="n">
        <f aca="false">L191+M191</f>
        <v>17.4293442172145</v>
      </c>
      <c r="P191" s="49" t="n">
        <f aca="false">IF(N191=0,I191*(1-G191/100)+J191*(1-H191/100),-N191)</f>
        <v>0.632349526407773</v>
      </c>
      <c r="Q191" s="54" t="n">
        <f aca="false">IF(P190&gt;0,Q190+P190*(1-V$24/100),Q190+P190)</f>
        <v>3673.94695599924</v>
      </c>
      <c r="R191" s="55" t="n">
        <f aca="false">R$4+Q191/V$32</f>
        <v>75.7298335016648</v>
      </c>
    </row>
    <row r="192" customFormat="false" ht="12.8" hidden="false" customHeight="false" outlineLevel="0" collapsed="false">
      <c r="A192" s="1" t="n">
        <v>188</v>
      </c>
      <c r="B192" s="44" t="n">
        <v>43733</v>
      </c>
      <c r="C192" s="45" t="n">
        <f aca="false">V$30-V$30*SIN(2*PI()/365*A192)</f>
        <v>17.7067915169384</v>
      </c>
      <c r="D192" s="3" t="n">
        <f aca="false">IF((E192+F192)&gt;C192,C192,E192+F192)</f>
        <v>17.7067915169384</v>
      </c>
      <c r="E192" s="46" t="n">
        <f aca="false">(V$27+V$28*SIN(2*PI()/365*A192))*V$29/100*V$9*V$10/100</f>
        <v>0</v>
      </c>
      <c r="F192" s="46" t="n">
        <f aca="false">(V$27+V$28*SIN(2*PI()/365*A192))*V$29/100*V$11*(1-V$18/100)*(1-V$20/100)</f>
        <v>17.7258233910392</v>
      </c>
      <c r="G192" s="46" t="n">
        <f aca="false">IF(C192&gt;E192,100,C192/E192*100)</f>
        <v>100</v>
      </c>
      <c r="H192" s="46" t="n">
        <f aca="false">L192/F192*100</f>
        <v>99.8926319320633</v>
      </c>
      <c r="I192" s="47" t="n">
        <f aca="false">(V$27+V$28*SIN(2*PI()/365*A192))*V$29/100*V$9*V$10/100*(1-V$19/100)</f>
        <v>0</v>
      </c>
      <c r="J192" s="47" t="n">
        <f aca="false">(V$27+V$28*SIN(2*PI()/365*A192))*V$29/100*V$11*(1-V$18/100)</f>
        <v>19.4789268033398</v>
      </c>
      <c r="K192" s="48" t="n">
        <f aca="false">IF(E192/C192*100&lt;100,E192/C192*100,100)</f>
        <v>0</v>
      </c>
      <c r="L192" s="7" t="n">
        <f aca="false">IF(((C192-E192)&gt;0)*AND(F192&gt;(C192-E192)),(C192-E192),IF(C192&lt;E192,0,F192))</f>
        <v>17.7067915169384</v>
      </c>
      <c r="M192" s="7" t="n">
        <f aca="false">IF(C192&lt;(E192+F192),0,C192-E192-F192)</f>
        <v>0</v>
      </c>
      <c r="N192" s="7" t="n">
        <f aca="false">IF(C192&lt;(E192+F192),0,(C192-E192-F192)/(1-V$20/100))</f>
        <v>0</v>
      </c>
      <c r="O192" s="7" t="n">
        <f aca="false">L192+M192</f>
        <v>17.7067915169384</v>
      </c>
      <c r="P192" s="49" t="n">
        <f aca="false">IF(N192=0,I192*(1-G192/100)+J192*(1-H192/100),-N192)</f>
        <v>0.0209141473635451</v>
      </c>
      <c r="Q192" s="54" t="n">
        <f aca="false">IF(P191&gt;0,Q191+P191*(1-V$24/100),Q191+P191)</f>
        <v>3674.43386513457</v>
      </c>
      <c r="R192" s="55" t="n">
        <f aca="false">R$4+Q192/V$32</f>
        <v>75.7345687856916</v>
      </c>
    </row>
    <row r="193" customFormat="false" ht="12.8" hidden="false" customHeight="false" outlineLevel="0" collapsed="false">
      <c r="A193" s="1" t="n">
        <v>189</v>
      </c>
      <c r="B193" s="44" t="n">
        <v>43734</v>
      </c>
      <c r="C193" s="45" t="n">
        <f aca="false">V$30-V$30*SIN(2*PI()/365*A193)</f>
        <v>17.9837856338017</v>
      </c>
      <c r="D193" s="3" t="n">
        <f aca="false">IF((E193+F193)&gt;C193,C193,E193+F193)</f>
        <v>17.4473201477358</v>
      </c>
      <c r="E193" s="46" t="n">
        <f aca="false">(V$27+V$28*SIN(2*PI()/365*A193))*V$29/100*V$9*V$10/100</f>
        <v>0</v>
      </c>
      <c r="F193" s="46" t="n">
        <f aca="false">(V$27+V$28*SIN(2*PI()/365*A193))*V$29/100*V$11*(1-V$18/100)*(1-V$20/100)</f>
        <v>17.4473201477358</v>
      </c>
      <c r="G193" s="46" t="n">
        <f aca="false">IF(C193&gt;E193,100,C193/E193*100)</f>
        <v>100</v>
      </c>
      <c r="H193" s="46" t="n">
        <f aca="false">L193/F193*100</f>
        <v>100</v>
      </c>
      <c r="I193" s="47" t="n">
        <f aca="false">(V$27+V$28*SIN(2*PI()/365*A193))*V$29/100*V$9*V$10/100*(1-V$19/100)</f>
        <v>0</v>
      </c>
      <c r="J193" s="47" t="n">
        <f aca="false">(V$27+V$28*SIN(2*PI()/365*A193))*V$29/100*V$11*(1-V$18/100)</f>
        <v>19.1728792832261</v>
      </c>
      <c r="K193" s="48" t="n">
        <f aca="false">IF(E193/C193*100&lt;100,E193/C193*100,100)</f>
        <v>0</v>
      </c>
      <c r="L193" s="7" t="n">
        <f aca="false">IF(((C193-E193)&gt;0)*AND(F193&gt;(C193-E193)),(C193-E193),IF(C193&lt;E193,0,F193))</f>
        <v>17.4473201477358</v>
      </c>
      <c r="M193" s="7" t="n">
        <f aca="false">IF(C193&lt;(E193+F193),0,C193-E193-F193)</f>
        <v>0.536465486065914</v>
      </c>
      <c r="N193" s="7" t="n">
        <f aca="false">IF(C193&lt;(E193+F193),0,(C193-E193-F193)/(1-V$20/100))</f>
        <v>0.589522512160346</v>
      </c>
      <c r="O193" s="7" t="n">
        <f aca="false">L193+M193</f>
        <v>17.9837856338017</v>
      </c>
      <c r="P193" s="49" t="n">
        <f aca="false">IF(N193=0,I193*(1-G193/100)+J193*(1-H193/100),-N193)</f>
        <v>-0.589522512160346</v>
      </c>
      <c r="Q193" s="54" t="n">
        <f aca="false">IF(P192&gt;0,Q192+P192*(1-V$24/100),Q192+P192)</f>
        <v>3674.44996902804</v>
      </c>
      <c r="R193" s="55" t="n">
        <f aca="false">R$4+Q193/V$32</f>
        <v>75.734725399121</v>
      </c>
    </row>
    <row r="194" customFormat="false" ht="12.8" hidden="false" customHeight="false" outlineLevel="0" collapsed="false">
      <c r="A194" s="1" t="n">
        <v>190</v>
      </c>
      <c r="B194" s="44" t="n">
        <v>43735</v>
      </c>
      <c r="C194" s="45" t="n">
        <f aca="false">V$30-V$30*SIN(2*PI()/365*A194)</f>
        <v>18.2602444884697</v>
      </c>
      <c r="D194" s="3" t="n">
        <f aca="false">IF((E194+F194)&gt;C194,C194,E194+F194)</f>
        <v>17.1693550828569</v>
      </c>
      <c r="E194" s="46" t="n">
        <f aca="false">(V$27+V$28*SIN(2*PI()/365*A194))*V$29/100*V$9*V$10/100</f>
        <v>0</v>
      </c>
      <c r="F194" s="46" t="n">
        <f aca="false">(V$27+V$28*SIN(2*PI()/365*A194))*V$29/100*V$11*(1-V$18/100)*(1-V$20/100)</f>
        <v>17.1693550828569</v>
      </c>
      <c r="G194" s="46" t="n">
        <f aca="false">IF(C194&gt;E194,100,C194/E194*100)</f>
        <v>100</v>
      </c>
      <c r="H194" s="46" t="n">
        <f aca="false">L194/F194*100</f>
        <v>100</v>
      </c>
      <c r="I194" s="47" t="n">
        <f aca="false">(V$27+V$28*SIN(2*PI()/365*A194))*V$29/100*V$9*V$10/100*(1-V$19/100)</f>
        <v>0</v>
      </c>
      <c r="J194" s="47" t="n">
        <f aca="false">(V$27+V$28*SIN(2*PI()/365*A194))*V$29/100*V$11*(1-V$18/100)</f>
        <v>18.8674231679746</v>
      </c>
      <c r="K194" s="48" t="n">
        <f aca="false">IF(E194/C194*100&lt;100,E194/C194*100,100)</f>
        <v>0</v>
      </c>
      <c r="L194" s="7" t="n">
        <f aca="false">IF(((C194-E194)&gt;0)*AND(F194&gt;(C194-E194)),(C194-E194),IF(C194&lt;E194,0,F194))</f>
        <v>17.1693550828569</v>
      </c>
      <c r="M194" s="7" t="n">
        <f aca="false">IF(C194&lt;(E194+F194),0,C194-E194-F194)</f>
        <v>1.09088940561274</v>
      </c>
      <c r="N194" s="7" t="n">
        <f aca="false">IF(C194&lt;(E194+F194),0,(C194-E194-F194)/(1-V$20/100))</f>
        <v>1.1987795666074</v>
      </c>
      <c r="O194" s="7" t="n">
        <f aca="false">L194+M194</f>
        <v>18.2602444884697</v>
      </c>
      <c r="P194" s="49" t="n">
        <f aca="false">IF(N194=0,I194*(1-G194/100)+J194*(1-H194/100),-N194)</f>
        <v>-1.1987795666074</v>
      </c>
      <c r="Q194" s="54" t="n">
        <f aca="false">IF(P193&gt;0,Q193+P193*(1-V$24/100),Q193+P193)</f>
        <v>3673.86044651588</v>
      </c>
      <c r="R194" s="55" t="n">
        <f aca="false">R$4+Q194/V$32</f>
        <v>75.7289921804716</v>
      </c>
    </row>
    <row r="195" customFormat="false" ht="12.8" hidden="false" customHeight="false" outlineLevel="0" collapsed="false">
      <c r="A195" s="1" t="n">
        <v>191</v>
      </c>
      <c r="B195" s="44" t="n">
        <v>43736</v>
      </c>
      <c r="C195" s="45" t="n">
        <f aca="false">V$30-V$30*SIN(2*PI()/365*A195)</f>
        <v>18.5360861602171</v>
      </c>
      <c r="D195" s="3" t="n">
        <f aca="false">IF((E195+F195)&gt;C195,C195,E195+F195)</f>
        <v>16.8920105634503</v>
      </c>
      <c r="E195" s="46" t="n">
        <f aca="false">(V$27+V$28*SIN(2*PI()/365*A195))*V$29/100*V$9*V$10/100</f>
        <v>0</v>
      </c>
      <c r="F195" s="46" t="n">
        <f aca="false">(V$27+V$28*SIN(2*PI()/365*A195))*V$29/100*V$11*(1-V$18/100)*(1-V$20/100)</f>
        <v>16.8920105634503</v>
      </c>
      <c r="G195" s="46" t="n">
        <f aca="false">IF(C195&gt;E195,100,C195/E195*100)</f>
        <v>100</v>
      </c>
      <c r="H195" s="46" t="n">
        <f aca="false">L195/F195*100</f>
        <v>100</v>
      </c>
      <c r="I195" s="47" t="n">
        <f aca="false">(V$27+V$28*SIN(2*PI()/365*A195))*V$29/100*V$9*V$10/100*(1-V$19/100)</f>
        <v>0</v>
      </c>
      <c r="J195" s="47" t="n">
        <f aca="false">(V$27+V$28*SIN(2*PI()/365*A195))*V$29/100*V$11*(1-V$18/100)</f>
        <v>18.5626489708246</v>
      </c>
      <c r="K195" s="48" t="n">
        <f aca="false">IF(E195/C195*100&lt;100,E195/C195*100,100)</f>
        <v>0</v>
      </c>
      <c r="L195" s="7" t="n">
        <f aca="false">IF(((C195-E195)&gt;0)*AND(F195&gt;(C195-E195)),(C195-E195),IF(C195&lt;E195,0,F195))</f>
        <v>16.8920105634503</v>
      </c>
      <c r="M195" s="7" t="n">
        <f aca="false">IF(C195&lt;(E195+F195),0,C195-E195-F195)</f>
        <v>1.64407559676679</v>
      </c>
      <c r="N195" s="7" t="n">
        <f aca="false">IF(C195&lt;(E195+F195),0,(C195-E195-F195)/(1-V$20/100))</f>
        <v>1.8066764799635</v>
      </c>
      <c r="O195" s="7" t="n">
        <f aca="false">L195+M195</f>
        <v>18.5360861602171</v>
      </c>
      <c r="P195" s="49" t="n">
        <f aca="false">IF(N195=0,I195*(1-G195/100)+J195*(1-H195/100),-N195)</f>
        <v>-1.8066764799635</v>
      </c>
      <c r="Q195" s="54" t="n">
        <f aca="false">IF(P194&gt;0,Q194+P194*(1-V$24/100),Q194+P194)</f>
        <v>3672.66166694928</v>
      </c>
      <c r="R195" s="55" t="n">
        <f aca="false">R$4+Q195/V$32</f>
        <v>75.7173338209925</v>
      </c>
    </row>
    <row r="196" customFormat="false" ht="12.8" hidden="false" customHeight="false" outlineLevel="0" collapsed="false">
      <c r="A196" s="1" t="n">
        <v>192</v>
      </c>
      <c r="B196" s="44" t="n">
        <v>43737</v>
      </c>
      <c r="C196" s="45" t="n">
        <f aca="false">V$30-V$30*SIN(2*PI()/365*A196)</f>
        <v>18.8112289112036</v>
      </c>
      <c r="D196" s="3" t="n">
        <f aca="false">IF((E196+F196)&gt;C196,C196,E196+F196)</f>
        <v>16.6153687726827</v>
      </c>
      <c r="E196" s="46" t="n">
        <f aca="false">(V$27+V$28*SIN(2*PI()/365*A196))*V$29/100*V$9*V$10/100</f>
        <v>0</v>
      </c>
      <c r="F196" s="46" t="n">
        <f aca="false">(V$27+V$28*SIN(2*PI()/365*A196))*V$29/100*V$11*(1-V$18/100)*(1-V$20/100)</f>
        <v>16.6153687726827</v>
      </c>
      <c r="G196" s="46" t="n">
        <f aca="false">IF(C196&gt;E196,100,C196/E196*100)</f>
        <v>100</v>
      </c>
      <c r="H196" s="46" t="n">
        <f aca="false">L196/F196*100</f>
        <v>100</v>
      </c>
      <c r="I196" s="47" t="n">
        <f aca="false">(V$27+V$28*SIN(2*PI()/365*A196))*V$29/100*V$9*V$10/100*(1-V$19/100)</f>
        <v>0</v>
      </c>
      <c r="J196" s="47" t="n">
        <f aca="false">(V$27+V$28*SIN(2*PI()/365*A196))*V$29/100*V$11*(1-V$18/100)</f>
        <v>18.258647002948</v>
      </c>
      <c r="K196" s="48" t="n">
        <f aca="false">IF(E196/C196*100&lt;100,E196/C196*100,100)</f>
        <v>0</v>
      </c>
      <c r="L196" s="7" t="n">
        <f aca="false">IF(((C196-E196)&gt;0)*AND(F196&gt;(C196-E196)),(C196-E196),IF(C196&lt;E196,0,F196))</f>
        <v>16.6153687726827</v>
      </c>
      <c r="M196" s="7" t="n">
        <f aca="false">IF(C196&lt;(E196+F196),0,C196-E196-F196)</f>
        <v>2.19586013852092</v>
      </c>
      <c r="N196" s="7" t="n">
        <f aca="false">IF(C196&lt;(E196+F196),0,(C196-E196-F196)/(1-V$20/100))</f>
        <v>2.41303311925376</v>
      </c>
      <c r="O196" s="7" t="n">
        <f aca="false">L196+M196</f>
        <v>18.8112289112036</v>
      </c>
      <c r="P196" s="49" t="n">
        <f aca="false">IF(N196=0,I196*(1-G196/100)+J196*(1-H196/100),-N196)</f>
        <v>-2.41303311925376</v>
      </c>
      <c r="Q196" s="54" t="n">
        <f aca="false">IF(P195&gt;0,Q195+P195*(1-V$24/100),Q195+P195)</f>
        <v>3670.85499046931</v>
      </c>
      <c r="R196" s="55" t="n">
        <f aca="false">R$4+Q196/V$32</f>
        <v>75.6997635483148</v>
      </c>
    </row>
    <row r="197" customFormat="false" ht="12.8" hidden="false" customHeight="false" outlineLevel="0" collapsed="false">
      <c r="A197" s="1" t="n">
        <v>193</v>
      </c>
      <c r="B197" s="44" t="n">
        <v>43738</v>
      </c>
      <c r="C197" s="45" t="n">
        <f aca="false">V$30-V$30*SIN(2*PI()/365*A197)</f>
        <v>19.085591210694</v>
      </c>
      <c r="D197" s="3" t="n">
        <f aca="false">IF((E197+F197)&gt;C197,C197,E197+F197)</f>
        <v>16.3395116854871</v>
      </c>
      <c r="E197" s="46" t="n">
        <f aca="false">(V$27+V$28*SIN(2*PI()/365*A197))*V$29/100*V$9*V$10/100</f>
        <v>0</v>
      </c>
      <c r="F197" s="46" t="n">
        <f aca="false">(V$27+V$28*SIN(2*PI()/365*A197))*V$29/100*V$11*(1-V$18/100)*(1-V$20/100)</f>
        <v>16.3395116854871</v>
      </c>
      <c r="G197" s="46" t="n">
        <f aca="false">IF(C197&gt;E197,100,C197/E197*100)</f>
        <v>100</v>
      </c>
      <c r="H197" s="46" t="n">
        <f aca="false">L197/F197*100</f>
        <v>100</v>
      </c>
      <c r="I197" s="47" t="n">
        <f aca="false">(V$27+V$28*SIN(2*PI()/365*A197))*V$29/100*V$9*V$10/100*(1-V$19/100)</f>
        <v>0</v>
      </c>
      <c r="J197" s="47" t="n">
        <f aca="false">(V$27+V$28*SIN(2*PI()/365*A197))*V$29/100*V$11*(1-V$18/100)</f>
        <v>17.9555073466891</v>
      </c>
      <c r="K197" s="48" t="n">
        <f aca="false">IF(E197/C197*100&lt;100,E197/C197*100,100)</f>
        <v>0</v>
      </c>
      <c r="L197" s="7" t="n">
        <f aca="false">IF(((C197-E197)&gt;0)*AND(F197&gt;(C197-E197)),(C197-E197),IF(C197&lt;E197,0,F197))</f>
        <v>16.3395116854871</v>
      </c>
      <c r="M197" s="7" t="n">
        <f aca="false">IF(C197&lt;(E197+F197),0,C197-E197-F197)</f>
        <v>2.74607952520693</v>
      </c>
      <c r="N197" s="7" t="n">
        <f aca="false">IF(C197&lt;(E197+F197),0,(C197-E197-F197)/(1-V$20/100))</f>
        <v>3.01766980791971</v>
      </c>
      <c r="O197" s="7" t="n">
        <f aca="false">L197+M197</f>
        <v>19.085591210694</v>
      </c>
      <c r="P197" s="49" t="n">
        <f aca="false">IF(N197=0,I197*(1-G197/100)+J197*(1-H197/100),-N197)</f>
        <v>-3.01766980791971</v>
      </c>
      <c r="Q197" s="54" t="n">
        <f aca="false">IF(P196&gt;0,Q196+P196*(1-V$24/100),Q196+P196)</f>
        <v>3668.44195735006</v>
      </c>
      <c r="R197" s="55" t="n">
        <f aca="false">R$4+Q197/V$32</f>
        <v>75.6762963418969</v>
      </c>
    </row>
    <row r="198" customFormat="false" ht="12.8" hidden="false" customHeight="false" outlineLevel="0" collapsed="false">
      <c r="A198" s="1" t="n">
        <v>194</v>
      </c>
      <c r="B198" s="44" t="n">
        <v>43739</v>
      </c>
      <c r="C198" s="45" t="n">
        <f aca="false">V$30-V$30*SIN(2*PI()/365*A198)</f>
        <v>19.3590917592176</v>
      </c>
      <c r="D198" s="3" t="n">
        <f aca="false">IF((E198+F198)&gt;C198,C198,E198+F198)</f>
        <v>16.0645210442718</v>
      </c>
      <c r="E198" s="46" t="n">
        <f aca="false">(V$27+V$28*SIN(2*PI()/365*A198))*V$29/100*V$9*V$10/100</f>
        <v>0</v>
      </c>
      <c r="F198" s="46" t="n">
        <f aca="false">(V$27+V$28*SIN(2*PI()/365*A198))*V$29/100*V$11*(1-V$18/100)*(1-V$20/100)</f>
        <v>16.0645210442718</v>
      </c>
      <c r="G198" s="46" t="n">
        <f aca="false">IF(C198&gt;E198,100,C198/E198*100)</f>
        <v>100</v>
      </c>
      <c r="H198" s="46" t="n">
        <f aca="false">L198/F198*100</f>
        <v>100</v>
      </c>
      <c r="I198" s="47" t="n">
        <f aca="false">(V$27+V$28*SIN(2*PI()/365*A198))*V$29/100*V$9*V$10/100*(1-V$19/100)</f>
        <v>0</v>
      </c>
      <c r="J198" s="47" t="n">
        <f aca="false">(V$27+V$28*SIN(2*PI()/365*A198))*V$29/100*V$11*(1-V$18/100)</f>
        <v>17.6533198288701</v>
      </c>
      <c r="K198" s="48" t="n">
        <f aca="false">IF(E198/C198*100&lt;100,E198/C198*100,100)</f>
        <v>0</v>
      </c>
      <c r="L198" s="7" t="n">
        <f aca="false">IF(((C198-E198)&gt;0)*AND(F198&gt;(C198-E198)),(C198-E198),IF(C198&lt;E198,0,F198))</f>
        <v>16.0645210442718</v>
      </c>
      <c r="M198" s="7" t="n">
        <f aca="false">IF(C198&lt;(E198+F198),0,C198-E198-F198)</f>
        <v>3.29457071494583</v>
      </c>
      <c r="N198" s="7" t="n">
        <f aca="false">IF(C198&lt;(E198+F198),0,(C198-E198-F198)/(1-V$20/100))</f>
        <v>3.62040737906135</v>
      </c>
      <c r="O198" s="7" t="n">
        <f aca="false">L198+M198</f>
        <v>19.3590917592176</v>
      </c>
      <c r="P198" s="49" t="n">
        <f aca="false">IF(N198=0,I198*(1-G198/100)+J198*(1-H198/100),-N198)</f>
        <v>-3.62040737906135</v>
      </c>
      <c r="Q198" s="54" t="n">
        <f aca="false">IF(P197&gt;0,Q197+P197*(1-V$24/100),Q197+P197)</f>
        <v>3665.42428754214</v>
      </c>
      <c r="R198" s="55" t="n">
        <f aca="false">R$4+Q198/V$32</f>
        <v>75.646948928586</v>
      </c>
    </row>
    <row r="199" customFormat="false" ht="12.8" hidden="false" customHeight="false" outlineLevel="0" collapsed="false">
      <c r="A199" s="1" t="n">
        <v>195</v>
      </c>
      <c r="B199" s="44" t="n">
        <v>43740</v>
      </c>
      <c r="C199" s="45" t="n">
        <f aca="false">V$30-V$30*SIN(2*PI()/365*A199)</f>
        <v>19.6316495126594</v>
      </c>
      <c r="D199" s="3" t="n">
        <f aca="false">IF((E199+F199)&gt;C199,C199,E199+F199)</f>
        <v>15.7904783346987</v>
      </c>
      <c r="E199" s="46" t="n">
        <f aca="false">(V$27+V$28*SIN(2*PI()/365*A199))*V$29/100*V$9*V$10/100</f>
        <v>0</v>
      </c>
      <c r="F199" s="46" t="n">
        <f aca="false">(V$27+V$28*SIN(2*PI()/365*A199))*V$29/100*V$11*(1-V$18/100)*(1-V$20/100)</f>
        <v>15.7904783346987</v>
      </c>
      <c r="G199" s="46" t="n">
        <f aca="false">IF(C199&gt;E199,100,C199/E199*100)</f>
        <v>100</v>
      </c>
      <c r="H199" s="46" t="n">
        <f aca="false">L199/F199*100</f>
        <v>100</v>
      </c>
      <c r="I199" s="47" t="n">
        <f aca="false">(V$27+V$28*SIN(2*PI()/365*A199))*V$29/100*V$9*V$10/100*(1-V$19/100)</f>
        <v>0</v>
      </c>
      <c r="J199" s="47" t="n">
        <f aca="false">(V$27+V$28*SIN(2*PI()/365*A199))*V$29/100*V$11*(1-V$18/100)</f>
        <v>17.3521739941744</v>
      </c>
      <c r="K199" s="48" t="n">
        <f aca="false">IF(E199/C199*100&lt;100,E199/C199*100,100)</f>
        <v>0</v>
      </c>
      <c r="L199" s="7" t="n">
        <f aca="false">IF(((C199-E199)&gt;0)*AND(F199&gt;(C199-E199)),(C199-E199),IF(C199&lt;E199,0,F199))</f>
        <v>15.7904783346987</v>
      </c>
      <c r="M199" s="7" t="n">
        <f aca="false">IF(C199&lt;(E199+F199),0,C199-E199-F199)</f>
        <v>3.84117117796071</v>
      </c>
      <c r="N199" s="7" t="n">
        <f aca="false">IF(C199&lt;(E199+F199),0,(C199-E199-F199)/(1-V$20/100))</f>
        <v>4.22106722852825</v>
      </c>
      <c r="O199" s="7" t="n">
        <f aca="false">L199+M199</f>
        <v>19.6316495126594</v>
      </c>
      <c r="P199" s="49" t="n">
        <f aca="false">IF(N199=0,I199*(1-G199/100)+J199*(1-H199/100),-N199)</f>
        <v>-4.22106722852825</v>
      </c>
      <c r="Q199" s="54" t="n">
        <f aca="false">IF(P198&gt;0,Q198+P198*(1-V$24/100),Q198+P198)</f>
        <v>3661.80388016308</v>
      </c>
      <c r="R199" s="55" t="n">
        <f aca="false">R$4+Q199/V$32</f>
        <v>75.6117397776616</v>
      </c>
    </row>
    <row r="200" customFormat="false" ht="12.8" hidden="false" customHeight="false" outlineLevel="0" collapsed="false">
      <c r="A200" s="1" t="n">
        <v>196</v>
      </c>
      <c r="B200" s="44" t="n">
        <v>43741</v>
      </c>
      <c r="C200" s="45" t="n">
        <f aca="false">V$30-V$30*SIN(2*PI()/365*A200)</f>
        <v>19.9031837062747</v>
      </c>
      <c r="D200" s="3" t="n">
        <f aca="false">IF((E200+F200)&gt;C200,C200,E200+F200)</f>
        <v>15.517464761537</v>
      </c>
      <c r="E200" s="46" t="n">
        <f aca="false">(V$27+V$28*SIN(2*PI()/365*A200))*V$29/100*V$9*V$10/100</f>
        <v>0</v>
      </c>
      <c r="F200" s="46" t="n">
        <f aca="false">(V$27+V$28*SIN(2*PI()/365*A200))*V$29/100*V$11*(1-V$18/100)*(1-V$20/100)</f>
        <v>15.517464761537</v>
      </c>
      <c r="G200" s="46" t="n">
        <f aca="false">IF(C200&gt;E200,100,C200/E200*100)</f>
        <v>100</v>
      </c>
      <c r="H200" s="46" t="n">
        <f aca="false">L200/F200*100</f>
        <v>100</v>
      </c>
      <c r="I200" s="47" t="n">
        <f aca="false">(V$27+V$28*SIN(2*PI()/365*A200))*V$29/100*V$9*V$10/100*(1-V$19/100)</f>
        <v>0</v>
      </c>
      <c r="J200" s="47" t="n">
        <f aca="false">(V$27+V$28*SIN(2*PI()/365*A200))*V$29/100*V$11*(1-V$18/100)</f>
        <v>17.0521590786121</v>
      </c>
      <c r="K200" s="48" t="n">
        <f aca="false">IF(E200/C200*100&lt;100,E200/C200*100,100)</f>
        <v>0</v>
      </c>
      <c r="L200" s="7" t="n">
        <f aca="false">IF(((C200-E200)&gt;0)*AND(F200&gt;(C200-E200)),(C200-E200),IF(C200&lt;E200,0,F200))</f>
        <v>15.517464761537</v>
      </c>
      <c r="M200" s="7" t="n">
        <f aca="false">IF(C200&lt;(E200+F200),0,C200-E200-F200)</f>
        <v>4.38571894473773</v>
      </c>
      <c r="N200" s="7" t="n">
        <f aca="false">IF(C200&lt;(E200+F200),0,(C200-E200-F200)/(1-V$20/100))</f>
        <v>4.81947136784366</v>
      </c>
      <c r="O200" s="7" t="n">
        <f aca="false">L200+M200</f>
        <v>19.9031837062747</v>
      </c>
      <c r="P200" s="49" t="n">
        <f aca="false">IF(N200=0,I200*(1-G200/100)+J200*(1-H200/100),-N200)</f>
        <v>-4.81947136784366</v>
      </c>
      <c r="Q200" s="54" t="n">
        <f aca="false">IF(P199&gt;0,Q199+P199*(1-V$24/100),Q199+P199)</f>
        <v>3657.58281293455</v>
      </c>
      <c r="R200" s="55" t="n">
        <f aca="false">R$4+Q200/V$32</f>
        <v>75.5706890953624</v>
      </c>
    </row>
    <row r="201" customFormat="false" ht="12.8" hidden="false" customHeight="false" outlineLevel="0" collapsed="false">
      <c r="A201" s="1" t="n">
        <v>197</v>
      </c>
      <c r="B201" s="44" t="n">
        <v>43742</v>
      </c>
      <c r="C201" s="45" t="n">
        <f aca="false">V$30-V$30*SIN(2*PI()/365*A201)</f>
        <v>20.1736138786218</v>
      </c>
      <c r="D201" s="3" t="n">
        <f aca="false">IF((E201+F201)&gt;C201,C201,E201+F201)</f>
        <v>15.2455612246005</v>
      </c>
      <c r="E201" s="46" t="n">
        <f aca="false">(V$27+V$28*SIN(2*PI()/365*A201))*V$29/100*V$9*V$10/100</f>
        <v>0</v>
      </c>
      <c r="F201" s="46" t="n">
        <f aca="false">(V$27+V$28*SIN(2*PI()/365*A201))*V$29/100*V$11*(1-V$18/100)*(1-V$20/100)</f>
        <v>15.2455612246005</v>
      </c>
      <c r="G201" s="46" t="n">
        <f aca="false">IF(C201&gt;E201,100,C201/E201*100)</f>
        <v>100</v>
      </c>
      <c r="H201" s="46" t="n">
        <f aca="false">L201/F201*100</f>
        <v>100</v>
      </c>
      <c r="I201" s="47" t="n">
        <f aca="false">(V$27+V$28*SIN(2*PI()/365*A201))*V$29/100*V$9*V$10/100*(1-V$19/100)</f>
        <v>0</v>
      </c>
      <c r="J201" s="47" t="n">
        <f aca="false">(V$27+V$28*SIN(2*PI()/365*A201))*V$29/100*V$11*(1-V$18/100)</f>
        <v>16.7533639830774</v>
      </c>
      <c r="K201" s="48" t="n">
        <f aca="false">IF(E201/C201*100&lt;100,E201/C201*100,100)</f>
        <v>0</v>
      </c>
      <c r="L201" s="7" t="n">
        <f aca="false">IF(((C201-E201)&gt;0)*AND(F201&gt;(C201-E201)),(C201-E201),IF(C201&lt;E201,0,F201))</f>
        <v>15.2455612246005</v>
      </c>
      <c r="M201" s="7" t="n">
        <f aca="false">IF(C201&lt;(E201+F201),0,C201-E201-F201)</f>
        <v>4.92805265402132</v>
      </c>
      <c r="N201" s="7" t="n">
        <f aca="false">IF(C201&lt;(E201+F201),0,(C201-E201-F201)/(1-V$20/100))</f>
        <v>5.4154424769465</v>
      </c>
      <c r="O201" s="7" t="n">
        <f aca="false">L201+M201</f>
        <v>20.1736138786218</v>
      </c>
      <c r="P201" s="49" t="n">
        <f aca="false">IF(N201=0,I201*(1-G201/100)+J201*(1-H201/100),-N201)</f>
        <v>-5.4154424769465</v>
      </c>
      <c r="Q201" s="54" t="n">
        <f aca="false">IF(P200&gt;0,Q200+P200*(1-V$24/100),Q200+P200)</f>
        <v>3652.7633415667</v>
      </c>
      <c r="R201" s="55" t="n">
        <f aca="false">R$4+Q201/V$32</f>
        <v>75.5238188188992</v>
      </c>
    </row>
    <row r="202" customFormat="false" ht="12.8" hidden="false" customHeight="false" outlineLevel="0" collapsed="false">
      <c r="A202" s="1" t="n">
        <v>198</v>
      </c>
      <c r="B202" s="44" t="n">
        <v>43743</v>
      </c>
      <c r="C202" s="45" t="n">
        <f aca="false">V$30-V$30*SIN(2*PI()/365*A202)</f>
        <v>20.4428598954041</v>
      </c>
      <c r="D202" s="3" t="n">
        <f aca="false">IF((E202+F202)&gt;C202,C202,E202+F202)</f>
        <v>14.9748482947752</v>
      </c>
      <c r="E202" s="46" t="n">
        <f aca="false">(V$27+V$28*SIN(2*PI()/365*A202))*V$29/100*V$9*V$10/100</f>
        <v>0</v>
      </c>
      <c r="F202" s="46" t="n">
        <f aca="false">(V$27+V$28*SIN(2*PI()/365*A202))*V$29/100*V$11*(1-V$18/100)*(1-V$20/100)</f>
        <v>14.9748482947752</v>
      </c>
      <c r="G202" s="46" t="n">
        <f aca="false">IF(C202&gt;E202,100,C202/E202*100)</f>
        <v>100</v>
      </c>
      <c r="H202" s="46" t="n">
        <f aca="false">L202/F202*100</f>
        <v>100</v>
      </c>
      <c r="I202" s="47" t="n">
        <f aca="false">(V$27+V$28*SIN(2*PI()/365*A202))*V$29/100*V$9*V$10/100*(1-V$19/100)</f>
        <v>0</v>
      </c>
      <c r="J202" s="47" t="n">
        <f aca="false">(V$27+V$28*SIN(2*PI()/365*A202))*V$29/100*V$11*(1-V$18/100)</f>
        <v>16.4558772470058</v>
      </c>
      <c r="K202" s="48" t="n">
        <f aca="false">IF(E202/C202*100&lt;100,E202/C202*100,100)</f>
        <v>0</v>
      </c>
      <c r="L202" s="7" t="n">
        <f aca="false">IF(((C202-E202)&gt;0)*AND(F202&gt;(C202-E202)),(C202-E202),IF(C202&lt;E202,0,F202))</f>
        <v>14.9748482947752</v>
      </c>
      <c r="M202" s="7" t="n">
        <f aca="false">IF(C202&lt;(E202+F202),0,C202-E202-F202)</f>
        <v>5.46801160062889</v>
      </c>
      <c r="N202" s="7" t="n">
        <f aca="false">IF(C202&lt;(E202+F202),0,(C202-E202-F202)/(1-V$20/100))</f>
        <v>6.00880395673504</v>
      </c>
      <c r="O202" s="7" t="n">
        <f aca="false">L202+M202</f>
        <v>20.4428598954041</v>
      </c>
      <c r="P202" s="49" t="n">
        <f aca="false">IF(N202=0,I202*(1-G202/100)+J202*(1-H202/100),-N202)</f>
        <v>-6.00880395673504</v>
      </c>
      <c r="Q202" s="54" t="n">
        <f aca="false">IF(P201&gt;0,Q201+P201*(1-V$24/100),Q201+P201)</f>
        <v>3647.34789908976</v>
      </c>
      <c r="R202" s="55" t="n">
        <f aca="false">R$4+Q202/V$32</f>
        <v>75.4711526099537</v>
      </c>
    </row>
    <row r="203" customFormat="false" ht="12.8" hidden="false" customHeight="false" outlineLevel="0" collapsed="false">
      <c r="A203" s="1" t="n">
        <v>199</v>
      </c>
      <c r="B203" s="44" t="n">
        <v>43744</v>
      </c>
      <c r="C203" s="45" t="n">
        <f aca="false">V$30-V$30*SIN(2*PI()/365*A203)</f>
        <v>20.7108419732163</v>
      </c>
      <c r="D203" s="3" t="n">
        <f aca="false">IF((E203+F203)&gt;C203,C203,E203+F203)</f>
        <v>14.705406190145</v>
      </c>
      <c r="E203" s="46" t="n">
        <f aca="false">(V$27+V$28*SIN(2*PI()/365*A203))*V$29/100*V$9*V$10/100</f>
        <v>0</v>
      </c>
      <c r="F203" s="46" t="n">
        <f aca="false">(V$27+V$28*SIN(2*PI()/365*A203))*V$29/100*V$11*(1-V$18/100)*(1-V$20/100)</f>
        <v>14.705406190145</v>
      </c>
      <c r="G203" s="46" t="n">
        <f aca="false">IF(C203&gt;E203,100,C203/E203*100)</f>
        <v>100</v>
      </c>
      <c r="H203" s="46" t="n">
        <f aca="false">L203/F203*100</f>
        <v>100</v>
      </c>
      <c r="I203" s="47" t="n">
        <f aca="false">(V$27+V$28*SIN(2*PI()/365*A203))*V$29/100*V$9*V$10/100*(1-V$19/100)</f>
        <v>0</v>
      </c>
      <c r="J203" s="47" t="n">
        <f aca="false">(V$27+V$28*SIN(2*PI()/365*A203))*V$29/100*V$11*(1-V$18/100)</f>
        <v>16.1597870221373</v>
      </c>
      <c r="K203" s="48" t="n">
        <f aca="false">IF(E203/C203*100&lt;100,E203/C203*100,100)</f>
        <v>0</v>
      </c>
      <c r="L203" s="7" t="n">
        <f aca="false">IF(((C203-E203)&gt;0)*AND(F203&gt;(C203-E203)),(C203-E203),IF(C203&lt;E203,0,F203))</f>
        <v>14.705406190145</v>
      </c>
      <c r="M203" s="7" t="n">
        <f aca="false">IF(C203&lt;(E203+F203),0,C203-E203-F203)</f>
        <v>6.0054357830713</v>
      </c>
      <c r="N203" s="7" t="n">
        <f aca="false">IF(C203&lt;(E203+F203),0,(C203-E203-F203)/(1-V$20/100))</f>
        <v>6.59937998139703</v>
      </c>
      <c r="O203" s="7" t="n">
        <f aca="false">L203+M203</f>
        <v>20.7108419732163</v>
      </c>
      <c r="P203" s="49" t="n">
        <f aca="false">IF(N203=0,I203*(1-G203/100)+J203*(1-H203/100),-N203)</f>
        <v>-6.59937998139703</v>
      </c>
      <c r="Q203" s="54" t="n">
        <f aca="false">IF(P202&gt;0,Q202+P202*(1-V$24/100),Q202+P202)</f>
        <v>3641.33909513302</v>
      </c>
      <c r="R203" s="55" t="n">
        <f aca="false">R$4+Q203/V$32</f>
        <v>75.4127158476679</v>
      </c>
    </row>
    <row r="204" customFormat="false" ht="12.8" hidden="false" customHeight="false" outlineLevel="0" collapsed="false">
      <c r="A204" s="1" t="n">
        <v>200</v>
      </c>
      <c r="B204" s="44" t="n">
        <v>43745</v>
      </c>
      <c r="C204" s="45" t="n">
        <f aca="false">V$30-V$30*SIN(2*PI()/365*A204)</f>
        <v>20.977480703185</v>
      </c>
      <c r="D204" s="3" t="n">
        <f aca="false">IF((E204+F204)&gt;C204,C204,E204+F204)</f>
        <v>14.4373147522202</v>
      </c>
      <c r="E204" s="46" t="n">
        <f aca="false">(V$27+V$28*SIN(2*PI()/365*A204))*V$29/100*V$9*V$10/100</f>
        <v>0</v>
      </c>
      <c r="F204" s="46" t="n">
        <f aca="false">(V$27+V$28*SIN(2*PI()/365*A204))*V$29/100*V$11*(1-V$18/100)*(1-V$20/100)</f>
        <v>14.4373147522202</v>
      </c>
      <c r="G204" s="46" t="n">
        <f aca="false">IF(C204&gt;E204,100,C204/E204*100)</f>
        <v>100</v>
      </c>
      <c r="H204" s="46" t="n">
        <f aca="false">L204/F204*100</f>
        <v>100</v>
      </c>
      <c r="I204" s="47" t="n">
        <f aca="false">(V$27+V$28*SIN(2*PI()/365*A204))*V$29/100*V$9*V$10/100*(1-V$19/100)</f>
        <v>0</v>
      </c>
      <c r="J204" s="47" t="n">
        <f aca="false">(V$27+V$28*SIN(2*PI()/365*A204))*V$29/100*V$11*(1-V$18/100)</f>
        <v>15.8651810463958</v>
      </c>
      <c r="K204" s="48" t="n">
        <f aca="false">IF(E204/C204*100&lt;100,E204/C204*100,100)</f>
        <v>0</v>
      </c>
      <c r="L204" s="7" t="n">
        <f aca="false">IF(((C204-E204)&gt;0)*AND(F204&gt;(C204-E204)),(C204-E204),IF(C204&lt;E204,0,F204))</f>
        <v>14.4373147522202</v>
      </c>
      <c r="M204" s="7" t="n">
        <f aca="false">IF(C204&lt;(E204+F204),0,C204-E204-F204)</f>
        <v>6.54016595096474</v>
      </c>
      <c r="N204" s="7" t="n">
        <f aca="false">IF(C204&lt;(E204+F204),0,(C204-E204-F204)/(1-V$20/100))</f>
        <v>7.1869955505107</v>
      </c>
      <c r="O204" s="7" t="n">
        <f aca="false">L204+M204</f>
        <v>20.977480703185</v>
      </c>
      <c r="P204" s="49" t="n">
        <f aca="false">IF(N204=0,I204*(1-G204/100)+J204*(1-H204/100),-N204)</f>
        <v>-7.1869955505107</v>
      </c>
      <c r="Q204" s="54" t="n">
        <f aca="false">IF(P203&gt;0,Q203+P203*(1-V$24/100),Q203+P203)</f>
        <v>3634.73971515163</v>
      </c>
      <c r="R204" s="55" t="n">
        <f aca="false">R$4+Q204/V$32</f>
        <v>75.3485356211232</v>
      </c>
    </row>
    <row r="205" customFormat="false" ht="12.8" hidden="false" customHeight="false" outlineLevel="0" collapsed="false">
      <c r="A205" s="1" t="n">
        <v>201</v>
      </c>
      <c r="B205" s="44" t="n">
        <v>43746</v>
      </c>
      <c r="C205" s="45" t="n">
        <f aca="false">V$30-V$30*SIN(2*PI()/365*A205)</f>
        <v>21.2426970745</v>
      </c>
      <c r="D205" s="3" t="n">
        <f aca="false">IF((E205+F205)&gt;C205,C205,E205+F205)</f>
        <v>14.17065342228</v>
      </c>
      <c r="E205" s="46" t="n">
        <f aca="false">(V$27+V$28*SIN(2*PI()/365*A205))*V$29/100*V$9*V$10/100</f>
        <v>0</v>
      </c>
      <c r="F205" s="46" t="n">
        <f aca="false">(V$27+V$28*SIN(2*PI()/365*A205))*V$29/100*V$11*(1-V$18/100)*(1-V$20/100)</f>
        <v>14.17065342228</v>
      </c>
      <c r="G205" s="46" t="n">
        <f aca="false">IF(C205&gt;E205,100,C205/E205*100)</f>
        <v>100</v>
      </c>
      <c r="H205" s="46" t="n">
        <f aca="false">L205/F205*100</f>
        <v>100</v>
      </c>
      <c r="I205" s="47" t="n">
        <f aca="false">(V$27+V$28*SIN(2*PI()/365*A205))*V$29/100*V$9*V$10/100*(1-V$19/100)</f>
        <v>0</v>
      </c>
      <c r="J205" s="47" t="n">
        <f aca="false">(V$27+V$28*SIN(2*PI()/365*A205))*V$29/100*V$11*(1-V$18/100)</f>
        <v>15.5721466178901</v>
      </c>
      <c r="K205" s="48" t="n">
        <f aca="false">IF(E205/C205*100&lt;100,E205/C205*100,100)</f>
        <v>0</v>
      </c>
      <c r="L205" s="7" t="n">
        <f aca="false">IF(((C205-E205)&gt;0)*AND(F205&gt;(C205-E205)),(C205-E205),IF(C205&lt;E205,0,F205))</f>
        <v>14.17065342228</v>
      </c>
      <c r="M205" s="7" t="n">
        <f aca="false">IF(C205&lt;(E205+F205),0,C205-E205-F205)</f>
        <v>7.07204365222001</v>
      </c>
      <c r="N205" s="7" t="n">
        <f aca="false">IF(C205&lt;(E205+F205),0,(C205-E205-F205)/(1-V$20/100))</f>
        <v>7.77147654090111</v>
      </c>
      <c r="O205" s="7" t="n">
        <f aca="false">L205+M205</f>
        <v>21.2426970745</v>
      </c>
      <c r="P205" s="49" t="n">
        <f aca="false">IF(N205=0,I205*(1-G205/100)+J205*(1-H205/100),-N205)</f>
        <v>-7.77147654090111</v>
      </c>
      <c r="Q205" s="54" t="n">
        <f aca="false">IF(P204&gt;0,Q204+P204*(1-V$24/100),Q204+P204)</f>
        <v>3627.55271960112</v>
      </c>
      <c r="R205" s="55" t="n">
        <f aca="false">R$4+Q205/V$32</f>
        <v>75.2786407213131</v>
      </c>
    </row>
    <row r="206" customFormat="false" ht="12.8" hidden="false" customHeight="false" outlineLevel="0" collapsed="false">
      <c r="A206" s="1" t="n">
        <v>202</v>
      </c>
      <c r="B206" s="44" t="n">
        <v>43747</v>
      </c>
      <c r="C206" s="45" t="n">
        <f aca="false">V$30-V$30*SIN(2*PI()/365*A206)</f>
        <v>21.5064124978267</v>
      </c>
      <c r="D206" s="3" t="n">
        <f aca="false">IF((E206+F206)&gt;C206,C206,E206+F206)</f>
        <v>13.9055012178313</v>
      </c>
      <c r="E206" s="46" t="n">
        <f aca="false">(V$27+V$28*SIN(2*PI()/365*A206))*V$29/100*V$9*V$10/100</f>
        <v>0</v>
      </c>
      <c r="F206" s="46" t="n">
        <f aca="false">(V$27+V$28*SIN(2*PI()/365*A206))*V$29/100*V$11*(1-V$18/100)*(1-V$20/100)</f>
        <v>13.9055012178313</v>
      </c>
      <c r="G206" s="46" t="n">
        <f aca="false">IF(C206&gt;E206,100,C206/E206*100)</f>
        <v>100</v>
      </c>
      <c r="H206" s="46" t="n">
        <f aca="false">L206/F206*100</f>
        <v>100</v>
      </c>
      <c r="I206" s="47" t="n">
        <f aca="false">(V$27+V$28*SIN(2*PI()/365*A206))*V$29/100*V$9*V$10/100*(1-V$19/100)</f>
        <v>0</v>
      </c>
      <c r="J206" s="47" t="n">
        <f aca="false">(V$27+V$28*SIN(2*PI()/365*A206))*V$29/100*V$11*(1-V$18/100)</f>
        <v>15.2807705690454</v>
      </c>
      <c r="K206" s="48" t="n">
        <f aca="false">IF(E206/C206*100&lt;100,E206/C206*100,100)</f>
        <v>0</v>
      </c>
      <c r="L206" s="7" t="n">
        <f aca="false">IF(((C206-E206)&gt;0)*AND(F206&gt;(C206-E206)),(C206-E206),IF(C206&lt;E206,0,F206))</f>
        <v>13.9055012178313</v>
      </c>
      <c r="M206" s="7" t="n">
        <f aca="false">IF(C206&lt;(E206+F206),0,C206-E206-F206)</f>
        <v>7.60091127999539</v>
      </c>
      <c r="N206" s="7" t="n">
        <f aca="false">IF(C206&lt;(E206+F206),0,(C206-E206-F206)/(1-V$20/100))</f>
        <v>8.35264975823669</v>
      </c>
      <c r="O206" s="7" t="n">
        <f aca="false">L206+M206</f>
        <v>21.5064124978267</v>
      </c>
      <c r="P206" s="49" t="n">
        <f aca="false">IF(N206=0,I206*(1-G206/100)+J206*(1-H206/100),-N206)</f>
        <v>-8.35264975823669</v>
      </c>
      <c r="Q206" s="54" t="n">
        <f aca="false">IF(P205&gt;0,Q205+P205*(1-V$24/100),Q205+P205)</f>
        <v>3619.78124306022</v>
      </c>
      <c r="R206" s="55" t="n">
        <f aca="false">R$4+Q206/V$32</f>
        <v>75.2030616326126</v>
      </c>
    </row>
    <row r="207" customFormat="false" ht="12.8" hidden="false" customHeight="false" outlineLevel="0" collapsed="false">
      <c r="A207" s="1" t="n">
        <v>203</v>
      </c>
      <c r="B207" s="44" t="n">
        <v>43748</v>
      </c>
      <c r="C207" s="45" t="n">
        <f aca="false">V$30-V$30*SIN(2*PI()/365*A207)</f>
        <v>21.7685488285937</v>
      </c>
      <c r="D207" s="3" t="n">
        <f aca="false">IF((E207+F207)&gt;C207,C207,E207+F207)</f>
        <v>13.6419367091949</v>
      </c>
      <c r="E207" s="46" t="n">
        <f aca="false">(V$27+V$28*SIN(2*PI()/365*A207))*V$29/100*V$9*V$10/100</f>
        <v>0</v>
      </c>
      <c r="F207" s="46" t="n">
        <f aca="false">(V$27+V$28*SIN(2*PI()/365*A207))*V$29/100*V$11*(1-V$18/100)*(1-V$20/100)</f>
        <v>13.6419367091949</v>
      </c>
      <c r="G207" s="46" t="n">
        <f aca="false">IF(C207&gt;E207,100,C207/E207*100)</f>
        <v>100</v>
      </c>
      <c r="H207" s="46" t="n">
        <f aca="false">L207/F207*100</f>
        <v>100</v>
      </c>
      <c r="I207" s="47" t="n">
        <f aca="false">(V$27+V$28*SIN(2*PI()/365*A207))*V$29/100*V$9*V$10/100*(1-V$19/100)</f>
        <v>0</v>
      </c>
      <c r="J207" s="47" t="n">
        <f aca="false">(V$27+V$28*SIN(2*PI()/365*A207))*V$29/100*V$11*(1-V$18/100)</f>
        <v>14.9911392408735</v>
      </c>
      <c r="K207" s="48" t="n">
        <f aca="false">IF(E207/C207*100&lt;100,E207/C207*100,100)</f>
        <v>0</v>
      </c>
      <c r="L207" s="7" t="n">
        <f aca="false">IF(((C207-E207)&gt;0)*AND(F207&gt;(C207-E207)),(C207-E207),IF(C207&lt;E207,0,F207))</f>
        <v>13.6419367091949</v>
      </c>
      <c r="M207" s="7" t="n">
        <f aca="false">IF(C207&lt;(E207+F207),0,C207-E207-F207)</f>
        <v>8.12661211939885</v>
      </c>
      <c r="N207" s="7" t="n">
        <f aca="false">IF(C207&lt;(E207+F207),0,(C207-E207-F207)/(1-V$20/100))</f>
        <v>8.93034298835039</v>
      </c>
      <c r="O207" s="7" t="n">
        <f aca="false">L207+M207</f>
        <v>21.7685488285937</v>
      </c>
      <c r="P207" s="49" t="n">
        <f aca="false">IF(N207=0,I207*(1-G207/100)+J207*(1-H207/100),-N207)</f>
        <v>-8.93034298835039</v>
      </c>
      <c r="Q207" s="54" t="n">
        <f aca="false">IF(P206&gt;0,Q206+P206*(1-V$24/100),Q206+P206)</f>
        <v>3611.42859330198</v>
      </c>
      <c r="R207" s="55" t="n">
        <f aca="false">R$4+Q207/V$32</f>
        <v>75.1218305237442</v>
      </c>
    </row>
    <row r="208" customFormat="false" ht="12.8" hidden="false" customHeight="false" outlineLevel="0" collapsed="false">
      <c r="A208" s="1" t="n">
        <v>204</v>
      </c>
      <c r="B208" s="44" t="n">
        <v>43749</v>
      </c>
      <c r="C208" s="45" t="n">
        <f aca="false">V$30-V$30*SIN(2*PI()/365*A208)</f>
        <v>22.0290283901489</v>
      </c>
      <c r="D208" s="3" t="n">
        <f aca="false">IF((E208+F208)&gt;C208,C208,E208+F208)</f>
        <v>13.3800379962227</v>
      </c>
      <c r="E208" s="46" t="n">
        <f aca="false">(V$27+V$28*SIN(2*PI()/365*A208))*V$29/100*V$9*V$10/100</f>
        <v>0</v>
      </c>
      <c r="F208" s="46" t="n">
        <f aca="false">(V$27+V$28*SIN(2*PI()/365*A208))*V$29/100*V$11*(1-V$18/100)*(1-V$20/100)</f>
        <v>13.3800379962227</v>
      </c>
      <c r="G208" s="46" t="n">
        <f aca="false">IF(C208&gt;E208,100,C208/E208*100)</f>
        <v>100</v>
      </c>
      <c r="H208" s="46" t="n">
        <f aca="false">L208/F208*100</f>
        <v>100</v>
      </c>
      <c r="I208" s="47" t="n">
        <f aca="false">(V$27+V$28*SIN(2*PI()/365*A208))*V$29/100*V$9*V$10/100*(1-V$19/100)</f>
        <v>0</v>
      </c>
      <c r="J208" s="47" t="n">
        <f aca="false">(V$27+V$28*SIN(2*PI()/365*A208))*V$29/100*V$11*(1-V$18/100)</f>
        <v>14.7033384573876</v>
      </c>
      <c r="K208" s="48" t="n">
        <f aca="false">IF(E208/C208*100&lt;100,E208/C208*100,100)</f>
        <v>0</v>
      </c>
      <c r="L208" s="7" t="n">
        <f aca="false">IF(((C208-E208)&gt;0)*AND(F208&gt;(C208-E208)),(C208-E208),IF(C208&lt;E208,0,F208))</f>
        <v>13.3800379962227</v>
      </c>
      <c r="M208" s="7" t="n">
        <f aca="false">IF(C208&lt;(E208+F208),0,C208-E208-F208)</f>
        <v>8.64899039392615</v>
      </c>
      <c r="N208" s="7" t="n">
        <f aca="false">IF(C208&lt;(E208+F208),0,(C208-E208-F208)/(1-V$20/100))</f>
        <v>9.50438504827049</v>
      </c>
      <c r="O208" s="7" t="n">
        <f aca="false">L208+M208</f>
        <v>22.0290283901489</v>
      </c>
      <c r="P208" s="49" t="n">
        <f aca="false">IF(N208=0,I208*(1-G208/100)+J208*(1-H208/100),-N208)</f>
        <v>-9.50438504827049</v>
      </c>
      <c r="Q208" s="54" t="n">
        <f aca="false">IF(P207&gt;0,Q207+P207*(1-V$24/100),Q207+P207)</f>
        <v>3602.49825031363</v>
      </c>
      <c r="R208" s="55" t="n">
        <f aca="false">R$4+Q208/V$32</f>
        <v>75.0349812382461</v>
      </c>
    </row>
    <row r="209" customFormat="false" ht="12.8" hidden="false" customHeight="false" outlineLevel="0" collapsed="false">
      <c r="A209" s="1" t="n">
        <v>205</v>
      </c>
      <c r="B209" s="44" t="n">
        <v>43750</v>
      </c>
      <c r="C209" s="45" t="n">
        <f aca="false">V$30-V$30*SIN(2*PI()/365*A209)</f>
        <v>22.2877739967764</v>
      </c>
      <c r="D209" s="3" t="n">
        <f aca="false">IF((E209+F209)&gt;C209,C209,E209+F209)</f>
        <v>13.1198826851558</v>
      </c>
      <c r="E209" s="46" t="n">
        <f aca="false">(V$27+V$28*SIN(2*PI()/365*A209))*V$29/100*V$9*V$10/100</f>
        <v>0</v>
      </c>
      <c r="F209" s="46" t="n">
        <f aca="false">(V$27+V$28*SIN(2*PI()/365*A209))*V$29/100*V$11*(1-V$18/100)*(1-V$20/100)</f>
        <v>13.1198826851558</v>
      </c>
      <c r="G209" s="46" t="n">
        <f aca="false">IF(C209&gt;E209,100,C209/E209*100)</f>
        <v>100</v>
      </c>
      <c r="H209" s="46" t="n">
        <f aca="false">L209/F209*100</f>
        <v>100</v>
      </c>
      <c r="I209" s="47" t="n">
        <f aca="false">(V$27+V$28*SIN(2*PI()/365*A209))*V$29/100*V$9*V$10/100*(1-V$19/100)</f>
        <v>0</v>
      </c>
      <c r="J209" s="47" t="n">
        <f aca="false">(V$27+V$28*SIN(2*PI()/365*A209))*V$29/100*V$11*(1-V$18/100)</f>
        <v>14.4174535001712</v>
      </c>
      <c r="K209" s="48" t="n">
        <f aca="false">IF(E209/C209*100&lt;100,E209/C209*100,100)</f>
        <v>0</v>
      </c>
      <c r="L209" s="7" t="n">
        <f aca="false">IF(((C209-E209)&gt;0)*AND(F209&gt;(C209-E209)),(C209-E209),IF(C209&lt;E209,0,F209))</f>
        <v>13.1198826851558</v>
      </c>
      <c r="M209" s="7" t="n">
        <f aca="false">IF(C209&lt;(E209+F209),0,C209-E209-F209)</f>
        <v>9.1678913116207</v>
      </c>
      <c r="N209" s="7" t="n">
        <f aca="false">IF(C209&lt;(E209+F209),0,(C209-E209-F209)/(1-V$20/100))</f>
        <v>10.0746058369458</v>
      </c>
      <c r="O209" s="7" t="n">
        <f aca="false">L209+M209</f>
        <v>22.2877739967764</v>
      </c>
      <c r="P209" s="49" t="n">
        <f aca="false">IF(N209=0,I209*(1-G209/100)+J209*(1-H209/100),-N209)</f>
        <v>-10.0746058369458</v>
      </c>
      <c r="Q209" s="54" t="n">
        <f aca="false">IF(P208&gt;0,Q208+P208*(1-V$24/100),Q208+P208)</f>
        <v>3592.99386526536</v>
      </c>
      <c r="R209" s="55" t="n">
        <f aca="false">R$4+Q209/V$32</f>
        <v>74.9425492844434</v>
      </c>
    </row>
    <row r="210" customFormat="false" ht="12.8" hidden="false" customHeight="false" outlineLevel="0" collapsed="false">
      <c r="A210" s="1" t="n">
        <v>206</v>
      </c>
      <c r="B210" s="44" t="n">
        <v>43751</v>
      </c>
      <c r="C210" s="45" t="n">
        <f aca="false">V$30-V$30*SIN(2*PI()/365*A210)</f>
        <v>22.544708976569</v>
      </c>
      <c r="D210" s="3" t="n">
        <f aca="false">IF((E210+F210)&gt;C210,C210,E210+F210)</f>
        <v>12.8615478656273</v>
      </c>
      <c r="E210" s="46" t="n">
        <f aca="false">(V$27+V$28*SIN(2*PI()/365*A210))*V$29/100*V$9*V$10/100</f>
        <v>0</v>
      </c>
      <c r="F210" s="46" t="n">
        <f aca="false">(V$27+V$28*SIN(2*PI()/365*A210))*V$29/100*V$11*(1-V$18/100)*(1-V$20/100)</f>
        <v>12.8615478656273</v>
      </c>
      <c r="G210" s="46" t="n">
        <f aca="false">IF(C210&gt;E210,100,C210/E210*100)</f>
        <v>100</v>
      </c>
      <c r="H210" s="46" t="n">
        <f aca="false">L210/F210*100</f>
        <v>100</v>
      </c>
      <c r="I210" s="47" t="n">
        <f aca="false">(V$27+V$28*SIN(2*PI()/365*A210))*V$29/100*V$9*V$10/100*(1-V$19/100)</f>
        <v>0</v>
      </c>
      <c r="J210" s="47" t="n">
        <f aca="false">(V$27+V$28*SIN(2*PI()/365*A210))*V$29/100*V$11*(1-V$18/100)</f>
        <v>14.1335690831069</v>
      </c>
      <c r="K210" s="48" t="n">
        <f aca="false">IF(E210/C210*100&lt;100,E210/C210*100,100)</f>
        <v>0</v>
      </c>
      <c r="L210" s="7" t="n">
        <f aca="false">IF(((C210-E210)&gt;0)*AND(F210&gt;(C210-E210)),(C210-E210),IF(C210&lt;E210,0,F210))</f>
        <v>12.8615478656273</v>
      </c>
      <c r="M210" s="7" t="n">
        <f aca="false">IF(C210&lt;(E210+F210),0,C210-E210-F210)</f>
        <v>9.68316111094176</v>
      </c>
      <c r="N210" s="7" t="n">
        <f aca="false">IF(C210&lt;(E210+F210),0,(C210-E210-F210)/(1-V$20/100))</f>
        <v>10.6408363856503</v>
      </c>
      <c r="O210" s="7" t="n">
        <f aca="false">L210+M210</f>
        <v>22.544708976569</v>
      </c>
      <c r="P210" s="49" t="n">
        <f aca="false">IF(N210=0,I210*(1-G210/100)+J210*(1-H210/100),-N210)</f>
        <v>-10.6408363856503</v>
      </c>
      <c r="Q210" s="54" t="n">
        <f aca="false">IF(P209&gt;0,Q209+P209*(1-V$24/100),Q209+P209)</f>
        <v>3582.91925942841</v>
      </c>
      <c r="R210" s="55" t="n">
        <f aca="false">R$4+Q210/V$32</f>
        <v>74.8445718249264</v>
      </c>
    </row>
    <row r="211" customFormat="false" ht="12.8" hidden="false" customHeight="false" outlineLevel="0" collapsed="false">
      <c r="A211" s="1" t="n">
        <v>207</v>
      </c>
      <c r="B211" s="44" t="n">
        <v>43752</v>
      </c>
      <c r="C211" s="45" t="n">
        <f aca="false">V$30-V$30*SIN(2*PI()/365*A211)</f>
        <v>22.799757194147</v>
      </c>
      <c r="D211" s="3" t="n">
        <f aca="false">IF((E211+F211)&gt;C211,C211,E211+F211)</f>
        <v>12.6051100878196</v>
      </c>
      <c r="E211" s="46" t="n">
        <f aca="false">(V$27+V$28*SIN(2*PI()/365*A211))*V$29/100*V$9*V$10/100</f>
        <v>0</v>
      </c>
      <c r="F211" s="46" t="n">
        <f aca="false">(V$27+V$28*SIN(2*PI()/365*A211))*V$29/100*V$11*(1-V$18/100)*(1-V$20/100)</f>
        <v>12.6051100878196</v>
      </c>
      <c r="G211" s="46" t="n">
        <f aca="false">IF(C211&gt;E211,100,C211/E211*100)</f>
        <v>100</v>
      </c>
      <c r="H211" s="46" t="n">
        <f aca="false">L211/F211*100</f>
        <v>100</v>
      </c>
      <c r="I211" s="47" t="n">
        <f aca="false">(V$27+V$28*SIN(2*PI()/365*A211))*V$29/100*V$9*V$10/100*(1-V$19/100)</f>
        <v>0</v>
      </c>
      <c r="J211" s="47" t="n">
        <f aca="false">(V$27+V$28*SIN(2*PI()/365*A211))*V$29/100*V$11*(1-V$18/100)</f>
        <v>13.8517693272743</v>
      </c>
      <c r="K211" s="48" t="n">
        <f aca="false">IF(E211/C211*100&lt;100,E211/C211*100,100)</f>
        <v>0</v>
      </c>
      <c r="L211" s="7" t="n">
        <f aca="false">IF(((C211-E211)&gt;0)*AND(F211&gt;(C211-E211)),(C211-E211),IF(C211&lt;E211,0,F211))</f>
        <v>12.6051100878196</v>
      </c>
      <c r="M211" s="7" t="n">
        <f aca="false">IF(C211&lt;(E211+F211),0,C211-E211-F211)</f>
        <v>10.1946471063274</v>
      </c>
      <c r="N211" s="7" t="n">
        <f aca="false">IF(C211&lt;(E211+F211),0,(C211-E211-F211)/(1-V$20/100))</f>
        <v>11.2029089080521</v>
      </c>
      <c r="O211" s="7" t="n">
        <f aca="false">L211+M211</f>
        <v>22.799757194147</v>
      </c>
      <c r="P211" s="49" t="n">
        <f aca="false">IF(N211=0,I211*(1-G211/100)+J211*(1-H211/100),-N211)</f>
        <v>-11.2029089080521</v>
      </c>
      <c r="Q211" s="54" t="n">
        <f aca="false">IF(P210&gt;0,Q210+P210*(1-V$24/100),Q210+P210)</f>
        <v>3572.27842304276</v>
      </c>
      <c r="R211" s="55" t="n">
        <f aca="false">R$4+Q211/V$32</f>
        <v>74.7410876655384</v>
      </c>
    </row>
    <row r="212" customFormat="false" ht="12.8" hidden="false" customHeight="false" outlineLevel="0" collapsed="false">
      <c r="A212" s="1" t="n">
        <v>208</v>
      </c>
      <c r="B212" s="44" t="n">
        <v>43753</v>
      </c>
      <c r="C212" s="45" t="n">
        <f aca="false">V$30-V$30*SIN(2*PI()/365*A212)</f>
        <v>23.0528430732191</v>
      </c>
      <c r="D212" s="3" t="n">
        <f aca="false">IF((E212+F212)&gt;C212,C212,E212+F212)</f>
        <v>12.3506453397808</v>
      </c>
      <c r="E212" s="46" t="n">
        <f aca="false">(V$27+V$28*SIN(2*PI()/365*A212))*V$29/100*V$9*V$10/100</f>
        <v>0</v>
      </c>
      <c r="F212" s="46" t="n">
        <f aca="false">(V$27+V$28*SIN(2*PI()/365*A212))*V$29/100*V$11*(1-V$18/100)*(1-V$20/100)</f>
        <v>12.3506453397808</v>
      </c>
      <c r="G212" s="46" t="n">
        <f aca="false">IF(C212&gt;E212,100,C212/E212*100)</f>
        <v>100</v>
      </c>
      <c r="H212" s="46" t="n">
        <f aca="false">L212/F212*100</f>
        <v>100</v>
      </c>
      <c r="I212" s="47" t="n">
        <f aca="false">(V$27+V$28*SIN(2*PI()/365*A212))*V$29/100*V$9*V$10/100*(1-V$19/100)</f>
        <v>0</v>
      </c>
      <c r="J212" s="47" t="n">
        <f aca="false">(V$27+V$28*SIN(2*PI()/365*A212))*V$29/100*V$11*(1-V$18/100)</f>
        <v>13.5721377360228</v>
      </c>
      <c r="K212" s="48" t="n">
        <f aca="false">IF(E212/C212*100&lt;100,E212/C212*100,100)</f>
        <v>0</v>
      </c>
      <c r="L212" s="7" t="n">
        <f aca="false">IF(((C212-E212)&gt;0)*AND(F212&gt;(C212-E212)),(C212-E212),IF(C212&lt;E212,0,F212))</f>
        <v>12.3506453397808</v>
      </c>
      <c r="M212" s="7" t="n">
        <f aca="false">IF(C212&lt;(E212+F212),0,C212-E212-F212)</f>
        <v>10.7021977334383</v>
      </c>
      <c r="N212" s="7" t="n">
        <f aca="false">IF(C212&lt;(E212+F212),0,(C212-E212-F212)/(1-V$20/100))</f>
        <v>11.7606568499322</v>
      </c>
      <c r="O212" s="7" t="n">
        <f aca="false">L212+M212</f>
        <v>23.0528430732191</v>
      </c>
      <c r="P212" s="49" t="n">
        <f aca="false">IF(N212=0,I212*(1-G212/100)+J212*(1-H212/100),-N212)</f>
        <v>-11.7606568499322</v>
      </c>
      <c r="Q212" s="54" t="n">
        <f aca="false">IF(P211&gt;0,Q211+P211*(1-V$24/100),Q211+P211)</f>
        <v>3561.07551413471</v>
      </c>
      <c r="R212" s="55" t="n">
        <f aca="false">R$4+Q212/V$32</f>
        <v>74.6321372438766</v>
      </c>
    </row>
    <row r="213" customFormat="false" ht="12.8" hidden="false" customHeight="false" outlineLevel="0" collapsed="false">
      <c r="A213" s="1" t="n">
        <v>209</v>
      </c>
      <c r="B213" s="44" t="n">
        <v>43754</v>
      </c>
      <c r="C213" s="45" t="n">
        <f aca="false">V$30-V$30*SIN(2*PI()/365*A213)</f>
        <v>23.3038916189773</v>
      </c>
      <c r="D213" s="3" t="n">
        <f aca="false">IF((E213+F213)&gt;C213,C213,E213+F213)</f>
        <v>12.0982290249073</v>
      </c>
      <c r="E213" s="46" t="n">
        <f aca="false">(V$27+V$28*SIN(2*PI()/365*A213))*V$29/100*V$9*V$10/100</f>
        <v>0</v>
      </c>
      <c r="F213" s="46" t="n">
        <f aca="false">(V$27+V$28*SIN(2*PI()/365*A213))*V$29/100*V$11*(1-V$18/100)*(1-V$20/100)</f>
        <v>12.0982290249073</v>
      </c>
      <c r="G213" s="46" t="n">
        <f aca="false">IF(C213&gt;E213,100,C213/E213*100)</f>
        <v>100</v>
      </c>
      <c r="H213" s="46" t="n">
        <f aca="false">L213/F213*100</f>
        <v>100</v>
      </c>
      <c r="I213" s="47" t="n">
        <f aca="false">(V$27+V$28*SIN(2*PI()/365*A213))*V$29/100*V$9*V$10/100*(1-V$19/100)</f>
        <v>0</v>
      </c>
      <c r="J213" s="47" t="n">
        <f aca="false">(V$27+V$28*SIN(2*PI()/365*A213))*V$29/100*V$11*(1-V$18/100)</f>
        <v>13.2947571702278</v>
      </c>
      <c r="K213" s="48" t="n">
        <f aca="false">IF(E213/C213*100&lt;100,E213/C213*100,100)</f>
        <v>0</v>
      </c>
      <c r="L213" s="7" t="n">
        <f aca="false">IF(((C213-E213)&gt;0)*AND(F213&gt;(C213-E213)),(C213-E213),IF(C213&lt;E213,0,F213))</f>
        <v>12.0982290249073</v>
      </c>
      <c r="M213" s="7" t="n">
        <f aca="false">IF(C213&lt;(E213+F213),0,C213-E213-F213)</f>
        <v>11.20566259407</v>
      </c>
      <c r="N213" s="7" t="n">
        <f aca="false">IF(C213&lt;(E213+F213),0,(C213-E213-F213)/(1-V$20/100))</f>
        <v>12.3139149385385</v>
      </c>
      <c r="O213" s="7" t="n">
        <f aca="false">L213+M213</f>
        <v>23.3038916189773</v>
      </c>
      <c r="P213" s="49" t="n">
        <f aca="false">IF(N213=0,I213*(1-G213/100)+J213*(1-H213/100),-N213)</f>
        <v>-12.3139149385385</v>
      </c>
      <c r="Q213" s="54" t="n">
        <f aca="false">IF(P212&gt;0,Q212+P212*(1-V$24/100),Q212+P212)</f>
        <v>3549.31485728478</v>
      </c>
      <c r="R213" s="55" t="n">
        <f aca="false">R$4+Q213/V$32</f>
        <v>74.5177626173099</v>
      </c>
    </row>
    <row r="214" customFormat="false" ht="12.8" hidden="false" customHeight="false" outlineLevel="0" collapsed="false">
      <c r="A214" s="1" t="n">
        <v>210</v>
      </c>
      <c r="B214" s="44" t="n">
        <v>43755</v>
      </c>
      <c r="C214" s="45" t="n">
        <f aca="false">V$30-V$30*SIN(2*PI()/365*A214)</f>
        <v>23.5528284403195</v>
      </c>
      <c r="D214" s="3" t="n">
        <f aca="false">IF((E214+F214)&gt;C214,C214,E214+F214)</f>
        <v>11.847935939601</v>
      </c>
      <c r="E214" s="46" t="n">
        <f aca="false">(V$27+V$28*SIN(2*PI()/365*A214))*V$29/100*V$9*V$10/100</f>
        <v>0</v>
      </c>
      <c r="F214" s="46" t="n">
        <f aca="false">(V$27+V$28*SIN(2*PI()/365*A214))*V$29/100*V$11*(1-V$18/100)*(1-V$20/100)</f>
        <v>11.847935939601</v>
      </c>
      <c r="G214" s="46" t="n">
        <f aca="false">IF(C214&gt;E214,100,C214/E214*100)</f>
        <v>100</v>
      </c>
      <c r="H214" s="46" t="n">
        <f aca="false">L214/F214*100</f>
        <v>100</v>
      </c>
      <c r="I214" s="47" t="n">
        <f aca="false">(V$27+V$28*SIN(2*PI()/365*A214))*V$29/100*V$9*V$10/100*(1-V$19/100)</f>
        <v>0</v>
      </c>
      <c r="J214" s="47" t="n">
        <f aca="false">(V$27+V$28*SIN(2*PI()/365*A214))*V$29/100*V$11*(1-V$18/100)</f>
        <v>13.0197098237373</v>
      </c>
      <c r="K214" s="48" t="n">
        <f aca="false">IF(E214/C214*100&lt;100,E214/C214*100,100)</f>
        <v>0</v>
      </c>
      <c r="L214" s="7" t="n">
        <f aca="false">IF(((C214-E214)&gt;0)*AND(F214&gt;(C214-E214)),(C214-E214),IF(C214&lt;E214,0,F214))</f>
        <v>11.847935939601</v>
      </c>
      <c r="M214" s="7" t="n">
        <f aca="false">IF(C214&lt;(E214+F214),0,C214-E214-F214)</f>
        <v>11.7048925007185</v>
      </c>
      <c r="N214" s="7" t="n">
        <f aca="false">IF(C214&lt;(E214+F214),0,(C214-E214-F214)/(1-V$20/100))</f>
        <v>12.8625192315588</v>
      </c>
      <c r="O214" s="7" t="n">
        <f aca="false">L214+M214</f>
        <v>23.5528284403195</v>
      </c>
      <c r="P214" s="49" t="n">
        <f aca="false">IF(N214=0,I214*(1-G214/100)+J214*(1-H214/100),-N214)</f>
        <v>-12.8625192315588</v>
      </c>
      <c r="Q214" s="54" t="n">
        <f aca="false">IF(P213&gt;0,Q213+P213*(1-V$24/100),Q213+P213)</f>
        <v>3537.00094234624</v>
      </c>
      <c r="R214" s="55" t="n">
        <f aca="false">R$4+Q214/V$32</f>
        <v>74.398007450516</v>
      </c>
    </row>
    <row r="215" customFormat="false" ht="12.8" hidden="false" customHeight="false" outlineLevel="0" collapsed="false">
      <c r="A215" s="1" t="n">
        <v>211</v>
      </c>
      <c r="B215" s="44" t="n">
        <v>43756</v>
      </c>
      <c r="C215" s="45" t="n">
        <f aca="false">V$30-V$30*SIN(2*PI()/365*A215)</f>
        <v>23.7995797718929</v>
      </c>
      <c r="D215" s="3" t="n">
        <f aca="false">IF((E215+F215)&gt;C215,C215,E215+F215)</f>
        <v>11.5998402511047</v>
      </c>
      <c r="E215" s="46" t="n">
        <f aca="false">(V$27+V$28*SIN(2*PI()/365*A215))*V$29/100*V$9*V$10/100</f>
        <v>0</v>
      </c>
      <c r="F215" s="46" t="n">
        <f aca="false">(V$27+V$28*SIN(2*PI()/365*A215))*V$29/100*V$11*(1-V$18/100)*(1-V$20/100)</f>
        <v>11.5998402511047</v>
      </c>
      <c r="G215" s="46" t="n">
        <f aca="false">IF(C215&gt;E215,100,C215/E215*100)</f>
        <v>100</v>
      </c>
      <c r="H215" s="46" t="n">
        <f aca="false">L215/F215*100</f>
        <v>100</v>
      </c>
      <c r="I215" s="47" t="n">
        <f aca="false">(V$27+V$28*SIN(2*PI()/365*A215))*V$29/100*V$9*V$10/100*(1-V$19/100)</f>
        <v>0</v>
      </c>
      <c r="J215" s="47" t="n">
        <f aca="false">(V$27+V$28*SIN(2*PI()/365*A215))*V$29/100*V$11*(1-V$18/100)</f>
        <v>12.7470771990161</v>
      </c>
      <c r="K215" s="48" t="n">
        <f aca="false">IF(E215/C215*100&lt;100,E215/C215*100,100)</f>
        <v>0</v>
      </c>
      <c r="L215" s="7" t="n">
        <f aca="false">IF(((C215-E215)&gt;0)*AND(F215&gt;(C215-E215)),(C215-E215),IF(C215&lt;E215,0,F215))</f>
        <v>11.5998402511047</v>
      </c>
      <c r="M215" s="7" t="n">
        <f aca="false">IF(C215&lt;(E215+F215),0,C215-E215-F215)</f>
        <v>12.1997395207882</v>
      </c>
      <c r="N215" s="7" t="n">
        <f aca="false">IF(C215&lt;(E215+F215),0,(C215-E215-F215)/(1-V$20/100))</f>
        <v>13.4063071657013</v>
      </c>
      <c r="O215" s="7" t="n">
        <f aca="false">L215+M215</f>
        <v>23.7995797718929</v>
      </c>
      <c r="P215" s="49" t="n">
        <f aca="false">IF(N215=0,I215*(1-G215/100)+J215*(1-H215/100),-N215)</f>
        <v>-13.4063071657013</v>
      </c>
      <c r="Q215" s="54" t="n">
        <f aca="false">IF(P214&gt;0,Q214+P214*(1-V$24/100),Q214+P214)</f>
        <v>3524.13842311468</v>
      </c>
      <c r="R215" s="55" t="n">
        <f aca="false">R$4+Q215/V$32</f>
        <v>74.2729170025429</v>
      </c>
    </row>
    <row r="216" customFormat="false" ht="12.8" hidden="false" customHeight="false" outlineLevel="0" collapsed="false">
      <c r="A216" s="1" t="n">
        <v>212</v>
      </c>
      <c r="B216" s="44" t="n">
        <v>43757</v>
      </c>
      <c r="C216" s="45" t="n">
        <f aca="false">V$30-V$30*SIN(2*PI()/365*A216)</f>
        <v>24.0440724959527</v>
      </c>
      <c r="D216" s="3" t="n">
        <f aca="false">IF((E216+F216)&gt;C216,C216,E216+F216)</f>
        <v>11.3540154755253</v>
      </c>
      <c r="E216" s="46" t="n">
        <f aca="false">(V$27+V$28*SIN(2*PI()/365*A216))*V$29/100*V$9*V$10/100</f>
        <v>0</v>
      </c>
      <c r="F216" s="46" t="n">
        <f aca="false">(V$27+V$28*SIN(2*PI()/365*A216))*V$29/100*V$11*(1-V$18/100)*(1-V$20/100)</f>
        <v>11.3540154755253</v>
      </c>
      <c r="G216" s="46" t="n">
        <f aca="false">IF(C216&gt;E216,100,C216/E216*100)</f>
        <v>100</v>
      </c>
      <c r="H216" s="46" t="n">
        <f aca="false">L216/F216*100</f>
        <v>100</v>
      </c>
      <c r="I216" s="47" t="n">
        <f aca="false">(V$27+V$28*SIN(2*PI()/365*A216))*V$29/100*V$9*V$10/100*(1-V$19/100)</f>
        <v>0</v>
      </c>
      <c r="J216" s="47" t="n">
        <f aca="false">(V$27+V$28*SIN(2*PI()/365*A216))*V$29/100*V$11*(1-V$18/100)</f>
        <v>12.4769400829948</v>
      </c>
      <c r="K216" s="48" t="n">
        <f aca="false">IF(E216/C216*100&lt;100,E216/C216*100,100)</f>
        <v>0</v>
      </c>
      <c r="L216" s="7" t="n">
        <f aca="false">IF(((C216-E216)&gt;0)*AND(F216&gt;(C216-E216)),(C216-E216),IF(C216&lt;E216,0,F216))</f>
        <v>11.3540154755253</v>
      </c>
      <c r="M216" s="7" t="n">
        <f aca="false">IF(C216&lt;(E216+F216),0,C216-E216-F216)</f>
        <v>12.6900570204274</v>
      </c>
      <c r="N216" s="7" t="n">
        <f aca="false">IF(C216&lt;(E216+F216),0,(C216-E216-F216)/(1-V$20/100))</f>
        <v>13.9451176048653</v>
      </c>
      <c r="O216" s="7" t="n">
        <f aca="false">L216+M216</f>
        <v>24.0440724959527</v>
      </c>
      <c r="P216" s="49" t="n">
        <f aca="false">IF(N216=0,I216*(1-G216/100)+J216*(1-H216/100),-N216)</f>
        <v>-13.9451176048653</v>
      </c>
      <c r="Q216" s="54" t="n">
        <f aca="false">IF(P215&gt;0,Q215+P215*(1-V$24/100),Q215+P215)</f>
        <v>3510.73211594898</v>
      </c>
      <c r="R216" s="55" t="n">
        <f aca="false">R$4+Q216/V$32</f>
        <v>74.1425381133974</v>
      </c>
    </row>
    <row r="217" customFormat="false" ht="12.8" hidden="false" customHeight="false" outlineLevel="0" collapsed="false">
      <c r="A217" s="1" t="n">
        <v>213</v>
      </c>
      <c r="B217" s="44" t="n">
        <v>43758</v>
      </c>
      <c r="C217" s="45" t="n">
        <f aca="false">V$30-V$30*SIN(2*PI()/365*A217)</f>
        <v>24.2862341640282</v>
      </c>
      <c r="D217" s="3" t="n">
        <f aca="false">IF((E217+F217)&gt;C217,C217,E217+F217)</f>
        <v>11.1105344560491</v>
      </c>
      <c r="E217" s="46" t="n">
        <f aca="false">(V$27+V$28*SIN(2*PI()/365*A217))*V$29/100*V$9*V$10/100</f>
        <v>0</v>
      </c>
      <c r="F217" s="46" t="n">
        <f aca="false">(V$27+V$28*SIN(2*PI()/365*A217))*V$29/100*V$11*(1-V$18/100)*(1-V$20/100)</f>
        <v>11.1105344560491</v>
      </c>
      <c r="G217" s="46" t="n">
        <f aca="false">IF(C217&gt;E217,100,C217/E217*100)</f>
        <v>100</v>
      </c>
      <c r="H217" s="46" t="n">
        <f aca="false">L217/F217*100</f>
        <v>100</v>
      </c>
      <c r="I217" s="47" t="n">
        <f aca="false">(V$27+V$28*SIN(2*PI()/365*A217))*V$29/100*V$9*V$10/100*(1-V$19/100)</f>
        <v>0</v>
      </c>
      <c r="J217" s="47" t="n">
        <f aca="false">(V$27+V$28*SIN(2*PI()/365*A217))*V$29/100*V$11*(1-V$18/100)</f>
        <v>12.2093785231309</v>
      </c>
      <c r="K217" s="48" t="n">
        <f aca="false">IF(E217/C217*100&lt;100,E217/C217*100,100)</f>
        <v>0</v>
      </c>
      <c r="L217" s="7" t="n">
        <f aca="false">IF(((C217-E217)&gt;0)*AND(F217&gt;(C217-E217)),(C217-E217),IF(C217&lt;E217,0,F217))</f>
        <v>11.1105344560491</v>
      </c>
      <c r="M217" s="7" t="n">
        <f aca="false">IF(C217&lt;(E217+F217),0,C217-E217-F217)</f>
        <v>13.1756997079791</v>
      </c>
      <c r="N217" s="7" t="n">
        <f aca="false">IF(C217&lt;(E217+F217),0,(C217-E217-F217)/(1-V$20/100))</f>
        <v>14.4787908878891</v>
      </c>
      <c r="O217" s="7" t="n">
        <f aca="false">L217+M217</f>
        <v>24.2862341640282</v>
      </c>
      <c r="P217" s="49" t="n">
        <f aca="false">IF(N217=0,I217*(1-G217/100)+J217*(1-H217/100),-N217)</f>
        <v>-14.4787908878891</v>
      </c>
      <c r="Q217" s="54" t="n">
        <f aca="false">IF(P216&gt;0,Q216+P216*(1-V$24/100),Q216+P216)</f>
        <v>3496.78699834411</v>
      </c>
      <c r="R217" s="55" t="n">
        <f aca="false">R$4+Q217/V$32</f>
        <v>74.0069191901657</v>
      </c>
    </row>
    <row r="218" customFormat="false" ht="12.8" hidden="false" customHeight="false" outlineLevel="0" collapsed="false">
      <c r="A218" s="1" t="n">
        <v>214</v>
      </c>
      <c r="B218" s="44" t="n">
        <v>43759</v>
      </c>
      <c r="C218" s="45" t="n">
        <f aca="false">V$30-V$30*SIN(2*PI()/365*A218)</f>
        <v>24.5259930183908</v>
      </c>
      <c r="D218" s="3" t="n">
        <f aca="false">IF((E218+F218)&gt;C218,C218,E218+F218)</f>
        <v>10.8694693413569</v>
      </c>
      <c r="E218" s="46" t="n">
        <f aca="false">(V$27+V$28*SIN(2*PI()/365*A218))*V$29/100*V$9*V$10/100</f>
        <v>0</v>
      </c>
      <c r="F218" s="46" t="n">
        <f aca="false">(V$27+V$28*SIN(2*PI()/365*A218))*V$29/100*V$11*(1-V$18/100)*(1-V$20/100)</f>
        <v>10.8694693413569</v>
      </c>
      <c r="G218" s="46" t="n">
        <f aca="false">IF(C218&gt;E218,100,C218/E218*100)</f>
        <v>100</v>
      </c>
      <c r="H218" s="46" t="n">
        <f aca="false">L218/F218*100</f>
        <v>100</v>
      </c>
      <c r="I218" s="47" t="n">
        <f aca="false">(V$27+V$28*SIN(2*PI()/365*A218))*V$29/100*V$9*V$10/100*(1-V$19/100)</f>
        <v>0</v>
      </c>
      <c r="J218" s="47" t="n">
        <f aca="false">(V$27+V$28*SIN(2*PI()/365*A218))*V$29/100*V$11*(1-V$18/100)</f>
        <v>11.9444718036889</v>
      </c>
      <c r="K218" s="48" t="n">
        <f aca="false">IF(E218/C218*100&lt;100,E218/C218*100,100)</f>
        <v>0</v>
      </c>
      <c r="L218" s="7" t="n">
        <f aca="false">IF(((C218-E218)&gt;0)*AND(F218&gt;(C218-E218)),(C218-E218),IF(C218&lt;E218,0,F218))</f>
        <v>10.8694693413569</v>
      </c>
      <c r="M218" s="7" t="n">
        <f aca="false">IF(C218&lt;(E218+F218),0,C218-E218-F218)</f>
        <v>13.6565236770339</v>
      </c>
      <c r="N218" s="7" t="n">
        <f aca="false">IF(C218&lt;(E218+F218),0,(C218-E218-F218)/(1-V$20/100))</f>
        <v>15.0071688758614</v>
      </c>
      <c r="O218" s="7" t="n">
        <f aca="false">L218+M218</f>
        <v>24.5259930183908</v>
      </c>
      <c r="P218" s="49" t="n">
        <f aca="false">IF(N218=0,I218*(1-G218/100)+J218*(1-H218/100),-N218)</f>
        <v>-15.0071688758614</v>
      </c>
      <c r="Q218" s="54" t="n">
        <f aca="false">IF(P217&gt;0,Q217+P217*(1-V$24/100),Q217+P217)</f>
        <v>3482.30820745622</v>
      </c>
      <c r="R218" s="55" t="n">
        <f aca="false">R$4+Q218/V$32</f>
        <v>73.8661101926691</v>
      </c>
    </row>
    <row r="219" customFormat="false" ht="12.8" hidden="false" customHeight="false" outlineLevel="0" collapsed="false">
      <c r="A219" s="1" t="n">
        <v>215</v>
      </c>
      <c r="B219" s="44" t="n">
        <v>43760</v>
      </c>
      <c r="C219" s="45" t="n">
        <f aca="false">V$30-V$30*SIN(2*PI()/365*A219)</f>
        <v>24.7632780133176</v>
      </c>
      <c r="D219" s="3" t="n">
        <f aca="false">IF((E219+F219)&gt;C219,C219,E219+F219)</f>
        <v>10.630891564245</v>
      </c>
      <c r="E219" s="46" t="n">
        <f aca="false">(V$27+V$28*SIN(2*PI()/365*A219))*V$29/100*V$9*V$10/100</f>
        <v>0</v>
      </c>
      <c r="F219" s="46" t="n">
        <f aca="false">(V$27+V$28*SIN(2*PI()/365*A219))*V$29/100*V$11*(1-V$18/100)*(1-V$20/100)</f>
        <v>10.630891564245</v>
      </c>
      <c r="G219" s="46" t="n">
        <f aca="false">IF(C219&gt;E219,100,C219/E219*100)</f>
        <v>100</v>
      </c>
      <c r="H219" s="46" t="n">
        <f aca="false">L219/F219*100</f>
        <v>100</v>
      </c>
      <c r="I219" s="47" t="n">
        <f aca="false">(V$27+V$28*SIN(2*PI()/365*A219))*V$29/100*V$9*V$10/100*(1-V$19/100)</f>
        <v>0</v>
      </c>
      <c r="J219" s="47" t="n">
        <f aca="false">(V$27+V$28*SIN(2*PI()/365*A219))*V$29/100*V$11*(1-V$18/100)</f>
        <v>11.6822984222472</v>
      </c>
      <c r="K219" s="48" t="n">
        <f aca="false">IF(E219/C219*100&lt;100,E219/C219*100,100)</f>
        <v>0</v>
      </c>
      <c r="L219" s="7" t="n">
        <f aca="false">IF(((C219-E219)&gt;0)*AND(F219&gt;(C219-E219)),(C219-E219),IF(C219&lt;E219,0,F219))</f>
        <v>10.630891564245</v>
      </c>
      <c r="M219" s="7" t="n">
        <f aca="false">IF(C219&lt;(E219+F219),0,C219-E219-F219)</f>
        <v>14.1323864490727</v>
      </c>
      <c r="N219" s="7" t="n">
        <f aca="false">IF(C219&lt;(E219+F219),0,(C219-E219-F219)/(1-V$20/100))</f>
        <v>15.530094998981</v>
      </c>
      <c r="O219" s="7" t="n">
        <f aca="false">L219+M219</f>
        <v>24.7632780133176</v>
      </c>
      <c r="P219" s="49" t="n">
        <f aca="false">IF(N219=0,I219*(1-G219/100)+J219*(1-H219/100),-N219)</f>
        <v>-15.530094998981</v>
      </c>
      <c r="Q219" s="54" t="n">
        <f aca="false">IF(P218&gt;0,Q218+P218*(1-V$24/100),Q218+P218)</f>
        <v>3467.30103858036</v>
      </c>
      <c r="R219" s="55" t="n">
        <f aca="false">R$4+Q219/V$32</f>
        <v>73.7201626186601</v>
      </c>
    </row>
    <row r="220" customFormat="false" ht="12.8" hidden="false" customHeight="false" outlineLevel="0" collapsed="false">
      <c r="A220" s="1" t="n">
        <v>216</v>
      </c>
      <c r="B220" s="44" t="n">
        <v>43761</v>
      </c>
      <c r="C220" s="45" t="n">
        <f aca="false">V$30-V$30*SIN(2*PI()/365*A220)</f>
        <v>24.9980188361436</v>
      </c>
      <c r="D220" s="3" t="n">
        <f aca="false">IF((E220+F220)&gt;C220,C220,E220+F220)</f>
        <v>10.3948718204574</v>
      </c>
      <c r="E220" s="46" t="n">
        <f aca="false">(V$27+V$28*SIN(2*PI()/365*A220))*V$29/100*V$9*V$10/100</f>
        <v>0</v>
      </c>
      <c r="F220" s="46" t="n">
        <f aca="false">(V$27+V$28*SIN(2*PI()/365*A220))*V$29/100*V$11*(1-V$18/100)*(1-V$20/100)</f>
        <v>10.3948718204574</v>
      </c>
      <c r="G220" s="46" t="n">
        <f aca="false">IF(C220&gt;E220,100,C220/E220*100)</f>
        <v>100</v>
      </c>
      <c r="H220" s="46" t="n">
        <f aca="false">L220/F220*100</f>
        <v>100</v>
      </c>
      <c r="I220" s="47" t="n">
        <f aca="false">(V$27+V$28*SIN(2*PI()/365*A220))*V$29/100*V$9*V$10/100*(1-V$19/100)</f>
        <v>0</v>
      </c>
      <c r="J220" s="47" t="n">
        <f aca="false">(V$27+V$28*SIN(2*PI()/365*A220))*V$29/100*V$11*(1-V$18/100)</f>
        <v>11.4229360664367</v>
      </c>
      <c r="K220" s="48" t="n">
        <f aca="false">IF(E220/C220*100&lt;100,E220/C220*100,100)</f>
        <v>0</v>
      </c>
      <c r="L220" s="7" t="n">
        <f aca="false">IF(((C220-E220)&gt;0)*AND(F220&gt;(C220-E220)),(C220-E220),IF(C220&lt;E220,0,F220))</f>
        <v>10.3948718204574</v>
      </c>
      <c r="M220" s="7" t="n">
        <f aca="false">IF(C220&lt;(E220+F220),0,C220-E220-F220)</f>
        <v>14.6031470156862</v>
      </c>
      <c r="N220" s="7" t="n">
        <f aca="false">IF(C220&lt;(E220+F220),0,(C220-E220-F220)/(1-V$20/100))</f>
        <v>16.0474143029519</v>
      </c>
      <c r="O220" s="7" t="n">
        <f aca="false">L220+M220</f>
        <v>24.9980188361436</v>
      </c>
      <c r="P220" s="49" t="n">
        <f aca="false">IF(N220=0,I220*(1-G220/100)+J220*(1-H220/100),-N220)</f>
        <v>-16.0474143029519</v>
      </c>
      <c r="Q220" s="54" t="n">
        <f aca="false">IF(P219&gt;0,Q219+P219*(1-V$24/100),Q219+P219)</f>
        <v>3451.77094358138</v>
      </c>
      <c r="R220" s="55" t="n">
        <f aca="false">R$4+Q220/V$32</f>
        <v>73.5691294885621</v>
      </c>
    </row>
    <row r="221" customFormat="false" ht="12.8" hidden="false" customHeight="false" outlineLevel="0" collapsed="false">
      <c r="A221" s="1" t="n">
        <v>217</v>
      </c>
      <c r="B221" s="44" t="n">
        <v>43762</v>
      </c>
      <c r="C221" s="45" t="n">
        <f aca="false">V$30-V$30*SIN(2*PI()/365*A221)</f>
        <v>25.2301459280968</v>
      </c>
      <c r="D221" s="3" t="n">
        <f aca="false">IF((E221+F221)&gt;C221,C221,E221+F221)</f>
        <v>10.1614800477381</v>
      </c>
      <c r="E221" s="46" t="n">
        <f aca="false">(V$27+V$28*SIN(2*PI()/365*A221))*V$29/100*V$9*V$10/100</f>
        <v>0</v>
      </c>
      <c r="F221" s="46" t="n">
        <f aca="false">(V$27+V$28*SIN(2*PI()/365*A221))*V$29/100*V$11*(1-V$18/100)*(1-V$20/100)</f>
        <v>10.1614800477381</v>
      </c>
      <c r="G221" s="46" t="n">
        <f aca="false">IF(C221&gt;E221,100,C221/E221*100)</f>
        <v>100</v>
      </c>
      <c r="H221" s="46" t="n">
        <f aca="false">L221/F221*100</f>
        <v>100</v>
      </c>
      <c r="I221" s="47" t="n">
        <f aca="false">(V$27+V$28*SIN(2*PI()/365*A221))*V$29/100*V$9*V$10/100*(1-V$19/100)</f>
        <v>0</v>
      </c>
      <c r="J221" s="47" t="n">
        <f aca="false">(V$27+V$28*SIN(2*PI()/365*A221))*V$29/100*V$11*(1-V$18/100)</f>
        <v>11.166461590921</v>
      </c>
      <c r="K221" s="48" t="n">
        <f aca="false">IF(E221/C221*100&lt;100,E221/C221*100,100)</f>
        <v>0</v>
      </c>
      <c r="L221" s="7" t="n">
        <f aca="false">IF(((C221-E221)&gt;0)*AND(F221&gt;(C221-E221)),(C221-E221),IF(C221&lt;E221,0,F221))</f>
        <v>10.1614800477381</v>
      </c>
      <c r="M221" s="7" t="n">
        <f aca="false">IF(C221&lt;(E221+F221),0,C221-E221-F221)</f>
        <v>15.0686658803587</v>
      </c>
      <c r="N221" s="7" t="n">
        <f aca="false">IF(C221&lt;(E221+F221),0,(C221-E221-F221)/(1-V$20/100))</f>
        <v>16.5589734948997</v>
      </c>
      <c r="O221" s="7" t="n">
        <f aca="false">L221+M221</f>
        <v>25.2301459280968</v>
      </c>
      <c r="P221" s="49" t="n">
        <f aca="false">IF(N221=0,I221*(1-G221/100)+J221*(1-H221/100),-N221)</f>
        <v>-16.5589734948997</v>
      </c>
      <c r="Q221" s="54" t="n">
        <f aca="false">IF(P220&gt;0,Q220+P220*(1-V$24/100),Q220+P220)</f>
        <v>3435.72352927843</v>
      </c>
      <c r="R221" s="55" t="n">
        <f aca="false">R$4+Q221/V$32</f>
        <v>73.4130653297586</v>
      </c>
    </row>
    <row r="222" customFormat="false" ht="12.8" hidden="false" customHeight="false" outlineLevel="0" collapsed="false">
      <c r="A222" s="1" t="n">
        <v>218</v>
      </c>
      <c r="B222" s="44" t="n">
        <v>43763</v>
      </c>
      <c r="C222" s="45" t="n">
        <f aca="false">V$30-V$30*SIN(2*PI()/365*A222)</f>
        <v>25.4595905049101</v>
      </c>
      <c r="D222" s="3" t="n">
        <f aca="false">IF((E222+F222)&gt;C222,C222,E222+F222)</f>
        <v>9.93078540510627</v>
      </c>
      <c r="E222" s="46" t="n">
        <f aca="false">(V$27+V$28*SIN(2*PI()/365*A222))*V$29/100*V$9*V$10/100</f>
        <v>0</v>
      </c>
      <c r="F222" s="46" t="n">
        <f aca="false">(V$27+V$28*SIN(2*PI()/365*A222))*V$29/100*V$11*(1-V$18/100)*(1-V$20/100)</f>
        <v>9.93078540510627</v>
      </c>
      <c r="G222" s="46" t="n">
        <f aca="false">IF(C222&gt;E222,100,C222/E222*100)</f>
        <v>100</v>
      </c>
      <c r="H222" s="46" t="n">
        <f aca="false">L222/F222*100</f>
        <v>100</v>
      </c>
      <c r="I222" s="47" t="n">
        <f aca="false">(V$27+V$28*SIN(2*PI()/365*A222))*V$29/100*V$9*V$10/100*(1-V$19/100)</f>
        <v>0</v>
      </c>
      <c r="J222" s="47" t="n">
        <f aca="false">(V$27+V$28*SIN(2*PI()/365*A222))*V$29/100*V$11*(1-V$18/100)</f>
        <v>10.9129509946223</v>
      </c>
      <c r="K222" s="48" t="n">
        <f aca="false">IF(E222/C222*100&lt;100,E222/C222*100,100)</f>
        <v>0</v>
      </c>
      <c r="L222" s="7" t="n">
        <f aca="false">IF(((C222-E222)&gt;0)*AND(F222&gt;(C222-E222)),(C222-E222),IF(C222&lt;E222,0,F222))</f>
        <v>9.93078540510627</v>
      </c>
      <c r="M222" s="7" t="n">
        <f aca="false">IF(C222&lt;(E222+F222),0,C222-E222-F222)</f>
        <v>15.5288050998038</v>
      </c>
      <c r="N222" s="7" t="n">
        <f aca="false">IF(C222&lt;(E222+F222),0,(C222-E222-F222)/(1-V$20/100))</f>
        <v>17.0646209887954</v>
      </c>
      <c r="O222" s="7" t="n">
        <f aca="false">L222+M222</f>
        <v>25.4595905049101</v>
      </c>
      <c r="P222" s="49" t="n">
        <f aca="false">IF(N222=0,I222*(1-G222/100)+J222*(1-H222/100),-N222)</f>
        <v>-17.0646209887954</v>
      </c>
      <c r="Q222" s="54" t="n">
        <f aca="false">IF(P221&gt;0,Q221+P221*(1-V$24/100),Q221+P221)</f>
        <v>3419.16455578353</v>
      </c>
      <c r="R222" s="55" t="n">
        <f aca="false">R$4+Q222/V$32</f>
        <v>73.2520261604355</v>
      </c>
    </row>
    <row r="223" customFormat="false" ht="12.8" hidden="false" customHeight="false" outlineLevel="0" collapsed="false">
      <c r="A223" s="1" t="n">
        <v>219</v>
      </c>
      <c r="B223" s="44" t="n">
        <v>43764</v>
      </c>
      <c r="C223" s="45" t="n">
        <f aca="false">V$30-V$30*SIN(2*PI()/365*A223)</f>
        <v>25.6862845772037</v>
      </c>
      <c r="D223" s="3" t="n">
        <f aca="false">IF((E223+F223)&gt;C223,C223,E223+F223)</f>
        <v>9.70285625236338</v>
      </c>
      <c r="E223" s="46" t="n">
        <f aca="false">(V$27+V$28*SIN(2*PI()/365*A223))*V$29/100*V$9*V$10/100</f>
        <v>0</v>
      </c>
      <c r="F223" s="46" t="n">
        <f aca="false">(V$27+V$28*SIN(2*PI()/365*A223))*V$29/100*V$11*(1-V$18/100)*(1-V$20/100)</f>
        <v>9.70285625236338</v>
      </c>
      <c r="G223" s="46" t="n">
        <f aca="false">IF(C223&gt;E223,100,C223/E223*100)</f>
        <v>100</v>
      </c>
      <c r="H223" s="46" t="n">
        <f aca="false">L223/F223*100</f>
        <v>100</v>
      </c>
      <c r="I223" s="47" t="n">
        <f aca="false">(V$27+V$28*SIN(2*PI()/365*A223))*V$29/100*V$9*V$10/100*(1-V$19/100)</f>
        <v>0</v>
      </c>
      <c r="J223" s="47" t="n">
        <f aca="false">(V$27+V$28*SIN(2*PI()/365*A223))*V$29/100*V$11*(1-V$18/100)</f>
        <v>10.6624793982015</v>
      </c>
      <c r="K223" s="48" t="n">
        <f aca="false">IF(E223/C223*100&lt;100,E223/C223*100,100)</f>
        <v>0</v>
      </c>
      <c r="L223" s="7" t="n">
        <f aca="false">IF(((C223-E223)&gt;0)*AND(F223&gt;(C223-E223)),(C223-E223),IF(C223&lt;E223,0,F223))</f>
        <v>9.70285625236338</v>
      </c>
      <c r="M223" s="7" t="n">
        <f aca="false">IF(C223&lt;(E223+F223),0,C223-E223-F223)</f>
        <v>15.9834283248403</v>
      </c>
      <c r="N223" s="7" t="n">
        <f aca="false">IF(C223&lt;(E223+F223),0,(C223-E223-F223)/(1-V$20/100))</f>
        <v>17.564206950374</v>
      </c>
      <c r="O223" s="7" t="n">
        <f aca="false">L223+M223</f>
        <v>25.6862845772037</v>
      </c>
      <c r="P223" s="49" t="n">
        <f aca="false">IF(N223=0,I223*(1-G223/100)+J223*(1-H223/100),-N223)</f>
        <v>-17.564206950374</v>
      </c>
      <c r="Q223" s="54" t="n">
        <f aca="false">IF(P222&gt;0,Q222+P222*(1-V$24/100),Q222+P222)</f>
        <v>3402.09993479473</v>
      </c>
      <c r="R223" s="55" t="n">
        <f aca="false">R$4+Q223/V$32</f>
        <v>73.0860694729817</v>
      </c>
    </row>
    <row r="224" customFormat="false" ht="12.8" hidden="false" customHeight="false" outlineLevel="0" collapsed="false">
      <c r="A224" s="1" t="n">
        <v>220</v>
      </c>
      <c r="B224" s="44" t="n">
        <v>43765</v>
      </c>
      <c r="C224" s="45" t="n">
        <f aca="false">V$30-V$30*SIN(2*PI()/365*A224)</f>
        <v>25.9101609706315</v>
      </c>
      <c r="D224" s="3" t="n">
        <f aca="false">IF((E224+F224)&gt;C224,C224,E224+F224)</f>
        <v>9.47776012983646</v>
      </c>
      <c r="E224" s="46" t="n">
        <f aca="false">(V$27+V$28*SIN(2*PI()/365*A224))*V$29/100*V$9*V$10/100</f>
        <v>0</v>
      </c>
      <c r="F224" s="46" t="n">
        <f aca="false">(V$27+V$28*SIN(2*PI()/365*A224))*V$29/100*V$11*(1-V$18/100)*(1-V$20/100)</f>
        <v>9.47776012983646</v>
      </c>
      <c r="G224" s="46" t="n">
        <f aca="false">IF(C224&gt;E224,100,C224/E224*100)</f>
        <v>100</v>
      </c>
      <c r="H224" s="46" t="n">
        <f aca="false">L224/F224*100</f>
        <v>100</v>
      </c>
      <c r="I224" s="47" t="n">
        <f aca="false">(V$27+V$28*SIN(2*PI()/365*A224))*V$29/100*V$9*V$10/100*(1-V$19/100)</f>
        <v>0</v>
      </c>
      <c r="J224" s="47" t="n">
        <f aca="false">(V$27+V$28*SIN(2*PI()/365*A224))*V$29/100*V$11*(1-V$18/100)</f>
        <v>10.4151210217983</v>
      </c>
      <c r="K224" s="48" t="n">
        <f aca="false">IF(E224/C224*100&lt;100,E224/C224*100,100)</f>
        <v>0</v>
      </c>
      <c r="L224" s="7" t="n">
        <f aca="false">IF(((C224-E224)&gt;0)*AND(F224&gt;(C224-E224)),(C224-E224),IF(C224&lt;E224,0,F224))</f>
        <v>9.47776012983646</v>
      </c>
      <c r="M224" s="7" t="n">
        <f aca="false">IF(C224&lt;(E224+F224),0,C224-E224-F224)</f>
        <v>16.432400840795</v>
      </c>
      <c r="N224" s="7" t="n">
        <f aca="false">IF(C224&lt;(E224+F224),0,(C224-E224-F224)/(1-V$20/100))</f>
        <v>18.057583341533</v>
      </c>
      <c r="O224" s="7" t="n">
        <f aca="false">L224+M224</f>
        <v>25.9101609706315</v>
      </c>
      <c r="P224" s="49" t="n">
        <f aca="false">IF(N224=0,I224*(1-G224/100)+J224*(1-H224/100),-N224)</f>
        <v>-18.057583341533</v>
      </c>
      <c r="Q224" s="54" t="n">
        <f aca="false">IF(P223&gt;0,Q223+P223*(1-V$24/100),Q223+P223)</f>
        <v>3384.53572784436</v>
      </c>
      <c r="R224" s="55" t="n">
        <f aca="false">R$4+Q224/V$32</f>
        <v>72.9152542169528</v>
      </c>
    </row>
    <row r="225" customFormat="false" ht="12.8" hidden="false" customHeight="false" outlineLevel="0" collapsed="false">
      <c r="A225" s="1" t="n">
        <v>221</v>
      </c>
      <c r="B225" s="44" t="n">
        <v>43766</v>
      </c>
      <c r="C225" s="45" t="n">
        <f aca="false">V$30-V$30*SIN(2*PI()/365*A225)</f>
        <v>26.1311533457864</v>
      </c>
      <c r="D225" s="3" t="n">
        <f aca="false">IF((E225+F225)&gt;C225,C225,E225+F225)</f>
        <v>9.25556373836462</v>
      </c>
      <c r="E225" s="46" t="n">
        <f aca="false">(V$27+V$28*SIN(2*PI()/365*A225))*V$29/100*V$9*V$10/100</f>
        <v>0</v>
      </c>
      <c r="F225" s="46" t="n">
        <f aca="false">(V$27+V$28*SIN(2*PI()/365*A225))*V$29/100*V$11*(1-V$18/100)*(1-V$20/100)</f>
        <v>9.25556373836462</v>
      </c>
      <c r="G225" s="46" t="n">
        <f aca="false">IF(C225&gt;E225,100,C225/E225*100)</f>
        <v>100</v>
      </c>
      <c r="H225" s="46" t="n">
        <f aca="false">L225/F225*100</f>
        <v>100</v>
      </c>
      <c r="I225" s="47" t="n">
        <f aca="false">(V$27+V$28*SIN(2*PI()/365*A225))*V$29/100*V$9*V$10/100*(1-V$19/100)</f>
        <v>0</v>
      </c>
      <c r="J225" s="47" t="n">
        <f aca="false">(V$27+V$28*SIN(2*PI()/365*A225))*V$29/100*V$11*(1-V$18/100)</f>
        <v>10.170949163038</v>
      </c>
      <c r="K225" s="48" t="n">
        <f aca="false">IF(E225/C225*100&lt;100,E225/C225*100,100)</f>
        <v>0</v>
      </c>
      <c r="L225" s="7" t="n">
        <f aca="false">IF(((C225-E225)&gt;0)*AND(F225&gt;(C225-E225)),(C225-E225),IF(C225&lt;E225,0,F225))</f>
        <v>9.25556373836462</v>
      </c>
      <c r="M225" s="7" t="n">
        <f aca="false">IF(C225&lt;(E225+F225),0,C225-E225-F225)</f>
        <v>16.8755896074217</v>
      </c>
      <c r="N225" s="7" t="n">
        <f aca="false">IF(C225&lt;(E225+F225),0,(C225-E225-F225)/(1-V$20/100))</f>
        <v>18.5446039641997</v>
      </c>
      <c r="O225" s="7" t="n">
        <f aca="false">L225+M225</f>
        <v>26.1311533457864</v>
      </c>
      <c r="P225" s="49" t="n">
        <f aca="false">IF(N225=0,I225*(1-G225/100)+J225*(1-H225/100),-N225)</f>
        <v>-18.5446039641997</v>
      </c>
      <c r="Q225" s="54" t="n">
        <f aca="false">IF(P224&gt;0,Q224+P224*(1-V$24/100),Q224+P224)</f>
        <v>3366.47814450283</v>
      </c>
      <c r="R225" s="55" t="n">
        <f aca="false">R$4+Q225/V$32</f>
        <v>72.7396407816031</v>
      </c>
    </row>
    <row r="226" customFormat="false" ht="12.8" hidden="false" customHeight="false" outlineLevel="0" collapsed="false">
      <c r="A226" s="1" t="n">
        <v>222</v>
      </c>
      <c r="B226" s="44" t="n">
        <v>43767</v>
      </c>
      <c r="C226" s="45" t="n">
        <f aca="false">V$30-V$30*SIN(2*PI()/365*A226)</f>
        <v>26.3491962178582</v>
      </c>
      <c r="D226" s="3" t="n">
        <f aca="false">IF((E226+F226)&gt;C226,C226,E226+F226)</f>
        <v>9.03633291953402</v>
      </c>
      <c r="E226" s="46" t="n">
        <f aca="false">(V$27+V$28*SIN(2*PI()/365*A226))*V$29/100*V$9*V$10/100</f>
        <v>0</v>
      </c>
      <c r="F226" s="46" t="n">
        <f aca="false">(V$27+V$28*SIN(2*PI()/365*A226))*V$29/100*V$11*(1-V$18/100)*(1-V$20/100)</f>
        <v>9.03633291953402</v>
      </c>
      <c r="G226" s="46" t="n">
        <f aca="false">IF(C226&gt;E226,100,C226/E226*100)</f>
        <v>100</v>
      </c>
      <c r="H226" s="46" t="n">
        <f aca="false">L226/F226*100</f>
        <v>100</v>
      </c>
      <c r="I226" s="47" t="n">
        <f aca="false">(V$27+V$28*SIN(2*PI()/365*A226))*V$29/100*V$9*V$10/100*(1-V$19/100)</f>
        <v>0</v>
      </c>
      <c r="J226" s="47" t="n">
        <f aca="false">(V$27+V$28*SIN(2*PI()/365*A226))*V$29/100*V$11*(1-V$18/100)</f>
        <v>9.93003617531211</v>
      </c>
      <c r="K226" s="48" t="n">
        <f aca="false">IF(E226/C226*100&lt;100,E226/C226*100,100)</f>
        <v>0</v>
      </c>
      <c r="L226" s="7" t="n">
        <f aca="false">IF(((C226-E226)&gt;0)*AND(F226&gt;(C226-E226)),(C226-E226),IF(C226&lt;E226,0,F226))</f>
        <v>9.03633291953402</v>
      </c>
      <c r="M226" s="7" t="n">
        <f aca="false">IF(C226&lt;(E226+F226),0,C226-E226-F226)</f>
        <v>17.3128632983242</v>
      </c>
      <c r="N226" s="7" t="n">
        <f aca="false">IF(C226&lt;(E226+F226),0,(C226-E226-F226)/(1-V$20/100))</f>
        <v>19.025124503653</v>
      </c>
      <c r="O226" s="7" t="n">
        <f aca="false">L226+M226</f>
        <v>26.3491962178582</v>
      </c>
      <c r="P226" s="49" t="n">
        <f aca="false">IF(N226=0,I226*(1-G226/100)+J226*(1-H226/100),-N226)</f>
        <v>-19.025124503653</v>
      </c>
      <c r="Q226" s="54" t="n">
        <f aca="false">IF(P225&gt;0,Q225+P225*(1-V$24/100),Q225+P225)</f>
        <v>3347.93354053863</v>
      </c>
      <c r="R226" s="55" t="n">
        <f aca="false">R$4+Q226/V$32</f>
        <v>72.5592909779912</v>
      </c>
    </row>
    <row r="227" customFormat="false" ht="12.8" hidden="false" customHeight="false" outlineLevel="0" collapsed="false">
      <c r="A227" s="1" t="n">
        <v>223</v>
      </c>
      <c r="B227" s="44" t="n">
        <v>43768</v>
      </c>
      <c r="C227" s="45" t="n">
        <f aca="false">V$30-V$30*SIN(2*PI()/365*A227)</f>
        <v>26.5642249760383</v>
      </c>
      <c r="D227" s="3" t="n">
        <f aca="false">IF((E227+F227)&gt;C227,C227,E227+F227)</f>
        <v>8.82013263616767</v>
      </c>
      <c r="E227" s="46" t="n">
        <f aca="false">(V$27+V$28*SIN(2*PI()/365*A227))*V$29/100*V$9*V$10/100</f>
        <v>0</v>
      </c>
      <c r="F227" s="46" t="n">
        <f aca="false">(V$27+V$28*SIN(2*PI()/365*A227))*V$29/100*V$11*(1-V$18/100)*(1-V$20/100)</f>
        <v>8.82013263616767</v>
      </c>
      <c r="G227" s="46" t="n">
        <f aca="false">IF(C227&gt;E227,100,C227/E227*100)</f>
        <v>100</v>
      </c>
      <c r="H227" s="46" t="n">
        <f aca="false">L227/F227*100</f>
        <v>100</v>
      </c>
      <c r="I227" s="47" t="n">
        <f aca="false">(V$27+V$28*SIN(2*PI()/365*A227))*V$29/100*V$9*V$10/100*(1-V$19/100)</f>
        <v>0</v>
      </c>
      <c r="J227" s="47" t="n">
        <f aca="false">(V$27+V$28*SIN(2*PI()/365*A227))*V$29/100*V$11*(1-V$18/100)</f>
        <v>9.6924534463381</v>
      </c>
      <c r="K227" s="48" t="n">
        <f aca="false">IF(E227/C227*100&lt;100,E227/C227*100,100)</f>
        <v>0</v>
      </c>
      <c r="L227" s="7" t="n">
        <f aca="false">IF(((C227-E227)&gt;0)*AND(F227&gt;(C227-E227)),(C227-E227),IF(C227&lt;E227,0,F227))</f>
        <v>8.82013263616767</v>
      </c>
      <c r="M227" s="7" t="n">
        <f aca="false">IF(C227&lt;(E227+F227),0,C227-E227-F227)</f>
        <v>17.7440923398706</v>
      </c>
      <c r="N227" s="7" t="n">
        <f aca="false">IF(C227&lt;(E227+F227),0,(C227-E227-F227)/(1-V$20/100))</f>
        <v>19.4990025712864</v>
      </c>
      <c r="O227" s="7" t="n">
        <f aca="false">L227+M227</f>
        <v>26.5642249760383</v>
      </c>
      <c r="P227" s="49" t="n">
        <f aca="false">IF(N227=0,I227*(1-G227/100)+J227*(1-H227/100),-N227)</f>
        <v>-19.4990025712864</v>
      </c>
      <c r="Q227" s="54" t="n">
        <f aca="false">IF(P226&gt;0,Q226+P226*(1-V$24/100),Q226+P226)</f>
        <v>3328.90841603498</v>
      </c>
      <c r="R227" s="55" t="n">
        <f aca="false">R$4+Q227/V$32</f>
        <v>72.3742680206635</v>
      </c>
    </row>
    <row r="228" customFormat="false" ht="12.8" hidden="false" customHeight="false" outlineLevel="0" collapsed="false">
      <c r="A228" s="1" t="n">
        <v>224</v>
      </c>
      <c r="B228" s="44" t="n">
        <v>43769</v>
      </c>
      <c r="C228" s="45" t="n">
        <f aca="false">V$30-V$30*SIN(2*PI()/365*A228)</f>
        <v>26.7761759026649</v>
      </c>
      <c r="D228" s="3" t="n">
        <f aca="false">IF((E228+F228)&gt;C228,C228,E228+F228)</f>
        <v>8.60702695307553</v>
      </c>
      <c r="E228" s="46" t="n">
        <f aca="false">(V$27+V$28*SIN(2*PI()/365*A228))*V$29/100*V$9*V$10/100</f>
        <v>0</v>
      </c>
      <c r="F228" s="46" t="n">
        <f aca="false">(V$27+V$28*SIN(2*PI()/365*A228))*V$29/100*V$11*(1-V$18/100)*(1-V$20/100)</f>
        <v>8.60702695307553</v>
      </c>
      <c r="G228" s="46" t="n">
        <f aca="false">IF(C228&gt;E228,100,C228/E228*100)</f>
        <v>100</v>
      </c>
      <c r="H228" s="46" t="n">
        <f aca="false">L228/F228*100</f>
        <v>100</v>
      </c>
      <c r="I228" s="47" t="n">
        <f aca="false">(V$27+V$28*SIN(2*PI()/365*A228))*V$29/100*V$9*V$10/100*(1-V$19/100)</f>
        <v>0</v>
      </c>
      <c r="J228" s="47" t="n">
        <f aca="false">(V$27+V$28*SIN(2*PI()/365*A228))*V$29/100*V$11*(1-V$18/100)</f>
        <v>9.45827137700607</v>
      </c>
      <c r="K228" s="48" t="n">
        <f aca="false">IF(E228/C228*100&lt;100,E228/C228*100,100)</f>
        <v>0</v>
      </c>
      <c r="L228" s="7" t="n">
        <f aca="false">IF(((C228-E228)&gt;0)*AND(F228&gt;(C228-E228)),(C228-E228),IF(C228&lt;E228,0,F228))</f>
        <v>8.60702695307553</v>
      </c>
      <c r="M228" s="7" t="n">
        <f aca="false">IF(C228&lt;(E228+F228),0,C228-E228-F228)</f>
        <v>18.1691489495894</v>
      </c>
      <c r="N228" s="7" t="n">
        <f aca="false">IF(C228&lt;(E228+F228),0,(C228-E228-F228)/(1-V$20/100))</f>
        <v>19.9660977468015</v>
      </c>
      <c r="O228" s="7" t="n">
        <f aca="false">L228+M228</f>
        <v>26.7761759026649</v>
      </c>
      <c r="P228" s="49" t="n">
        <f aca="false">IF(N228=0,I228*(1-G228/100)+J228*(1-H228/100),-N228)</f>
        <v>-19.9660977468015</v>
      </c>
      <c r="Q228" s="54" t="n">
        <f aca="false">IF(P227&gt;0,Q227+P227*(1-V$24/100),Q227+P227)</f>
        <v>3309.40941346369</v>
      </c>
      <c r="R228" s="55" t="n">
        <f aca="false">R$4+Q228/V$32</f>
        <v>72.184636508923</v>
      </c>
    </row>
    <row r="229" customFormat="false" ht="12.8" hidden="false" customHeight="false" outlineLevel="0" collapsed="false">
      <c r="A229" s="1" t="n">
        <v>225</v>
      </c>
      <c r="B229" s="44" t="n">
        <v>43770</v>
      </c>
      <c r="C229" s="45" t="n">
        <f aca="false">V$30-V$30*SIN(2*PI()/365*A229)</f>
        <v>26.9849861921041</v>
      </c>
      <c r="D229" s="3" t="n">
        <f aca="false">IF((E229+F229)&gt;C229,C229,E229+F229)</f>
        <v>8.39707901807068</v>
      </c>
      <c r="E229" s="46" t="n">
        <f aca="false">(V$27+V$28*SIN(2*PI()/365*A229))*V$29/100*V$9*V$10/100</f>
        <v>0</v>
      </c>
      <c r="F229" s="46" t="n">
        <f aca="false">(V$27+V$28*SIN(2*PI()/365*A229))*V$29/100*V$11*(1-V$18/100)*(1-V$20/100)</f>
        <v>8.39707901807068</v>
      </c>
      <c r="G229" s="46" t="n">
        <f aca="false">IF(C229&gt;E229,100,C229/E229*100)</f>
        <v>100</v>
      </c>
      <c r="H229" s="46" t="n">
        <f aca="false">L229/F229*100</f>
        <v>100</v>
      </c>
      <c r="I229" s="47" t="n">
        <f aca="false">(V$27+V$28*SIN(2*PI()/365*A229))*V$29/100*V$9*V$10/100*(1-V$19/100)</f>
        <v>0</v>
      </c>
      <c r="J229" s="47" t="n">
        <f aca="false">(V$27+V$28*SIN(2*PI()/365*A229))*V$29/100*V$11*(1-V$18/100)</f>
        <v>9.22755936051723</v>
      </c>
      <c r="K229" s="48" t="n">
        <f aca="false">IF(E229/C229*100&lt;100,E229/C229*100,100)</f>
        <v>0</v>
      </c>
      <c r="L229" s="7" t="n">
        <f aca="false">IF(((C229-E229)&gt;0)*AND(F229&gt;(C229-E229)),(C229-E229),IF(C229&lt;E229,0,F229))</f>
        <v>8.39707901807068</v>
      </c>
      <c r="M229" s="7" t="n">
        <f aca="false">IF(C229&lt;(E229+F229),0,C229-E229-F229)</f>
        <v>18.5879071740334</v>
      </c>
      <c r="N229" s="7" t="n">
        <f aca="false">IF(C229&lt;(E229+F229),0,(C229-E229-F229)/(1-V$20/100))</f>
        <v>20.4262716198169</v>
      </c>
      <c r="O229" s="7" t="n">
        <f aca="false">L229+M229</f>
        <v>26.9849861921041</v>
      </c>
      <c r="P229" s="49" t="n">
        <f aca="false">IF(N229=0,I229*(1-G229/100)+J229*(1-H229/100),-N229)</f>
        <v>-20.4262716198169</v>
      </c>
      <c r="Q229" s="54" t="n">
        <f aca="false">IF(P228&gt;0,Q228+P228*(1-V$24/100),Q228+P228)</f>
        <v>3289.44331571689</v>
      </c>
      <c r="R229" s="55" t="n">
        <f aca="false">R$4+Q229/V$32</f>
        <v>71.9904624076867</v>
      </c>
    </row>
    <row r="230" customFormat="false" ht="12.8" hidden="false" customHeight="false" outlineLevel="0" collapsed="false">
      <c r="A230" s="1" t="n">
        <v>226</v>
      </c>
      <c r="B230" s="44" t="n">
        <v>43771</v>
      </c>
      <c r="C230" s="45" t="n">
        <f aca="false">V$30-V$30*SIN(2*PI()/365*A230)</f>
        <v>27.1905939693607</v>
      </c>
      <c r="D230" s="3" t="n">
        <f aca="false">IF((E230+F230)&gt;C230,C230,E230+F230)</f>
        <v>8.19035104325732</v>
      </c>
      <c r="E230" s="46" t="n">
        <f aca="false">(V$27+V$28*SIN(2*PI()/365*A230))*V$29/100*V$9*V$10/100</f>
        <v>0</v>
      </c>
      <c r="F230" s="46" t="n">
        <f aca="false">(V$27+V$28*SIN(2*PI()/365*A230))*V$29/100*V$11*(1-V$18/100)*(1-V$20/100)</f>
        <v>8.19035104325732</v>
      </c>
      <c r="G230" s="46" t="n">
        <f aca="false">IF(C230&gt;E230,100,C230/E230*100)</f>
        <v>100</v>
      </c>
      <c r="H230" s="46" t="n">
        <f aca="false">L230/F230*100</f>
        <v>100</v>
      </c>
      <c r="I230" s="47" t="n">
        <f aca="false">(V$27+V$28*SIN(2*PI()/365*A230))*V$29/100*V$9*V$10/100*(1-V$19/100)</f>
        <v>0</v>
      </c>
      <c r="J230" s="47" t="n">
        <f aca="false">(V$27+V$28*SIN(2*PI()/365*A230))*V$29/100*V$11*(1-V$18/100)</f>
        <v>9.00038576182123</v>
      </c>
      <c r="K230" s="48" t="n">
        <f aca="false">IF(E230/C230*100&lt;100,E230/C230*100,100)</f>
        <v>0</v>
      </c>
      <c r="L230" s="7" t="n">
        <f aca="false">IF(((C230-E230)&gt;0)*AND(F230&gt;(C230-E230)),(C230-E230),IF(C230&lt;E230,0,F230))</f>
        <v>8.19035104325732</v>
      </c>
      <c r="M230" s="7" t="n">
        <f aca="false">IF(C230&lt;(E230+F230),0,C230-E230-F230)</f>
        <v>19.0002429261034</v>
      </c>
      <c r="N230" s="7" t="n">
        <f aca="false">IF(C230&lt;(E230+F230),0,(C230-E230-F230)/(1-V$20/100))</f>
        <v>20.8793878308828</v>
      </c>
      <c r="O230" s="7" t="n">
        <f aca="false">L230+M230</f>
        <v>27.1905939693607</v>
      </c>
      <c r="P230" s="49" t="n">
        <f aca="false">IF(N230=0,I230*(1-G230/100)+J230*(1-H230/100),-N230)</f>
        <v>-20.8793878308828</v>
      </c>
      <c r="Q230" s="54" t="n">
        <f aca="false">IF(P229&gt;0,Q229+P229*(1-V$24/100),Q229+P229)</f>
        <v>3269.01704409707</v>
      </c>
      <c r="R230" s="55" t="n">
        <f aca="false">R$4+Q230/V$32</f>
        <v>71.7918130279388</v>
      </c>
    </row>
    <row r="231" customFormat="false" ht="12.8" hidden="false" customHeight="false" outlineLevel="0" collapsed="false">
      <c r="A231" s="1" t="n">
        <v>227</v>
      </c>
      <c r="B231" s="44" t="n">
        <v>43772</v>
      </c>
      <c r="C231" s="45" t="n">
        <f aca="false">V$30-V$30*SIN(2*PI()/365*A231)</f>
        <v>27.3929383084129</v>
      </c>
      <c r="D231" s="3" t="n">
        <f aca="false">IF((E231+F231)&gt;C231,C231,E231+F231)</f>
        <v>7.98690428659595</v>
      </c>
      <c r="E231" s="46" t="n">
        <f aca="false">(V$27+V$28*SIN(2*PI()/365*A231))*V$29/100*V$9*V$10/100</f>
        <v>0</v>
      </c>
      <c r="F231" s="46" t="n">
        <f aca="false">(V$27+V$28*SIN(2*PI()/365*A231))*V$29/100*V$11*(1-V$18/100)*(1-V$20/100)</f>
        <v>7.98690428659595</v>
      </c>
      <c r="G231" s="46" t="n">
        <f aca="false">IF(C231&gt;E231,100,C231/E231*100)</f>
        <v>100</v>
      </c>
      <c r="H231" s="46" t="n">
        <f aca="false">L231/F231*100</f>
        <v>100</v>
      </c>
      <c r="I231" s="47" t="n">
        <f aca="false">(V$27+V$28*SIN(2*PI()/365*A231))*V$29/100*V$9*V$10/100*(1-V$19/100)</f>
        <v>0</v>
      </c>
      <c r="J231" s="47" t="n">
        <f aca="false">(V$27+V$28*SIN(2*PI()/365*A231))*V$29/100*V$11*(1-V$18/100)</f>
        <v>8.77681789735818</v>
      </c>
      <c r="K231" s="48" t="n">
        <f aca="false">IF(E231/C231*100&lt;100,E231/C231*100,100)</f>
        <v>0</v>
      </c>
      <c r="L231" s="7" t="n">
        <f aca="false">IF(((C231-E231)&gt;0)*AND(F231&gt;(C231-E231)),(C231-E231),IF(C231&lt;E231,0,F231))</f>
        <v>7.98690428659595</v>
      </c>
      <c r="M231" s="7" t="n">
        <f aca="false">IF(C231&lt;(E231+F231),0,C231-E231-F231)</f>
        <v>19.406034021817</v>
      </c>
      <c r="N231" s="7" t="n">
        <f aca="false">IF(C231&lt;(E231+F231),0,(C231-E231-F231)/(1-V$20/100))</f>
        <v>21.3253121118868</v>
      </c>
      <c r="O231" s="7" t="n">
        <f aca="false">L231+M231</f>
        <v>27.3929383084129</v>
      </c>
      <c r="P231" s="49" t="n">
        <f aca="false">IF(N231=0,I231*(1-G231/100)+J231*(1-H231/100),-N231)</f>
        <v>-21.3253121118868</v>
      </c>
      <c r="Q231" s="54" t="n">
        <f aca="false">IF(P230&gt;0,Q230+P230*(1-V$24/100),Q230+P230)</f>
        <v>3248.13765626619</v>
      </c>
      <c r="R231" s="55" t="n">
        <f aca="false">R$4+Q231/V$32</f>
        <v>71.5887570067853</v>
      </c>
    </row>
    <row r="232" customFormat="false" ht="12.8" hidden="false" customHeight="false" outlineLevel="0" collapsed="false">
      <c r="A232" s="1" t="n">
        <v>228</v>
      </c>
      <c r="B232" s="44" t="n">
        <v>43773</v>
      </c>
      <c r="C232" s="45" t="n">
        <f aca="false">V$30-V$30*SIN(2*PI()/365*A232)</f>
        <v>27.5919592502661</v>
      </c>
      <c r="D232" s="3" t="n">
        <f aca="false">IF((E232+F232)&gt;C232,C232,E232+F232)</f>
        <v>7.78679903375129</v>
      </c>
      <c r="E232" s="46" t="n">
        <f aca="false">(V$27+V$28*SIN(2*PI()/365*A232))*V$29/100*V$9*V$10/100</f>
        <v>0</v>
      </c>
      <c r="F232" s="46" t="n">
        <f aca="false">(V$27+V$28*SIN(2*PI()/365*A232))*V$29/100*V$11*(1-V$18/100)*(1-V$20/100)</f>
        <v>7.78679903375129</v>
      </c>
      <c r="G232" s="46" t="n">
        <f aca="false">IF(C232&gt;E232,100,C232/E232*100)</f>
        <v>100</v>
      </c>
      <c r="H232" s="46" t="n">
        <f aca="false">L232/F232*100</f>
        <v>100</v>
      </c>
      <c r="I232" s="47" t="n">
        <f aca="false">(V$27+V$28*SIN(2*PI()/365*A232))*V$29/100*V$9*V$10/100*(1-V$19/100)</f>
        <v>0</v>
      </c>
      <c r="J232" s="47" t="n">
        <f aca="false">(V$27+V$28*SIN(2*PI()/365*A232))*V$29/100*V$11*(1-V$18/100)</f>
        <v>8.55692201511131</v>
      </c>
      <c r="K232" s="48" t="n">
        <f aca="false">IF(E232/C232*100&lt;100,E232/C232*100,100)</f>
        <v>0</v>
      </c>
      <c r="L232" s="7" t="n">
        <f aca="false">IF(((C232-E232)&gt;0)*AND(F232&gt;(C232-E232)),(C232-E232),IF(C232&lt;E232,0,F232))</f>
        <v>7.78679903375129</v>
      </c>
      <c r="M232" s="7" t="n">
        <f aca="false">IF(C232&lt;(E232+F232),0,C232-E232-F232)</f>
        <v>19.8051602165148</v>
      </c>
      <c r="N232" s="7" t="n">
        <f aca="false">IF(C232&lt;(E232+F232),0,(C232-E232-F232)/(1-V$20/100))</f>
        <v>21.7639123258405</v>
      </c>
      <c r="O232" s="7" t="n">
        <f aca="false">L232+M232</f>
        <v>27.5919592502661</v>
      </c>
      <c r="P232" s="49" t="n">
        <f aca="false">IF(N232=0,I232*(1-G232/100)+J232*(1-H232/100),-N232)</f>
        <v>-21.7639123258405</v>
      </c>
      <c r="Q232" s="54" t="n">
        <f aca="false">IF(P231&gt;0,Q231+P231*(1-V$24/100),Q231+P231)</f>
        <v>3226.8123441543</v>
      </c>
      <c r="R232" s="55" t="n">
        <f aca="false">R$4+Q232/V$32</f>
        <v>71.3813642871151</v>
      </c>
    </row>
    <row r="233" customFormat="false" ht="12.8" hidden="false" customHeight="false" outlineLevel="0" collapsed="false">
      <c r="A233" s="1" t="n">
        <v>229</v>
      </c>
      <c r="B233" s="44" t="n">
        <v>43774</v>
      </c>
      <c r="C233" s="45" t="n">
        <f aca="false">V$30-V$30*SIN(2*PI()/365*A233)</f>
        <v>27.78759782072</v>
      </c>
      <c r="D233" s="3" t="n">
        <f aca="false">IF((E233+F233)&gt;C233,C233,E233+F233)</f>
        <v>7.59009458022839</v>
      </c>
      <c r="E233" s="46" t="n">
        <f aca="false">(V$27+V$28*SIN(2*PI()/365*A233))*V$29/100*V$9*V$10/100</f>
        <v>0</v>
      </c>
      <c r="F233" s="46" t="n">
        <f aca="false">(V$27+V$28*SIN(2*PI()/365*A233))*V$29/100*V$11*(1-V$18/100)*(1-V$20/100)</f>
        <v>7.59009458022839</v>
      </c>
      <c r="G233" s="46" t="n">
        <f aca="false">IF(C233&gt;E233,100,C233/E233*100)</f>
        <v>100</v>
      </c>
      <c r="H233" s="46" t="n">
        <f aca="false">L233/F233*100</f>
        <v>100</v>
      </c>
      <c r="I233" s="47" t="n">
        <f aca="false">(V$27+V$28*SIN(2*PI()/365*A233))*V$29/100*V$9*V$10/100*(1-V$19/100)</f>
        <v>0</v>
      </c>
      <c r="J233" s="47" t="n">
        <f aca="false">(V$27+V$28*SIN(2*PI()/365*A233))*V$29/100*V$11*(1-V$18/100)</f>
        <v>8.34076327497625</v>
      </c>
      <c r="K233" s="48" t="n">
        <f aca="false">IF(E233/C233*100&lt;100,E233/C233*100,100)</f>
        <v>0</v>
      </c>
      <c r="L233" s="7" t="n">
        <f aca="false">IF(((C233-E233)&gt;0)*AND(F233&gt;(C233-E233)),(C233-E233),IF(C233&lt;E233,0,F233))</f>
        <v>7.59009458022839</v>
      </c>
      <c r="M233" s="7" t="n">
        <f aca="false">IF(C233&lt;(E233+F233),0,C233-E233-F233)</f>
        <v>20.1975032404917</v>
      </c>
      <c r="N233" s="7" t="n">
        <f aca="false">IF(C233&lt;(E233+F233),0,(C233-E233-F233)/(1-V$20/100))</f>
        <v>22.1950585060348</v>
      </c>
      <c r="O233" s="7" t="n">
        <f aca="false">L233+M233</f>
        <v>27.78759782072</v>
      </c>
      <c r="P233" s="49" t="n">
        <f aca="false">IF(N233=0,I233*(1-G233/100)+J233*(1-H233/100),-N233)</f>
        <v>-22.1950585060348</v>
      </c>
      <c r="Q233" s="54" t="n">
        <f aca="false">IF(P232&gt;0,Q232+P232*(1-V$24/100),Q232+P232)</f>
        <v>3205.04843182846</v>
      </c>
      <c r="R233" s="55" t="n">
        <f aca="false">R$4+Q233/V$32</f>
        <v>71.1697060968744</v>
      </c>
    </row>
    <row r="234" customFormat="false" ht="12.8" hidden="false" customHeight="false" outlineLevel="0" collapsed="false">
      <c r="A234" s="1" t="n">
        <v>230</v>
      </c>
      <c r="B234" s="44" t="n">
        <v>43775</v>
      </c>
      <c r="C234" s="45" t="n">
        <f aca="false">V$30-V$30*SIN(2*PI()/365*A234)</f>
        <v>27.979796047844</v>
      </c>
      <c r="D234" s="3" t="n">
        <f aca="false">IF((E234+F234)&gt;C234,C234,E234+F234)</f>
        <v>7.39684921380206</v>
      </c>
      <c r="E234" s="46" t="n">
        <f aca="false">(V$27+V$28*SIN(2*PI()/365*A234))*V$29/100*V$9*V$10/100</f>
        <v>0</v>
      </c>
      <c r="F234" s="46" t="n">
        <f aca="false">(V$27+V$28*SIN(2*PI()/365*A234))*V$29/100*V$11*(1-V$18/100)*(1-V$20/100)</f>
        <v>7.39684921380206</v>
      </c>
      <c r="G234" s="46" t="n">
        <f aca="false">IF(C234&gt;E234,100,C234/E234*100)</f>
        <v>100</v>
      </c>
      <c r="H234" s="46" t="n">
        <f aca="false">L234/F234*100</f>
        <v>100</v>
      </c>
      <c r="I234" s="47" t="n">
        <f aca="false">(V$27+V$28*SIN(2*PI()/365*A234))*V$29/100*V$9*V$10/100*(1-V$19/100)</f>
        <v>0</v>
      </c>
      <c r="J234" s="47" t="n">
        <f aca="false">(V$27+V$28*SIN(2*PI()/365*A234))*V$29/100*V$11*(1-V$18/100)</f>
        <v>8.12840572945282</v>
      </c>
      <c r="K234" s="48" t="n">
        <f aca="false">IF(E234/C234*100&lt;100,E234/C234*100,100)</f>
        <v>0</v>
      </c>
      <c r="L234" s="7" t="n">
        <f aca="false">IF(((C234-E234)&gt;0)*AND(F234&gt;(C234-E234)),(C234-E234),IF(C234&lt;E234,0,F234))</f>
        <v>7.39684921380206</v>
      </c>
      <c r="M234" s="7" t="n">
        <f aca="false">IF(C234&lt;(E234+F234),0,C234-E234-F234)</f>
        <v>20.5829468340419</v>
      </c>
      <c r="N234" s="7" t="n">
        <f aca="false">IF(C234&lt;(E234+F234),0,(C234-E234-F234)/(1-V$20/100))</f>
        <v>22.6186228945516</v>
      </c>
      <c r="O234" s="7" t="n">
        <f aca="false">L234+M234</f>
        <v>27.979796047844</v>
      </c>
      <c r="P234" s="49" t="n">
        <f aca="false">IF(N234=0,I234*(1-G234/100)+J234*(1-H234/100),-N234)</f>
        <v>-22.6186228945516</v>
      </c>
      <c r="Q234" s="54" t="n">
        <f aca="false">IF(P233&gt;0,Q233+P233*(1-V$24/100),Q233+P233)</f>
        <v>3182.85337332243</v>
      </c>
      <c r="R234" s="55" t="n">
        <f aca="false">R$4+Q234/V$32</f>
        <v>70.9538549279605</v>
      </c>
    </row>
    <row r="235" customFormat="false" ht="12.8" hidden="false" customHeight="false" outlineLevel="0" collapsed="false">
      <c r="A235" s="1" t="n">
        <v>231</v>
      </c>
      <c r="B235" s="44" t="n">
        <v>43776</v>
      </c>
      <c r="C235" s="45" t="n">
        <f aca="false">V$30-V$30*SIN(2*PI()/365*A235)</f>
        <v>28.1684969791553</v>
      </c>
      <c r="D235" s="3" t="n">
        <f aca="false">IF((E235+F235)&gt;C235,C235,E235+F235)</f>
        <v>7.20712019724496</v>
      </c>
      <c r="E235" s="46" t="n">
        <f aca="false">(V$27+V$28*SIN(2*PI()/365*A235))*V$29/100*V$9*V$10/100</f>
        <v>0</v>
      </c>
      <c r="F235" s="46" t="n">
        <f aca="false">(V$27+V$28*SIN(2*PI()/365*A235))*V$29/100*V$11*(1-V$18/100)*(1-V$20/100)</f>
        <v>7.20712019724496</v>
      </c>
      <c r="G235" s="46" t="n">
        <f aca="false">IF(C235&gt;E235,100,C235/E235*100)</f>
        <v>100</v>
      </c>
      <c r="H235" s="46" t="n">
        <f aca="false">L235/F235*100</f>
        <v>100</v>
      </c>
      <c r="I235" s="47" t="n">
        <f aca="false">(V$27+V$28*SIN(2*PI()/365*A235))*V$29/100*V$9*V$10/100*(1-V$19/100)</f>
        <v>0</v>
      </c>
      <c r="J235" s="47" t="n">
        <f aca="false">(V$27+V$28*SIN(2*PI()/365*A235))*V$29/100*V$11*(1-V$18/100)</f>
        <v>7.91991230466479</v>
      </c>
      <c r="K235" s="48" t="n">
        <f aca="false">IF(E235/C235*100&lt;100,E235/C235*100,100)</f>
        <v>0</v>
      </c>
      <c r="L235" s="7" t="n">
        <f aca="false">IF(((C235-E235)&gt;0)*AND(F235&gt;(C235-E235)),(C235-E235),IF(C235&lt;E235,0,F235))</f>
        <v>7.20712019724496</v>
      </c>
      <c r="M235" s="7" t="n">
        <f aca="false">IF(C235&lt;(E235+F235),0,C235-E235-F235)</f>
        <v>20.9613767819104</v>
      </c>
      <c r="N235" s="7" t="n">
        <f aca="false">IF(C235&lt;(E235+F235),0,(C235-E235-F235)/(1-V$20/100))</f>
        <v>23.0344799801213</v>
      </c>
      <c r="O235" s="7" t="n">
        <f aca="false">L235+M235</f>
        <v>28.1684969791553</v>
      </c>
      <c r="P235" s="49" t="n">
        <f aca="false">IF(N235=0,I235*(1-G235/100)+J235*(1-H235/100),-N235)</f>
        <v>-23.0344799801213</v>
      </c>
      <c r="Q235" s="54" t="n">
        <f aca="false">IF(P234&gt;0,Q234+P234*(1-V$24/100),Q234+P234)</f>
        <v>3160.23475042787</v>
      </c>
      <c r="R235" s="55" t="n">
        <f aca="false">R$4+Q235/V$32</f>
        <v>70.7338845147405</v>
      </c>
    </row>
    <row r="236" customFormat="false" ht="12.8" hidden="false" customHeight="false" outlineLevel="0" collapsed="false">
      <c r="A236" s="1" t="n">
        <v>232</v>
      </c>
      <c r="B236" s="44" t="n">
        <v>43777</v>
      </c>
      <c r="C236" s="45" t="n">
        <f aca="false">V$30-V$30*SIN(2*PI()/365*A236)</f>
        <v>28.3536446984956</v>
      </c>
      <c r="D236" s="3" t="n">
        <f aca="false">IF((E236+F236)&gt;C236,C236,E236+F236)</f>
        <v>7.02096375135937</v>
      </c>
      <c r="E236" s="46" t="n">
        <f aca="false">(V$27+V$28*SIN(2*PI()/365*A236))*V$29/100*V$9*V$10/100</f>
        <v>0</v>
      </c>
      <c r="F236" s="46" t="n">
        <f aca="false">(V$27+V$28*SIN(2*PI()/365*A236))*V$29/100*V$11*(1-V$18/100)*(1-V$20/100)</f>
        <v>7.02096375135937</v>
      </c>
      <c r="G236" s="46" t="n">
        <f aca="false">IF(C236&gt;E236,100,C236/E236*100)</f>
        <v>100</v>
      </c>
      <c r="H236" s="46" t="n">
        <f aca="false">L236/F236*100</f>
        <v>100</v>
      </c>
      <c r="I236" s="47" t="n">
        <f aca="false">(V$27+V$28*SIN(2*PI()/365*A236))*V$29/100*V$9*V$10/100*(1-V$19/100)</f>
        <v>0</v>
      </c>
      <c r="J236" s="47" t="n">
        <f aca="false">(V$27+V$28*SIN(2*PI()/365*A236))*V$29/100*V$11*(1-V$18/100)</f>
        <v>7.71534478171359</v>
      </c>
      <c r="K236" s="48" t="n">
        <f aca="false">IF(E236/C236*100&lt;100,E236/C236*100,100)</f>
        <v>0</v>
      </c>
      <c r="L236" s="7" t="n">
        <f aca="false">IF(((C236-E236)&gt;0)*AND(F236&gt;(C236-E236)),(C236-E236),IF(C236&lt;E236,0,F236))</f>
        <v>7.02096375135937</v>
      </c>
      <c r="M236" s="7" t="n">
        <f aca="false">IF(C236&lt;(E236+F236),0,C236-E236-F236)</f>
        <v>21.3326809471362</v>
      </c>
      <c r="N236" s="7" t="n">
        <f aca="false">IF(C236&lt;(E236+F236),0,(C236-E236-F236)/(1-V$20/100))</f>
        <v>23.4425065353146</v>
      </c>
      <c r="O236" s="7" t="n">
        <f aca="false">L236+M236</f>
        <v>28.3536446984956</v>
      </c>
      <c r="P236" s="49" t="n">
        <f aca="false">IF(N236=0,I236*(1-G236/100)+J236*(1-H236/100),-N236)</f>
        <v>-23.4425065353146</v>
      </c>
      <c r="Q236" s="54" t="n">
        <f aca="false">IF(P235&gt;0,Q235+P235*(1-V$24/100),Q235+P235)</f>
        <v>3137.20027044775</v>
      </c>
      <c r="R236" s="55" t="n">
        <f aca="false">R$4+Q236/V$32</f>
        <v>70.5098698122029</v>
      </c>
    </row>
    <row r="237" customFormat="false" ht="12.8" hidden="false" customHeight="false" outlineLevel="0" collapsed="false">
      <c r="A237" s="1" t="n">
        <v>233</v>
      </c>
      <c r="B237" s="44" t="n">
        <v>43778</v>
      </c>
      <c r="C237" s="45" t="n">
        <f aca="false">V$30-V$30*SIN(2*PI()/365*A237)</f>
        <v>28.5351843425998</v>
      </c>
      <c r="D237" s="3" t="n">
        <f aca="false">IF((E237+F237)&gt;C237,C237,E237+F237)</f>
        <v>6.83843503831779</v>
      </c>
      <c r="E237" s="46" t="n">
        <f aca="false">(V$27+V$28*SIN(2*PI()/365*A237))*V$29/100*V$9*V$10/100</f>
        <v>0</v>
      </c>
      <c r="F237" s="46" t="n">
        <f aca="false">(V$27+V$28*SIN(2*PI()/365*A237))*V$29/100*V$11*(1-V$18/100)*(1-V$20/100)</f>
        <v>6.83843503831779</v>
      </c>
      <c r="G237" s="46" t="n">
        <f aca="false">IF(C237&gt;E237,100,C237/E237*100)</f>
        <v>100</v>
      </c>
      <c r="H237" s="46" t="n">
        <f aca="false">L237/F237*100</f>
        <v>100</v>
      </c>
      <c r="I237" s="47" t="n">
        <f aca="false">(V$27+V$28*SIN(2*PI()/365*A237))*V$29/100*V$9*V$10/100*(1-V$19/100)</f>
        <v>0</v>
      </c>
      <c r="J237" s="47" t="n">
        <f aca="false">(V$27+V$28*SIN(2*PI()/365*A237))*V$29/100*V$11*(1-V$18/100)</f>
        <v>7.5147637783712</v>
      </c>
      <c r="K237" s="48" t="n">
        <f aca="false">IF(E237/C237*100&lt;100,E237/C237*100,100)</f>
        <v>0</v>
      </c>
      <c r="L237" s="7" t="n">
        <f aca="false">IF(((C237-E237)&gt;0)*AND(F237&gt;(C237-E237)),(C237-E237),IF(C237&lt;E237,0,F237))</f>
        <v>6.83843503831779</v>
      </c>
      <c r="M237" s="7" t="n">
        <f aca="false">IF(C237&lt;(E237+F237),0,C237-E237-F237)</f>
        <v>21.696749304282</v>
      </c>
      <c r="N237" s="7" t="n">
        <f aca="false">IF(C237&lt;(E237+F237),0,(C237-E237-F237)/(1-V$20/100))</f>
        <v>23.8425816530571</v>
      </c>
      <c r="O237" s="7" t="n">
        <f aca="false">L237+M237</f>
        <v>28.5351843425998</v>
      </c>
      <c r="P237" s="49" t="n">
        <f aca="false">IF(N237=0,I237*(1-G237/100)+J237*(1-H237/100),-N237)</f>
        <v>-23.8425816530571</v>
      </c>
      <c r="Q237" s="54" t="n">
        <f aca="false">IF(P236&gt;0,Q236+P236*(1-V$24/100),Q236+P236)</f>
        <v>3113.75776391244</v>
      </c>
      <c r="R237" s="55" t="n">
        <f aca="false">R$4+Q237/V$32</f>
        <v>70.2818869737461</v>
      </c>
    </row>
    <row r="238" customFormat="false" ht="12.8" hidden="false" customHeight="false" outlineLevel="0" collapsed="false">
      <c r="A238" s="1" t="n">
        <v>234</v>
      </c>
      <c r="B238" s="44" t="n">
        <v>43779</v>
      </c>
      <c r="C238" s="45" t="n">
        <f aca="false">V$30-V$30*SIN(2*PI()/365*A238)</f>
        <v>28.7130621173533</v>
      </c>
      <c r="D238" s="3" t="n">
        <f aca="false">IF((E238+F238)&gt;C238,C238,E238+F238)</f>
        <v>6.65958814531719</v>
      </c>
      <c r="E238" s="46" t="n">
        <f aca="false">(V$27+V$28*SIN(2*PI()/365*A238))*V$29/100*V$9*V$10/100</f>
        <v>0</v>
      </c>
      <c r="F238" s="46" t="n">
        <f aca="false">(V$27+V$28*SIN(2*PI()/365*A238))*V$29/100*V$11*(1-V$18/100)*(1-V$20/100)</f>
        <v>6.65958814531719</v>
      </c>
      <c r="G238" s="46" t="n">
        <f aca="false">IF(C238&gt;E238,100,C238/E238*100)</f>
        <v>100</v>
      </c>
      <c r="H238" s="46" t="n">
        <f aca="false">L238/F238*100</f>
        <v>100</v>
      </c>
      <c r="I238" s="47" t="n">
        <f aca="false">(V$27+V$28*SIN(2*PI()/365*A238))*V$29/100*V$9*V$10/100*(1-V$19/100)</f>
        <v>0</v>
      </c>
      <c r="J238" s="47" t="n">
        <f aca="false">(V$27+V$28*SIN(2*PI()/365*A238))*V$29/100*V$11*(1-V$18/100)</f>
        <v>7.31822873111779</v>
      </c>
      <c r="K238" s="48" t="n">
        <f aca="false">IF(E238/C238*100&lt;100,E238/C238*100,100)</f>
        <v>0</v>
      </c>
      <c r="L238" s="7" t="n">
        <f aca="false">IF(((C238-E238)&gt;0)*AND(F238&gt;(C238-E238)),(C238-E238),IF(C238&lt;E238,0,F238))</f>
        <v>6.65958814531719</v>
      </c>
      <c r="M238" s="7" t="n">
        <f aca="false">IF(C238&lt;(E238+F238),0,C238-E238-F238)</f>
        <v>22.0534739720361</v>
      </c>
      <c r="N238" s="7" t="n">
        <f aca="false">IF(C238&lt;(E238+F238),0,(C238-E238-F238)/(1-V$20/100))</f>
        <v>24.2345867824572</v>
      </c>
      <c r="O238" s="7" t="n">
        <f aca="false">L238+M238</f>
        <v>28.7130621173533</v>
      </c>
      <c r="P238" s="49" t="n">
        <f aca="false">IF(N238=0,I238*(1-G238/100)+J238*(1-H238/100),-N238)</f>
        <v>-24.2345867824572</v>
      </c>
      <c r="Q238" s="54" t="n">
        <f aca="false">IF(P237&gt;0,Q237+P237*(1-V$24/100),Q237+P237)</f>
        <v>3089.91518225938</v>
      </c>
      <c r="R238" s="55" t="n">
        <f aca="false">R$4+Q238/V$32</f>
        <v>70.0500133286129</v>
      </c>
    </row>
    <row r="239" customFormat="false" ht="12.8" hidden="false" customHeight="false" outlineLevel="0" collapsed="false">
      <c r="A239" s="1" t="n">
        <v>235</v>
      </c>
      <c r="B239" s="44" t="n">
        <v>43780</v>
      </c>
      <c r="C239" s="45" t="n">
        <f aca="false">V$30-V$30*SIN(2*PI()/365*A239)</f>
        <v>28.8872253137326</v>
      </c>
      <c r="D239" s="3" t="n">
        <f aca="false">IF((E239+F239)&gt;C239,C239,E239+F239)</f>
        <v>6.4844760685518</v>
      </c>
      <c r="E239" s="46" t="n">
        <f aca="false">(V$27+V$28*SIN(2*PI()/365*A239))*V$29/100*V$9*V$10/100</f>
        <v>0</v>
      </c>
      <c r="F239" s="46" t="n">
        <f aca="false">(V$27+V$28*SIN(2*PI()/365*A239))*V$29/100*V$11*(1-V$18/100)*(1-V$20/100)</f>
        <v>6.4844760685518</v>
      </c>
      <c r="G239" s="46" t="n">
        <f aca="false">IF(C239&gt;E239,100,C239/E239*100)</f>
        <v>100</v>
      </c>
      <c r="H239" s="46" t="n">
        <f aca="false">L239/F239*100</f>
        <v>100</v>
      </c>
      <c r="I239" s="47" t="n">
        <f aca="false">(V$27+V$28*SIN(2*PI()/365*A239))*V$29/100*V$9*V$10/100*(1-V$19/100)</f>
        <v>0</v>
      </c>
      <c r="J239" s="47" t="n">
        <f aca="false">(V$27+V$28*SIN(2*PI()/365*A239))*V$29/100*V$11*(1-V$18/100)</f>
        <v>7.12579787752945</v>
      </c>
      <c r="K239" s="48" t="n">
        <f aca="false">IF(E239/C239*100&lt;100,E239/C239*100,100)</f>
        <v>0</v>
      </c>
      <c r="L239" s="7" t="n">
        <f aca="false">IF(((C239-E239)&gt;0)*AND(F239&gt;(C239-E239)),(C239-E239),IF(C239&lt;E239,0,F239))</f>
        <v>6.4844760685518</v>
      </c>
      <c r="M239" s="7" t="n">
        <f aca="false">IF(C239&lt;(E239+F239),0,C239-E239-F239)</f>
        <v>22.4027492451808</v>
      </c>
      <c r="N239" s="7" t="n">
        <f aca="false">IF(C239&lt;(E239+F239),0,(C239-E239-F239)/(1-V$20/100))</f>
        <v>24.6184057639349</v>
      </c>
      <c r="O239" s="7" t="n">
        <f aca="false">L239+M239</f>
        <v>28.8872253137326</v>
      </c>
      <c r="P239" s="49" t="n">
        <f aca="false">IF(N239=0,I239*(1-G239/100)+J239*(1-H239/100),-N239)</f>
        <v>-24.6184057639349</v>
      </c>
      <c r="Q239" s="54" t="n">
        <f aca="false">IF(P238&gt;0,Q238+P238*(1-V$24/100),Q238+P238)</f>
        <v>3065.68059547692</v>
      </c>
      <c r="R239" s="55" t="n">
        <f aca="false">R$4+Q239/V$32</f>
        <v>69.8143273589761</v>
      </c>
    </row>
    <row r="240" customFormat="false" ht="12.8" hidden="false" customHeight="false" outlineLevel="0" collapsed="false">
      <c r="A240" s="1" t="n">
        <v>236</v>
      </c>
      <c r="B240" s="44" t="n">
        <v>43781</v>
      </c>
      <c r="C240" s="45" t="n">
        <f aca="false">V$30-V$30*SIN(2*PI()/365*A240)</f>
        <v>29.0576223234239</v>
      </c>
      <c r="D240" s="3" t="n">
        <f aca="false">IF((E240+F240)&gt;C240,C240,E240+F240)</f>
        <v>6.31315069750919</v>
      </c>
      <c r="E240" s="46" t="n">
        <f aca="false">(V$27+V$28*SIN(2*PI()/365*A240))*V$29/100*V$9*V$10/100</f>
        <v>0</v>
      </c>
      <c r="F240" s="46" t="n">
        <f aca="false">(V$27+V$28*SIN(2*PI()/365*A240))*V$29/100*V$11*(1-V$18/100)*(1-V$20/100)</f>
        <v>6.31315069750919</v>
      </c>
      <c r="G240" s="46" t="n">
        <f aca="false">IF(C240&gt;E240,100,C240/E240*100)</f>
        <v>100</v>
      </c>
      <c r="H240" s="46" t="n">
        <f aca="false">L240/F240*100</f>
        <v>100</v>
      </c>
      <c r="I240" s="47" t="n">
        <f aca="false">(V$27+V$28*SIN(2*PI()/365*A240))*V$29/100*V$9*V$10/100*(1-V$19/100)</f>
        <v>0</v>
      </c>
      <c r="J240" s="47" t="n">
        <f aca="false">(V$27+V$28*SIN(2*PI()/365*A240))*V$29/100*V$11*(1-V$18/100)</f>
        <v>6.93752823902109</v>
      </c>
      <c r="K240" s="48" t="n">
        <f aca="false">IF(E240/C240*100&lt;100,E240/C240*100,100)</f>
        <v>0</v>
      </c>
      <c r="L240" s="7" t="n">
        <f aca="false">IF(((C240-E240)&gt;0)*AND(F240&gt;(C240-E240)),(C240-E240),IF(C240&lt;E240,0,F240))</f>
        <v>6.31315069750919</v>
      </c>
      <c r="M240" s="7" t="n">
        <f aca="false">IF(C240&lt;(E240+F240),0,C240-E240-F240)</f>
        <v>22.7444716259147</v>
      </c>
      <c r="N240" s="7" t="n">
        <f aca="false">IF(C240&lt;(E240+F240),0,(C240-E240-F240)/(1-V$20/100))</f>
        <v>24.9939248636425</v>
      </c>
      <c r="O240" s="7" t="n">
        <f aca="false">L240+M240</f>
        <v>29.0576223234239</v>
      </c>
      <c r="P240" s="49" t="n">
        <f aca="false">IF(N240=0,I240*(1-G240/100)+J240*(1-H240/100),-N240)</f>
        <v>-24.9939248636425</v>
      </c>
      <c r="Q240" s="54" t="n">
        <f aca="false">IF(P239&gt;0,Q239+P239*(1-V$24/100),Q239+P239)</f>
        <v>3041.06218971299</v>
      </c>
      <c r="R240" s="55" t="n">
        <f aca="false">R$4+Q240/V$32</f>
        <v>69.5749086766825</v>
      </c>
    </row>
    <row r="241" customFormat="false" ht="12.8" hidden="false" customHeight="false" outlineLevel="0" collapsed="false">
      <c r="A241" s="1" t="n">
        <v>237</v>
      </c>
      <c r="B241" s="44" t="n">
        <v>43782</v>
      </c>
      <c r="C241" s="45" t="n">
        <f aca="false">V$30-V$30*SIN(2*PI()/365*A241)</f>
        <v>29.2242026541157</v>
      </c>
      <c r="D241" s="3" t="n">
        <f aca="false">IF((E241+F241)&gt;C241,C241,E241+F241)</f>
        <v>6.14566279959431</v>
      </c>
      <c r="E241" s="46" t="n">
        <f aca="false">(V$27+V$28*SIN(2*PI()/365*A241))*V$29/100*V$9*V$10/100</f>
        <v>0</v>
      </c>
      <c r="F241" s="46" t="n">
        <f aca="false">(V$27+V$28*SIN(2*PI()/365*A241))*V$29/100*V$11*(1-V$18/100)*(1-V$20/100)</f>
        <v>6.14566279959431</v>
      </c>
      <c r="G241" s="46" t="n">
        <f aca="false">IF(C241&gt;E241,100,C241/E241*100)</f>
        <v>100</v>
      </c>
      <c r="H241" s="46" t="n">
        <f aca="false">L241/F241*100</f>
        <v>100</v>
      </c>
      <c r="I241" s="47" t="n">
        <f aca="false">(V$27+V$28*SIN(2*PI()/365*A241))*V$29/100*V$9*V$10/100*(1-V$19/100)</f>
        <v>0</v>
      </c>
      <c r="J241" s="47" t="n">
        <f aca="false">(V$27+V$28*SIN(2*PI()/365*A241))*V$29/100*V$11*(1-V$18/100)</f>
        <v>6.75347560394979</v>
      </c>
      <c r="K241" s="48" t="n">
        <f aca="false">IF(E241/C241*100&lt;100,E241/C241*100,100)</f>
        <v>0</v>
      </c>
      <c r="L241" s="7" t="n">
        <f aca="false">IF(((C241-E241)&gt;0)*AND(F241&gt;(C241-E241)),(C241-E241),IF(C241&lt;E241,0,F241))</f>
        <v>6.14566279959431</v>
      </c>
      <c r="M241" s="7" t="n">
        <f aca="false">IF(C241&lt;(E241+F241),0,C241-E241-F241)</f>
        <v>23.0785398545214</v>
      </c>
      <c r="N241" s="7" t="n">
        <f aca="false">IF(C241&lt;(E241+F241),0,(C241-E241-F241)/(1-V$20/100))</f>
        <v>25.3610328071664</v>
      </c>
      <c r="O241" s="7" t="n">
        <f aca="false">L241+M241</f>
        <v>29.2242026541157</v>
      </c>
      <c r="P241" s="49" t="n">
        <f aca="false">IF(N241=0,I241*(1-G241/100)+J241*(1-H241/100),-N241)</f>
        <v>-25.3610328071664</v>
      </c>
      <c r="Q241" s="54" t="n">
        <f aca="false">IF(P240&gt;0,Q240+P240*(1-V$24/100),Q240+P240)</f>
        <v>3016.06826484935</v>
      </c>
      <c r="R241" s="55" t="n">
        <f aca="false">R$4+Q241/V$32</f>
        <v>69.3318379996623</v>
      </c>
    </row>
    <row r="242" customFormat="false" ht="12.8" hidden="false" customHeight="false" outlineLevel="0" collapsed="false">
      <c r="A242" s="1" t="n">
        <v>238</v>
      </c>
      <c r="B242" s="44" t="n">
        <v>43783</v>
      </c>
      <c r="C242" s="45" t="n">
        <f aca="false">V$30-V$30*SIN(2*PI()/365*A242)</f>
        <v>29.386916944461</v>
      </c>
      <c r="D242" s="3" t="n">
        <f aca="false">IF((E242+F242)&gt;C242,C242,E242+F242)</f>
        <v>5.982062005086</v>
      </c>
      <c r="E242" s="46" t="n">
        <f aca="false">(V$27+V$28*SIN(2*PI()/365*A242))*V$29/100*V$9*V$10/100</f>
        <v>0</v>
      </c>
      <c r="F242" s="46" t="n">
        <f aca="false">(V$27+V$28*SIN(2*PI()/365*A242))*V$29/100*V$11*(1-V$18/100)*(1-V$20/100)</f>
        <v>5.982062005086</v>
      </c>
      <c r="G242" s="46" t="n">
        <f aca="false">IF(C242&gt;E242,100,C242/E242*100)</f>
        <v>100</v>
      </c>
      <c r="H242" s="46" t="n">
        <f aca="false">L242/F242*100</f>
        <v>100</v>
      </c>
      <c r="I242" s="47" t="n">
        <f aca="false">(V$27+V$28*SIN(2*PI()/365*A242))*V$29/100*V$9*V$10/100*(1-V$19/100)</f>
        <v>0</v>
      </c>
      <c r="J242" s="47" t="n">
        <f aca="false">(V$27+V$28*SIN(2*PI()/365*A242))*V$29/100*V$11*(1-V$18/100)</f>
        <v>6.57369451108351</v>
      </c>
      <c r="K242" s="48" t="n">
        <f aca="false">IF(E242/C242*100&lt;100,E242/C242*100,100)</f>
        <v>0</v>
      </c>
      <c r="L242" s="7" t="n">
        <f aca="false">IF(((C242-E242)&gt;0)*AND(F242&gt;(C242-E242)),(C242-E242),IF(C242&lt;E242,0,F242))</f>
        <v>5.982062005086</v>
      </c>
      <c r="M242" s="7" t="n">
        <f aca="false">IF(C242&lt;(E242+F242),0,C242-E242-F242)</f>
        <v>23.404854939375</v>
      </c>
      <c r="N242" s="7" t="n">
        <f aca="false">IF(C242&lt;(E242+F242),0,(C242-E242-F242)/(1-V$20/100))</f>
        <v>25.7196208125</v>
      </c>
      <c r="O242" s="7" t="n">
        <f aca="false">L242+M242</f>
        <v>29.386916944461</v>
      </c>
      <c r="P242" s="49" t="n">
        <f aca="false">IF(N242=0,I242*(1-G242/100)+J242*(1-H242/100),-N242)</f>
        <v>-25.7196208125</v>
      </c>
      <c r="Q242" s="54" t="n">
        <f aca="false">IF(P241&gt;0,Q241+P241*(1-V$24/100),Q241+P241)</f>
        <v>2990.70723204218</v>
      </c>
      <c r="R242" s="55" t="n">
        <f aca="false">R$4+Q242/V$32</f>
        <v>69.0851971280105</v>
      </c>
    </row>
    <row r="243" customFormat="false" ht="12.8" hidden="false" customHeight="false" outlineLevel="0" collapsed="false">
      <c r="A243" s="1" t="n">
        <v>239</v>
      </c>
      <c r="B243" s="44" t="n">
        <v>43784</v>
      </c>
      <c r="C243" s="45" t="n">
        <f aca="false">V$30-V$30*SIN(2*PI()/365*A243)</f>
        <v>29.5457169787038</v>
      </c>
      <c r="D243" s="3" t="n">
        <f aca="false">IF((E243+F243)&gt;C243,C243,E243+F243)</f>
        <v>5.82239679243045</v>
      </c>
      <c r="E243" s="46" t="n">
        <f aca="false">(V$27+V$28*SIN(2*PI()/365*A243))*V$29/100*V$9*V$10/100</f>
        <v>0</v>
      </c>
      <c r="F243" s="46" t="n">
        <f aca="false">(V$27+V$28*SIN(2*PI()/365*A243))*V$29/100*V$11*(1-V$18/100)*(1-V$20/100)</f>
        <v>5.82239679243045</v>
      </c>
      <c r="G243" s="46" t="n">
        <f aca="false">IF(C243&gt;E243,100,C243/E243*100)</f>
        <v>100</v>
      </c>
      <c r="H243" s="46" t="n">
        <f aca="false">L243/F243*100</f>
        <v>100</v>
      </c>
      <c r="I243" s="47" t="n">
        <f aca="false">(V$27+V$28*SIN(2*PI()/365*A243))*V$29/100*V$9*V$10/100*(1-V$19/100)</f>
        <v>0</v>
      </c>
      <c r="J243" s="47" t="n">
        <f aca="false">(V$27+V$28*SIN(2*PI()/365*A243))*V$29/100*V$11*(1-V$18/100)</f>
        <v>6.39823823344005</v>
      </c>
      <c r="K243" s="48" t="n">
        <f aca="false">IF(E243/C243*100&lt;100,E243/C243*100,100)</f>
        <v>0</v>
      </c>
      <c r="L243" s="7" t="n">
        <f aca="false">IF(((C243-E243)&gt;0)*AND(F243&gt;(C243-E243)),(C243-E243),IF(C243&lt;E243,0,F243))</f>
        <v>5.82239679243045</v>
      </c>
      <c r="M243" s="7" t="n">
        <f aca="false">IF(C243&lt;(E243+F243),0,C243-E243-F243)</f>
        <v>23.7233201862733</v>
      </c>
      <c r="N243" s="7" t="n">
        <f aca="false">IF(C243&lt;(E243+F243),0,(C243-E243-F243)/(1-V$20/100))</f>
        <v>26.0695826222784</v>
      </c>
      <c r="O243" s="7" t="n">
        <f aca="false">L243+M243</f>
        <v>29.5457169787038</v>
      </c>
      <c r="P243" s="49" t="n">
        <f aca="false">IF(N243=0,I243*(1-G243/100)+J243*(1-H243/100),-N243)</f>
        <v>-26.0695826222784</v>
      </c>
      <c r="Q243" s="54" t="n">
        <f aca="false">IF(P242&gt;0,Q242+P242*(1-V$24/100),Q242+P242)</f>
        <v>2964.98761122968</v>
      </c>
      <c r="R243" s="55" t="n">
        <f aca="false">R$4+Q243/V$32</f>
        <v>68.8350689197477</v>
      </c>
    </row>
    <row r="244" customFormat="false" ht="12.8" hidden="false" customHeight="false" outlineLevel="0" collapsed="false">
      <c r="A244" s="1" t="n">
        <v>240</v>
      </c>
      <c r="B244" s="44" t="n">
        <v>43785</v>
      </c>
      <c r="C244" s="45" t="n">
        <f aca="false">V$30-V$30*SIN(2*PI()/365*A244)</f>
        <v>29.7005557009668</v>
      </c>
      <c r="D244" s="3" t="n">
        <f aca="false">IF((E244+F244)&gt;C244,C244,E244+F244)</f>
        <v>5.66671447387605</v>
      </c>
      <c r="E244" s="46" t="n">
        <f aca="false">(V$27+V$28*SIN(2*PI()/365*A244))*V$29/100*V$9*V$10/100</f>
        <v>0</v>
      </c>
      <c r="F244" s="46" t="n">
        <f aca="false">(V$27+V$28*SIN(2*PI()/365*A244))*V$29/100*V$11*(1-V$18/100)*(1-V$20/100)</f>
        <v>5.66671447387605</v>
      </c>
      <c r="G244" s="46" t="n">
        <f aca="false">IF(C244&gt;E244,100,C244/E244*100)</f>
        <v>100</v>
      </c>
      <c r="H244" s="46" t="n">
        <f aca="false">L244/F244*100</f>
        <v>100</v>
      </c>
      <c r="I244" s="47" t="n">
        <f aca="false">(V$27+V$28*SIN(2*PI()/365*A244))*V$29/100*V$9*V$10/100*(1-V$19/100)</f>
        <v>0</v>
      </c>
      <c r="J244" s="47" t="n">
        <f aca="false">(V$27+V$28*SIN(2*PI()/365*A244))*V$29/100*V$11*(1-V$18/100)</f>
        <v>6.22715876250115</v>
      </c>
      <c r="K244" s="48" t="n">
        <f aca="false">IF(E244/C244*100&lt;100,E244/C244*100,100)</f>
        <v>0</v>
      </c>
      <c r="L244" s="7" t="n">
        <f aca="false">IF(((C244-E244)&gt;0)*AND(F244&gt;(C244-E244)),(C244-E244),IF(C244&lt;E244,0,F244))</f>
        <v>5.66671447387605</v>
      </c>
      <c r="M244" s="7" t="n">
        <f aca="false">IF(C244&lt;(E244+F244),0,C244-E244-F244)</f>
        <v>24.0338412270908</v>
      </c>
      <c r="N244" s="7" t="n">
        <f aca="false">IF(C244&lt;(E244+F244),0,(C244-E244-F244)/(1-V$20/100))</f>
        <v>26.4108145352646</v>
      </c>
      <c r="O244" s="7" t="n">
        <f aca="false">L244+M244</f>
        <v>29.7005557009668</v>
      </c>
      <c r="P244" s="49" t="n">
        <f aca="false">IF(N244=0,I244*(1-G244/100)+J244*(1-H244/100),-N244)</f>
        <v>-26.4108145352646</v>
      </c>
      <c r="Q244" s="54" t="n">
        <f aca="false">IF(P243&gt;0,Q243+P243*(1-V$24/100),Q243+P243)</f>
        <v>2938.9180286074</v>
      </c>
      <c r="R244" s="55" t="n">
        <f aca="false">R$4+Q244/V$32</f>
        <v>68.5815372662678</v>
      </c>
    </row>
    <row r="245" customFormat="false" ht="12.8" hidden="false" customHeight="false" outlineLevel="0" collapsed="false">
      <c r="A245" s="1" t="n">
        <v>241</v>
      </c>
      <c r="B245" s="44" t="n">
        <v>43786</v>
      </c>
      <c r="C245" s="45" t="n">
        <f aca="false">V$30-V$30*SIN(2*PI()/365*A245)</f>
        <v>29.851387229195</v>
      </c>
      <c r="D245" s="3" t="n">
        <f aca="false">IF((E245+F245)&gt;C245,C245,E245+F245)</f>
        <v>5.51506118145366</v>
      </c>
      <c r="E245" s="46" t="n">
        <f aca="false">(V$27+V$28*SIN(2*PI()/365*A245))*V$29/100*V$9*V$10/100</f>
        <v>0</v>
      </c>
      <c r="F245" s="46" t="n">
        <f aca="false">(V$27+V$28*SIN(2*PI()/365*A245))*V$29/100*V$11*(1-V$18/100)*(1-V$20/100)</f>
        <v>5.51506118145366</v>
      </c>
      <c r="G245" s="46" t="n">
        <f aca="false">IF(C245&gt;E245,100,C245/E245*100)</f>
        <v>100</v>
      </c>
      <c r="H245" s="46" t="n">
        <f aca="false">L245/F245*100</f>
        <v>100</v>
      </c>
      <c r="I245" s="47" t="n">
        <f aca="false">(V$27+V$28*SIN(2*PI()/365*A245))*V$29/100*V$9*V$10/100*(1-V$19/100)</f>
        <v>0</v>
      </c>
      <c r="J245" s="47" t="n">
        <f aca="false">(V$27+V$28*SIN(2*PI()/365*A245))*V$29/100*V$11*(1-V$18/100)</f>
        <v>6.06050679280622</v>
      </c>
      <c r="K245" s="48" t="n">
        <f aca="false">IF(E245/C245*100&lt;100,E245/C245*100,100)</f>
        <v>0</v>
      </c>
      <c r="L245" s="7" t="n">
        <f aca="false">IF(((C245-E245)&gt;0)*AND(F245&gt;(C245-E245)),(C245-E245),IF(C245&lt;E245,0,F245))</f>
        <v>5.51506118145366</v>
      </c>
      <c r="M245" s="7" t="n">
        <f aca="false">IF(C245&lt;(E245+F245),0,C245-E245-F245)</f>
        <v>24.3363260477413</v>
      </c>
      <c r="N245" s="7" t="n">
        <f aca="false">IF(C245&lt;(E245+F245),0,(C245-E245-F245)/(1-V$20/100))</f>
        <v>26.7432154370784</v>
      </c>
      <c r="O245" s="7" t="n">
        <f aca="false">L245+M245</f>
        <v>29.851387229195</v>
      </c>
      <c r="P245" s="49" t="n">
        <f aca="false">IF(N245=0,I245*(1-G245/100)+J245*(1-H245/100),-N245)</f>
        <v>-26.7432154370784</v>
      </c>
      <c r="Q245" s="54" t="n">
        <f aca="false">IF(P244&gt;0,Q244+P244*(1-V$24/100),Q244+P244)</f>
        <v>2912.50721407214</v>
      </c>
      <c r="R245" s="55" t="n">
        <f aca="false">R$4+Q245/V$32</f>
        <v>68.3246870674789</v>
      </c>
    </row>
    <row r="246" customFormat="false" ht="12.8" hidden="false" customHeight="false" outlineLevel="0" collapsed="false">
      <c r="A246" s="1" t="n">
        <v>242</v>
      </c>
      <c r="B246" s="44" t="n">
        <v>43787</v>
      </c>
      <c r="C246" s="45" t="n">
        <f aca="false">V$30-V$30*SIN(2*PI()/365*A246)</f>
        <v>29.9981668687513</v>
      </c>
      <c r="D246" s="3" t="n">
        <f aca="false">IF((E246+F246)&gt;C246,C246,E246+F246)</f>
        <v>5.36748185330679</v>
      </c>
      <c r="E246" s="46" t="n">
        <f aca="false">(V$27+V$28*SIN(2*PI()/365*A246))*V$29/100*V$9*V$10/100</f>
        <v>0</v>
      </c>
      <c r="F246" s="46" t="n">
        <f aca="false">(V$27+V$28*SIN(2*PI()/365*A246))*V$29/100*V$11*(1-V$18/100)*(1-V$20/100)</f>
        <v>5.36748185330679</v>
      </c>
      <c r="G246" s="46" t="n">
        <f aca="false">IF(C246&gt;E246,100,C246/E246*100)</f>
        <v>100</v>
      </c>
      <c r="H246" s="46" t="n">
        <f aca="false">L246/F246*100</f>
        <v>100</v>
      </c>
      <c r="I246" s="47" t="n">
        <f aca="false">(V$27+V$28*SIN(2*PI()/365*A246))*V$29/100*V$9*V$10/100*(1-V$19/100)</f>
        <v>0</v>
      </c>
      <c r="J246" s="47" t="n">
        <f aca="false">(V$27+V$28*SIN(2*PI()/365*A246))*V$29/100*V$11*(1-V$18/100)</f>
        <v>5.89833170693054</v>
      </c>
      <c r="K246" s="48" t="n">
        <f aca="false">IF(E246/C246*100&lt;100,E246/C246*100,100)</f>
        <v>0</v>
      </c>
      <c r="L246" s="7" t="n">
        <f aca="false">IF(((C246-E246)&gt;0)*AND(F246&gt;(C246-E246)),(C246-E246),IF(C246&lt;E246,0,F246))</f>
        <v>5.36748185330679</v>
      </c>
      <c r="M246" s="7" t="n">
        <f aca="false">IF(C246&lt;(E246+F246),0,C246-E246-F246)</f>
        <v>24.6306850154445</v>
      </c>
      <c r="N246" s="7" t="n">
        <f aca="false">IF(C246&lt;(E246+F246),0,(C246-E246-F246)/(1-V$20/100))</f>
        <v>27.0666868301587</v>
      </c>
      <c r="O246" s="7" t="n">
        <f aca="false">L246+M246</f>
        <v>29.9981668687512</v>
      </c>
      <c r="P246" s="49" t="n">
        <f aca="false">IF(N246=0,I246*(1-G246/100)+J246*(1-H246/100),-N246)</f>
        <v>-27.0666868301587</v>
      </c>
      <c r="Q246" s="54" t="n">
        <f aca="false">IF(P245&gt;0,Q245+P245*(1-V$24/100),Q245+P245)</f>
        <v>2885.76399863506</v>
      </c>
      <c r="R246" s="55" t="n">
        <f aca="false">R$4+Q246/V$32</f>
        <v>68.0646042066456</v>
      </c>
    </row>
    <row r="247" customFormat="false" ht="12.8" hidden="false" customHeight="false" outlineLevel="0" collapsed="false">
      <c r="A247" s="1" t="n">
        <v>243</v>
      </c>
      <c r="B247" s="44" t="n">
        <v>43788</v>
      </c>
      <c r="C247" s="45" t="n">
        <f aca="false">V$30-V$30*SIN(2*PI()/365*A247)</f>
        <v>30.1408511256606</v>
      </c>
      <c r="D247" s="3" t="n">
        <f aca="false">IF((E247+F247)&gt;C247,C247,E247+F247)</f>
        <v>5.2240202203754</v>
      </c>
      <c r="E247" s="46" t="n">
        <f aca="false">(V$27+V$28*SIN(2*PI()/365*A247))*V$29/100*V$9*V$10/100</f>
        <v>0</v>
      </c>
      <c r="F247" s="46" t="n">
        <f aca="false">(V$27+V$28*SIN(2*PI()/365*A247))*V$29/100*V$11*(1-V$18/100)*(1-V$20/100)</f>
        <v>5.2240202203754</v>
      </c>
      <c r="G247" s="46" t="n">
        <f aca="false">IF(C247&gt;E247,100,C247/E247*100)</f>
        <v>100</v>
      </c>
      <c r="H247" s="46" t="n">
        <f aca="false">L247/F247*100</f>
        <v>100</v>
      </c>
      <c r="I247" s="47" t="n">
        <f aca="false">(V$27+V$28*SIN(2*PI()/365*A247))*V$29/100*V$9*V$10/100*(1-V$19/100)</f>
        <v>0</v>
      </c>
      <c r="J247" s="47" t="n">
        <f aca="false">(V$27+V$28*SIN(2*PI()/365*A247))*V$29/100*V$11*(1-V$18/100)</f>
        <v>5.74068156085209</v>
      </c>
      <c r="K247" s="48" t="n">
        <f aca="false">IF(E247/C247*100&lt;100,E247/C247*100,100)</f>
        <v>0</v>
      </c>
      <c r="L247" s="7" t="n">
        <f aca="false">IF(((C247-E247)&gt;0)*AND(F247&gt;(C247-E247)),(C247-E247),IF(C247&lt;E247,0,F247))</f>
        <v>5.2240202203754</v>
      </c>
      <c r="M247" s="7" t="n">
        <f aca="false">IF(C247&lt;(E247+F247),0,C247-E247-F247)</f>
        <v>24.9168309052852</v>
      </c>
      <c r="N247" s="7" t="n">
        <f aca="false">IF(C247&lt;(E247+F247),0,(C247-E247-F247)/(1-V$20/100))</f>
        <v>27.3811328629508</v>
      </c>
      <c r="O247" s="7" t="n">
        <f aca="false">L247+M247</f>
        <v>30.1408511256606</v>
      </c>
      <c r="P247" s="49" t="n">
        <f aca="false">IF(N247=0,I247*(1-G247/100)+J247*(1-H247/100),-N247)</f>
        <v>-27.3811328629508</v>
      </c>
      <c r="Q247" s="54" t="n">
        <f aca="false">IF(P246&gt;0,Q246+P246*(1-V$24/100),Q246+P246)</f>
        <v>2858.6973118049</v>
      </c>
      <c r="R247" s="55" t="n">
        <f aca="false">R$4+Q247/V$32</f>
        <v>67.8013755249402</v>
      </c>
    </row>
    <row r="248" customFormat="false" ht="12.8" hidden="false" customHeight="false" outlineLevel="0" collapsed="false">
      <c r="A248" s="1" t="n">
        <v>244</v>
      </c>
      <c r="B248" s="44" t="n">
        <v>43789</v>
      </c>
      <c r="C248" s="45" t="n">
        <f aca="false">V$30-V$30*SIN(2*PI()/365*A248)</f>
        <v>30.2793977194985</v>
      </c>
      <c r="D248" s="3" t="n">
        <f aca="false">IF((E248+F248)&gt;C248,C248,E248+F248)</f>
        <v>5.08471879343747</v>
      </c>
      <c r="E248" s="46" t="n">
        <f aca="false">(V$27+V$28*SIN(2*PI()/365*A248))*V$29/100*V$9*V$10/100</f>
        <v>0</v>
      </c>
      <c r="F248" s="46" t="n">
        <f aca="false">(V$27+V$28*SIN(2*PI()/365*A248))*V$29/100*V$11*(1-V$18/100)*(1-V$20/100)</f>
        <v>5.08471879343747</v>
      </c>
      <c r="G248" s="46" t="n">
        <f aca="false">IF(C248&gt;E248,100,C248/E248*100)</f>
        <v>100</v>
      </c>
      <c r="H248" s="46" t="n">
        <f aca="false">L248/F248*100</f>
        <v>100</v>
      </c>
      <c r="I248" s="47" t="n">
        <f aca="false">(V$27+V$28*SIN(2*PI()/365*A248))*V$29/100*V$9*V$10/100*(1-V$19/100)</f>
        <v>0</v>
      </c>
      <c r="J248" s="47" t="n">
        <f aca="false">(V$27+V$28*SIN(2*PI()/365*A248))*V$29/100*V$11*(1-V$18/100)</f>
        <v>5.5876030697115</v>
      </c>
      <c r="K248" s="48" t="n">
        <f aca="false">IF(E248/C248*100&lt;100,E248/C248*100,100)</f>
        <v>0</v>
      </c>
      <c r="L248" s="7" t="n">
        <f aca="false">IF(((C248-E248)&gt;0)*AND(F248&gt;(C248-E248)),(C248-E248),IF(C248&lt;E248,0,F248))</f>
        <v>5.08471879343747</v>
      </c>
      <c r="M248" s="7" t="n">
        <f aca="false">IF(C248&lt;(E248+F248),0,C248-E248-F248)</f>
        <v>25.194678926061</v>
      </c>
      <c r="N248" s="7" t="n">
        <f aca="false">IF(C248&lt;(E248+F248),0,(C248-E248-F248)/(1-V$20/100))</f>
        <v>27.6864603583088</v>
      </c>
      <c r="O248" s="7" t="n">
        <f aca="false">L248+M248</f>
        <v>30.2793977194985</v>
      </c>
      <c r="P248" s="49" t="n">
        <f aca="false">IF(N248=0,I248*(1-G248/100)+J248*(1-H248/100),-N248)</f>
        <v>-27.6864603583088</v>
      </c>
      <c r="Q248" s="54" t="n">
        <f aca="false">IF(P247&gt;0,Q247+P247*(1-V$24/100),Q247+P247)</f>
        <v>2831.31617894195</v>
      </c>
      <c r="R248" s="55" t="n">
        <f aca="false">R$4+Q248/V$32</f>
        <v>67.5350887957095</v>
      </c>
    </row>
    <row r="249" customFormat="false" ht="12.8" hidden="false" customHeight="false" outlineLevel="0" collapsed="false">
      <c r="A249" s="1" t="n">
        <v>245</v>
      </c>
      <c r="B249" s="44" t="n">
        <v>43790</v>
      </c>
      <c r="C249" s="45" t="n">
        <f aca="false">V$30-V$30*SIN(2*PI()/365*A249)</f>
        <v>30.4137655959189</v>
      </c>
      <c r="D249" s="3" t="n">
        <f aca="false">IF((E249+F249)&gt;C249,C249,E249+F249)</f>
        <v>4.94961885051217</v>
      </c>
      <c r="E249" s="46" t="n">
        <f aca="false">(V$27+V$28*SIN(2*PI()/365*A249))*V$29/100*V$9*V$10/100</f>
        <v>0</v>
      </c>
      <c r="F249" s="46" t="n">
        <f aca="false">(V$27+V$28*SIN(2*PI()/365*A249))*V$29/100*V$11*(1-V$18/100)*(1-V$20/100)</f>
        <v>4.94961885051217</v>
      </c>
      <c r="G249" s="46" t="n">
        <f aca="false">IF(C249&gt;E249,100,C249/E249*100)</f>
        <v>100</v>
      </c>
      <c r="H249" s="46" t="n">
        <f aca="false">L249/F249*100</f>
        <v>100</v>
      </c>
      <c r="I249" s="47" t="n">
        <f aca="false">(V$27+V$28*SIN(2*PI()/365*A249))*V$29/100*V$9*V$10/100*(1-V$19/100)</f>
        <v>0</v>
      </c>
      <c r="J249" s="47" t="n">
        <f aca="false">(V$27+V$28*SIN(2*PI()/365*A249))*V$29/100*V$11*(1-V$18/100)</f>
        <v>5.43914159396942</v>
      </c>
      <c r="K249" s="48" t="n">
        <f aca="false">IF(E249/C249*100&lt;100,E249/C249*100,100)</f>
        <v>0</v>
      </c>
      <c r="L249" s="7" t="n">
        <f aca="false">IF(((C249-E249)&gt;0)*AND(F249&gt;(C249-E249)),(C249-E249),IF(C249&lt;E249,0,F249))</f>
        <v>4.94961885051217</v>
      </c>
      <c r="M249" s="7" t="n">
        <f aca="false">IF(C249&lt;(E249+F249),0,C249-E249-F249)</f>
        <v>25.4641467454067</v>
      </c>
      <c r="N249" s="7" t="n">
        <f aca="false">IF(C249&lt;(E249+F249),0,(C249-E249-F249)/(1-V$20/100))</f>
        <v>27.9825788411063</v>
      </c>
      <c r="O249" s="7" t="n">
        <f aca="false">L249+M249</f>
        <v>30.4137655959189</v>
      </c>
      <c r="P249" s="49" t="n">
        <f aca="false">IF(N249=0,I249*(1-G249/100)+J249*(1-H249/100),-N249)</f>
        <v>-27.9825788411063</v>
      </c>
      <c r="Q249" s="54" t="n">
        <f aca="false">IF(P248&gt;0,Q248+P248*(1-V$24/100),Q248+P248)</f>
        <v>2803.62971858364</v>
      </c>
      <c r="R249" s="55" t="n">
        <f aca="false">R$4+Q249/V$32</f>
        <v>67.2658326984657</v>
      </c>
    </row>
    <row r="250" customFormat="false" ht="12.8" hidden="false" customHeight="false" outlineLevel="0" collapsed="false">
      <c r="A250" s="1" t="n">
        <v>246</v>
      </c>
      <c r="B250" s="44" t="n">
        <v>43791</v>
      </c>
      <c r="C250" s="45" t="n">
        <f aca="false">V$30-V$30*SIN(2*PI()/365*A250)</f>
        <v>30.5439149388202</v>
      </c>
      <c r="D250" s="3" t="n">
        <f aca="false">IF((E250+F250)&gt;C250,C250,E250+F250)</f>
        <v>4.81876042462829</v>
      </c>
      <c r="E250" s="46" t="n">
        <f aca="false">(V$27+V$28*SIN(2*PI()/365*A250))*V$29/100*V$9*V$10/100</f>
        <v>0</v>
      </c>
      <c r="F250" s="46" t="n">
        <f aca="false">(V$27+V$28*SIN(2*PI()/365*A250))*V$29/100*V$11*(1-V$18/100)*(1-V$20/100)</f>
        <v>4.81876042462829</v>
      </c>
      <c r="G250" s="46" t="n">
        <f aca="false">IF(C250&gt;E250,100,C250/E250*100)</f>
        <v>100</v>
      </c>
      <c r="H250" s="46" t="n">
        <f aca="false">L250/F250*100</f>
        <v>100</v>
      </c>
      <c r="I250" s="47" t="n">
        <f aca="false">(V$27+V$28*SIN(2*PI()/365*A250))*V$29/100*V$9*V$10/100*(1-V$19/100)</f>
        <v>0</v>
      </c>
      <c r="J250" s="47" t="n">
        <f aca="false">(V$27+V$28*SIN(2*PI()/365*A250))*V$29/100*V$11*(1-V$18/100)</f>
        <v>5.29534112596515</v>
      </c>
      <c r="K250" s="48" t="n">
        <f aca="false">IF(E250/C250*100&lt;100,E250/C250*100,100)</f>
        <v>0</v>
      </c>
      <c r="L250" s="7" t="n">
        <f aca="false">IF(((C250-E250)&gt;0)*AND(F250&gt;(C250-E250)),(C250-E250),IF(C250&lt;E250,0,F250))</f>
        <v>4.81876042462829</v>
      </c>
      <c r="M250" s="7" t="n">
        <f aca="false">IF(C250&lt;(E250+F250),0,C250-E250-F250)</f>
        <v>25.7251545141919</v>
      </c>
      <c r="N250" s="7" t="n">
        <f aca="false">IF(C250&lt;(E250+F250),0,(C250-E250-F250)/(1-V$20/100))</f>
        <v>28.2694005650461</v>
      </c>
      <c r="O250" s="7" t="n">
        <f aca="false">L250+M250</f>
        <v>30.5439149388202</v>
      </c>
      <c r="P250" s="49" t="n">
        <f aca="false">IF(N250=0,I250*(1-G250/100)+J250*(1-H250/100),-N250)</f>
        <v>-28.2694005650461</v>
      </c>
      <c r="Q250" s="54" t="n">
        <f aca="false">IF(P249&gt;0,Q249+P249*(1-V$24/100),Q249+P249)</f>
        <v>2775.64713974253</v>
      </c>
      <c r="R250" s="55" t="n">
        <f aca="false">R$4+Q250/V$32</f>
        <v>66.9936967926091</v>
      </c>
    </row>
    <row r="251" customFormat="false" ht="12.8" hidden="false" customHeight="false" outlineLevel="0" collapsed="false">
      <c r="A251" s="1" t="n">
        <v>247</v>
      </c>
      <c r="B251" s="44" t="n">
        <v>43792</v>
      </c>
      <c r="C251" s="45" t="n">
        <f aca="false">V$30-V$30*SIN(2*PI()/365*A251)</f>
        <v>30.6698071821433</v>
      </c>
      <c r="D251" s="3" t="n">
        <f aca="false">IF((E251+F251)&gt;C251,C251,E251+F251)</f>
        <v>4.69218229196157</v>
      </c>
      <c r="E251" s="46" t="n">
        <f aca="false">(V$27+V$28*SIN(2*PI()/365*A251))*V$29/100*V$9*V$10/100</f>
        <v>0</v>
      </c>
      <c r="F251" s="46" t="n">
        <f aca="false">(V$27+V$28*SIN(2*PI()/365*A251))*V$29/100*V$11*(1-V$18/100)*(1-V$20/100)</f>
        <v>4.69218229196157</v>
      </c>
      <c r="G251" s="46" t="n">
        <f aca="false">IF(C251&gt;E251,100,C251/E251*100)</f>
        <v>100</v>
      </c>
      <c r="H251" s="46" t="n">
        <f aca="false">L251/F251*100</f>
        <v>100</v>
      </c>
      <c r="I251" s="47" t="n">
        <f aca="false">(V$27+V$28*SIN(2*PI()/365*A251))*V$29/100*V$9*V$10/100*(1-V$19/100)</f>
        <v>0</v>
      </c>
      <c r="J251" s="47" t="n">
        <f aca="false">(V$27+V$28*SIN(2*PI()/365*A251))*V$29/100*V$11*(1-V$18/100)</f>
        <v>5.15624427688085</v>
      </c>
      <c r="K251" s="48" t="n">
        <f aca="false">IF(E251/C251*100&lt;100,E251/C251*100,100)</f>
        <v>0</v>
      </c>
      <c r="L251" s="7" t="n">
        <f aca="false">IF(((C251-E251)&gt;0)*AND(F251&gt;(C251-E251)),(C251-E251),IF(C251&lt;E251,0,F251))</f>
        <v>4.69218229196157</v>
      </c>
      <c r="M251" s="7" t="n">
        <f aca="false">IF(C251&lt;(E251+F251),0,C251-E251-F251)</f>
        <v>25.9776248901817</v>
      </c>
      <c r="N251" s="7" t="n">
        <f aca="false">IF(C251&lt;(E251+F251),0,(C251-E251-F251)/(1-V$20/100))</f>
        <v>28.5468405386613</v>
      </c>
      <c r="O251" s="7" t="n">
        <f aca="false">L251+M251</f>
        <v>30.6698071821433</v>
      </c>
      <c r="P251" s="49" t="n">
        <f aca="false">IF(N251=0,I251*(1-G251/100)+J251*(1-H251/100),-N251)</f>
        <v>-28.5468405386613</v>
      </c>
      <c r="Q251" s="54" t="n">
        <f aca="false">IF(P250&gt;0,Q250+P250*(1-V$24/100),Q250+P250)</f>
        <v>2747.37773917749</v>
      </c>
      <c r="R251" s="55" t="n">
        <f aca="false">R$4+Q251/V$32</f>
        <v>66.7187714908893</v>
      </c>
    </row>
    <row r="252" customFormat="false" ht="12.8" hidden="false" customHeight="false" outlineLevel="0" collapsed="false">
      <c r="A252" s="1" t="n">
        <v>248</v>
      </c>
      <c r="B252" s="44" t="n">
        <v>43793</v>
      </c>
      <c r="C252" s="45" t="n">
        <f aca="false">V$30-V$30*SIN(2*PI()/365*A252)</f>
        <v>30.7914050212995</v>
      </c>
      <c r="D252" s="3" t="n">
        <f aca="false">IF((E252+F252)&gt;C252,C252,E252+F252)</f>
        <v>4.56992196034452</v>
      </c>
      <c r="E252" s="46" t="n">
        <f aca="false">(V$27+V$28*SIN(2*PI()/365*A252))*V$29/100*V$9*V$10/100</f>
        <v>0</v>
      </c>
      <c r="F252" s="46" t="n">
        <f aca="false">(V$27+V$28*SIN(2*PI()/365*A252))*V$29/100*V$11*(1-V$18/100)*(1-V$20/100)</f>
        <v>4.56992196034452</v>
      </c>
      <c r="G252" s="46" t="n">
        <f aca="false">IF(C252&gt;E252,100,C252/E252*100)</f>
        <v>100</v>
      </c>
      <c r="H252" s="46" t="n">
        <f aca="false">L252/F252*100</f>
        <v>100</v>
      </c>
      <c r="I252" s="47" t="n">
        <f aca="false">(V$27+V$28*SIN(2*PI()/365*A252))*V$29/100*V$9*V$10/100*(1-V$19/100)</f>
        <v>0</v>
      </c>
      <c r="J252" s="47" t="n">
        <f aca="false">(V$27+V$28*SIN(2*PI()/365*A252))*V$29/100*V$11*(1-V$18/100)</f>
        <v>5.02189226411485</v>
      </c>
      <c r="K252" s="48" t="n">
        <f aca="false">IF(E252/C252*100&lt;100,E252/C252*100,100)</f>
        <v>0</v>
      </c>
      <c r="L252" s="7" t="n">
        <f aca="false">IF(((C252-E252)&gt;0)*AND(F252&gt;(C252-E252)),(C252-E252),IF(C252&lt;E252,0,F252))</f>
        <v>4.56992196034452</v>
      </c>
      <c r="M252" s="7" t="n">
        <f aca="false">IF(C252&lt;(E252+F252),0,C252-E252-F252)</f>
        <v>26.221483060955</v>
      </c>
      <c r="N252" s="7" t="n">
        <f aca="false">IF(C252&lt;(E252+F252),0,(C252-E252-F252)/(1-V$20/100))</f>
        <v>28.8148165505</v>
      </c>
      <c r="O252" s="7" t="n">
        <f aca="false">L252+M252</f>
        <v>30.7914050212995</v>
      </c>
      <c r="P252" s="49" t="n">
        <f aca="false">IF(N252=0,I252*(1-G252/100)+J252*(1-H252/100),-N252)</f>
        <v>-28.8148165505</v>
      </c>
      <c r="Q252" s="54" t="n">
        <f aca="false">IF(P251&gt;0,Q251+P251*(1-V$24/100),Q251+P251)</f>
        <v>2718.83089863883</v>
      </c>
      <c r="R252" s="55" t="n">
        <f aca="false">R$4+Q252/V$32</f>
        <v>66.4411480326138</v>
      </c>
    </row>
    <row r="253" customFormat="false" ht="12.8" hidden="false" customHeight="false" outlineLevel="0" collapsed="false">
      <c r="A253" s="1" t="n">
        <v>249</v>
      </c>
      <c r="B253" s="44" t="n">
        <v>43794</v>
      </c>
      <c r="C253" s="45" t="n">
        <f aca="false">V$30-V$30*SIN(2*PI()/365*A253)</f>
        <v>30.9086724242247</v>
      </c>
      <c r="D253" s="3" t="n">
        <f aca="false">IF((E253+F253)&gt;C253,C253,E253+F253)</f>
        <v>4.45201565815196</v>
      </c>
      <c r="E253" s="46" t="n">
        <f aca="false">(V$27+V$28*SIN(2*PI()/365*A253))*V$29/100*V$9*V$10/100</f>
        <v>0</v>
      </c>
      <c r="F253" s="46" t="n">
        <f aca="false">(V$27+V$28*SIN(2*PI()/365*A253))*V$29/100*V$11*(1-V$18/100)*(1-V$20/100)</f>
        <v>4.45201565815196</v>
      </c>
      <c r="G253" s="46" t="n">
        <f aca="false">IF(C253&gt;E253,100,C253/E253*100)</f>
        <v>100</v>
      </c>
      <c r="H253" s="46" t="n">
        <f aca="false">L253/F253*100</f>
        <v>100</v>
      </c>
      <c r="I253" s="47" t="n">
        <f aca="false">(V$27+V$28*SIN(2*PI()/365*A253))*V$29/100*V$9*V$10/100*(1-V$19/100)</f>
        <v>0</v>
      </c>
      <c r="J253" s="47" t="n">
        <f aca="false">(V$27+V$28*SIN(2*PI()/365*A253))*V$29/100*V$11*(1-V$18/100)</f>
        <v>4.89232489906809</v>
      </c>
      <c r="K253" s="48" t="n">
        <f aca="false">IF(E253/C253*100&lt;100,E253/C253*100,100)</f>
        <v>0</v>
      </c>
      <c r="L253" s="7" t="n">
        <f aca="false">IF(((C253-E253)&gt;0)*AND(F253&gt;(C253-E253)),(C253-E253),IF(C253&lt;E253,0,F253))</f>
        <v>4.45201565815196</v>
      </c>
      <c r="M253" s="7" t="n">
        <f aca="false">IF(C253&lt;(E253+F253),0,C253-E253-F253)</f>
        <v>26.4566567660728</v>
      </c>
      <c r="N253" s="7" t="n">
        <f aca="false">IF(C253&lt;(E253+F253),0,(C253-E253-F253)/(1-V$20/100))</f>
        <v>29.0732491934866</v>
      </c>
      <c r="O253" s="7" t="n">
        <f aca="false">L253+M253</f>
        <v>30.9086724242247</v>
      </c>
      <c r="P253" s="49" t="n">
        <f aca="false">IF(N253=0,I253*(1-G253/100)+J253*(1-H253/100),-N253)</f>
        <v>-29.0732491934866</v>
      </c>
      <c r="Q253" s="54" t="n">
        <f aca="false">IF(P252&gt;0,Q252+P252*(1-V$24/100),Q252+P252)</f>
        <v>2690.01608208833</v>
      </c>
      <c r="R253" s="55" t="n">
        <f aca="false">R$4+Q253/V$32</f>
        <v>66.1609184566127</v>
      </c>
    </row>
    <row r="254" customFormat="false" ht="12.8" hidden="false" customHeight="false" outlineLevel="0" collapsed="false">
      <c r="A254" s="1" t="n">
        <v>250</v>
      </c>
      <c r="B254" s="44" t="n">
        <v>43795</v>
      </c>
      <c r="C254" s="45" t="n">
        <f aca="false">V$30-V$30*SIN(2*PI()/365*A254)</f>
        <v>31.0215746420567</v>
      </c>
      <c r="D254" s="3" t="n">
        <f aca="false">IF((E254+F254)&gt;C254,C254,E254+F254)</f>
        <v>4.33849832356588</v>
      </c>
      <c r="E254" s="46" t="n">
        <f aca="false">(V$27+V$28*SIN(2*PI()/365*A254))*V$29/100*V$9*V$10/100</f>
        <v>0</v>
      </c>
      <c r="F254" s="46" t="n">
        <f aca="false">(V$27+V$28*SIN(2*PI()/365*A254))*V$29/100*V$11*(1-V$18/100)*(1-V$20/100)</f>
        <v>4.33849832356588</v>
      </c>
      <c r="G254" s="46" t="n">
        <f aca="false">IF(C254&gt;E254,100,C254/E254*100)</f>
        <v>100</v>
      </c>
      <c r="H254" s="46" t="n">
        <f aca="false">L254/F254*100</f>
        <v>100</v>
      </c>
      <c r="I254" s="47" t="n">
        <f aca="false">(V$27+V$28*SIN(2*PI()/365*A254))*V$29/100*V$9*V$10/100*(1-V$19/100)</f>
        <v>0</v>
      </c>
      <c r="J254" s="47" t="n">
        <f aca="false">(V$27+V$28*SIN(2*PI()/365*A254))*V$29/100*V$11*(1-V$18/100)</f>
        <v>4.76758057534712</v>
      </c>
      <c r="K254" s="48" t="n">
        <f aca="false">IF(E254/C254*100&lt;100,E254/C254*100,100)</f>
        <v>0</v>
      </c>
      <c r="L254" s="7" t="n">
        <f aca="false">IF(((C254-E254)&gt;0)*AND(F254&gt;(C254-E254)),(C254-E254),IF(C254&lt;E254,0,F254))</f>
        <v>4.33849832356588</v>
      </c>
      <c r="M254" s="7" t="n">
        <f aca="false">IF(C254&lt;(E254+F254),0,C254-E254-F254)</f>
        <v>26.6830763184908</v>
      </c>
      <c r="N254" s="7" t="n">
        <f aca="false">IF(C254&lt;(E254+F254),0,(C254-E254-F254)/(1-V$20/100))</f>
        <v>29.3220618884514</v>
      </c>
      <c r="O254" s="7" t="n">
        <f aca="false">L254+M254</f>
        <v>31.0215746420567</v>
      </c>
      <c r="P254" s="49" t="n">
        <f aca="false">IF(N254=0,I254*(1-G254/100)+J254*(1-H254/100),-N254)</f>
        <v>-29.3220618884514</v>
      </c>
      <c r="Q254" s="54" t="n">
        <f aca="false">IF(P253&gt;0,Q253+P253*(1-V$24/100),Q253+P253)</f>
        <v>2660.94283289484</v>
      </c>
      <c r="R254" s="55" t="n">
        <f aca="false">R$4+Q254/V$32</f>
        <v>65.8781755739645</v>
      </c>
    </row>
    <row r="255" customFormat="false" ht="12.8" hidden="false" customHeight="false" outlineLevel="0" collapsed="false">
      <c r="A255" s="1" t="n">
        <v>251</v>
      </c>
      <c r="B255" s="44" t="n">
        <v>43796</v>
      </c>
      <c r="C255" s="45" t="n">
        <f aca="false">V$30-V$30*SIN(2*PI()/365*A255)</f>
        <v>31.1300782194316</v>
      </c>
      <c r="D255" s="3" t="n">
        <f aca="false">IF((E255+F255)&gt;C255,C255,E255+F255)</f>
        <v>4.22940359422241</v>
      </c>
      <c r="E255" s="46" t="n">
        <f aca="false">(V$27+V$28*SIN(2*PI()/365*A255))*V$29/100*V$9*V$10/100</f>
        <v>0</v>
      </c>
      <c r="F255" s="46" t="n">
        <f aca="false">(V$27+V$28*SIN(2*PI()/365*A255))*V$29/100*V$11*(1-V$18/100)*(1-V$20/100)</f>
        <v>4.22940359422241</v>
      </c>
      <c r="G255" s="46" t="n">
        <f aca="false">IF(C255&gt;E255,100,C255/E255*100)</f>
        <v>100</v>
      </c>
      <c r="H255" s="46" t="n">
        <f aca="false">L255/F255*100</f>
        <v>100</v>
      </c>
      <c r="I255" s="47" t="n">
        <f aca="false">(V$27+V$28*SIN(2*PI()/365*A255))*V$29/100*V$9*V$10/100*(1-V$19/100)</f>
        <v>0</v>
      </c>
      <c r="J255" s="47" t="n">
        <f aca="false">(V$27+V$28*SIN(2*PI()/365*A255))*V$29/100*V$11*(1-V$18/100)</f>
        <v>4.64769625738726</v>
      </c>
      <c r="K255" s="48" t="n">
        <f aca="false">IF(E255/C255*100&lt;100,E255/C255*100,100)</f>
        <v>0</v>
      </c>
      <c r="L255" s="7" t="n">
        <f aca="false">IF(((C255-E255)&gt;0)*AND(F255&gt;(C255-E255)),(C255-E255),IF(C255&lt;E255,0,F255))</f>
        <v>4.22940359422241</v>
      </c>
      <c r="M255" s="7" t="n">
        <f aca="false">IF(C255&lt;(E255+F255),0,C255-E255-F255)</f>
        <v>26.9006746252092</v>
      </c>
      <c r="N255" s="7" t="n">
        <f aca="false">IF(C255&lt;(E255+F255),0,(C255-E255-F255)/(1-V$20/100))</f>
        <v>29.5611809068233</v>
      </c>
      <c r="O255" s="7" t="n">
        <f aca="false">L255+M255</f>
        <v>31.1300782194316</v>
      </c>
      <c r="P255" s="49" t="n">
        <f aca="false">IF(N255=0,I255*(1-G255/100)+J255*(1-H255/100),-N255)</f>
        <v>-29.5611809068233</v>
      </c>
      <c r="Q255" s="54" t="n">
        <f aca="false">IF(P254&gt;0,Q254+P254*(1-V$24/100),Q254+P254)</f>
        <v>2631.62077100639</v>
      </c>
      <c r="R255" s="55" t="n">
        <f aca="false">R$4+Q255/V$32</f>
        <v>65.593012940495</v>
      </c>
    </row>
    <row r="256" customFormat="false" ht="12.8" hidden="false" customHeight="false" outlineLevel="0" collapsed="false">
      <c r="A256" s="1" t="n">
        <v>252</v>
      </c>
      <c r="B256" s="44" t="n">
        <v>43797</v>
      </c>
      <c r="C256" s="45" t="n">
        <f aca="false">V$30-V$30*SIN(2*PI()/365*A256)</f>
        <v>31.2341510043978</v>
      </c>
      <c r="D256" s="3" t="n">
        <f aca="false">IF((E256+F256)&gt;C256,C256,E256+F256)</f>
        <v>4.12476379724432</v>
      </c>
      <c r="E256" s="46" t="n">
        <f aca="false">(V$27+V$28*SIN(2*PI()/365*A256))*V$29/100*V$9*V$10/100</f>
        <v>0</v>
      </c>
      <c r="F256" s="46" t="n">
        <f aca="false">(V$27+V$28*SIN(2*PI()/365*A256))*V$29/100*V$11*(1-V$18/100)*(1-V$20/100)</f>
        <v>4.12476379724432</v>
      </c>
      <c r="G256" s="46" t="n">
        <f aca="false">IF(C256&gt;E256,100,C256/E256*100)</f>
        <v>100</v>
      </c>
      <c r="H256" s="46" t="n">
        <f aca="false">L256/F256*100</f>
        <v>100</v>
      </c>
      <c r="I256" s="47" t="n">
        <f aca="false">(V$27+V$28*SIN(2*PI()/365*A256))*V$29/100*V$9*V$10/100*(1-V$19/100)</f>
        <v>0</v>
      </c>
      <c r="J256" s="47" t="n">
        <f aca="false">(V$27+V$28*SIN(2*PI()/365*A256))*V$29/100*V$11*(1-V$18/100)</f>
        <v>4.53270746949925</v>
      </c>
      <c r="K256" s="48" t="n">
        <f aca="false">IF(E256/C256*100&lt;100,E256/C256*100,100)</f>
        <v>0</v>
      </c>
      <c r="L256" s="7" t="n">
        <f aca="false">IF(((C256-E256)&gt;0)*AND(F256&gt;(C256-E256)),(C256-E256),IF(C256&lt;E256,0,F256))</f>
        <v>4.12476379724432</v>
      </c>
      <c r="M256" s="7" t="n">
        <f aca="false">IF(C256&lt;(E256+F256),0,C256-E256-F256)</f>
        <v>27.1093872071535</v>
      </c>
      <c r="N256" s="7" t="n">
        <f aca="false">IF(C256&lt;(E256+F256),0,(C256-E256-F256)/(1-V$20/100))</f>
        <v>29.7905353924764</v>
      </c>
      <c r="O256" s="7" t="n">
        <f aca="false">L256+M256</f>
        <v>31.2341510043978</v>
      </c>
      <c r="P256" s="49" t="n">
        <f aca="false">IF(N256=0,I256*(1-G256/100)+J256*(1-H256/100),-N256)</f>
        <v>-29.7905353924764</v>
      </c>
      <c r="Q256" s="54" t="n">
        <f aca="false">IF(P255&gt;0,Q255+P255*(1-V$24/100),Q255+P255)</f>
        <v>2602.05959009956</v>
      </c>
      <c r="R256" s="55" t="n">
        <f aca="false">R$4+Q256/V$32</f>
        <v>65.3055248290544</v>
      </c>
    </row>
    <row r="257" customFormat="false" ht="12.8" hidden="false" customHeight="false" outlineLevel="0" collapsed="false">
      <c r="A257" s="1" t="n">
        <v>253</v>
      </c>
      <c r="B257" s="44" t="n">
        <v>43798</v>
      </c>
      <c r="C257" s="45" t="n">
        <f aca="false">V$30-V$30*SIN(2*PI()/365*A257)</f>
        <v>31.333762157943</v>
      </c>
      <c r="D257" s="3" t="n">
        <f aca="false">IF((E257+F257)&gt;C257,C257,E257+F257)</f>
        <v>4.02460993966176</v>
      </c>
      <c r="E257" s="46" t="n">
        <f aca="false">(V$27+V$28*SIN(2*PI()/365*A257))*V$29/100*V$9*V$10/100</f>
        <v>0</v>
      </c>
      <c r="F257" s="46" t="n">
        <f aca="false">(V$27+V$28*SIN(2*PI()/365*A257))*V$29/100*V$11*(1-V$18/100)*(1-V$20/100)</f>
        <v>4.02460993966176</v>
      </c>
      <c r="G257" s="46" t="n">
        <f aca="false">IF(C257&gt;E257,100,C257/E257*100)</f>
        <v>100</v>
      </c>
      <c r="H257" s="46" t="n">
        <f aca="false">L257/F257*100</f>
        <v>100</v>
      </c>
      <c r="I257" s="47" t="n">
        <f aca="false">(V$27+V$28*SIN(2*PI()/365*A257))*V$29/100*V$9*V$10/100*(1-V$19/100)</f>
        <v>0</v>
      </c>
      <c r="J257" s="47" t="n">
        <f aca="false">(V$27+V$28*SIN(2*PI()/365*A257))*V$29/100*V$11*(1-V$18/100)</f>
        <v>4.42264828534259</v>
      </c>
      <c r="K257" s="48" t="n">
        <f aca="false">IF(E257/C257*100&lt;100,E257/C257*100,100)</f>
        <v>0</v>
      </c>
      <c r="L257" s="7" t="n">
        <f aca="false">IF(((C257-E257)&gt;0)*AND(F257&gt;(C257-E257)),(C257-E257),IF(C257&lt;E257,0,F257))</f>
        <v>4.02460993966176</v>
      </c>
      <c r="M257" s="7" t="n">
        <f aca="false">IF(C257&lt;(E257+F257),0,C257-E257-F257)</f>
        <v>27.3091522182813</v>
      </c>
      <c r="N257" s="7" t="n">
        <f aca="false">IF(C257&lt;(E257+F257),0,(C257-E257-F257)/(1-V$20/100))</f>
        <v>30.0100573827267</v>
      </c>
      <c r="O257" s="7" t="n">
        <f aca="false">L257+M257</f>
        <v>31.333762157943</v>
      </c>
      <c r="P257" s="49" t="n">
        <f aca="false">IF(N257=0,I257*(1-G257/100)+J257*(1-H257/100),-N257)</f>
        <v>-30.0100573827267</v>
      </c>
      <c r="Q257" s="54" t="n">
        <f aca="false">IF(P256&gt;0,Q256+P256*(1-V$24/100),Q256+P256)</f>
        <v>2572.26905470709</v>
      </c>
      <c r="R257" s="55" t="n">
        <f aca="false">R$4+Q257/V$32</f>
        <v>65.015806201582</v>
      </c>
    </row>
    <row r="258" customFormat="false" ht="12.8" hidden="false" customHeight="false" outlineLevel="0" collapsed="false">
      <c r="A258" s="1" t="n">
        <v>254</v>
      </c>
      <c r="B258" s="44" t="n">
        <v>43799</v>
      </c>
      <c r="C258" s="45" t="n">
        <f aca="false">V$30-V$30*SIN(2*PI()/365*A258)</f>
        <v>31.4288821631327</v>
      </c>
      <c r="D258" s="3" t="n">
        <f aca="false">IF((E258+F258)&gt;C258,C258,E258+F258)</f>
        <v>3.92897169922423</v>
      </c>
      <c r="E258" s="46" t="n">
        <f aca="false">(V$27+V$28*SIN(2*PI()/365*A258))*V$29/100*V$9*V$10/100</f>
        <v>0</v>
      </c>
      <c r="F258" s="46" t="n">
        <f aca="false">(V$27+V$28*SIN(2*PI()/365*A258))*V$29/100*V$11*(1-V$18/100)*(1-V$20/100)</f>
        <v>3.92897169922423</v>
      </c>
      <c r="G258" s="46" t="n">
        <f aca="false">IF(C258&gt;E258,100,C258/E258*100)</f>
        <v>100</v>
      </c>
      <c r="H258" s="46" t="n">
        <f aca="false">L258/F258*100</f>
        <v>100</v>
      </c>
      <c r="I258" s="47" t="n">
        <f aca="false">(V$27+V$28*SIN(2*PI()/365*A258))*V$29/100*V$9*V$10/100*(1-V$19/100)</f>
        <v>0</v>
      </c>
      <c r="J258" s="47" t="n">
        <f aca="false">(V$27+V$28*SIN(2*PI()/365*A258))*V$29/100*V$11*(1-V$18/100)</f>
        <v>4.31755131782883</v>
      </c>
      <c r="K258" s="48" t="n">
        <f aca="false">IF(E258/C258*100&lt;100,E258/C258*100,100)</f>
        <v>0</v>
      </c>
      <c r="L258" s="7" t="n">
        <f aca="false">IF(((C258-E258)&gt;0)*AND(F258&gt;(C258-E258)),(C258-E258),IF(C258&lt;E258,0,F258))</f>
        <v>3.92897169922423</v>
      </c>
      <c r="M258" s="7" t="n">
        <f aca="false">IF(C258&lt;(E258+F258),0,C258-E258-F258)</f>
        <v>27.4999104639084</v>
      </c>
      <c r="N258" s="7" t="n">
        <f aca="false">IF(C258&lt;(E258+F258),0,(C258-E258-F258)/(1-V$20/100))</f>
        <v>30.2196818284708</v>
      </c>
      <c r="O258" s="7" t="n">
        <f aca="false">L258+M258</f>
        <v>31.4288821631327</v>
      </c>
      <c r="P258" s="49" t="n">
        <f aca="false">IF(N258=0,I258*(1-G258/100)+J258*(1-H258/100),-N258)</f>
        <v>-30.2196818284708</v>
      </c>
      <c r="Q258" s="54" t="n">
        <f aca="false">IF(P257&gt;0,Q257+P257*(1-V$24/100),Q257+P257)</f>
        <v>2542.25899732436</v>
      </c>
      <c r="R258" s="55" t="n">
        <f aca="false">R$4+Q258/V$32</f>
        <v>64.7239526809672</v>
      </c>
    </row>
    <row r="259" customFormat="false" ht="12.8" hidden="false" customHeight="false" outlineLevel="0" collapsed="false">
      <c r="A259" s="1" t="n">
        <v>255</v>
      </c>
      <c r="B259" s="44" t="n">
        <v>43800</v>
      </c>
      <c r="C259" s="45" t="n">
        <f aca="false">V$30-V$30*SIN(2*PI()/365*A259)</f>
        <v>31.5194828338564</v>
      </c>
      <c r="D259" s="3" t="n">
        <f aca="false">IF((E259+F259)&gt;C259,C259,E259+F259)</f>
        <v>3.83787741560642</v>
      </c>
      <c r="E259" s="46" t="n">
        <f aca="false">(V$27+V$28*SIN(2*PI()/365*A259))*V$29/100*V$9*V$10/100</f>
        <v>0</v>
      </c>
      <c r="F259" s="46" t="n">
        <f aca="false">(V$27+V$28*SIN(2*PI()/365*A259))*V$29/100*V$11*(1-V$18/100)*(1-V$20/100)</f>
        <v>3.83787741560642</v>
      </c>
      <c r="G259" s="46" t="n">
        <f aca="false">IF(C259&gt;E259,100,C259/E259*100)</f>
        <v>100</v>
      </c>
      <c r="H259" s="46" t="n">
        <f aca="false">L259/F259*100</f>
        <v>100</v>
      </c>
      <c r="I259" s="47" t="n">
        <f aca="false">(V$27+V$28*SIN(2*PI()/365*A259))*V$29/100*V$9*V$10/100*(1-V$19/100)</f>
        <v>0</v>
      </c>
      <c r="J259" s="47" t="n">
        <f aca="false">(V$27+V$28*SIN(2*PI()/365*A259))*V$29/100*V$11*(1-V$18/100)</f>
        <v>4.21744770945761</v>
      </c>
      <c r="K259" s="48" t="n">
        <f aca="false">IF(E259/C259*100&lt;100,E259/C259*100,100)</f>
        <v>0</v>
      </c>
      <c r="L259" s="7" t="n">
        <f aca="false">IF(((C259-E259)&gt;0)*AND(F259&gt;(C259-E259)),(C259-E259),IF(C259&lt;E259,0,F259))</f>
        <v>3.83787741560642</v>
      </c>
      <c r="M259" s="7" t="n">
        <f aca="false">IF(C259&lt;(E259+F259),0,C259-E259-F259)</f>
        <v>27.6816054182499</v>
      </c>
      <c r="N259" s="7" t="n">
        <f aca="false">IF(C259&lt;(E259+F259),0,(C259-E259-F259)/(1-V$20/100))</f>
        <v>30.4193466134615</v>
      </c>
      <c r="O259" s="7" t="n">
        <f aca="false">L259+M259</f>
        <v>31.5194828338564</v>
      </c>
      <c r="P259" s="49" t="n">
        <f aca="false">IF(N259=0,I259*(1-G259/100)+J259*(1-H259/100),-N259)</f>
        <v>-30.4193466134615</v>
      </c>
      <c r="Q259" s="54" t="n">
        <f aca="false">IF(P258&gt;0,Q258+P258*(1-V$24/100),Q258+P258)</f>
        <v>2512.03931549589</v>
      </c>
      <c r="R259" s="55" t="n">
        <f aca="false">R$4+Q259/V$32</f>
        <v>64.4300605227145</v>
      </c>
    </row>
    <row r="260" customFormat="false" ht="12.8" hidden="false" customHeight="false" outlineLevel="0" collapsed="false">
      <c r="A260" s="1" t="n">
        <v>256</v>
      </c>
      <c r="B260" s="44" t="n">
        <v>43801</v>
      </c>
      <c r="C260" s="45" t="n">
        <f aca="false">V$30-V$30*SIN(2*PI()/365*A260)</f>
        <v>31.60553732318</v>
      </c>
      <c r="D260" s="3" t="n">
        <f aca="false">IF((E260+F260)&gt;C260,C260,E260+F260)</f>
        <v>3.75135408201053</v>
      </c>
      <c r="E260" s="46" t="n">
        <f aca="false">(V$27+V$28*SIN(2*PI()/365*A260))*V$29/100*V$9*V$10/100</f>
        <v>0</v>
      </c>
      <c r="F260" s="46" t="n">
        <f aca="false">(V$27+V$28*SIN(2*PI()/365*A260))*V$29/100*V$11*(1-V$18/100)*(1-V$20/100)</f>
        <v>3.75135408201053</v>
      </c>
      <c r="G260" s="46" t="n">
        <f aca="false">IF(C260&gt;E260,100,C260/E260*100)</f>
        <v>100</v>
      </c>
      <c r="H260" s="46" t="n">
        <f aca="false">L260/F260*100</f>
        <v>100</v>
      </c>
      <c r="I260" s="47" t="n">
        <f aca="false">(V$27+V$28*SIN(2*PI()/365*A260))*V$29/100*V$9*V$10/100*(1-V$19/100)</f>
        <v>0</v>
      </c>
      <c r="J260" s="47" t="n">
        <f aca="false">(V$27+V$28*SIN(2*PI()/365*A260))*V$29/100*V$11*(1-V$18/100)</f>
        <v>4.1223671230885</v>
      </c>
      <c r="K260" s="48" t="n">
        <f aca="false">IF(E260/C260*100&lt;100,E260/C260*100,100)</f>
        <v>0</v>
      </c>
      <c r="L260" s="7" t="n">
        <f aca="false">IF(((C260-E260)&gt;0)*AND(F260&gt;(C260-E260)),(C260-E260),IF(C260&lt;E260,0,F260))</f>
        <v>3.75135408201053</v>
      </c>
      <c r="M260" s="7" t="n">
        <f aca="false">IF(C260&lt;(E260+F260),0,C260-E260-F260)</f>
        <v>27.8541832411695</v>
      </c>
      <c r="N260" s="7" t="n">
        <f aca="false">IF(C260&lt;(E260+F260),0,(C260-E260-F260)/(1-V$20/100))</f>
        <v>30.6089925727138</v>
      </c>
      <c r="O260" s="7" t="n">
        <f aca="false">L260+M260</f>
        <v>31.60553732318</v>
      </c>
      <c r="P260" s="49" t="n">
        <f aca="false">IF(N260=0,I260*(1-G260/100)+J260*(1-H260/100),-N260)</f>
        <v>-30.6089925727138</v>
      </c>
      <c r="Q260" s="54" t="n">
        <f aca="false">IF(P259&gt;0,Q259+P259*(1-V$24/100),Q259+P259)</f>
        <v>2481.61996888243</v>
      </c>
      <c r="R260" s="55" t="n">
        <f aca="false">R$4+Q260/V$32</f>
        <v>64.1342265864206</v>
      </c>
    </row>
    <row r="261" customFormat="false" ht="12.8" hidden="false" customHeight="false" outlineLevel="0" collapsed="false">
      <c r="A261" s="1" t="n">
        <v>257</v>
      </c>
      <c r="B261" s="44" t="n">
        <v>43802</v>
      </c>
      <c r="C261" s="45" t="n">
        <f aca="false">V$30-V$30*SIN(2*PI()/365*A261)</f>
        <v>31.6870201313013</v>
      </c>
      <c r="D261" s="3" t="n">
        <f aca="false">IF((E261+F261)&gt;C261,C261,E261+F261)</f>
        <v>3.66942733716765</v>
      </c>
      <c r="E261" s="46" t="n">
        <f aca="false">(V$27+V$28*SIN(2*PI()/365*A261))*V$29/100*V$9*V$10/100</f>
        <v>0</v>
      </c>
      <c r="F261" s="46" t="n">
        <f aca="false">(V$27+V$28*SIN(2*PI()/365*A261))*V$29/100*V$11*(1-V$18/100)*(1-V$20/100)</f>
        <v>3.66942733716765</v>
      </c>
      <c r="G261" s="46" t="n">
        <f aca="false">IF(C261&gt;E261,100,C261/E261*100)</f>
        <v>100</v>
      </c>
      <c r="H261" s="46" t="n">
        <f aca="false">L261/F261*100</f>
        <v>100</v>
      </c>
      <c r="I261" s="47" t="n">
        <f aca="false">(V$27+V$28*SIN(2*PI()/365*A261))*V$29/100*V$9*V$10/100*(1-V$19/100)</f>
        <v>0</v>
      </c>
      <c r="J261" s="47" t="n">
        <f aca="false">(V$27+V$28*SIN(2*PI()/365*A261))*V$29/100*V$11*(1-V$18/100)</f>
        <v>4.03233773315126</v>
      </c>
      <c r="K261" s="48" t="n">
        <f aca="false">IF(E261/C261*100&lt;100,E261/C261*100,100)</f>
        <v>0</v>
      </c>
      <c r="L261" s="7" t="n">
        <f aca="false">IF(((C261-E261)&gt;0)*AND(F261&gt;(C261-E261)),(C261-E261),IF(C261&lt;E261,0,F261))</f>
        <v>3.66942733716765</v>
      </c>
      <c r="M261" s="7" t="n">
        <f aca="false">IF(C261&lt;(E261+F261),0,C261-E261-F261)</f>
        <v>28.0175927941337</v>
      </c>
      <c r="N261" s="7" t="n">
        <f aca="false">IF(C261&lt;(E261+F261),0,(C261-E261-F261)/(1-V$20/100))</f>
        <v>30.788563510037</v>
      </c>
      <c r="O261" s="7" t="n">
        <f aca="false">L261+M261</f>
        <v>31.6870201313013</v>
      </c>
      <c r="P261" s="49" t="n">
        <f aca="false">IF(N261=0,I261*(1-G261/100)+J261*(1-H261/100),-N261)</f>
        <v>-30.788563510037</v>
      </c>
      <c r="Q261" s="54" t="n">
        <f aca="false">IF(P260&gt;0,Q260+P260*(1-V$24/100),Q260+P260)</f>
        <v>2451.01097630972</v>
      </c>
      <c r="R261" s="55" t="n">
        <f aca="false">R$4+Q261/V$32</f>
        <v>63.8365483070728</v>
      </c>
    </row>
    <row r="262" customFormat="false" ht="12.8" hidden="false" customHeight="false" outlineLevel="0" collapsed="false">
      <c r="A262" s="1" t="n">
        <v>258</v>
      </c>
      <c r="B262" s="44" t="n">
        <v>43803</v>
      </c>
      <c r="C262" s="45" t="n">
        <f aca="false">V$30-V$30*SIN(2*PI()/365*A262)</f>
        <v>31.7639071131056</v>
      </c>
      <c r="D262" s="3" t="n">
        <f aca="false">IF((E262+F262)&gt;C262,C262,E262+F262)</f>
        <v>3.59212145774038</v>
      </c>
      <c r="E262" s="46" t="n">
        <f aca="false">(V$27+V$28*SIN(2*PI()/365*A262))*V$29/100*V$9*V$10/100</f>
        <v>0</v>
      </c>
      <c r="F262" s="46" t="n">
        <f aca="false">(V$27+V$28*SIN(2*PI()/365*A262))*V$29/100*V$11*(1-V$18/100)*(1-V$20/100)</f>
        <v>3.59212145774038</v>
      </c>
      <c r="G262" s="46" t="n">
        <f aca="false">IF(C262&gt;E262,100,C262/E262*100)</f>
        <v>100</v>
      </c>
      <c r="H262" s="46" t="n">
        <f aca="false">L262/F262*100</f>
        <v>100</v>
      </c>
      <c r="I262" s="47" t="n">
        <f aca="false">(V$27+V$28*SIN(2*PI()/365*A262))*V$29/100*V$9*V$10/100*(1-V$19/100)</f>
        <v>0</v>
      </c>
      <c r="J262" s="47" t="n">
        <f aca="false">(V$27+V$28*SIN(2*PI()/365*A262))*V$29/100*V$11*(1-V$18/100)</f>
        <v>3.94738621729712</v>
      </c>
      <c r="K262" s="48" t="n">
        <f aca="false">IF(E262/C262*100&lt;100,E262/C262*100,100)</f>
        <v>0</v>
      </c>
      <c r="L262" s="7" t="n">
        <f aca="false">IF(((C262-E262)&gt;0)*AND(F262&gt;(C262-E262)),(C262-E262),IF(C262&lt;E262,0,F262))</f>
        <v>3.59212145774038</v>
      </c>
      <c r="M262" s="7" t="n">
        <f aca="false">IF(C262&lt;(E262+F262),0,C262-E262-F262)</f>
        <v>28.1717856553652</v>
      </c>
      <c r="N262" s="7" t="n">
        <f aca="false">IF(C262&lt;(E262+F262),0,(C262-E262-F262)/(1-V$20/100))</f>
        <v>30.958006214687</v>
      </c>
      <c r="O262" s="7" t="n">
        <f aca="false">L262+M262</f>
        <v>31.7639071131056</v>
      </c>
      <c r="P262" s="49" t="n">
        <f aca="false">IF(N262=0,I262*(1-G262/100)+J262*(1-H262/100),-N262)</f>
        <v>-30.958006214687</v>
      </c>
      <c r="Q262" s="54" t="n">
        <f aca="false">IF(P261&gt;0,Q261+P261*(1-V$24/100),Q261+P261)</f>
        <v>2420.22241279968</v>
      </c>
      <c r="R262" s="55" t="n">
        <f aca="false">R$4+Q262/V$32</f>
        <v>63.5371236661774</v>
      </c>
    </row>
    <row r="263" customFormat="false" ht="12.8" hidden="false" customHeight="false" outlineLevel="0" collapsed="false">
      <c r="A263" s="1" t="n">
        <v>259</v>
      </c>
      <c r="B263" s="44" t="n">
        <v>43804</v>
      </c>
      <c r="C263" s="45" t="n">
        <f aca="false">V$30-V$30*SIN(2*PI()/365*A263)</f>
        <v>31.8361754853208</v>
      </c>
      <c r="D263" s="3" t="n">
        <f aca="false">IF((E263+F263)&gt;C263,C263,E263+F263)</f>
        <v>3.51945935112921</v>
      </c>
      <c r="E263" s="46" t="n">
        <f aca="false">(V$27+V$28*SIN(2*PI()/365*A263))*V$29/100*V$9*V$10/100</f>
        <v>0</v>
      </c>
      <c r="F263" s="46" t="n">
        <f aca="false">(V$27+V$28*SIN(2*PI()/365*A263))*V$29/100*V$11*(1-V$18/100)*(1-V$20/100)</f>
        <v>3.51945935112921</v>
      </c>
      <c r="G263" s="46" t="n">
        <f aca="false">IF(C263&gt;E263,100,C263/E263*100)</f>
        <v>100</v>
      </c>
      <c r="H263" s="46" t="n">
        <f aca="false">L263/F263*100</f>
        <v>100</v>
      </c>
      <c r="I263" s="47" t="n">
        <f aca="false">(V$27+V$28*SIN(2*PI()/365*A263))*V$29/100*V$9*V$10/100*(1-V$19/100)</f>
        <v>0</v>
      </c>
      <c r="J263" s="47" t="n">
        <f aca="false">(V$27+V$28*SIN(2*PI()/365*A263))*V$29/100*V$11*(1-V$18/100)</f>
        <v>3.86753774849363</v>
      </c>
      <c r="K263" s="48" t="n">
        <f aca="false">IF(E263/C263*100&lt;100,E263/C263*100,100)</f>
        <v>0</v>
      </c>
      <c r="L263" s="7" t="n">
        <f aca="false">IF(((C263-E263)&gt;0)*AND(F263&gt;(C263-E263)),(C263-E263),IF(C263&lt;E263,0,F263))</f>
        <v>3.51945935112921</v>
      </c>
      <c r="M263" s="7" t="n">
        <f aca="false">IF(C263&lt;(E263+F263),0,C263-E263-F263)</f>
        <v>28.3167161341916</v>
      </c>
      <c r="N263" s="7" t="n">
        <f aca="false">IF(C263&lt;(E263+F263),0,(C263-E263-F263)/(1-V$20/100))</f>
        <v>31.1172704771336</v>
      </c>
      <c r="O263" s="7" t="n">
        <f aca="false">L263+M263</f>
        <v>31.8361754853208</v>
      </c>
      <c r="P263" s="49" t="n">
        <f aca="false">IF(N263=0,I263*(1-G263/100)+J263*(1-H263/100),-N263)</f>
        <v>-31.1172704771336</v>
      </c>
      <c r="Q263" s="54" t="n">
        <f aca="false">IF(P262&gt;0,Q262+P262*(1-V$24/100),Q262+P262)</f>
        <v>2389.26440658499</v>
      </c>
      <c r="R263" s="55" t="n">
        <f aca="false">R$4+Q263/V$32</f>
        <v>63.2360511627249</v>
      </c>
    </row>
    <row r="264" customFormat="false" ht="12.8" hidden="false" customHeight="false" outlineLevel="0" collapsed="false">
      <c r="A264" s="1" t="n">
        <v>260</v>
      </c>
      <c r="B264" s="44" t="n">
        <v>43805</v>
      </c>
      <c r="C264" s="45" t="n">
        <f aca="false">V$30-V$30*SIN(2*PI()/365*A264)</f>
        <v>31.9038038332685</v>
      </c>
      <c r="D264" s="3" t="n">
        <f aca="false">IF((E264+F264)&gt;C264,C264,E264+F264)</f>
        <v>3.45146254868448</v>
      </c>
      <c r="E264" s="46" t="n">
        <f aca="false">(V$27+V$28*SIN(2*PI()/365*A264))*V$29/100*V$9*V$10/100</f>
        <v>0</v>
      </c>
      <c r="F264" s="46" t="n">
        <f aca="false">(V$27+V$28*SIN(2*PI()/365*A264))*V$29/100*V$11*(1-V$18/100)*(1-V$20/100)</f>
        <v>3.45146254868448</v>
      </c>
      <c r="G264" s="46" t="n">
        <f aca="false">IF(C264&gt;E264,100,C264/E264*100)</f>
        <v>100</v>
      </c>
      <c r="H264" s="46" t="n">
        <f aca="false">L264/F264*100</f>
        <v>100</v>
      </c>
      <c r="I264" s="47" t="n">
        <f aca="false">(V$27+V$28*SIN(2*PI()/365*A264))*V$29/100*V$9*V$10/100*(1-V$19/100)</f>
        <v>0</v>
      </c>
      <c r="J264" s="47" t="n">
        <f aca="false">(V$27+V$28*SIN(2*PI()/365*A264))*V$29/100*V$11*(1-V$18/100)</f>
        <v>3.79281598756537</v>
      </c>
      <c r="K264" s="48" t="n">
        <f aca="false">IF(E264/C264*100&lt;100,E264/C264*100,100)</f>
        <v>0</v>
      </c>
      <c r="L264" s="7" t="n">
        <f aca="false">IF(((C264-E264)&gt;0)*AND(F264&gt;(C264-E264)),(C264-E264),IF(C264&lt;E264,0,F264))</f>
        <v>3.45146254868448</v>
      </c>
      <c r="M264" s="7" t="n">
        <f aca="false">IF(C264&lt;(E264+F264),0,C264-E264-F264)</f>
        <v>28.4523412845841</v>
      </c>
      <c r="N264" s="7" t="n">
        <f aca="false">IF(C264&lt;(E264+F264),0,(C264-E264-F264)/(1-V$20/100))</f>
        <v>31.2663091039385</v>
      </c>
      <c r="O264" s="7" t="n">
        <f aca="false">L264+M264</f>
        <v>31.9038038332685</v>
      </c>
      <c r="P264" s="49" t="n">
        <f aca="false">IF(N264=0,I264*(1-G264/100)+J264*(1-H264/100),-N264)</f>
        <v>-31.2663091039385</v>
      </c>
      <c r="Q264" s="54" t="n">
        <f aca="false">IF(P263&gt;0,Q263+P263*(1-V$24/100),Q263+P263)</f>
        <v>2358.14713610786</v>
      </c>
      <c r="R264" s="55" t="n">
        <f aca="false">R$4+Q264/V$32</f>
        <v>62.9334297840034</v>
      </c>
    </row>
    <row r="265" customFormat="false" ht="12.8" hidden="false" customHeight="false" outlineLevel="0" collapsed="false">
      <c r="A265" s="1" t="n">
        <v>261</v>
      </c>
      <c r="B265" s="44" t="n">
        <v>43806</v>
      </c>
      <c r="C265" s="45" t="n">
        <f aca="false">V$30-V$30*SIN(2*PI()/365*A265)</f>
        <v>31.9667721172098</v>
      </c>
      <c r="D265" s="3" t="n">
        <f aca="false">IF((E265+F265)&gt;C265,C265,E265+F265)</f>
        <v>3.38815119932628</v>
      </c>
      <c r="E265" s="46" t="n">
        <f aca="false">(V$27+V$28*SIN(2*PI()/365*A265))*V$29/100*V$9*V$10/100</f>
        <v>0</v>
      </c>
      <c r="F265" s="46" t="n">
        <f aca="false">(V$27+V$28*SIN(2*PI()/365*A265))*V$29/100*V$11*(1-V$18/100)*(1-V$20/100)</f>
        <v>3.38815119932628</v>
      </c>
      <c r="G265" s="46" t="n">
        <f aca="false">IF(C265&gt;E265,100,C265/E265*100)</f>
        <v>100</v>
      </c>
      <c r="H265" s="46" t="n">
        <f aca="false">L265/F265*100</f>
        <v>100</v>
      </c>
      <c r="I265" s="47" t="n">
        <f aca="false">(V$27+V$28*SIN(2*PI()/365*A265))*V$29/100*V$9*V$10/100*(1-V$19/100)</f>
        <v>0</v>
      </c>
      <c r="J265" s="47" t="n">
        <f aca="false">(V$27+V$28*SIN(2*PI()/365*A265))*V$29/100*V$11*(1-V$18/100)</f>
        <v>3.72324307618272</v>
      </c>
      <c r="K265" s="48" t="n">
        <f aca="false">IF(E265/C265*100&lt;100,E265/C265*100,100)</f>
        <v>0</v>
      </c>
      <c r="L265" s="7" t="n">
        <f aca="false">IF(((C265-E265)&gt;0)*AND(F265&gt;(C265-E265)),(C265-E265),IF(C265&lt;E265,0,F265))</f>
        <v>3.38815119932628</v>
      </c>
      <c r="M265" s="7" t="n">
        <f aca="false">IF(C265&lt;(E265+F265),0,C265-E265-F265)</f>
        <v>28.5786209178836</v>
      </c>
      <c r="N265" s="7" t="n">
        <f aca="false">IF(C265&lt;(E265+F265),0,(C265-E265-F265)/(1-V$20/100))</f>
        <v>31.4050779317402</v>
      </c>
      <c r="O265" s="7" t="n">
        <f aca="false">L265+M265</f>
        <v>31.9667721172098</v>
      </c>
      <c r="P265" s="49" t="n">
        <f aca="false">IF(N265=0,I265*(1-G265/100)+J265*(1-H265/100),-N265)</f>
        <v>-31.4050779317402</v>
      </c>
      <c r="Q265" s="54" t="n">
        <f aca="false">IF(P264&gt;0,Q264+P264*(1-V$24/100),Q264+P264)</f>
        <v>2326.88082700392</v>
      </c>
      <c r="R265" s="55" t="n">
        <f aca="false">R$4+Q265/V$32</f>
        <v>62.6293589762659</v>
      </c>
    </row>
    <row r="266" customFormat="false" ht="12.8" hidden="false" customHeight="false" outlineLevel="0" collapsed="false">
      <c r="A266" s="1" t="n">
        <v>262</v>
      </c>
      <c r="B266" s="44" t="n">
        <v>43807</v>
      </c>
      <c r="C266" s="45" t="n">
        <f aca="false">V$30-V$30*SIN(2*PI()/365*A266)</f>
        <v>32.0250616782832</v>
      </c>
      <c r="D266" s="3" t="n">
        <f aca="false">IF((E266+F266)&gt;C266,C266,E266+F266)</f>
        <v>3.32954406357376</v>
      </c>
      <c r="E266" s="46" t="n">
        <f aca="false">(V$27+V$28*SIN(2*PI()/365*A266))*V$29/100*V$9*V$10/100</f>
        <v>0</v>
      </c>
      <c r="F266" s="46" t="n">
        <f aca="false">(V$27+V$28*SIN(2*PI()/365*A266))*V$29/100*V$11*(1-V$18/100)*(1-V$20/100)</f>
        <v>3.32954406357376</v>
      </c>
      <c r="G266" s="46" t="n">
        <f aca="false">IF(C266&gt;E266,100,C266/E266*100)</f>
        <v>100</v>
      </c>
      <c r="H266" s="46" t="n">
        <f aca="false">L266/F266*100</f>
        <v>100</v>
      </c>
      <c r="I266" s="47" t="n">
        <f aca="false">(V$27+V$28*SIN(2*PI()/365*A266))*V$29/100*V$9*V$10/100*(1-V$19/100)</f>
        <v>0</v>
      </c>
      <c r="J266" s="47" t="n">
        <f aca="false">(V$27+V$28*SIN(2*PI()/365*A266))*V$29/100*V$11*(1-V$18/100)</f>
        <v>3.65883963030084</v>
      </c>
      <c r="K266" s="48" t="n">
        <f aca="false">IF(E266/C266*100&lt;100,E266/C266*100,100)</f>
        <v>0</v>
      </c>
      <c r="L266" s="7" t="n">
        <f aca="false">IF(((C266-E266)&gt;0)*AND(F266&gt;(C266-E266)),(C266-E266),IF(C266&lt;E266,0,F266))</f>
        <v>3.32954406357376</v>
      </c>
      <c r="M266" s="7" t="n">
        <f aca="false">IF(C266&lt;(E266+F266),0,C266-E266-F266)</f>
        <v>28.6955176147094</v>
      </c>
      <c r="N266" s="7" t="n">
        <f aca="false">IF(C266&lt;(E266+F266),0,(C266-E266-F266)/(1-V$20/100))</f>
        <v>31.53353584034</v>
      </c>
      <c r="O266" s="7" t="n">
        <f aca="false">L266+M266</f>
        <v>32.0250616782832</v>
      </c>
      <c r="P266" s="49" t="n">
        <f aca="false">IF(N266=0,I266*(1-G266/100)+J266*(1-H266/100),-N266)</f>
        <v>-31.53353584034</v>
      </c>
      <c r="Q266" s="54" t="n">
        <f aca="false">IF(P265&gt;0,Q265+P265*(1-V$24/100),Q265+P265)</f>
        <v>2295.47574907218</v>
      </c>
      <c r="R266" s="55" t="n">
        <f aca="false">R$4+Q266/V$32</f>
        <v>62.3239386152627</v>
      </c>
    </row>
    <row r="267" customFormat="false" ht="12.8" hidden="false" customHeight="false" outlineLevel="0" collapsed="false">
      <c r="A267" s="1" t="n">
        <v>263</v>
      </c>
      <c r="B267" s="44" t="n">
        <v>43808</v>
      </c>
      <c r="C267" s="45" t="n">
        <f aca="false">V$30-V$30*SIN(2*PI()/365*A267)</f>
        <v>32.0786552440336</v>
      </c>
      <c r="D267" s="3" t="n">
        <f aca="false">IF((E267+F267)&gt;C267,C267,E267+F267)</f>
        <v>3.27565850798612</v>
      </c>
      <c r="E267" s="46" t="n">
        <f aca="false">(V$27+V$28*SIN(2*PI()/365*A267))*V$29/100*V$9*V$10/100</f>
        <v>0</v>
      </c>
      <c r="F267" s="46" t="n">
        <f aca="false">(V$27+V$28*SIN(2*PI()/365*A267))*V$29/100*V$11*(1-V$18/100)*(1-V$20/100)</f>
        <v>3.27565850798612</v>
      </c>
      <c r="G267" s="46" t="n">
        <f aca="false">IF(C267&gt;E267,100,C267/E267*100)</f>
        <v>100</v>
      </c>
      <c r="H267" s="46" t="n">
        <f aca="false">L267/F267*100</f>
        <v>100</v>
      </c>
      <c r="I267" s="47" t="n">
        <f aca="false">(V$27+V$28*SIN(2*PI()/365*A267))*V$29/100*V$9*V$10/100*(1-V$19/100)</f>
        <v>0</v>
      </c>
      <c r="J267" s="47" t="n">
        <f aca="false">(V$27+V$28*SIN(2*PI()/365*A267))*V$29/100*V$11*(1-V$18/100)</f>
        <v>3.59962473405069</v>
      </c>
      <c r="K267" s="48" t="n">
        <f aca="false">IF(E267/C267*100&lt;100,E267/C267*100,100)</f>
        <v>0</v>
      </c>
      <c r="L267" s="7" t="n">
        <f aca="false">IF(((C267-E267)&gt;0)*AND(F267&gt;(C267-E267)),(C267-E267),IF(C267&lt;E267,0,F267))</f>
        <v>3.27565850798612</v>
      </c>
      <c r="M267" s="7" t="n">
        <f aca="false">IF(C267&lt;(E267+F267),0,C267-E267-F267)</f>
        <v>28.8029967360475</v>
      </c>
      <c r="N267" s="7" t="n">
        <f aca="false">IF(C267&lt;(E267+F267),0,(C267-E267-F267)/(1-V$20/100))</f>
        <v>31.6516447648873</v>
      </c>
      <c r="O267" s="7" t="n">
        <f aca="false">L267+M267</f>
        <v>32.0786552440336</v>
      </c>
      <c r="P267" s="49" t="n">
        <f aca="false">IF(N267=0,I267*(1-G267/100)+J267*(1-H267/100),-N267)</f>
        <v>-31.6516447648873</v>
      </c>
      <c r="Q267" s="54" t="n">
        <f aca="false">IF(P266&gt;0,Q266+P266*(1-V$24/100),Q266+P266)</f>
        <v>2263.94221323184</v>
      </c>
      <c r="R267" s="55" t="n">
        <f aca="false">R$4+Q267/V$32</f>
        <v>62.0172689766457</v>
      </c>
    </row>
    <row r="268" customFormat="false" ht="12.8" hidden="false" customHeight="false" outlineLevel="0" collapsed="false">
      <c r="A268" s="1" t="n">
        <v>264</v>
      </c>
      <c r="B268" s="44" t="n">
        <v>43809</v>
      </c>
      <c r="C268" s="45" t="n">
        <f aca="false">V$30-V$30*SIN(2*PI()/365*A268)</f>
        <v>32.127536933531</v>
      </c>
      <c r="D268" s="3" t="n">
        <f aca="false">IF((E268+F268)&gt;C268,C268,E268+F268)</f>
        <v>3.22651050001641</v>
      </c>
      <c r="E268" s="46" t="n">
        <f aca="false">(V$27+V$28*SIN(2*PI()/365*A268))*V$29/100*V$9*V$10/100</f>
        <v>0</v>
      </c>
      <c r="F268" s="46" t="n">
        <f aca="false">(V$27+V$28*SIN(2*PI()/365*A268))*V$29/100*V$11*(1-V$18/100)*(1-V$20/100)</f>
        <v>3.22651050001641</v>
      </c>
      <c r="G268" s="46" t="n">
        <f aca="false">IF(C268&gt;E268,100,C268/E268*100)</f>
        <v>100</v>
      </c>
      <c r="H268" s="46" t="n">
        <f aca="false">L268/F268*100</f>
        <v>100</v>
      </c>
      <c r="I268" s="47" t="n">
        <f aca="false">(V$27+V$28*SIN(2*PI()/365*A268))*V$29/100*V$9*V$10/100*(1-V$19/100)</f>
        <v>0</v>
      </c>
      <c r="J268" s="47" t="n">
        <f aca="false">(V$27+V$28*SIN(2*PI()/365*A268))*V$29/100*V$11*(1-V$18/100)</f>
        <v>3.54561593408397</v>
      </c>
      <c r="K268" s="48" t="n">
        <f aca="false">IF(E268/C268*100&lt;100,E268/C268*100,100)</f>
        <v>0</v>
      </c>
      <c r="L268" s="7" t="n">
        <f aca="false">IF(((C268-E268)&gt;0)*AND(F268&gt;(C268-E268)),(C268-E268),IF(C268&lt;E268,0,F268))</f>
        <v>3.22651050001641</v>
      </c>
      <c r="M268" s="7" t="n">
        <f aca="false">IF(C268&lt;(E268+F268),0,C268-E268-F268)</f>
        <v>28.9010264335145</v>
      </c>
      <c r="N268" s="7" t="n">
        <f aca="false">IF(C268&lt;(E268+F268),0,(C268-E268-F268)/(1-V$20/100))</f>
        <v>31.7593697071588</v>
      </c>
      <c r="O268" s="7" t="n">
        <f aca="false">L268+M268</f>
        <v>32.127536933531</v>
      </c>
      <c r="P268" s="49" t="n">
        <f aca="false">IF(N268=0,I268*(1-G268/100)+J268*(1-H268/100),-N268)</f>
        <v>-31.7593697071588</v>
      </c>
      <c r="Q268" s="54" t="n">
        <f aca="false">IF(P267&gt;0,Q267+P267*(1-V$24/100),Q267+P267)</f>
        <v>2232.29056846695</v>
      </c>
      <c r="R268" s="55" t="n">
        <f aca="false">R$4+Q268/V$32</f>
        <v>61.7094507062549</v>
      </c>
    </row>
    <row r="269" customFormat="false" ht="12.8" hidden="false" customHeight="false" outlineLevel="0" collapsed="false">
      <c r="A269" s="1" t="n">
        <v>265</v>
      </c>
      <c r="B269" s="44" t="n">
        <v>43810</v>
      </c>
      <c r="C269" s="45" t="n">
        <f aca="false">V$30-V$30*SIN(2*PI()/365*A269)</f>
        <v>32.1716922620757</v>
      </c>
      <c r="D269" s="3" t="n">
        <f aca="false">IF((E269+F269)&gt;C269,C269,E269+F269)</f>
        <v>3.1821146032801</v>
      </c>
      <c r="E269" s="46" t="n">
        <f aca="false">(V$27+V$28*SIN(2*PI()/365*A269))*V$29/100*V$9*V$10/100</f>
        <v>0</v>
      </c>
      <c r="F269" s="46" t="n">
        <f aca="false">(V$27+V$28*SIN(2*PI()/365*A269))*V$29/100*V$11*(1-V$18/100)*(1-V$20/100)</f>
        <v>3.1821146032801</v>
      </c>
      <c r="G269" s="46" t="n">
        <f aca="false">IF(C269&gt;E269,100,C269/E269*100)</f>
        <v>100</v>
      </c>
      <c r="H269" s="46" t="n">
        <f aca="false">L269/F269*100</f>
        <v>100</v>
      </c>
      <c r="I269" s="47" t="n">
        <f aca="false">(V$27+V$28*SIN(2*PI()/365*A269))*V$29/100*V$9*V$10/100*(1-V$19/100)</f>
        <v>0</v>
      </c>
      <c r="J269" s="47" t="n">
        <f aca="false">(V$27+V$28*SIN(2*PI()/365*A269))*V$29/100*V$11*(1-V$18/100)</f>
        <v>3.49682923437373</v>
      </c>
      <c r="K269" s="48" t="n">
        <f aca="false">IF(E269/C269*100&lt;100,E269/C269*100,100)</f>
        <v>0</v>
      </c>
      <c r="L269" s="7" t="n">
        <f aca="false">IF(((C269-E269)&gt;0)*AND(F269&gt;(C269-E269)),(C269-E269),IF(C269&lt;E269,0,F269))</f>
        <v>3.1821146032801</v>
      </c>
      <c r="M269" s="7" t="n">
        <f aca="false">IF(C269&lt;(E269+F269),0,C269-E269-F269)</f>
        <v>28.9895776587956</v>
      </c>
      <c r="N269" s="7" t="n">
        <f aca="false">IF(C269&lt;(E269+F269),0,(C269-E269-F269)/(1-V$20/100))</f>
        <v>31.8566787459292</v>
      </c>
      <c r="O269" s="7" t="n">
        <f aca="false">L269+M269</f>
        <v>32.1716922620757</v>
      </c>
      <c r="P269" s="49" t="n">
        <f aca="false">IF(N269=0,I269*(1-G269/100)+J269*(1-H269/100),-N269)</f>
        <v>-31.8566787459292</v>
      </c>
      <c r="Q269" s="54" t="n">
        <f aca="false">IF(P268&gt;0,Q268+P268*(1-V$24/100),Q268+P268)</f>
        <v>2200.53119875979</v>
      </c>
      <c r="R269" s="55" t="n">
        <f aca="false">R$4+Q269/V$32</f>
        <v>61.4005847902945</v>
      </c>
    </row>
    <row r="270" customFormat="false" ht="12.8" hidden="false" customHeight="false" outlineLevel="0" collapsed="false">
      <c r="A270" s="1" t="n">
        <v>266</v>
      </c>
      <c r="B270" s="44" t="n">
        <v>43811</v>
      </c>
      <c r="C270" s="45" t="n">
        <f aca="false">V$30-V$30*SIN(2*PI()/365*A270)</f>
        <v>32.211108145491</v>
      </c>
      <c r="D270" s="3" t="n">
        <f aca="false">IF((E270+F270)&gt;C270,C270,E270+F270)</f>
        <v>3.14248397323952</v>
      </c>
      <c r="E270" s="46" t="n">
        <f aca="false">(V$27+V$28*SIN(2*PI()/365*A270))*V$29/100*V$9*V$10/100</f>
        <v>0</v>
      </c>
      <c r="F270" s="46" t="n">
        <f aca="false">(V$27+V$28*SIN(2*PI()/365*A270))*V$29/100*V$11*(1-V$18/100)*(1-V$20/100)</f>
        <v>3.14248397323952</v>
      </c>
      <c r="G270" s="46" t="n">
        <f aca="false">IF(C270&gt;E270,100,C270/E270*100)</f>
        <v>100</v>
      </c>
      <c r="H270" s="46" t="n">
        <f aca="false">L270/F270*100</f>
        <v>100</v>
      </c>
      <c r="I270" s="47" t="n">
        <f aca="false">(V$27+V$28*SIN(2*PI()/365*A270))*V$29/100*V$9*V$10/100*(1-V$19/100)</f>
        <v>0</v>
      </c>
      <c r="J270" s="47" t="n">
        <f aca="false">(V$27+V$28*SIN(2*PI()/365*A270))*V$29/100*V$11*(1-V$18/100)</f>
        <v>3.453279091472</v>
      </c>
      <c r="K270" s="48" t="n">
        <f aca="false">IF(E270/C270*100&lt;100,E270/C270*100,100)</f>
        <v>0</v>
      </c>
      <c r="L270" s="7" t="n">
        <f aca="false">IF(((C270-E270)&gt;0)*AND(F270&gt;(C270-E270)),(C270-E270),IF(C270&lt;E270,0,F270))</f>
        <v>3.14248397323952</v>
      </c>
      <c r="M270" s="7" t="n">
        <f aca="false">IF(C270&lt;(E270+F270),0,C270-E270-F270)</f>
        <v>29.0686241722514</v>
      </c>
      <c r="N270" s="7" t="n">
        <f aca="false">IF(C270&lt;(E270+F270),0,(C270-E270-F270)/(1-V$20/100))</f>
        <v>31.9435430464301</v>
      </c>
      <c r="O270" s="7" t="n">
        <f aca="false">L270+M270</f>
        <v>32.211108145491</v>
      </c>
      <c r="P270" s="49" t="n">
        <f aca="false">IF(N270=0,I270*(1-G270/100)+J270*(1-H270/100),-N270)</f>
        <v>-31.9435430464301</v>
      </c>
      <c r="Q270" s="54" t="n">
        <f aca="false">IF(P269&gt;0,Q269+P269*(1-V$24/100),Q269+P269)</f>
        <v>2168.67452001386</v>
      </c>
      <c r="R270" s="55" t="n">
        <f aca="false">R$4+Q270/V$32</f>
        <v>61.0907725254088</v>
      </c>
    </row>
    <row r="271" customFormat="false" ht="12.8" hidden="false" customHeight="false" outlineLevel="0" collapsed="false">
      <c r="A271" s="1" t="n">
        <v>267</v>
      </c>
      <c r="B271" s="44" t="n">
        <v>43812</v>
      </c>
      <c r="C271" s="45" t="n">
        <f aca="false">V$30-V$30*SIN(2*PI()/365*A271)</f>
        <v>32.2457729039999</v>
      </c>
      <c r="D271" s="3" t="n">
        <f aca="false">IF((E271+F271)&gt;C271,C271,E271+F271)</f>
        <v>3.10763035330566</v>
      </c>
      <c r="E271" s="46" t="n">
        <f aca="false">(V$27+V$28*SIN(2*PI()/365*A271))*V$29/100*V$9*V$10/100</f>
        <v>0</v>
      </c>
      <c r="F271" s="46" t="n">
        <f aca="false">(V$27+V$28*SIN(2*PI()/365*A271))*V$29/100*V$11*(1-V$18/100)*(1-V$20/100)</f>
        <v>3.10763035330566</v>
      </c>
      <c r="G271" s="46" t="n">
        <f aca="false">IF(C271&gt;E271,100,C271/E271*100)</f>
        <v>100</v>
      </c>
      <c r="H271" s="46" t="n">
        <f aca="false">L271/F271*100</f>
        <v>100</v>
      </c>
      <c r="I271" s="47" t="n">
        <f aca="false">(V$27+V$28*SIN(2*PI()/365*A271))*V$29/100*V$9*V$10/100*(1-V$19/100)</f>
        <v>0</v>
      </c>
      <c r="J271" s="47" t="n">
        <f aca="false">(V$27+V$28*SIN(2*PI()/365*A271))*V$29/100*V$11*(1-V$18/100)</f>
        <v>3.414978410226</v>
      </c>
      <c r="K271" s="48" t="n">
        <f aca="false">IF(E271/C271*100&lt;100,E271/C271*100,100)</f>
        <v>0</v>
      </c>
      <c r="L271" s="7" t="n">
        <f aca="false">IF(((C271-E271)&gt;0)*AND(F271&gt;(C271-E271)),(C271-E271),IF(C271&lt;E271,0,F271))</f>
        <v>3.10763035330566</v>
      </c>
      <c r="M271" s="7" t="n">
        <f aca="false">IF(C271&lt;(E271+F271),0,C271-E271-F271)</f>
        <v>29.1381425506942</v>
      </c>
      <c r="N271" s="7" t="n">
        <f aca="false">IF(C271&lt;(E271+F271),0,(C271-E271-F271)/(1-V$20/100))</f>
        <v>32.0199368688948</v>
      </c>
      <c r="O271" s="7" t="n">
        <f aca="false">L271+M271</f>
        <v>32.2457729039999</v>
      </c>
      <c r="P271" s="49" t="n">
        <f aca="false">IF(N271=0,I271*(1-G271/100)+J271*(1-H271/100),-N271)</f>
        <v>-32.0199368688948</v>
      </c>
      <c r="Q271" s="54" t="n">
        <f aca="false">IF(P270&gt;0,Q270+P270*(1-V$24/100),Q270+P270)</f>
        <v>2136.73097696743</v>
      </c>
      <c r="R271" s="55" t="n">
        <f aca="false">R$4+Q271/V$32</f>
        <v>60.7801154886657</v>
      </c>
    </row>
    <row r="272" customFormat="false" ht="12.8" hidden="false" customHeight="false" outlineLevel="0" collapsed="false">
      <c r="A272" s="1" t="n">
        <v>268</v>
      </c>
      <c r="B272" s="44" t="n">
        <v>43813</v>
      </c>
      <c r="C272" s="45" t="n">
        <f aca="false">V$30-V$30*SIN(2*PI()/365*A272)</f>
        <v>32.2756762656864</v>
      </c>
      <c r="D272" s="3" t="n">
        <f aca="false">IF((E272+F272)&gt;C272,C272,E272+F272)</f>
        <v>3.07756407135832</v>
      </c>
      <c r="E272" s="46" t="n">
        <f aca="false">(V$27+V$28*SIN(2*PI()/365*A272))*V$29/100*V$9*V$10/100</f>
        <v>0</v>
      </c>
      <c r="F272" s="46" t="n">
        <f aca="false">(V$27+V$28*SIN(2*PI()/365*A272))*V$29/100*V$11*(1-V$18/100)*(1-V$20/100)</f>
        <v>3.07756407135832</v>
      </c>
      <c r="G272" s="46" t="n">
        <f aca="false">IF(C272&gt;E272,100,C272/E272*100)</f>
        <v>100</v>
      </c>
      <c r="H272" s="46" t="n">
        <f aca="false">L272/F272*100</f>
        <v>100</v>
      </c>
      <c r="I272" s="47" t="n">
        <f aca="false">(V$27+V$28*SIN(2*PI()/365*A272))*V$29/100*V$9*V$10/100*(1-V$19/100)</f>
        <v>0</v>
      </c>
      <c r="J272" s="47" t="n">
        <f aca="false">(V$27+V$28*SIN(2*PI()/365*A272))*V$29/100*V$11*(1-V$18/100)</f>
        <v>3.3819385399542</v>
      </c>
      <c r="K272" s="48" t="n">
        <f aca="false">IF(E272/C272*100&lt;100,E272/C272*100,100)</f>
        <v>0</v>
      </c>
      <c r="L272" s="7" t="n">
        <f aca="false">IF(((C272-E272)&gt;0)*AND(F272&gt;(C272-E272)),(C272-E272),IF(C272&lt;E272,0,F272))</f>
        <v>3.07756407135832</v>
      </c>
      <c r="M272" s="7" t="n">
        <f aca="false">IF(C272&lt;(E272+F272),0,C272-E272-F272)</f>
        <v>29.1981121943281</v>
      </c>
      <c r="N272" s="7" t="n">
        <f aca="false">IF(C272&lt;(E272+F272),0,(C272-E272-F272)/(1-V$20/100))</f>
        <v>32.0858375761847</v>
      </c>
      <c r="O272" s="7" t="n">
        <f aca="false">L272+M272</f>
        <v>32.2756762656864</v>
      </c>
      <c r="P272" s="49" t="n">
        <f aca="false">IF(N272=0,I272*(1-G272/100)+J272*(1-H272/100),-N272)</f>
        <v>-32.0858375761847</v>
      </c>
      <c r="Q272" s="54" t="n">
        <f aca="false">IF(P271&gt;0,Q271+P271*(1-V$24/100),Q271+P271)</f>
        <v>2104.71104009854</v>
      </c>
      <c r="R272" s="55" t="n">
        <f aca="false">R$4+Q272/V$32</f>
        <v>60.4687155074571</v>
      </c>
    </row>
    <row r="273" customFormat="false" ht="12.8" hidden="false" customHeight="false" outlineLevel="0" collapsed="false">
      <c r="A273" s="1" t="n">
        <v>269</v>
      </c>
      <c r="B273" s="44" t="n">
        <v>43814</v>
      </c>
      <c r="C273" s="45" t="n">
        <f aca="false">V$30-V$30*SIN(2*PI()/365*A273)</f>
        <v>32.3008093695391</v>
      </c>
      <c r="D273" s="3" t="n">
        <f aca="false">IF((E273+F273)&gt;C273,C273,E273+F273)</f>
        <v>3.0522940366857</v>
      </c>
      <c r="E273" s="46" t="n">
        <f aca="false">(V$27+V$28*SIN(2*PI()/365*A273))*V$29/100*V$9*V$10/100</f>
        <v>0</v>
      </c>
      <c r="F273" s="46" t="n">
        <f aca="false">(V$27+V$28*SIN(2*PI()/365*A273))*V$29/100*V$11*(1-V$18/100)*(1-V$20/100)</f>
        <v>3.0522940366857</v>
      </c>
      <c r="G273" s="46" t="n">
        <f aca="false">IF(C273&gt;E273,100,C273/E273*100)</f>
        <v>100</v>
      </c>
      <c r="H273" s="46" t="n">
        <f aca="false">L273/F273*100</f>
        <v>100</v>
      </c>
      <c r="I273" s="47" t="n">
        <f aca="false">(V$27+V$28*SIN(2*PI()/365*A273))*V$29/100*V$9*V$10/100*(1-V$19/100)</f>
        <v>0</v>
      </c>
      <c r="J273" s="47" t="n">
        <f aca="false">(V$27+V$28*SIN(2*PI()/365*A273))*V$29/100*V$11*(1-V$18/100)</f>
        <v>3.35416927108319</v>
      </c>
      <c r="K273" s="48" t="n">
        <f aca="false">IF(E273/C273*100&lt;100,E273/C273*100,100)</f>
        <v>0</v>
      </c>
      <c r="L273" s="7" t="n">
        <f aca="false">IF(((C273-E273)&gt;0)*AND(F273&gt;(C273-E273)),(C273-E273),IF(C273&lt;E273,0,F273))</f>
        <v>3.0522940366857</v>
      </c>
      <c r="M273" s="7" t="n">
        <f aca="false">IF(C273&lt;(E273+F273),0,C273-E273-F273)</f>
        <v>29.2485153328534</v>
      </c>
      <c r="N273" s="7" t="n">
        <f aca="false">IF(C273&lt;(E273+F273),0,(C273-E273-F273)/(1-V$20/100))</f>
        <v>32.1412256404982</v>
      </c>
      <c r="O273" s="7" t="n">
        <f aca="false">L273+M273</f>
        <v>32.3008093695391</v>
      </c>
      <c r="P273" s="49" t="n">
        <f aca="false">IF(N273=0,I273*(1-G273/100)+J273*(1-H273/100),-N273)</f>
        <v>-32.1412256404982</v>
      </c>
      <c r="Q273" s="54" t="n">
        <f aca="false">IF(P272&gt;0,Q272+P272*(1-V$24/100),Q272+P272)</f>
        <v>2072.62520252236</v>
      </c>
      <c r="R273" s="55" t="n">
        <f aca="false">R$4+Q273/V$32</f>
        <v>60.1566746293256</v>
      </c>
    </row>
    <row r="274" customFormat="false" ht="12.8" hidden="false" customHeight="false" outlineLevel="0" collapsed="false">
      <c r="A274" s="1" t="n">
        <v>270</v>
      </c>
      <c r="B274" s="44" t="n">
        <v>43815</v>
      </c>
      <c r="C274" s="45" t="n">
        <f aca="false">V$30-V$30*SIN(2*PI()/365*A274)</f>
        <v>32.3211647680768</v>
      </c>
      <c r="D274" s="3" t="n">
        <f aca="false">IF((E274+F274)&gt;C274,C274,E274+F274)</f>
        <v>3.03182773734447</v>
      </c>
      <c r="E274" s="46" t="n">
        <f aca="false">(V$27+V$28*SIN(2*PI()/365*A274))*V$29/100*V$9*V$10/100</f>
        <v>0</v>
      </c>
      <c r="F274" s="46" t="n">
        <f aca="false">(V$27+V$28*SIN(2*PI()/365*A274))*V$29/100*V$11*(1-V$18/100)*(1-V$20/100)</f>
        <v>3.03182773734447</v>
      </c>
      <c r="G274" s="46" t="n">
        <f aca="false">IF(C274&gt;E274,100,C274/E274*100)</f>
        <v>100</v>
      </c>
      <c r="H274" s="46" t="n">
        <f aca="false">L274/F274*100</f>
        <v>100</v>
      </c>
      <c r="I274" s="47" t="n">
        <f aca="false">(V$27+V$28*SIN(2*PI()/365*A274))*V$29/100*V$9*V$10/100*(1-V$19/100)</f>
        <v>0</v>
      </c>
      <c r="J274" s="47" t="n">
        <f aca="false">(V$27+V$28*SIN(2*PI()/365*A274))*V$29/100*V$11*(1-V$18/100)</f>
        <v>3.33167883224667</v>
      </c>
      <c r="K274" s="48" t="n">
        <f aca="false">IF(E274/C274*100&lt;100,E274/C274*100,100)</f>
        <v>0</v>
      </c>
      <c r="L274" s="7" t="n">
        <f aca="false">IF(((C274-E274)&gt;0)*AND(F274&gt;(C274-E274)),(C274-E274),IF(C274&lt;E274,0,F274))</f>
        <v>3.03182773734447</v>
      </c>
      <c r="M274" s="7" t="n">
        <f aca="false">IF(C274&lt;(E274+F274),0,C274-E274-F274)</f>
        <v>29.2893370307323</v>
      </c>
      <c r="N274" s="7" t="n">
        <f aca="false">IF(C274&lt;(E274+F274),0,(C274-E274-F274)/(1-V$20/100))</f>
        <v>32.1860846491564</v>
      </c>
      <c r="O274" s="7" t="n">
        <f aca="false">L274+M274</f>
        <v>32.3211647680768</v>
      </c>
      <c r="P274" s="49" t="n">
        <f aca="false">IF(N274=0,I274*(1-G274/100)+J274*(1-H274/100),-N274)</f>
        <v>-32.1860846491564</v>
      </c>
      <c r="Q274" s="54" t="n">
        <f aca="false">IF(P273&gt;0,Q273+P273*(1-V$24/100),Q273+P273)</f>
        <v>2040.48397688186</v>
      </c>
      <c r="R274" s="55" t="n">
        <f aca="false">R$4+Q274/V$32</f>
        <v>59.8440950917253</v>
      </c>
    </row>
    <row r="275" customFormat="false" ht="12.8" hidden="false" customHeight="false" outlineLevel="0" collapsed="false">
      <c r="A275" s="1" t="n">
        <v>271</v>
      </c>
      <c r="B275" s="44" t="n">
        <v>43816</v>
      </c>
      <c r="C275" s="45" t="n">
        <f aca="false">V$30-V$30*SIN(2*PI()/365*A275)</f>
        <v>32.3367364295556</v>
      </c>
      <c r="D275" s="3" t="n">
        <f aca="false">IF((E275+F275)&gt;C275,C275,E275+F275)</f>
        <v>3.01617123794081</v>
      </c>
      <c r="E275" s="46" t="n">
        <f aca="false">(V$27+V$28*SIN(2*PI()/365*A275))*V$29/100*V$9*V$10/100</f>
        <v>0</v>
      </c>
      <c r="F275" s="46" t="n">
        <f aca="false">(V$27+V$28*SIN(2*PI()/365*A275))*V$29/100*V$11*(1-V$18/100)*(1-V$20/100)</f>
        <v>3.01617123794081</v>
      </c>
      <c r="G275" s="46" t="n">
        <f aca="false">IF(C275&gt;E275,100,C275/E275*100)</f>
        <v>100</v>
      </c>
      <c r="H275" s="46" t="n">
        <f aca="false">L275/F275*100</f>
        <v>100</v>
      </c>
      <c r="I275" s="47" t="n">
        <f aca="false">(V$27+V$28*SIN(2*PI()/365*A275))*V$29/100*V$9*V$10/100*(1-V$19/100)</f>
        <v>0</v>
      </c>
      <c r="J275" s="47" t="n">
        <f aca="false">(V$27+V$28*SIN(2*PI()/365*A275))*V$29/100*V$11*(1-V$18/100)</f>
        <v>3.31447388784704</v>
      </c>
      <c r="K275" s="48" t="n">
        <f aca="false">IF(E275/C275*100&lt;100,E275/C275*100,100)</f>
        <v>0</v>
      </c>
      <c r="L275" s="7" t="n">
        <f aca="false">IF(((C275-E275)&gt;0)*AND(F275&gt;(C275-E275)),(C275-E275),IF(C275&lt;E275,0,F275))</f>
        <v>3.01617123794081</v>
      </c>
      <c r="M275" s="7" t="n">
        <f aca="false">IF(C275&lt;(E275+F275),0,C275-E275-F275)</f>
        <v>29.3205651916148</v>
      </c>
      <c r="N275" s="7" t="n">
        <f aca="false">IF(C275&lt;(E275+F275),0,(C275-E275-F275)/(1-V$20/100))</f>
        <v>32.2204013094668</v>
      </c>
      <c r="O275" s="7" t="n">
        <f aca="false">L275+M275</f>
        <v>32.3367364295556</v>
      </c>
      <c r="P275" s="49" t="n">
        <f aca="false">IF(N275=0,I275*(1-G275/100)+J275*(1-H275/100),-N275)</f>
        <v>-32.2204013094668</v>
      </c>
      <c r="Q275" s="54" t="n">
        <f aca="false">IF(P274&gt;0,Q274+P274*(1-V$24/100),Q274+P274)</f>
        <v>2008.2978922327</v>
      </c>
      <c r="R275" s="55" t="n">
        <f aca="false">R$4+Q275/V$32</f>
        <v>59.5310792917266</v>
      </c>
    </row>
    <row r="276" customFormat="false" ht="12.8" hidden="false" customHeight="false" outlineLevel="0" collapsed="false">
      <c r="A276" s="1" t="n">
        <v>272</v>
      </c>
      <c r="B276" s="44" t="n">
        <v>43817</v>
      </c>
      <c r="C276" s="45" t="n">
        <f aca="false">V$30-V$30*SIN(2*PI()/365*A276)</f>
        <v>32.3475197397563</v>
      </c>
      <c r="D276" s="3" t="n">
        <f aca="false">IF((E276+F276)&gt;C276,C276,E276+F276)</f>
        <v>3.00532917783339</v>
      </c>
      <c r="E276" s="46" t="n">
        <f aca="false">(V$27+V$28*SIN(2*PI()/365*A276))*V$29/100*V$9*V$10/100</f>
        <v>0</v>
      </c>
      <c r="F276" s="46" t="n">
        <f aca="false">(V$27+V$28*SIN(2*PI()/365*A276))*V$29/100*V$11*(1-V$18/100)*(1-V$20/100)</f>
        <v>3.00532917783339</v>
      </c>
      <c r="G276" s="46" t="n">
        <f aca="false">IF(C276&gt;E276,100,C276/E276*100)</f>
        <v>100</v>
      </c>
      <c r="H276" s="46" t="n">
        <f aca="false">L276/F276*100</f>
        <v>100</v>
      </c>
      <c r="I276" s="47" t="n">
        <f aca="false">(V$27+V$28*SIN(2*PI()/365*A276))*V$29/100*V$9*V$10/100*(1-V$19/100)</f>
        <v>0</v>
      </c>
      <c r="J276" s="47" t="n">
        <f aca="false">(V$27+V$28*SIN(2*PI()/365*A276))*V$29/100*V$11*(1-V$18/100)</f>
        <v>3.30255953608065</v>
      </c>
      <c r="K276" s="48" t="n">
        <f aca="false">IF(E276/C276*100&lt;100,E276/C276*100,100)</f>
        <v>0</v>
      </c>
      <c r="L276" s="7" t="n">
        <f aca="false">IF(((C276-E276)&gt;0)*AND(F276&gt;(C276-E276)),(C276-E276),IF(C276&lt;E276,0,F276))</f>
        <v>3.00532917783339</v>
      </c>
      <c r="M276" s="7" t="n">
        <f aca="false">IF(C276&lt;(E276+F276),0,C276-E276-F276)</f>
        <v>29.3421905619229</v>
      </c>
      <c r="N276" s="7" t="n">
        <f aca="false">IF(C276&lt;(E276+F276),0,(C276-E276-F276)/(1-V$20/100))</f>
        <v>32.2441654526625</v>
      </c>
      <c r="O276" s="7" t="n">
        <f aca="false">L276+M276</f>
        <v>32.3475197397563</v>
      </c>
      <c r="P276" s="49" t="n">
        <f aca="false">IF(N276=0,I276*(1-G276/100)+J276*(1-H276/100),-N276)</f>
        <v>-32.2441654526625</v>
      </c>
      <c r="Q276" s="54" t="n">
        <f aca="false">IF(P275&gt;0,Q275+P275*(1-V$24/100),Q275+P275)</f>
        <v>1976.07749092323</v>
      </c>
      <c r="R276" s="55" t="n">
        <f aca="false">R$4+Q276/V$32</f>
        <v>59.217729755674</v>
      </c>
    </row>
    <row r="277" customFormat="false" ht="12.8" hidden="false" customHeight="false" outlineLevel="0" collapsed="false">
      <c r="A277" s="1" t="n">
        <v>273</v>
      </c>
      <c r="B277" s="44" t="n">
        <v>43818</v>
      </c>
      <c r="C277" s="45" t="n">
        <f aca="false">V$30-V$30*SIN(2*PI()/365*A277)</f>
        <v>32.3535115033512</v>
      </c>
      <c r="D277" s="3" t="n">
        <f aca="false">IF((E277+F277)&gt;C277,C277,E277+F277)</f>
        <v>2.99930476975861</v>
      </c>
      <c r="E277" s="46" t="n">
        <f aca="false">(V$27+V$28*SIN(2*PI()/365*A277))*V$29/100*V$9*V$10/100</f>
        <v>0</v>
      </c>
      <c r="F277" s="46" t="n">
        <f aca="false">(V$27+V$28*SIN(2*PI()/365*A277))*V$29/100*V$11*(1-V$18/100)*(1-V$20/100)</f>
        <v>2.99930476975861</v>
      </c>
      <c r="G277" s="46" t="n">
        <f aca="false">IF(C277&gt;E277,100,C277/E277*100)</f>
        <v>100</v>
      </c>
      <c r="H277" s="46" t="n">
        <f aca="false">L277/F277*100</f>
        <v>100</v>
      </c>
      <c r="I277" s="47" t="n">
        <f aca="false">(V$27+V$28*SIN(2*PI()/365*A277))*V$29/100*V$9*V$10/100*(1-V$19/100)</f>
        <v>0</v>
      </c>
      <c r="J277" s="47" t="n">
        <f aca="false">(V$27+V$28*SIN(2*PI()/365*A277))*V$29/100*V$11*(1-V$18/100)</f>
        <v>3.29593930742705</v>
      </c>
      <c r="K277" s="48" t="n">
        <f aca="false">IF(E277/C277*100&lt;100,E277/C277*100,100)</f>
        <v>0</v>
      </c>
      <c r="L277" s="7" t="n">
        <f aca="false">IF(((C277-E277)&gt;0)*AND(F277&gt;(C277-E277)),(C277-E277),IF(C277&lt;E277,0,F277))</f>
        <v>2.99930476975861</v>
      </c>
      <c r="M277" s="7" t="n">
        <f aca="false">IF(C277&lt;(E277+F277),0,C277-E277-F277)</f>
        <v>29.3542067335926</v>
      </c>
      <c r="N277" s="7" t="n">
        <f aca="false">IF(C277&lt;(E277+F277),0,(C277-E277-F277)/(1-V$20/100))</f>
        <v>32.257370036915</v>
      </c>
      <c r="O277" s="7" t="n">
        <f aca="false">L277+M277</f>
        <v>32.3535115033512</v>
      </c>
      <c r="P277" s="49" t="n">
        <f aca="false">IF(N277=0,I277*(1-G277/100)+J277*(1-H277/100),-N277)</f>
        <v>-32.257370036915</v>
      </c>
      <c r="Q277" s="54" t="n">
        <f aca="false">IF(P276&gt;0,Q276+P276*(1-V$24/100),Q276+P276)</f>
        <v>1943.83332547057</v>
      </c>
      <c r="R277" s="55" t="n">
        <f aca="false">R$4+Q277/V$32</f>
        <v>58.9041491088053</v>
      </c>
    </row>
    <row r="278" customFormat="false" ht="12.8" hidden="false" customHeight="false" outlineLevel="0" collapsed="false">
      <c r="A278" s="1" t="n">
        <v>274</v>
      </c>
      <c r="B278" s="44" t="n">
        <v>43819</v>
      </c>
      <c r="C278" s="45" t="n">
        <f aca="false">V$30-V$30*SIN(2*PI()/365*A278)</f>
        <v>32.3547099448516</v>
      </c>
      <c r="D278" s="3" t="n">
        <f aca="false">IF((E278+F278)&gt;C278,C278,E278+F278)</f>
        <v>2.99809979887861</v>
      </c>
      <c r="E278" s="46" t="n">
        <f aca="false">(V$27+V$28*SIN(2*PI()/365*A278))*V$29/100*V$9*V$10/100</f>
        <v>0</v>
      </c>
      <c r="F278" s="46" t="n">
        <f aca="false">(V$27+V$28*SIN(2*PI()/365*A278))*V$29/100*V$11*(1-V$18/100)*(1-V$20/100)</f>
        <v>2.99809979887861</v>
      </c>
      <c r="G278" s="46" t="n">
        <f aca="false">IF(C278&gt;E278,100,C278/E278*100)</f>
        <v>100</v>
      </c>
      <c r="H278" s="46" t="n">
        <f aca="false">L278/F278*100</f>
        <v>100</v>
      </c>
      <c r="I278" s="47" t="n">
        <f aca="false">(V$27+V$28*SIN(2*PI()/365*A278))*V$29/100*V$9*V$10/100*(1-V$19/100)</f>
        <v>0</v>
      </c>
      <c r="J278" s="47" t="n">
        <f aca="false">(V$27+V$28*SIN(2*PI()/365*A278))*V$29/100*V$11*(1-V$18/100)</f>
        <v>3.29461516360287</v>
      </c>
      <c r="K278" s="48" t="n">
        <f aca="false">IF(E278/C278*100&lt;100,E278/C278*100,100)</f>
        <v>0</v>
      </c>
      <c r="L278" s="7" t="n">
        <f aca="false">IF(((C278-E278)&gt;0)*AND(F278&gt;(C278-E278)),(C278-E278),IF(C278&lt;E278,0,F278))</f>
        <v>2.99809979887861</v>
      </c>
      <c r="M278" s="7" t="n">
        <f aca="false">IF(C278&lt;(E278+F278),0,C278-E278-F278)</f>
        <v>29.356610145973</v>
      </c>
      <c r="N278" s="7" t="n">
        <f aca="false">IF(C278&lt;(E278+F278),0,(C278-E278-F278)/(1-V$20/100))</f>
        <v>32.2600111494208</v>
      </c>
      <c r="O278" s="7" t="n">
        <f aca="false">L278+M278</f>
        <v>32.3547099448516</v>
      </c>
      <c r="P278" s="49" t="n">
        <f aca="false">IF(N278=0,I278*(1-G278/100)+J278*(1-H278/100),-N278)</f>
        <v>-32.2600111494208</v>
      </c>
      <c r="Q278" s="54" t="n">
        <f aca="false">IF(P277&gt;0,Q277+P277*(1-V$24/100),Q277+P277)</f>
        <v>1911.57595543366</v>
      </c>
      <c r="R278" s="55" t="n">
        <f aca="false">R$4+Q278/V$32</f>
        <v>58.5904400448411</v>
      </c>
    </row>
    <row r="279" customFormat="false" ht="12.8" hidden="false" customHeight="false" outlineLevel="0" collapsed="false">
      <c r="A279" s="1" t="n">
        <v>275</v>
      </c>
      <c r="B279" s="44" t="n">
        <v>43820</v>
      </c>
      <c r="C279" s="45" t="n">
        <f aca="false">V$30-V$30*SIN(2*PI()/365*A279)</f>
        <v>32.3511147091332</v>
      </c>
      <c r="D279" s="3" t="n">
        <f aca="false">IF((E279+F279)&gt;C279,C279,E279+F279)</f>
        <v>3.00171462225225</v>
      </c>
      <c r="E279" s="46" t="n">
        <f aca="false">(V$27+V$28*SIN(2*PI()/365*A279))*V$29/100*V$9*V$10/100</f>
        <v>0</v>
      </c>
      <c r="F279" s="46" t="n">
        <f aca="false">(V$27+V$28*SIN(2*PI()/365*A279))*V$29/100*V$11*(1-V$18/100)*(1-V$20/100)</f>
        <v>3.00171462225225</v>
      </c>
      <c r="G279" s="46" t="n">
        <f aca="false">IF(C279&gt;E279,100,C279/E279*100)</f>
        <v>100</v>
      </c>
      <c r="H279" s="46" t="n">
        <f aca="false">L279/F279*100</f>
        <v>100</v>
      </c>
      <c r="I279" s="47" t="n">
        <f aca="false">(V$27+V$28*SIN(2*PI()/365*A279))*V$29/100*V$9*V$10/100*(1-V$19/100)</f>
        <v>0</v>
      </c>
      <c r="J279" s="47" t="n">
        <f aca="false">(V$27+V$28*SIN(2*PI()/365*A279))*V$29/100*V$11*(1-V$18/100)</f>
        <v>3.2985874969805</v>
      </c>
      <c r="K279" s="48" t="n">
        <f aca="false">IF(E279/C279*100&lt;100,E279/C279*100,100)</f>
        <v>0</v>
      </c>
      <c r="L279" s="7" t="n">
        <f aca="false">IF(((C279-E279)&gt;0)*AND(F279&gt;(C279-E279)),(C279-E279),IF(C279&lt;E279,0,F279))</f>
        <v>3.00171462225225</v>
      </c>
      <c r="M279" s="7" t="n">
        <f aca="false">IF(C279&lt;(E279+F279),0,C279-E279-F279)</f>
        <v>29.349400086881</v>
      </c>
      <c r="N279" s="7" t="n">
        <f aca="false">IF(C279&lt;(E279+F279),0,(C279-E279-F279)/(1-V$20/100))</f>
        <v>32.2520880075615</v>
      </c>
      <c r="O279" s="7" t="n">
        <f aca="false">L279+M279</f>
        <v>32.3511147091332</v>
      </c>
      <c r="P279" s="49" t="n">
        <f aca="false">IF(N279=0,I279*(1-G279/100)+J279*(1-H279/100),-N279)</f>
        <v>-32.2520880075615</v>
      </c>
      <c r="Q279" s="54" t="n">
        <f aca="false">IF(P278&gt;0,Q278+P278*(1-V$24/100),Q278+P278)</f>
        <v>1879.31594428424</v>
      </c>
      <c r="R279" s="55" t="n">
        <f aca="false">R$4+Q279/V$32</f>
        <v>58.2767052955551</v>
      </c>
    </row>
    <row r="280" customFormat="false" ht="12.8" hidden="false" customHeight="false" outlineLevel="0" collapsed="false">
      <c r="A280" s="1" t="n">
        <v>276</v>
      </c>
      <c r="B280" s="44" t="n">
        <v>43821</v>
      </c>
      <c r="C280" s="45" t="n">
        <f aca="false">V$30-V$30*SIN(2*PI()/365*A280)</f>
        <v>32.3427268615422</v>
      </c>
      <c r="D280" s="3" t="n">
        <f aca="false">IF((E280+F280)&gt;C280,C280,E280+F280)</f>
        <v>3.01014816872937</v>
      </c>
      <c r="E280" s="46" t="n">
        <f aca="false">(V$27+V$28*SIN(2*PI()/365*A280))*V$29/100*V$9*V$10/100</f>
        <v>0</v>
      </c>
      <c r="F280" s="46" t="n">
        <f aca="false">(V$27+V$28*SIN(2*PI()/365*A280))*V$29/100*V$11*(1-V$18/100)*(1-V$20/100)</f>
        <v>3.01014816872937</v>
      </c>
      <c r="G280" s="46" t="n">
        <f aca="false">IF(C280&gt;E280,100,C280/E280*100)</f>
        <v>100</v>
      </c>
      <c r="H280" s="46" t="n">
        <f aca="false">L280/F280*100</f>
        <v>100</v>
      </c>
      <c r="I280" s="47" t="n">
        <f aca="false">(V$27+V$28*SIN(2*PI()/365*A280))*V$29/100*V$9*V$10/100*(1-V$19/100)</f>
        <v>0</v>
      </c>
      <c r="J280" s="47" t="n">
        <f aca="false">(V$27+V$28*SIN(2*PI()/365*A280))*V$29/100*V$11*(1-V$18/100)</f>
        <v>3.30785513047183</v>
      </c>
      <c r="K280" s="48" t="n">
        <f aca="false">IF(E280/C280*100&lt;100,E280/C280*100,100)</f>
        <v>0</v>
      </c>
      <c r="L280" s="7" t="n">
        <f aca="false">IF(((C280-E280)&gt;0)*AND(F280&gt;(C280-E280)),(C280-E280),IF(C280&lt;E280,0,F280))</f>
        <v>3.01014816872937</v>
      </c>
      <c r="M280" s="7" t="n">
        <f aca="false">IF(C280&lt;(E280+F280),0,C280-E280-F280)</f>
        <v>29.3325786928128</v>
      </c>
      <c r="N280" s="7" t="n">
        <f aca="false">IF(C280&lt;(E280+F280),0,(C280-E280-F280)/(1-V$20/100))</f>
        <v>32.2336029591349</v>
      </c>
      <c r="O280" s="7" t="n">
        <f aca="false">L280+M280</f>
        <v>32.3427268615422</v>
      </c>
      <c r="P280" s="49" t="n">
        <f aca="false">IF(N280=0,I280*(1-G280/100)+J280*(1-H280/100),-N280)</f>
        <v>-32.2336029591349</v>
      </c>
      <c r="Q280" s="54" t="n">
        <f aca="false">IF(P279&gt;0,Q279+P279*(1-V$24/100),Q279+P279)</f>
        <v>1847.06385627667</v>
      </c>
      <c r="R280" s="55" t="n">
        <f aca="false">R$4+Q280/V$32</f>
        <v>57.9630476003318</v>
      </c>
    </row>
    <row r="281" customFormat="false" ht="12.8" hidden="false" customHeight="false" outlineLevel="0" collapsed="false">
      <c r="A281" s="1" t="n">
        <v>277</v>
      </c>
      <c r="B281" s="44" t="n">
        <v>43822</v>
      </c>
      <c r="C281" s="45" t="n">
        <f aca="false">V$30-V$30*SIN(2*PI()/365*A281)</f>
        <v>32.3295488875786</v>
      </c>
      <c r="D281" s="3" t="n">
        <f aca="false">IF((E281+F281)&gt;C281,C281,E281+F281)</f>
        <v>3.02339793926811</v>
      </c>
      <c r="E281" s="46" t="n">
        <f aca="false">(V$27+V$28*SIN(2*PI()/365*A281))*V$29/100*V$9*V$10/100</f>
        <v>0</v>
      </c>
      <c r="F281" s="46" t="n">
        <f aca="false">(V$27+V$28*SIN(2*PI()/365*A281))*V$29/100*V$11*(1-V$18/100)*(1-V$20/100)</f>
        <v>3.02339793926811</v>
      </c>
      <c r="G281" s="46" t="n">
        <f aca="false">IF(C281&gt;E281,100,C281/E281*100)</f>
        <v>100</v>
      </c>
      <c r="H281" s="46" t="n">
        <f aca="false">L281/F281*100</f>
        <v>100</v>
      </c>
      <c r="I281" s="47" t="n">
        <f aca="false">(V$27+V$28*SIN(2*PI()/365*A281))*V$29/100*V$9*V$10/100*(1-V$19/100)</f>
        <v>0</v>
      </c>
      <c r="J281" s="47" t="n">
        <f aca="false">(V$27+V$28*SIN(2*PI()/365*A281))*V$29/100*V$11*(1-V$18/100)</f>
        <v>3.32241531787705</v>
      </c>
      <c r="K281" s="48" t="n">
        <f aca="false">IF(E281/C281*100&lt;100,E281/C281*100,100)</f>
        <v>0</v>
      </c>
      <c r="L281" s="7" t="n">
        <f aca="false">IF(((C281-E281)&gt;0)*AND(F281&gt;(C281-E281)),(C281-E281),IF(C281&lt;E281,0,F281))</f>
        <v>3.02339793926811</v>
      </c>
      <c r="M281" s="7" t="n">
        <f aca="false">IF(C281&lt;(E281+F281),0,C281-E281-F281)</f>
        <v>29.3061509483105</v>
      </c>
      <c r="N281" s="7" t="n">
        <f aca="false">IF(C281&lt;(E281+F281),0,(C281-E281-F281)/(1-V$20/100))</f>
        <v>32.2045614816598</v>
      </c>
      <c r="O281" s="7" t="n">
        <f aca="false">L281+M281</f>
        <v>32.3295488875786</v>
      </c>
      <c r="P281" s="49" t="n">
        <f aca="false">IF(N281=0,I281*(1-G281/100)+J281*(1-H281/100),-N281)</f>
        <v>-32.2045614816598</v>
      </c>
      <c r="Q281" s="54" t="n">
        <f aca="false">IF(P280&gt;0,Q280+P280*(1-V$24/100),Q280+P280)</f>
        <v>1814.83025331754</v>
      </c>
      <c r="R281" s="55" t="n">
        <f aca="false">R$4+Q281/V$32</f>
        <v>57.6495696757232</v>
      </c>
    </row>
    <row r="282" customFormat="false" ht="12.8" hidden="false" customHeight="false" outlineLevel="0" collapsed="false">
      <c r="A282" s="1" t="n">
        <v>278</v>
      </c>
      <c r="B282" s="44" t="n">
        <v>43823</v>
      </c>
      <c r="C282" s="45" t="n">
        <f aca="false">V$30-V$30*SIN(2*PI()/365*A282)</f>
        <v>32.3115846921606</v>
      </c>
      <c r="D282" s="3" t="n">
        <f aca="false">IF((E282+F282)&gt;C282,C282,E282+F282)</f>
        <v>3.04146000767554</v>
      </c>
      <c r="E282" s="46" t="n">
        <f aca="false">(V$27+V$28*SIN(2*PI()/365*A282))*V$29/100*V$9*V$10/100</f>
        <v>0</v>
      </c>
      <c r="F282" s="46" t="n">
        <f aca="false">(V$27+V$28*SIN(2*PI()/365*A282))*V$29/100*V$11*(1-V$18/100)*(1-V$20/100)</f>
        <v>3.04146000767554</v>
      </c>
      <c r="G282" s="46" t="n">
        <f aca="false">IF(C282&gt;E282,100,C282/E282*100)</f>
        <v>100</v>
      </c>
      <c r="H282" s="46" t="n">
        <f aca="false">L282/F282*100</f>
        <v>100</v>
      </c>
      <c r="I282" s="47" t="n">
        <f aca="false">(V$27+V$28*SIN(2*PI()/365*A282))*V$29/100*V$9*V$10/100*(1-V$19/100)</f>
        <v>0</v>
      </c>
      <c r="J282" s="47" t="n">
        <f aca="false">(V$27+V$28*SIN(2*PI()/365*A282))*V$29/100*V$11*(1-V$18/100)</f>
        <v>3.34226374469839</v>
      </c>
      <c r="K282" s="48" t="n">
        <f aca="false">IF(E282/C282*100&lt;100,E282/C282*100,100)</f>
        <v>0</v>
      </c>
      <c r="L282" s="7" t="n">
        <f aca="false">IF(((C282-E282)&gt;0)*AND(F282&gt;(C282-E282)),(C282-E282),IF(C282&lt;E282,0,F282))</f>
        <v>3.04146000767554</v>
      </c>
      <c r="M282" s="7" t="n">
        <f aca="false">IF(C282&lt;(E282+F282),0,C282-E282-F282)</f>
        <v>29.2701246844851</v>
      </c>
      <c r="N282" s="7" t="n">
        <f aca="false">IF(C282&lt;(E282+F282),0,(C282-E282-F282)/(1-V$20/100))</f>
        <v>32.1649721807528</v>
      </c>
      <c r="O282" s="7" t="n">
        <f aca="false">L282+M282</f>
        <v>32.3115846921606</v>
      </c>
      <c r="P282" s="49" t="n">
        <f aca="false">IF(N282=0,I282*(1-G282/100)+J282*(1-H282/100),-N282)</f>
        <v>-32.1649721807528</v>
      </c>
      <c r="Q282" s="54" t="n">
        <f aca="false">IF(P281&gt;0,Q281+P281*(1-V$24/100),Q281+P281)</f>
        <v>1782.62569183588</v>
      </c>
      <c r="R282" s="55" t="n">
        <f aca="false">R$4+Q282/V$32</f>
        <v>57.3363741850113</v>
      </c>
    </row>
    <row r="283" customFormat="false" ht="12.8" hidden="false" customHeight="false" outlineLevel="0" collapsed="false">
      <c r="A283" s="1" t="n">
        <v>279</v>
      </c>
      <c r="B283" s="44" t="n">
        <v>43824</v>
      </c>
      <c r="C283" s="45" t="n">
        <f aca="false">V$30-V$30*SIN(2*PI()/365*A283)</f>
        <v>32.2888395984671</v>
      </c>
      <c r="D283" s="3" t="n">
        <f aca="false">IF((E283+F283)&gt;C283,C283,E283+F283)</f>
        <v>3.06432902177095</v>
      </c>
      <c r="E283" s="46" t="n">
        <f aca="false">(V$27+V$28*SIN(2*PI()/365*A283))*V$29/100*V$9*V$10/100</f>
        <v>0</v>
      </c>
      <c r="F283" s="46" t="n">
        <f aca="false">(V$27+V$28*SIN(2*PI()/365*A283))*V$29/100*V$11*(1-V$18/100)*(1-V$20/100)</f>
        <v>3.06432902177095</v>
      </c>
      <c r="G283" s="46" t="n">
        <f aca="false">IF(C283&gt;E283,100,C283/E283*100)</f>
        <v>100</v>
      </c>
      <c r="H283" s="46" t="n">
        <f aca="false">L283/F283*100</f>
        <v>100</v>
      </c>
      <c r="I283" s="47" t="n">
        <f aca="false">(V$27+V$28*SIN(2*PI()/365*A283))*V$29/100*V$9*V$10/100*(1-V$19/100)</f>
        <v>0</v>
      </c>
      <c r="J283" s="47" t="n">
        <f aca="false">(V$27+V$28*SIN(2*PI()/365*A283))*V$29/100*V$11*(1-V$18/100)</f>
        <v>3.36739452941863</v>
      </c>
      <c r="K283" s="48" t="n">
        <f aca="false">IF(E283/C283*100&lt;100,E283/C283*100,100)</f>
        <v>0</v>
      </c>
      <c r="L283" s="7" t="n">
        <f aca="false">IF(((C283-E283)&gt;0)*AND(F283&gt;(C283-E283)),(C283-E283),IF(C283&lt;E283,0,F283))</f>
        <v>3.06432902177095</v>
      </c>
      <c r="M283" s="7" t="n">
        <f aca="false">IF(C283&lt;(E283+F283),0,C283-E283-F283)</f>
        <v>29.2245105766961</v>
      </c>
      <c r="N283" s="7" t="n">
        <f aca="false">IF(C283&lt;(E283+F283),0,(C283-E283-F283)/(1-V$20/100))</f>
        <v>32.1148467875781</v>
      </c>
      <c r="O283" s="7" t="n">
        <f aca="false">L283+M283</f>
        <v>32.2888395984671</v>
      </c>
      <c r="P283" s="49" t="n">
        <f aca="false">IF(N283=0,I283*(1-G283/100)+J283*(1-H283/100),-N283)</f>
        <v>-32.1148467875781</v>
      </c>
      <c r="Q283" s="54" t="n">
        <f aca="false">IF(P282&gt;0,Q282+P282*(1-V$24/100),Q282+P282)</f>
        <v>1750.46071965513</v>
      </c>
      <c r="R283" s="55" t="n">
        <f aca="false">R$4+Q283/V$32</f>
        <v>57.0235637077867</v>
      </c>
    </row>
    <row r="284" customFormat="false" ht="12.8" hidden="false" customHeight="false" outlineLevel="0" collapsed="false">
      <c r="A284" s="1" t="n">
        <v>280</v>
      </c>
      <c r="B284" s="44" t="n">
        <v>43825</v>
      </c>
      <c r="C284" s="45" t="n">
        <f aca="false">V$30-V$30*SIN(2*PI()/365*A284)</f>
        <v>32.2613203463601</v>
      </c>
      <c r="D284" s="3" t="n">
        <f aca="false">IF((E284+F284)&gt;C284,C284,E284+F284)</f>
        <v>3.09199820497193</v>
      </c>
      <c r="E284" s="46" t="n">
        <f aca="false">(V$27+V$28*SIN(2*PI()/365*A284))*V$29/100*V$9*V$10/100</f>
        <v>0</v>
      </c>
      <c r="F284" s="46" t="n">
        <f aca="false">(V$27+V$28*SIN(2*PI()/365*A284))*V$29/100*V$11*(1-V$18/100)*(1-V$20/100)</f>
        <v>3.09199820497193</v>
      </c>
      <c r="G284" s="46" t="n">
        <f aca="false">IF(C284&gt;E284,100,C284/E284*100)</f>
        <v>100</v>
      </c>
      <c r="H284" s="46" t="n">
        <f aca="false">L284/F284*100</f>
        <v>100</v>
      </c>
      <c r="I284" s="47" t="n">
        <f aca="false">(V$27+V$28*SIN(2*PI()/365*A284))*V$29/100*V$9*V$10/100*(1-V$19/100)</f>
        <v>0</v>
      </c>
      <c r="J284" s="47" t="n">
        <f aca="false">(V$27+V$28*SIN(2*PI()/365*A284))*V$29/100*V$11*(1-V$18/100)</f>
        <v>3.39780022524388</v>
      </c>
      <c r="K284" s="48" t="n">
        <f aca="false">IF(E284/C284*100&lt;100,E284/C284*100,100)</f>
        <v>0</v>
      </c>
      <c r="L284" s="7" t="n">
        <f aca="false">IF(((C284-E284)&gt;0)*AND(F284&gt;(C284-E284)),(C284-E284),IF(C284&lt;E284,0,F284))</f>
        <v>3.09199820497193</v>
      </c>
      <c r="M284" s="7" t="n">
        <f aca="false">IF(C284&lt;(E284+F284),0,C284-E284-F284)</f>
        <v>29.1693221413881</v>
      </c>
      <c r="N284" s="7" t="n">
        <f aca="false">IF(C284&lt;(E284+F284),0,(C284-E284-F284)/(1-V$20/100))</f>
        <v>32.0542001553716</v>
      </c>
      <c r="O284" s="7" t="n">
        <f aca="false">L284+M284</f>
        <v>32.2613203463601</v>
      </c>
      <c r="P284" s="49" t="n">
        <f aca="false">IF(N284=0,I284*(1-G284/100)+J284*(1-H284/100),-N284)</f>
        <v>-32.0542001553716</v>
      </c>
      <c r="Q284" s="54" t="n">
        <f aca="false">IF(P283&gt;0,Q283+P283*(1-V$24/100),Q283+P283)</f>
        <v>1718.34587286755</v>
      </c>
      <c r="R284" s="55" t="n">
        <f aca="false">R$4+Q284/V$32</f>
        <v>56.7112407095523</v>
      </c>
    </row>
    <row r="285" customFormat="false" ht="12.8" hidden="false" customHeight="false" outlineLevel="0" collapsed="false">
      <c r="A285" s="1" t="n">
        <v>281</v>
      </c>
      <c r="B285" s="44" t="n">
        <v>43826</v>
      </c>
      <c r="C285" s="45" t="n">
        <f aca="false">V$30-V$30*SIN(2*PI()/365*A285)</f>
        <v>32.2290350903879</v>
      </c>
      <c r="D285" s="3" t="n">
        <f aca="false">IF((E285+F285)&gt;C285,C285,E285+F285)</f>
        <v>3.12445935830234</v>
      </c>
      <c r="E285" s="46" t="n">
        <f aca="false">(V$27+V$28*SIN(2*PI()/365*A285))*V$29/100*V$9*V$10/100</f>
        <v>0</v>
      </c>
      <c r="F285" s="46" t="n">
        <f aca="false">(V$27+V$28*SIN(2*PI()/365*A285))*V$29/100*V$11*(1-V$18/100)*(1-V$20/100)</f>
        <v>3.12445935830234</v>
      </c>
      <c r="G285" s="46" t="n">
        <f aca="false">IF(C285&gt;E285,100,C285/E285*100)</f>
        <v>100</v>
      </c>
      <c r="H285" s="46" t="n">
        <f aca="false">L285/F285*100</f>
        <v>100</v>
      </c>
      <c r="I285" s="47" t="n">
        <f aca="false">(V$27+V$28*SIN(2*PI()/365*A285))*V$29/100*V$9*V$10/100*(1-V$19/100)</f>
        <v>0</v>
      </c>
      <c r="J285" s="47" t="n">
        <f aca="false">(V$27+V$28*SIN(2*PI()/365*A285))*V$29/100*V$11*(1-V$18/100)</f>
        <v>3.43347182231026</v>
      </c>
      <c r="K285" s="48" t="n">
        <f aca="false">IF(E285/C285*100&lt;100,E285/C285*100,100)</f>
        <v>0</v>
      </c>
      <c r="L285" s="7" t="n">
        <f aca="false">IF(((C285-E285)&gt;0)*AND(F285&gt;(C285-E285)),(C285-E285),IF(C285&lt;E285,0,F285))</f>
        <v>3.12445935830234</v>
      </c>
      <c r="M285" s="7" t="n">
        <f aca="false">IF(C285&lt;(E285+F285),0,C285-E285-F285)</f>
        <v>29.1045757320856</v>
      </c>
      <c r="N285" s="7" t="n">
        <f aca="false">IF(C285&lt;(E285+F285),0,(C285-E285-F285)/(1-V$20/100))</f>
        <v>31.9830502550391</v>
      </c>
      <c r="O285" s="7" t="n">
        <f aca="false">L285+M285</f>
        <v>32.2290350903879</v>
      </c>
      <c r="P285" s="49" t="n">
        <f aca="false">IF(N285=0,I285*(1-G285/100)+J285*(1-H285/100),-N285)</f>
        <v>-31.9830502550391</v>
      </c>
      <c r="Q285" s="54" t="n">
        <f aca="false">IF(P284&gt;0,Q284+P284*(1-V$24/100),Q284+P284)</f>
        <v>1686.29167271218</v>
      </c>
      <c r="R285" s="55" t="n">
        <f aca="false">R$4+Q285/V$32</f>
        <v>56.3995075113606</v>
      </c>
    </row>
    <row r="286" customFormat="false" ht="12.8" hidden="false" customHeight="false" outlineLevel="0" collapsed="false">
      <c r="A286" s="1" t="n">
        <v>282</v>
      </c>
      <c r="B286" s="44" t="n">
        <v>43827</v>
      </c>
      <c r="C286" s="45" t="n">
        <f aca="false">V$30-V$30*SIN(2*PI()/365*A286)</f>
        <v>32.1919933973688</v>
      </c>
      <c r="D286" s="3" t="n">
        <f aca="false">IF((E286+F286)&gt;C286,C286,E286+F286)</f>
        <v>3.16170286282188</v>
      </c>
      <c r="E286" s="46" t="n">
        <f aca="false">(V$27+V$28*SIN(2*PI()/365*A286))*V$29/100*V$9*V$10/100</f>
        <v>0</v>
      </c>
      <c r="F286" s="46" t="n">
        <f aca="false">(V$27+V$28*SIN(2*PI()/365*A286))*V$29/100*V$11*(1-V$18/100)*(1-V$20/100)</f>
        <v>3.16170286282188</v>
      </c>
      <c r="G286" s="46" t="n">
        <f aca="false">IF(C286&gt;E286,100,C286/E286*100)</f>
        <v>100</v>
      </c>
      <c r="H286" s="46" t="n">
        <f aca="false">L286/F286*100</f>
        <v>100</v>
      </c>
      <c r="I286" s="47" t="n">
        <f aca="false">(V$27+V$28*SIN(2*PI()/365*A286))*V$29/100*V$9*V$10/100*(1-V$19/100)</f>
        <v>0</v>
      </c>
      <c r="J286" s="47" t="n">
        <f aca="false">(V$27+V$28*SIN(2*PI()/365*A286))*V$29/100*V$11*(1-V$18/100)</f>
        <v>3.47439875035371</v>
      </c>
      <c r="K286" s="48" t="n">
        <f aca="false">IF(E286/C286*100&lt;100,E286/C286*100,100)</f>
        <v>0</v>
      </c>
      <c r="L286" s="7" t="n">
        <f aca="false">IF(((C286-E286)&gt;0)*AND(F286&gt;(C286-E286)),(C286-E286),IF(C286&lt;E286,0,F286))</f>
        <v>3.16170286282188</v>
      </c>
      <c r="M286" s="7" t="n">
        <f aca="false">IF(C286&lt;(E286+F286),0,C286-E286-F286)</f>
        <v>29.0302905345469</v>
      </c>
      <c r="N286" s="7" t="n">
        <f aca="false">IF(C286&lt;(E286+F286),0,(C286-E286-F286)/(1-V$20/100))</f>
        <v>31.9014181698317</v>
      </c>
      <c r="O286" s="7" t="n">
        <f aca="false">L286+M286</f>
        <v>32.1919933973688</v>
      </c>
      <c r="P286" s="49" t="n">
        <f aca="false">IF(N286=0,I286*(1-G286/100)+J286*(1-H286/100),-N286)</f>
        <v>-31.9014181698317</v>
      </c>
      <c r="Q286" s="54" t="n">
        <f aca="false">IF(P285&gt;0,Q285+P285*(1-V$24/100),Q285+P285)</f>
        <v>1654.30862245714</v>
      </c>
      <c r="R286" s="55" t="n">
        <f aca="false">R$4+Q286/V$32</f>
        <v>56.0884662594933</v>
      </c>
    </row>
    <row r="287" customFormat="false" ht="12.8" hidden="false" customHeight="false" outlineLevel="0" collapsed="false">
      <c r="A287" s="1" t="n">
        <v>283</v>
      </c>
      <c r="B287" s="44" t="n">
        <v>43828</v>
      </c>
      <c r="C287" s="45" t="n">
        <f aca="false">V$30-V$30*SIN(2*PI()/365*A287)</f>
        <v>32.1502062435557</v>
      </c>
      <c r="D287" s="3" t="n">
        <f aca="false">IF((E287+F287)&gt;C287,C287,E287+F287)</f>
        <v>3.20371768247637</v>
      </c>
      <c r="E287" s="46" t="n">
        <f aca="false">(V$27+V$28*SIN(2*PI()/365*A287))*V$29/100*V$9*V$10/100</f>
        <v>0</v>
      </c>
      <c r="F287" s="46" t="n">
        <f aca="false">(V$27+V$28*SIN(2*PI()/365*A287))*V$29/100*V$11*(1-V$18/100)*(1-V$20/100)</f>
        <v>3.20371768247637</v>
      </c>
      <c r="G287" s="46" t="n">
        <f aca="false">IF(C287&gt;E287,100,C287/E287*100)</f>
        <v>100</v>
      </c>
      <c r="H287" s="46" t="n">
        <f aca="false">L287/F287*100</f>
        <v>100</v>
      </c>
      <c r="I287" s="47" t="n">
        <f aca="false">(V$27+V$28*SIN(2*PI()/365*A287))*V$29/100*V$9*V$10/100*(1-V$19/100)</f>
        <v>0</v>
      </c>
      <c r="J287" s="47" t="n">
        <f aca="false">(V$27+V$28*SIN(2*PI()/365*A287))*V$29/100*V$11*(1-V$18/100)</f>
        <v>3.52056888184216</v>
      </c>
      <c r="K287" s="48" t="n">
        <f aca="false">IF(E287/C287*100&lt;100,E287/C287*100,100)</f>
        <v>0</v>
      </c>
      <c r="L287" s="7" t="n">
        <f aca="false">IF(((C287-E287)&gt;0)*AND(F287&gt;(C287-E287)),(C287-E287),IF(C287&lt;E287,0,F287))</f>
        <v>3.20371768247637</v>
      </c>
      <c r="M287" s="7" t="n">
        <f aca="false">IF(C287&lt;(E287+F287),0,C287-E287-F287)</f>
        <v>28.9464885610793</v>
      </c>
      <c r="N287" s="7" t="n">
        <f aca="false">IF(C287&lt;(E287+F287),0,(C287-E287-F287)/(1-V$20/100))</f>
        <v>31.8093280890981</v>
      </c>
      <c r="O287" s="7" t="n">
        <f aca="false">L287+M287</f>
        <v>32.1502062435557</v>
      </c>
      <c r="P287" s="49" t="n">
        <f aca="false">IF(N287=0,I287*(1-G287/100)+J287*(1-H287/100),-N287)</f>
        <v>-31.8093280890981</v>
      </c>
      <c r="Q287" s="54" t="n">
        <f aca="false">IF(P286&gt;0,Q286+P286*(1-V$24/100),Q286+P286)</f>
        <v>1622.40720428731</v>
      </c>
      <c r="R287" s="55" t="n">
        <f aca="false">R$4+Q287/V$32</f>
        <v>55.7782188951938</v>
      </c>
    </row>
    <row r="288" customFormat="false" ht="12.8" hidden="false" customHeight="false" outlineLevel="0" collapsed="false">
      <c r="A288" s="1" t="n">
        <v>284</v>
      </c>
      <c r="B288" s="44" t="n">
        <v>43829</v>
      </c>
      <c r="C288" s="45" t="n">
        <f aca="false">V$30-V$30*SIN(2*PI()/365*A288)</f>
        <v>32.1036860113841</v>
      </c>
      <c r="D288" s="3" t="n">
        <f aca="false">IF((E288+F288)&gt;C288,C288,E288+F288)</f>
        <v>3.250491367368</v>
      </c>
      <c r="E288" s="46" t="n">
        <f aca="false">(V$27+V$28*SIN(2*PI()/365*A288))*V$29/100*V$9*V$10/100</f>
        <v>0</v>
      </c>
      <c r="F288" s="46" t="n">
        <f aca="false">(V$27+V$28*SIN(2*PI()/365*A288))*V$29/100*V$11*(1-V$18/100)*(1-V$20/100)</f>
        <v>3.250491367368</v>
      </c>
      <c r="G288" s="46" t="n">
        <f aca="false">IF(C288&gt;E288,100,C288/E288*100)</f>
        <v>100</v>
      </c>
      <c r="H288" s="46" t="n">
        <f aca="false">L288/F288*100</f>
        <v>100</v>
      </c>
      <c r="I288" s="47" t="n">
        <f aca="false">(V$27+V$28*SIN(2*PI()/365*A288))*V$29/100*V$9*V$10/100*(1-V$19/100)</f>
        <v>0</v>
      </c>
      <c r="J288" s="47" t="n">
        <f aca="false">(V$27+V$28*SIN(2*PI()/365*A288))*V$29/100*V$11*(1-V$18/100)</f>
        <v>3.57196853556924</v>
      </c>
      <c r="K288" s="48" t="n">
        <f aca="false">IF(E288/C288*100&lt;100,E288/C288*100,100)</f>
        <v>0</v>
      </c>
      <c r="L288" s="7" t="n">
        <f aca="false">IF(((C288-E288)&gt;0)*AND(F288&gt;(C288-E288)),(C288-E288),IF(C288&lt;E288,0,F288))</f>
        <v>3.250491367368</v>
      </c>
      <c r="M288" s="7" t="n">
        <f aca="false">IF(C288&lt;(E288+F288),0,C288-E288-F288)</f>
        <v>28.8531946440161</v>
      </c>
      <c r="N288" s="7" t="n">
        <f aca="false">IF(C288&lt;(E288+F288),0,(C288-E288-F288)/(1-V$20/100))</f>
        <v>31.7068073011166</v>
      </c>
      <c r="O288" s="7" t="n">
        <f aca="false">L288+M288</f>
        <v>32.1036860113841</v>
      </c>
      <c r="P288" s="49" t="n">
        <f aca="false">IF(N288=0,I288*(1-G288/100)+J288*(1-H288/100),-N288)</f>
        <v>-31.7068073011166</v>
      </c>
      <c r="Q288" s="54" t="n">
        <f aca="false">IF(P287&gt;0,Q287+P287*(1-V$24/100),Q287+P287)</f>
        <v>1590.59787619821</v>
      </c>
      <c r="R288" s="55" t="n">
        <f aca="false">R$4+Q288/V$32</f>
        <v>55.4688671244592</v>
      </c>
    </row>
    <row r="289" customFormat="false" ht="12.8" hidden="false" customHeight="false" outlineLevel="0" collapsed="false">
      <c r="A289" s="1" t="n">
        <v>285</v>
      </c>
      <c r="B289" s="44" t="n">
        <v>43830</v>
      </c>
      <c r="C289" s="45" t="n">
        <f aca="false">V$30-V$30*SIN(2*PI()/365*A289)</f>
        <v>32.0524464858029</v>
      </c>
      <c r="D289" s="3" t="n">
        <f aca="false">IF((E289+F289)&gt;C289,C289,E289+F289)</f>
        <v>3.30201005744449</v>
      </c>
      <c r="E289" s="46" t="n">
        <f aca="false">(V$27+V$28*SIN(2*PI()/365*A289))*V$29/100*V$9*V$10/100</f>
        <v>0</v>
      </c>
      <c r="F289" s="46" t="n">
        <f aca="false">(V$27+V$28*SIN(2*PI()/365*A289))*V$29/100*V$11*(1-V$18/100)*(1-V$20/100)</f>
        <v>3.30201005744449</v>
      </c>
      <c r="G289" s="46" t="n">
        <f aca="false">IF(C289&gt;E289,100,C289/E289*100)</f>
        <v>100</v>
      </c>
      <c r="H289" s="46" t="n">
        <f aca="false">L289/F289*100</f>
        <v>100</v>
      </c>
      <c r="I289" s="47" t="n">
        <f aca="false">(V$27+V$28*SIN(2*PI()/365*A289))*V$29/100*V$9*V$10/100*(1-V$19/100)</f>
        <v>0</v>
      </c>
      <c r="J289" s="47" t="n">
        <f aca="false">(V$27+V$28*SIN(2*PI()/365*A289))*V$29/100*V$11*(1-V$18/100)</f>
        <v>3.62858248070823</v>
      </c>
      <c r="K289" s="48" t="n">
        <f aca="false">IF(E289/C289*100&lt;100,E289/C289*100,100)</f>
        <v>0</v>
      </c>
      <c r="L289" s="7" t="n">
        <f aca="false">IF(((C289-E289)&gt;0)*AND(F289&gt;(C289-E289)),(C289-E289),IF(C289&lt;E289,0,F289))</f>
        <v>3.30201005744449</v>
      </c>
      <c r="M289" s="7" t="n">
        <f aca="false">IF(C289&lt;(E289+F289),0,C289-E289-F289)</f>
        <v>28.7504364283584</v>
      </c>
      <c r="N289" s="7" t="n">
        <f aca="false">IF(C289&lt;(E289+F289),0,(C289-E289-F289)/(1-V$20/100))</f>
        <v>31.5938861850093</v>
      </c>
      <c r="O289" s="7" t="n">
        <f aca="false">L289+M289</f>
        <v>32.0524464858029</v>
      </c>
      <c r="P289" s="49" t="n">
        <f aca="false">IF(N289=0,I289*(1-G289/100)+J289*(1-H289/100),-N289)</f>
        <v>-31.5938861850093</v>
      </c>
      <c r="Q289" s="54" t="n">
        <f aca="false">IF(P288&gt;0,Q288+P288*(1-V$24/100),Q288+P288)</f>
        <v>1558.89106889709</v>
      </c>
      <c r="R289" s="55" t="n">
        <f aca="false">R$4+Q289/V$32</f>
        <v>55.1605123879031</v>
      </c>
    </row>
    <row r="290" customFormat="false" ht="12.8" hidden="false" customHeight="false" outlineLevel="0" collapsed="false">
      <c r="A290" s="1" t="n">
        <v>286</v>
      </c>
      <c r="B290" s="44" t="n">
        <v>43831</v>
      </c>
      <c r="C290" s="45" t="n">
        <f aca="false">V$30-V$30*SIN(2*PI()/365*A290)</f>
        <v>31.9965028501893</v>
      </c>
      <c r="D290" s="3" t="n">
        <f aca="false">IF((E290+F290)&gt;C290,C290,E290+F290)</f>
        <v>3.35825848660609</v>
      </c>
      <c r="E290" s="46" t="n">
        <f aca="false">(V$27+V$28*SIN(2*PI()/365*A290))*V$29/100*V$9*V$10/100</f>
        <v>0</v>
      </c>
      <c r="F290" s="46" t="n">
        <f aca="false">(V$27+V$28*SIN(2*PI()/365*A290))*V$29/100*V$11*(1-V$18/100)*(1-V$20/100)</f>
        <v>3.35825848660609</v>
      </c>
      <c r="G290" s="46" t="n">
        <f aca="false">IF(C290&gt;E290,100,C290/E290*100)</f>
        <v>100</v>
      </c>
      <c r="H290" s="46" t="n">
        <f aca="false">L290/F290*100</f>
        <v>100</v>
      </c>
      <c r="I290" s="47" t="n">
        <f aca="false">(V$27+V$28*SIN(2*PI()/365*A290))*V$29/100*V$9*V$10/100*(1-V$19/100)</f>
        <v>0</v>
      </c>
      <c r="J290" s="47" t="n">
        <f aca="false">(V$27+V$28*SIN(2*PI()/365*A290))*V$29/100*V$11*(1-V$18/100)</f>
        <v>3.69039394132538</v>
      </c>
      <c r="K290" s="48" t="n">
        <f aca="false">IF(E290/C290*100&lt;100,E290/C290*100,100)</f>
        <v>0</v>
      </c>
      <c r="L290" s="7" t="n">
        <f aca="false">IF(((C290-E290)&gt;0)*AND(F290&gt;(C290-E290)),(C290-E290),IF(C290&lt;E290,0,F290))</f>
        <v>3.35825848660609</v>
      </c>
      <c r="M290" s="7" t="n">
        <f aca="false">IF(C290&lt;(E290+F290),0,C290-E290-F290)</f>
        <v>28.6382443635832</v>
      </c>
      <c r="N290" s="7" t="n">
        <f aca="false">IF(C290&lt;(E290+F290),0,(C290-E290-F290)/(1-V$20/100))</f>
        <v>31.4705982017398</v>
      </c>
      <c r="O290" s="7" t="n">
        <f aca="false">L290+M290</f>
        <v>31.9965028501893</v>
      </c>
      <c r="P290" s="49" t="n">
        <f aca="false">IF(N290=0,I290*(1-G290/100)+J290*(1-H290/100),-N290)</f>
        <v>-31.4705982017398</v>
      </c>
      <c r="Q290" s="54" t="n">
        <f aca="false">IF(P289&gt;0,Q289+P289*(1-V$24/100),Q289+P289)</f>
        <v>1527.29718271208</v>
      </c>
      <c r="R290" s="55" t="n">
        <f aca="false">R$4+Q290/V$32</f>
        <v>54.8532558306962</v>
      </c>
    </row>
    <row r="291" customFormat="false" ht="12.8" hidden="false" customHeight="false" outlineLevel="0" collapsed="false">
      <c r="A291" s="1" t="n">
        <v>287</v>
      </c>
      <c r="B291" s="44" t="n">
        <v>43832</v>
      </c>
      <c r="C291" s="45" t="n">
        <f aca="false">V$30-V$30*SIN(2*PI()/365*A291)</f>
        <v>31.93587168185</v>
      </c>
      <c r="D291" s="3" t="n">
        <f aca="false">IF((E291+F291)&gt;C291,C291,E291+F291)</f>
        <v>3.41921998722931</v>
      </c>
      <c r="E291" s="46" t="n">
        <f aca="false">(V$27+V$28*SIN(2*PI()/365*A291))*V$29/100*V$9*V$10/100</f>
        <v>0</v>
      </c>
      <c r="F291" s="46" t="n">
        <f aca="false">(V$27+V$28*SIN(2*PI()/365*A291))*V$29/100*V$11*(1-V$18/100)*(1-V$20/100)</f>
        <v>3.41921998722931</v>
      </c>
      <c r="G291" s="46" t="n">
        <f aca="false">IF(C291&gt;E291,100,C291/E291*100)</f>
        <v>100</v>
      </c>
      <c r="H291" s="46" t="n">
        <f aca="false">L291/F291*100</f>
        <v>100</v>
      </c>
      <c r="I291" s="47" t="n">
        <f aca="false">(V$27+V$28*SIN(2*PI()/365*A291))*V$29/100*V$9*V$10/100*(1-V$19/100)</f>
        <v>0</v>
      </c>
      <c r="J291" s="47" t="n">
        <f aca="false">(V$27+V$28*SIN(2*PI()/365*A291))*V$29/100*V$11*(1-V$18/100)</f>
        <v>3.75738460135089</v>
      </c>
      <c r="K291" s="48" t="n">
        <f aca="false">IF(E291/C291*100&lt;100,E291/C291*100,100)</f>
        <v>0</v>
      </c>
      <c r="L291" s="7" t="n">
        <f aca="false">IF(((C291-E291)&gt;0)*AND(F291&gt;(C291-E291)),(C291-E291),IF(C291&lt;E291,0,F291))</f>
        <v>3.41921998722931</v>
      </c>
      <c r="M291" s="7" t="n">
        <f aca="false">IF(C291&lt;(E291+F291),0,C291-E291-F291)</f>
        <v>28.5166516946207</v>
      </c>
      <c r="N291" s="7" t="n">
        <f aca="false">IF(C291&lt;(E291+F291),0,(C291-E291-F291)/(1-V$20/100))</f>
        <v>31.3369798841985</v>
      </c>
      <c r="O291" s="7" t="n">
        <f aca="false">L291+M291</f>
        <v>31.93587168185</v>
      </c>
      <c r="P291" s="49" t="n">
        <f aca="false">IF(N291=0,I291*(1-G291/100)+J291*(1-H291/100),-N291)</f>
        <v>-31.3369798841985</v>
      </c>
      <c r="Q291" s="54" t="n">
        <f aca="false">IF(P290&gt;0,Q290+P290*(1-V$24/100),Q290+P290)</f>
        <v>1495.82658451034</v>
      </c>
      <c r="R291" s="55" t="n">
        <f aca="false">R$4+Q291/V$32</f>
        <v>54.5471982725952</v>
      </c>
    </row>
    <row r="292" customFormat="false" ht="12.8" hidden="false" customHeight="false" outlineLevel="0" collapsed="false">
      <c r="A292" s="1" t="n">
        <v>288</v>
      </c>
      <c r="B292" s="44" t="n">
        <v>43833</v>
      </c>
      <c r="C292" s="45" t="n">
        <f aca="false">V$30-V$30*SIN(2*PI()/365*A292)</f>
        <v>31.8705709471085</v>
      </c>
      <c r="D292" s="3" t="n">
        <f aca="false">IF((E292+F292)&gt;C292,C292,E292+F292)</f>
        <v>3.48487649510585</v>
      </c>
      <c r="E292" s="46" t="n">
        <f aca="false">(V$27+V$28*SIN(2*PI()/365*A292))*V$29/100*V$9*V$10/100</f>
        <v>0</v>
      </c>
      <c r="F292" s="46" t="n">
        <f aca="false">(V$27+V$28*SIN(2*PI()/365*A292))*V$29/100*V$11*(1-V$18/100)*(1-V$20/100)</f>
        <v>3.48487649510585</v>
      </c>
      <c r="G292" s="46" t="n">
        <f aca="false">IF(C292&gt;E292,100,C292/E292*100)</f>
        <v>100</v>
      </c>
      <c r="H292" s="46" t="n">
        <f aca="false">L292/F292*100</f>
        <v>100</v>
      </c>
      <c r="I292" s="47" t="n">
        <f aca="false">(V$27+V$28*SIN(2*PI()/365*A292))*V$29/100*V$9*V$10/100*(1-V$19/100)</f>
        <v>0</v>
      </c>
      <c r="J292" s="47" t="n">
        <f aca="false">(V$27+V$28*SIN(2*PI()/365*A292))*V$29/100*V$11*(1-V$18/100)</f>
        <v>3.82953461000643</v>
      </c>
      <c r="K292" s="48" t="n">
        <f aca="false">IF(E292/C292*100&lt;100,E292/C292*100,100)</f>
        <v>0</v>
      </c>
      <c r="L292" s="7" t="n">
        <f aca="false">IF(((C292-E292)&gt;0)*AND(F292&gt;(C292-E292)),(C292-E292),IF(C292&lt;E292,0,F292))</f>
        <v>3.48487649510585</v>
      </c>
      <c r="M292" s="7" t="n">
        <f aca="false">IF(C292&lt;(E292+F292),0,C292-E292-F292)</f>
        <v>28.3856944520027</v>
      </c>
      <c r="N292" s="7" t="n">
        <f aca="false">IF(C292&lt;(E292+F292),0,(C292-E292-F292)/(1-V$20/100))</f>
        <v>31.1930708263765</v>
      </c>
      <c r="O292" s="7" t="n">
        <f aca="false">L292+M292</f>
        <v>31.8705709471085</v>
      </c>
      <c r="P292" s="49" t="n">
        <f aca="false">IF(N292=0,I292*(1-G292/100)+J292*(1-H292/100),-N292)</f>
        <v>-31.1930708263765</v>
      </c>
      <c r="Q292" s="54" t="n">
        <f aca="false">IF(P291&gt;0,Q291+P291*(1-V$24/100),Q291+P291)</f>
        <v>1464.48960462614</v>
      </c>
      <c r="R292" s="55" t="n">
        <f aca="false">R$4+Q292/V$32</f>
        <v>54.2424401780671</v>
      </c>
    </row>
    <row r="293" customFormat="false" ht="12.8" hidden="false" customHeight="false" outlineLevel="0" collapsed="false">
      <c r="A293" s="1" t="n">
        <v>289</v>
      </c>
      <c r="B293" s="44" t="n">
        <v>43834</v>
      </c>
      <c r="C293" s="45" t="n">
        <f aca="false">V$30-V$30*SIN(2*PI()/365*A293)</f>
        <v>31.800619995982</v>
      </c>
      <c r="D293" s="3" t="n">
        <f aca="false">IF((E293+F293)&gt;C293,C293,E293+F293)</f>
        <v>3.55520855479544</v>
      </c>
      <c r="E293" s="46" t="n">
        <f aca="false">(V$27+V$28*SIN(2*PI()/365*A293))*V$29/100*V$9*V$10/100</f>
        <v>0</v>
      </c>
      <c r="F293" s="46" t="n">
        <f aca="false">(V$27+V$28*SIN(2*PI()/365*A293))*V$29/100*V$11*(1-V$18/100)*(1-V$20/100)</f>
        <v>3.55520855479544</v>
      </c>
      <c r="G293" s="46" t="n">
        <f aca="false">IF(C293&gt;E293,100,C293/E293*100)</f>
        <v>100</v>
      </c>
      <c r="H293" s="46" t="n">
        <f aca="false">L293/F293*100</f>
        <v>100</v>
      </c>
      <c r="I293" s="47" t="n">
        <f aca="false">(V$27+V$28*SIN(2*PI()/365*A293))*V$29/100*V$9*V$10/100*(1-V$19/100)</f>
        <v>0</v>
      </c>
      <c r="J293" s="47" t="n">
        <f aca="false">(V$27+V$28*SIN(2*PI()/365*A293))*V$29/100*V$11*(1-V$18/100)</f>
        <v>3.9068225876873</v>
      </c>
      <c r="K293" s="48" t="n">
        <f aca="false">IF(E293/C293*100&lt;100,E293/C293*100,100)</f>
        <v>0</v>
      </c>
      <c r="L293" s="7" t="n">
        <f aca="false">IF(((C293-E293)&gt;0)*AND(F293&gt;(C293-E293)),(C293-E293),IF(C293&lt;E293,0,F293))</f>
        <v>3.55520855479544</v>
      </c>
      <c r="M293" s="7" t="n">
        <f aca="false">IF(C293&lt;(E293+F293),0,C293-E293-F293)</f>
        <v>28.2454114411865</v>
      </c>
      <c r="N293" s="7" t="n">
        <f aca="false">IF(C293&lt;(E293+F293),0,(C293-E293-F293)/(1-V$20/100))</f>
        <v>31.0389136716335</v>
      </c>
      <c r="O293" s="7" t="n">
        <f aca="false">L293+M293</f>
        <v>31.800619995982</v>
      </c>
      <c r="P293" s="49" t="n">
        <f aca="false">IF(N293=0,I293*(1-G293/100)+J293*(1-H293/100),-N293)</f>
        <v>-31.0389136716335</v>
      </c>
      <c r="Q293" s="54" t="n">
        <f aca="false">IF(P292&gt;0,Q292+P292*(1-V$24/100),Q292+P292)</f>
        <v>1433.29653379977</v>
      </c>
      <c r="R293" s="55" t="n">
        <f aca="false">R$4+Q293/V$32</f>
        <v>53.9390816265202</v>
      </c>
    </row>
    <row r="294" customFormat="false" ht="12.8" hidden="false" customHeight="false" outlineLevel="0" collapsed="false">
      <c r="A294" s="1" t="n">
        <v>290</v>
      </c>
      <c r="B294" s="44" t="n">
        <v>43835</v>
      </c>
      <c r="C294" s="45" t="n">
        <f aca="false">V$30-V$30*SIN(2*PI()/365*A294)</f>
        <v>31.7260395564469</v>
      </c>
      <c r="D294" s="3" t="n">
        <f aca="false">IF((E294+F294)&gt;C294,C294,E294+F294)</f>
        <v>3.63019532539092</v>
      </c>
      <c r="E294" s="46" t="n">
        <f aca="false">(V$27+V$28*SIN(2*PI()/365*A294))*V$29/100*V$9*V$10/100</f>
        <v>0</v>
      </c>
      <c r="F294" s="46" t="n">
        <f aca="false">(V$27+V$28*SIN(2*PI()/365*A294))*V$29/100*V$11*(1-V$18/100)*(1-V$20/100)</f>
        <v>3.63019532539092</v>
      </c>
      <c r="G294" s="46" t="n">
        <f aca="false">IF(C294&gt;E294,100,C294/E294*100)</f>
        <v>100</v>
      </c>
      <c r="H294" s="46" t="n">
        <f aca="false">L294/F294*100</f>
        <v>100</v>
      </c>
      <c r="I294" s="47" t="n">
        <f aca="false">(V$27+V$28*SIN(2*PI()/365*A294))*V$29/100*V$9*V$10/100*(1-V$19/100)</f>
        <v>0</v>
      </c>
      <c r="J294" s="47" t="n">
        <f aca="false">(V$27+V$28*SIN(2*PI()/365*A294))*V$29/100*V$11*(1-V$18/100)</f>
        <v>3.98922563229771</v>
      </c>
      <c r="K294" s="48" t="n">
        <f aca="false">IF(E294/C294*100&lt;100,E294/C294*100,100)</f>
        <v>0</v>
      </c>
      <c r="L294" s="7" t="n">
        <f aca="false">IF(((C294-E294)&gt;0)*AND(F294&gt;(C294-E294)),(C294-E294),IF(C294&lt;E294,0,F294))</f>
        <v>3.63019532539092</v>
      </c>
      <c r="M294" s="7" t="n">
        <f aca="false">IF(C294&lt;(E294+F294),0,C294-E294-F294)</f>
        <v>28.0958442310559</v>
      </c>
      <c r="N294" s="7" t="n">
        <f aca="false">IF(C294&lt;(E294+F294),0,(C294-E294-F294)/(1-V$20/100))</f>
        <v>30.8745541000615</v>
      </c>
      <c r="O294" s="7" t="n">
        <f aca="false">L294+M294</f>
        <v>31.7260395564469</v>
      </c>
      <c r="P294" s="49" t="n">
        <f aca="false">IF(N294=0,I294*(1-G294/100)+J294*(1-H294/100),-N294)</f>
        <v>-30.8745541000615</v>
      </c>
      <c r="Q294" s="54" t="n">
        <f aca="false">IF(P293&gt;0,Q293+P293*(1-V$24/100),Q293+P293)</f>
        <v>1402.25762012813</v>
      </c>
      <c r="R294" s="55" t="n">
        <f aca="false">R$4+Q294/V$32</f>
        <v>53.6372222826478</v>
      </c>
    </row>
    <row r="295" customFormat="false" ht="12.8" hidden="false" customHeight="false" outlineLevel="0" collapsed="false">
      <c r="A295" s="1" t="n">
        <v>291</v>
      </c>
      <c r="B295" s="44" t="n">
        <v>43836</v>
      </c>
      <c r="C295" s="45" t="n">
        <f aca="false">V$30-V$30*SIN(2*PI()/365*A295)</f>
        <v>31.646851728297</v>
      </c>
      <c r="D295" s="3" t="n">
        <f aca="false">IF((E295+F295)&gt;C295,C295,E295+F295)</f>
        <v>3.70981458669379</v>
      </c>
      <c r="E295" s="46" t="n">
        <f aca="false">(V$27+V$28*SIN(2*PI()/365*A295))*V$29/100*V$9*V$10/100</f>
        <v>0</v>
      </c>
      <c r="F295" s="46" t="n">
        <f aca="false">(V$27+V$28*SIN(2*PI()/365*A295))*V$29/100*V$11*(1-V$18/100)*(1-V$20/100)</f>
        <v>3.70981458669379</v>
      </c>
      <c r="G295" s="46" t="n">
        <f aca="false">IF(C295&gt;E295,100,C295/E295*100)</f>
        <v>100</v>
      </c>
      <c r="H295" s="46" t="n">
        <f aca="false">L295/F295*100</f>
        <v>100</v>
      </c>
      <c r="I295" s="47" t="n">
        <f aca="false">(V$27+V$28*SIN(2*PI()/365*A295))*V$29/100*V$9*V$10/100*(1-V$19/100)</f>
        <v>0</v>
      </c>
      <c r="J295" s="47" t="n">
        <f aca="false">(V$27+V$28*SIN(2*PI()/365*A295))*V$29/100*V$11*(1-V$18/100)</f>
        <v>4.07671932603714</v>
      </c>
      <c r="K295" s="48" t="n">
        <f aca="false">IF(E295/C295*100&lt;100,E295/C295*100,100)</f>
        <v>0</v>
      </c>
      <c r="L295" s="7" t="n">
        <f aca="false">IF(((C295-E295)&gt;0)*AND(F295&gt;(C295-E295)),(C295-E295),IF(C295&lt;E295,0,F295))</f>
        <v>3.70981458669379</v>
      </c>
      <c r="M295" s="7" t="n">
        <f aca="false">IF(C295&lt;(E295+F295),0,C295-E295-F295)</f>
        <v>27.9370371416032</v>
      </c>
      <c r="N295" s="7" t="n">
        <f aca="false">IF(C295&lt;(E295+F295),0,(C295-E295-F295)/(1-V$20/100))</f>
        <v>30.7000408149485</v>
      </c>
      <c r="O295" s="7" t="n">
        <f aca="false">L295+M295</f>
        <v>31.646851728297</v>
      </c>
      <c r="P295" s="49" t="n">
        <f aca="false">IF(N295=0,I295*(1-G295/100)+J295*(1-H295/100),-N295)</f>
        <v>-30.7000408149485</v>
      </c>
      <c r="Q295" s="54" t="n">
        <f aca="false">IF(P294&gt;0,Q294+P294*(1-V$24/100),Q294+P294)</f>
        <v>1371.38306602807</v>
      </c>
      <c r="R295" s="55" t="n">
        <f aca="false">R$4+Q295/V$32</f>
        <v>53.3369613668956</v>
      </c>
    </row>
    <row r="296" customFormat="false" ht="12.8" hidden="false" customHeight="false" outlineLevel="0" collapsed="false">
      <c r="A296" s="1" t="n">
        <v>292</v>
      </c>
      <c r="B296" s="44" t="n">
        <v>43837</v>
      </c>
      <c r="C296" s="45" t="n">
        <f aca="false">V$30-V$30*SIN(2*PI()/365*A296)</f>
        <v>31.5630799765948</v>
      </c>
      <c r="D296" s="3" t="n">
        <f aca="false">IF((E296+F296)&gt;C296,C296,E296+F296)</f>
        <v>3.79404274579863</v>
      </c>
      <c r="E296" s="46" t="n">
        <f aca="false">(V$27+V$28*SIN(2*PI()/365*A296))*V$29/100*V$9*V$10/100</f>
        <v>0</v>
      </c>
      <c r="F296" s="46" t="n">
        <f aca="false">(V$27+V$28*SIN(2*PI()/365*A296))*V$29/100*V$11*(1-V$18/100)*(1-V$20/100)</f>
        <v>3.79404274579863</v>
      </c>
      <c r="G296" s="46" t="n">
        <f aca="false">IF(C296&gt;E296,100,C296/E296*100)</f>
        <v>100</v>
      </c>
      <c r="H296" s="46" t="n">
        <f aca="false">L296/F296*100</f>
        <v>100</v>
      </c>
      <c r="I296" s="47" t="n">
        <f aca="false">(V$27+V$28*SIN(2*PI()/365*A296))*V$29/100*V$9*V$10/100*(1-V$19/100)</f>
        <v>0</v>
      </c>
      <c r="J296" s="47" t="n">
        <f aca="false">(V$27+V$28*SIN(2*PI()/365*A296))*V$29/100*V$11*(1-V$18/100)</f>
        <v>4.16927774263585</v>
      </c>
      <c r="K296" s="48" t="n">
        <f aca="false">IF(E296/C296*100&lt;100,E296/C296*100,100)</f>
        <v>0</v>
      </c>
      <c r="L296" s="7" t="n">
        <f aca="false">IF(((C296-E296)&gt;0)*AND(F296&gt;(C296-E296)),(C296-E296),IF(C296&lt;E296,0,F296))</f>
        <v>3.79404274579863</v>
      </c>
      <c r="M296" s="7" t="n">
        <f aca="false">IF(C296&lt;(E296+F296),0,C296-E296-F296)</f>
        <v>27.7690372307961</v>
      </c>
      <c r="N296" s="7" t="n">
        <f aca="false">IF(C296&lt;(E296+F296),0,(C296-E296-F296)/(1-V$20/100))</f>
        <v>30.5154255283474</v>
      </c>
      <c r="O296" s="7" t="n">
        <f aca="false">L296+M296</f>
        <v>31.5630799765948</v>
      </c>
      <c r="P296" s="49" t="n">
        <f aca="false">IF(N296=0,I296*(1-G296/100)+J296*(1-H296/100),-N296)</f>
        <v>-30.5154255283474</v>
      </c>
      <c r="Q296" s="54" t="n">
        <f aca="false">IF(P295&gt;0,Q295+P295*(1-V$24/100),Q295+P295)</f>
        <v>1340.68302521312</v>
      </c>
      <c r="R296" s="55" t="n">
        <f aca="false">R$4+Q296/V$32</f>
        <v>53.0383976260606</v>
      </c>
    </row>
    <row r="297" customFormat="false" ht="12.8" hidden="false" customHeight="false" outlineLevel="0" collapsed="false">
      <c r="A297" s="1" t="n">
        <v>293</v>
      </c>
      <c r="B297" s="44" t="n">
        <v>43838</v>
      </c>
      <c r="C297" s="45" t="n">
        <f aca="false">V$30-V$30*SIN(2*PI()/365*A297)</f>
        <v>31.4747491247183</v>
      </c>
      <c r="D297" s="3" t="n">
        <f aca="false">IF((E297+F297)&gt;C297,C297,E297+F297)</f>
        <v>3.88285484408408</v>
      </c>
      <c r="E297" s="46" t="n">
        <f aca="false">(V$27+V$28*SIN(2*PI()/365*A297))*V$29/100*V$9*V$10/100</f>
        <v>0</v>
      </c>
      <c r="F297" s="46" t="n">
        <f aca="false">(V$27+V$28*SIN(2*PI()/365*A297))*V$29/100*V$11*(1-V$18/100)*(1-V$20/100)</f>
        <v>3.88285484408408</v>
      </c>
      <c r="G297" s="46" t="n">
        <f aca="false">IF(C297&gt;E297,100,C297/E297*100)</f>
        <v>100</v>
      </c>
      <c r="H297" s="46" t="n">
        <f aca="false">L297/F297*100</f>
        <v>100</v>
      </c>
      <c r="I297" s="47" t="n">
        <f aca="false">(V$27+V$28*SIN(2*PI()/365*A297))*V$29/100*V$9*V$10/100*(1-V$19/100)</f>
        <v>0</v>
      </c>
      <c r="J297" s="47" t="n">
        <f aca="false">(V$27+V$28*SIN(2*PI()/365*A297))*V$29/100*V$11*(1-V$18/100)</f>
        <v>4.26687345503745</v>
      </c>
      <c r="K297" s="48" t="n">
        <f aca="false">IF(E297/C297*100&lt;100,E297/C297*100,100)</f>
        <v>0</v>
      </c>
      <c r="L297" s="7" t="n">
        <f aca="false">IF(((C297-E297)&gt;0)*AND(F297&gt;(C297-E297)),(C297-E297),IF(C297&lt;E297,0,F297))</f>
        <v>3.88285484408408</v>
      </c>
      <c r="M297" s="7" t="n">
        <f aca="false">IF(C297&lt;(E297+F297),0,C297-E297-F297)</f>
        <v>27.5918942806342</v>
      </c>
      <c r="N297" s="7" t="n">
        <f aca="false">IF(C297&lt;(E297+F297),0,(C297-E297-F297)/(1-V$20/100))</f>
        <v>30.3207629457519</v>
      </c>
      <c r="O297" s="7" t="n">
        <f aca="false">L297+M297</f>
        <v>31.4747491247183</v>
      </c>
      <c r="P297" s="49" t="n">
        <f aca="false">IF(N297=0,I297*(1-G297/100)+J297*(1-H297/100),-N297)</f>
        <v>-30.3207629457519</v>
      </c>
      <c r="Q297" s="54" t="n">
        <f aca="false">IF(P296&gt;0,Q296+P296*(1-V$24/100),Q296+P296)</f>
        <v>1310.16759968478</v>
      </c>
      <c r="R297" s="55" t="n">
        <f aca="false">R$4+Q297/V$32</f>
        <v>52.7416293040303</v>
      </c>
    </row>
    <row r="298" customFormat="false" ht="12.8" hidden="false" customHeight="false" outlineLevel="0" collapsed="false">
      <c r="A298" s="1" t="n">
        <v>294</v>
      </c>
      <c r="B298" s="44" t="n">
        <v>43839</v>
      </c>
      <c r="C298" s="45" t="n">
        <f aca="false">V$30-V$30*SIN(2*PI()/365*A298)</f>
        <v>31.3818853470052</v>
      </c>
      <c r="D298" s="3" t="n">
        <f aca="false">IF((E298+F298)&gt;C298,C298,E298+F298)</f>
        <v>3.97622456460871</v>
      </c>
      <c r="E298" s="46" t="n">
        <f aca="false">(V$27+V$28*SIN(2*PI()/365*A298))*V$29/100*V$9*V$10/100</f>
        <v>0</v>
      </c>
      <c r="F298" s="46" t="n">
        <f aca="false">(V$27+V$28*SIN(2*PI()/365*A298))*V$29/100*V$11*(1-V$18/100)*(1-V$20/100)</f>
        <v>3.97622456460871</v>
      </c>
      <c r="G298" s="46" t="n">
        <f aca="false">IF(C298&gt;E298,100,C298/E298*100)</f>
        <v>100</v>
      </c>
      <c r="H298" s="46" t="n">
        <f aca="false">L298/F298*100</f>
        <v>100</v>
      </c>
      <c r="I298" s="47" t="n">
        <f aca="false">(V$27+V$28*SIN(2*PI()/365*A298))*V$29/100*V$9*V$10/100*(1-V$19/100)</f>
        <v>0</v>
      </c>
      <c r="J298" s="47" t="n">
        <f aca="false">(V$27+V$28*SIN(2*PI()/365*A298))*V$29/100*V$11*(1-V$18/100)</f>
        <v>4.36947754352606</v>
      </c>
      <c r="K298" s="48" t="n">
        <f aca="false">IF(E298/C298*100&lt;100,E298/C298*100,100)</f>
        <v>0</v>
      </c>
      <c r="L298" s="7" t="n">
        <f aca="false">IF(((C298-E298)&gt;0)*AND(F298&gt;(C298-E298)),(C298-E298),IF(C298&lt;E298,0,F298))</f>
        <v>3.97622456460871</v>
      </c>
      <c r="M298" s="7" t="n">
        <f aca="false">IF(C298&lt;(E298+F298),0,C298-E298-F298)</f>
        <v>27.4056607823965</v>
      </c>
      <c r="N298" s="7" t="n">
        <f aca="false">IF(C298&lt;(E298+F298),0,(C298-E298-F298)/(1-V$20/100))</f>
        <v>30.1161107498863</v>
      </c>
      <c r="O298" s="7" t="n">
        <f aca="false">L298+M298</f>
        <v>31.3818853470052</v>
      </c>
      <c r="P298" s="49" t="n">
        <f aca="false">IF(N298=0,I298*(1-G298/100)+J298*(1-H298/100),-N298)</f>
        <v>-30.1161107498863</v>
      </c>
      <c r="Q298" s="54" t="n">
        <f aca="false">IF(P297&gt;0,Q297+P297*(1-V$24/100),Q297+P297)</f>
        <v>1279.84683673902</v>
      </c>
      <c r="R298" s="55" t="n">
        <f aca="false">R$4+Q298/V$32</f>
        <v>52.4467541126707</v>
      </c>
    </row>
    <row r="299" customFormat="false" ht="12.8" hidden="false" customHeight="false" outlineLevel="0" collapsed="false">
      <c r="A299" s="1" t="n">
        <v>295</v>
      </c>
      <c r="B299" s="44" t="n">
        <v>43840</v>
      </c>
      <c r="C299" s="45" t="n">
        <f aca="false">V$30-V$30*SIN(2*PI()/365*A299)</f>
        <v>31.2845161609971</v>
      </c>
      <c r="D299" s="3" t="n">
        <f aca="false">IF((E299+F299)&gt;C299,C299,E299+F299)</f>
        <v>4.07412423990924</v>
      </c>
      <c r="E299" s="46" t="n">
        <f aca="false">(V$27+V$28*SIN(2*PI()/365*A299))*V$29/100*V$9*V$10/100</f>
        <v>0</v>
      </c>
      <c r="F299" s="46" t="n">
        <f aca="false">(V$27+V$28*SIN(2*PI()/365*A299))*V$29/100*V$11*(1-V$18/100)*(1-V$20/100)</f>
        <v>4.07412423990924</v>
      </c>
      <c r="G299" s="46" t="n">
        <f aca="false">IF(C299&gt;E299,100,C299/E299*100)</f>
        <v>100</v>
      </c>
      <c r="H299" s="46" t="n">
        <f aca="false">L299/F299*100</f>
        <v>100</v>
      </c>
      <c r="I299" s="47" t="n">
        <f aca="false">(V$27+V$28*SIN(2*PI()/365*A299))*V$29/100*V$9*V$10/100*(1-V$19/100)</f>
        <v>0</v>
      </c>
      <c r="J299" s="47" t="n">
        <f aca="false">(V$27+V$28*SIN(2*PI()/365*A299))*V$29/100*V$11*(1-V$18/100)</f>
        <v>4.47705960429587</v>
      </c>
      <c r="K299" s="48" t="n">
        <f aca="false">IF(E299/C299*100&lt;100,E299/C299*100,100)</f>
        <v>0</v>
      </c>
      <c r="L299" s="7" t="n">
        <f aca="false">IF(((C299-E299)&gt;0)*AND(F299&gt;(C299-E299)),(C299-E299),IF(C299&lt;E299,0,F299))</f>
        <v>4.07412423990924</v>
      </c>
      <c r="M299" s="7" t="n">
        <f aca="false">IF(C299&lt;(E299+F299),0,C299-E299-F299)</f>
        <v>27.2103919210878</v>
      </c>
      <c r="N299" s="7" t="n">
        <f aca="false">IF(C299&lt;(E299+F299),0,(C299-E299-F299)/(1-V$20/100))</f>
        <v>29.901529583613</v>
      </c>
      <c r="O299" s="7" t="n">
        <f aca="false">L299+M299</f>
        <v>31.2845161609971</v>
      </c>
      <c r="P299" s="49" t="n">
        <f aca="false">IF(N299=0,I299*(1-G299/100)+J299*(1-H299/100),-N299)</f>
        <v>-29.901529583613</v>
      </c>
      <c r="Q299" s="54" t="n">
        <f aca="false">IF(P298&gt;0,Q298+P298*(1-V$24/100),Q298+P298)</f>
        <v>1249.73072598914</v>
      </c>
      <c r="R299" s="55" t="n">
        <f aca="false">R$4+Q299/V$32</f>
        <v>52.1538692028726</v>
      </c>
    </row>
    <row r="300" customFormat="false" ht="12.8" hidden="false" customHeight="false" outlineLevel="0" collapsed="false">
      <c r="A300" s="1" t="n">
        <v>296</v>
      </c>
      <c r="B300" s="44" t="n">
        <v>43841</v>
      </c>
      <c r="C300" s="45" t="n">
        <f aca="false">V$30-V$30*SIN(2*PI()/365*A300)</f>
        <v>31.1826704192851</v>
      </c>
      <c r="D300" s="3" t="n">
        <f aca="false">IF((E300+F300)&gt;C300,C300,E300+F300)</f>
        <v>4.17652486019904</v>
      </c>
      <c r="E300" s="46" t="n">
        <f aca="false">(V$27+V$28*SIN(2*PI()/365*A300))*V$29/100*V$9*V$10/100</f>
        <v>0</v>
      </c>
      <c r="F300" s="46" t="n">
        <f aca="false">(V$27+V$28*SIN(2*PI()/365*A300))*V$29/100*V$11*(1-V$18/100)*(1-V$20/100)</f>
        <v>4.17652486019904</v>
      </c>
      <c r="G300" s="46" t="n">
        <f aca="false">IF(C300&gt;E300,100,C300/E300*100)</f>
        <v>100</v>
      </c>
      <c r="H300" s="46" t="n">
        <f aca="false">L300/F300*100</f>
        <v>100</v>
      </c>
      <c r="I300" s="47" t="n">
        <f aca="false">(V$27+V$28*SIN(2*PI()/365*A300))*V$29/100*V$9*V$10/100*(1-V$19/100)</f>
        <v>0</v>
      </c>
      <c r="J300" s="47" t="n">
        <f aca="false">(V$27+V$28*SIN(2*PI()/365*A300))*V$29/100*V$11*(1-V$18/100)</f>
        <v>4.58958775846048</v>
      </c>
      <c r="K300" s="48" t="n">
        <f aca="false">IF(E300/C300*100&lt;100,E300/C300*100,100)</f>
        <v>0</v>
      </c>
      <c r="L300" s="7" t="n">
        <f aca="false">IF(((C300-E300)&gt;0)*AND(F300&gt;(C300-E300)),(C300-E300),IF(C300&lt;E300,0,F300))</f>
        <v>4.17652486019904</v>
      </c>
      <c r="M300" s="7" t="n">
        <f aca="false">IF(C300&lt;(E300+F300),0,C300-E300-F300)</f>
        <v>27.006145559086</v>
      </c>
      <c r="N300" s="7" t="n">
        <f aca="false">IF(C300&lt;(E300+F300),0,(C300-E300-F300)/(1-V$20/100))</f>
        <v>29.6770830319627</v>
      </c>
      <c r="O300" s="7" t="n">
        <f aca="false">L300+M300</f>
        <v>31.1826704192851</v>
      </c>
      <c r="P300" s="49" t="n">
        <f aca="false">IF(N300=0,I300*(1-G300/100)+J300*(1-H300/100),-N300)</f>
        <v>-29.6770830319627</v>
      </c>
      <c r="Q300" s="54" t="n">
        <f aca="false">IF(P299&gt;0,Q299+P299*(1-V$24/100),Q299+P299)</f>
        <v>1219.82919640552</v>
      </c>
      <c r="R300" s="55" t="n">
        <f aca="false">R$4+Q300/V$32</f>
        <v>51.863071135763</v>
      </c>
    </row>
    <row r="301" customFormat="false" ht="12.8" hidden="false" customHeight="false" outlineLevel="0" collapsed="false">
      <c r="A301" s="1" t="n">
        <v>297</v>
      </c>
      <c r="B301" s="44" t="n">
        <v>43842</v>
      </c>
      <c r="C301" s="45" t="n">
        <f aca="false">V$30-V$30*SIN(2*PI()/365*A301)</f>
        <v>31.0763783009605</v>
      </c>
      <c r="D301" s="3" t="n">
        <f aca="false">IF((E301+F301)&gt;C301,C301,E301+F301)</f>
        <v>4.28339608196432</v>
      </c>
      <c r="E301" s="46" t="n">
        <f aca="false">(V$27+V$28*SIN(2*PI()/365*A301))*V$29/100*V$9*V$10/100</f>
        <v>0</v>
      </c>
      <c r="F301" s="46" t="n">
        <f aca="false">(V$27+V$28*SIN(2*PI()/365*A301))*V$29/100*V$11*(1-V$18/100)*(1-V$20/100)</f>
        <v>4.28339608196432</v>
      </c>
      <c r="G301" s="46" t="n">
        <f aca="false">IF(C301&gt;E301,100,C301/E301*100)</f>
        <v>100</v>
      </c>
      <c r="H301" s="46" t="n">
        <f aca="false">L301/F301*100</f>
        <v>100</v>
      </c>
      <c r="I301" s="47" t="n">
        <f aca="false">(V$27+V$28*SIN(2*PI()/365*A301))*V$29/100*V$9*V$10/100*(1-V$19/100)</f>
        <v>0</v>
      </c>
      <c r="J301" s="47" t="n">
        <f aca="false">(V$27+V$28*SIN(2*PI()/365*A301))*V$29/100*V$11*(1-V$18/100)</f>
        <v>4.70702866149926</v>
      </c>
      <c r="K301" s="48" t="n">
        <f aca="false">IF(E301/C301*100&lt;100,E301/C301*100,100)</f>
        <v>0</v>
      </c>
      <c r="L301" s="7" t="n">
        <f aca="false">IF(((C301-E301)&gt;0)*AND(F301&gt;(C301-E301)),(C301-E301),IF(C301&lt;E301,0,F301))</f>
        <v>4.28339608196432</v>
      </c>
      <c r="M301" s="7" t="n">
        <f aca="false">IF(C301&lt;(E301+F301),0,C301-E301-F301)</f>
        <v>26.7929822189962</v>
      </c>
      <c r="N301" s="7" t="n">
        <f aca="false">IF(C301&lt;(E301+F301),0,(C301-E301-F301)/(1-V$20/100))</f>
        <v>29.4428376032925</v>
      </c>
      <c r="O301" s="7" t="n">
        <f aca="false">L301+M301</f>
        <v>31.0763783009605</v>
      </c>
      <c r="P301" s="49" t="n">
        <f aca="false">IF(N301=0,I301*(1-G301/100)+J301*(1-H301/100),-N301)</f>
        <v>-29.4428376032925</v>
      </c>
      <c r="Q301" s="54" t="n">
        <f aca="false">IF(P300&gt;0,Q300+P300*(1-V$24/100),Q300+P300)</f>
        <v>1190.15211337356</v>
      </c>
      <c r="R301" s="55" t="n">
        <f aca="false">R$4+Q301/V$32</f>
        <v>51.5744558540928</v>
      </c>
    </row>
    <row r="302" customFormat="false" ht="12.8" hidden="false" customHeight="false" outlineLevel="0" collapsed="false">
      <c r="A302" s="1" t="n">
        <v>298</v>
      </c>
      <c r="B302" s="44" t="n">
        <v>43843</v>
      </c>
      <c r="C302" s="45" t="n">
        <f aca="false">V$30-V$30*SIN(2*PI()/365*A302)</f>
        <v>30.965671302672</v>
      </c>
      <c r="D302" s="3" t="n">
        <f aca="false">IF((E302+F302)&gt;C302,C302,E302+F302)</f>
        <v>4.39470623695561</v>
      </c>
      <c r="E302" s="46" t="n">
        <f aca="false">(V$27+V$28*SIN(2*PI()/365*A302))*V$29/100*V$9*V$10/100</f>
        <v>0</v>
      </c>
      <c r="F302" s="46" t="n">
        <f aca="false">(V$27+V$28*SIN(2*PI()/365*A302))*V$29/100*V$11*(1-V$18/100)*(1-V$20/100)</f>
        <v>4.39470623695561</v>
      </c>
      <c r="G302" s="46" t="n">
        <f aca="false">IF(C302&gt;E302,100,C302/E302*100)</f>
        <v>100</v>
      </c>
      <c r="H302" s="46" t="n">
        <f aca="false">L302/F302*100</f>
        <v>100</v>
      </c>
      <c r="I302" s="47" t="n">
        <f aca="false">(V$27+V$28*SIN(2*PI()/365*A302))*V$29/100*V$9*V$10/100*(1-V$19/100)</f>
        <v>0</v>
      </c>
      <c r="J302" s="47" t="n">
        <f aca="false">(V$27+V$28*SIN(2*PI()/365*A302))*V$29/100*V$11*(1-V$18/100)</f>
        <v>4.82934751313803</v>
      </c>
      <c r="K302" s="48" t="n">
        <f aca="false">IF(E302/C302*100&lt;100,E302/C302*100,100)</f>
        <v>0</v>
      </c>
      <c r="L302" s="7" t="n">
        <f aca="false">IF(((C302-E302)&gt;0)*AND(F302&gt;(C302-E302)),(C302-E302),IF(C302&lt;E302,0,F302))</f>
        <v>4.39470623695561</v>
      </c>
      <c r="M302" s="7" t="n">
        <f aca="false">IF(C302&lt;(E302+F302),0,C302-E302-F302)</f>
        <v>26.5709650657164</v>
      </c>
      <c r="N302" s="7" t="n">
        <f aca="false">IF(C302&lt;(E302+F302),0,(C302-E302-F302)/(1-V$20/100))</f>
        <v>29.1988627095785</v>
      </c>
      <c r="O302" s="7" t="n">
        <f aca="false">L302+M302</f>
        <v>30.9656713026721</v>
      </c>
      <c r="P302" s="49" t="n">
        <f aca="false">IF(N302=0,I302*(1-G302/100)+J302*(1-H302/100),-N302)</f>
        <v>-29.1988627095785</v>
      </c>
      <c r="Q302" s="54" t="n">
        <f aca="false">IF(P301&gt;0,Q301+P301*(1-V$24/100),Q301+P301)</f>
        <v>1160.70927577027</v>
      </c>
      <c r="R302" s="55" t="n">
        <f aca="false">R$4+Q302/V$32</f>
        <v>51.2881186538062</v>
      </c>
    </row>
    <row r="303" customFormat="false" ht="12.8" hidden="false" customHeight="false" outlineLevel="0" collapsed="false">
      <c r="A303" s="1" t="n">
        <v>299</v>
      </c>
      <c r="B303" s="44" t="n">
        <v>43844</v>
      </c>
      <c r="C303" s="45" t="n">
        <f aca="false">V$30-V$30*SIN(2*PI()/365*A303)</f>
        <v>30.8505822292925</v>
      </c>
      <c r="D303" s="3" t="n">
        <f aca="false">IF((E303+F303)&gt;C303,C303,E303+F303)</f>
        <v>4.5104223415717</v>
      </c>
      <c r="E303" s="46" t="n">
        <f aca="false">(V$27+V$28*SIN(2*PI()/365*A303))*V$29/100*V$9*V$10/100</f>
        <v>0</v>
      </c>
      <c r="F303" s="46" t="n">
        <f aca="false">(V$27+V$28*SIN(2*PI()/365*A303))*V$29/100*V$11*(1-V$18/100)*(1-V$20/100)</f>
        <v>4.5104223415717</v>
      </c>
      <c r="G303" s="46" t="n">
        <f aca="false">IF(C303&gt;E303,100,C303/E303*100)</f>
        <v>100</v>
      </c>
      <c r="H303" s="46" t="n">
        <f aca="false">L303/F303*100</f>
        <v>100</v>
      </c>
      <c r="I303" s="47" t="n">
        <f aca="false">(V$27+V$28*SIN(2*PI()/365*A303))*V$29/100*V$9*V$10/100*(1-V$19/100)</f>
        <v>0</v>
      </c>
      <c r="J303" s="47" t="n">
        <f aca="false">(V$27+V$28*SIN(2*PI()/365*A303))*V$29/100*V$11*(1-V$18/100)</f>
        <v>4.95650806766121</v>
      </c>
      <c r="K303" s="48" t="n">
        <f aca="false">IF(E303/C303*100&lt;100,E303/C303*100,100)</f>
        <v>0</v>
      </c>
      <c r="L303" s="7" t="n">
        <f aca="false">IF(((C303-E303)&gt;0)*AND(F303&gt;(C303-E303)),(C303-E303),IF(C303&lt;E303,0,F303))</f>
        <v>4.5104223415717</v>
      </c>
      <c r="M303" s="7" t="n">
        <f aca="false">IF(C303&lt;(E303+F303),0,C303-E303-F303)</f>
        <v>26.3401598877208</v>
      </c>
      <c r="N303" s="7" t="n">
        <f aca="false">IF(C303&lt;(E303+F303),0,(C303-E303-F303)/(1-V$20/100))</f>
        <v>28.945230645847</v>
      </c>
      <c r="O303" s="7" t="n">
        <f aca="false">L303+M303</f>
        <v>30.8505822292925</v>
      </c>
      <c r="P303" s="49" t="n">
        <f aca="false">IF(N303=0,I303*(1-G303/100)+J303*(1-H303/100),-N303)</f>
        <v>-28.945230645847</v>
      </c>
      <c r="Q303" s="54" t="n">
        <f aca="false">IF(P302&gt;0,Q302+P302*(1-V$24/100),Q302+P302)</f>
        <v>1131.51041306069</v>
      </c>
      <c r="R303" s="55" t="n">
        <f aca="false">R$4+Q303/V$32</f>
        <v>51.0041541558029</v>
      </c>
    </row>
    <row r="304" customFormat="false" ht="12.8" hidden="false" customHeight="false" outlineLevel="0" collapsed="false">
      <c r="A304" s="1" t="n">
        <v>300</v>
      </c>
      <c r="B304" s="44" t="n">
        <v>43845</v>
      </c>
      <c r="C304" s="45" t="n">
        <f aca="false">V$30-V$30*SIN(2*PI()/365*A304)</f>
        <v>30.7311451841981</v>
      </c>
      <c r="D304" s="3" t="n">
        <f aca="false">IF((E304+F304)&gt;C304,C304,E304+F304)</f>
        <v>4.63051010663345</v>
      </c>
      <c r="E304" s="46" t="n">
        <f aca="false">(V$27+V$28*SIN(2*PI()/365*A304))*V$29/100*V$9*V$10/100</f>
        <v>0</v>
      </c>
      <c r="F304" s="46" t="n">
        <f aca="false">(V$27+V$28*SIN(2*PI()/365*A304))*V$29/100*V$11*(1-V$18/100)*(1-V$20/100)</f>
        <v>4.63051010663345</v>
      </c>
      <c r="G304" s="46" t="n">
        <f aca="false">IF(C304&gt;E304,100,C304/E304*100)</f>
        <v>100</v>
      </c>
      <c r="H304" s="46" t="n">
        <f aca="false">L304/F304*100</f>
        <v>100</v>
      </c>
      <c r="I304" s="47" t="n">
        <f aca="false">(V$27+V$28*SIN(2*PI()/365*A304))*V$29/100*V$9*V$10/100*(1-V$19/100)</f>
        <v>0</v>
      </c>
      <c r="J304" s="47" t="n">
        <f aca="false">(V$27+V$28*SIN(2*PI()/365*A304))*V$29/100*V$11*(1-V$18/100)</f>
        <v>5.08847264465214</v>
      </c>
      <c r="K304" s="48" t="n">
        <f aca="false">IF(E304/C304*100&lt;100,E304/C304*100,100)</f>
        <v>0</v>
      </c>
      <c r="L304" s="7" t="n">
        <f aca="false">IF(((C304-E304)&gt;0)*AND(F304&gt;(C304-E304)),(C304-E304),IF(C304&lt;E304,0,F304))</f>
        <v>4.63051010663345</v>
      </c>
      <c r="M304" s="7" t="n">
        <f aca="false">IF(C304&lt;(E304+F304),0,C304-E304-F304)</f>
        <v>26.1006350775646</v>
      </c>
      <c r="N304" s="7" t="n">
        <f aca="false">IF(C304&lt;(E304+F304),0,(C304-E304-F304)/(1-V$20/100))</f>
        <v>28.6820165687523</v>
      </c>
      <c r="O304" s="7" t="n">
        <f aca="false">L304+M304</f>
        <v>30.7311451841981</v>
      </c>
      <c r="P304" s="49" t="n">
        <f aca="false">IF(N304=0,I304*(1-G304/100)+J304*(1-H304/100),-N304)</f>
        <v>-28.6820165687523</v>
      </c>
      <c r="Q304" s="54" t="n">
        <f aca="false">IF(P303&gt;0,Q303+P303*(1-V$24/100),Q303+P303)</f>
        <v>1102.56518241484</v>
      </c>
      <c r="R304" s="55" t="n">
        <f aca="false">R$4+Q304/V$32</f>
        <v>50.7226562778995</v>
      </c>
    </row>
    <row r="305" customFormat="false" ht="12.8" hidden="false" customHeight="false" outlineLevel="0" collapsed="false">
      <c r="A305" s="1" t="n">
        <v>301</v>
      </c>
      <c r="B305" s="44" t="n">
        <v>43846</v>
      </c>
      <c r="C305" s="45" t="n">
        <f aca="false">V$30-V$30*SIN(2*PI()/365*A305)</f>
        <v>30.6073955591629</v>
      </c>
      <c r="D305" s="3" t="n">
        <f aca="false">IF((E305+F305)&gt;C305,C305,E305+F305)</f>
        <v>4.75493394754436</v>
      </c>
      <c r="E305" s="46" t="n">
        <f aca="false">(V$27+V$28*SIN(2*PI()/365*A305))*V$29/100*V$9*V$10/100</f>
        <v>0</v>
      </c>
      <c r="F305" s="46" t="n">
        <f aca="false">(V$27+V$28*SIN(2*PI()/365*A305))*V$29/100*V$11*(1-V$18/100)*(1-V$20/100)</f>
        <v>4.75493394754436</v>
      </c>
      <c r="G305" s="46" t="n">
        <f aca="false">IF(C305&gt;E305,100,C305/E305*100)</f>
        <v>100</v>
      </c>
      <c r="H305" s="46" t="n">
        <f aca="false">L305/F305*100</f>
        <v>100</v>
      </c>
      <c r="I305" s="47" t="n">
        <f aca="false">(V$27+V$28*SIN(2*PI()/365*A305))*V$29/100*V$9*V$10/100*(1-V$19/100)</f>
        <v>0</v>
      </c>
      <c r="J305" s="47" t="n">
        <f aca="false">(V$27+V$28*SIN(2*PI()/365*A305))*V$29/100*V$11*(1-V$18/100)</f>
        <v>5.22520214015864</v>
      </c>
      <c r="K305" s="48" t="n">
        <f aca="false">IF(E305/C305*100&lt;100,E305/C305*100,100)</f>
        <v>0</v>
      </c>
      <c r="L305" s="7" t="n">
        <f aca="false">IF(((C305-E305)&gt;0)*AND(F305&gt;(C305-E305)),(C305-E305),IF(C305&lt;E305,0,F305))</f>
        <v>4.75493394754436</v>
      </c>
      <c r="M305" s="7" t="n">
        <f aca="false">IF(C305&lt;(E305+F305),0,C305-E305-F305)</f>
        <v>25.8524616116186</v>
      </c>
      <c r="N305" s="7" t="n">
        <f aca="false">IF(C305&lt;(E305+F305),0,(C305-E305-F305)/(1-V$20/100))</f>
        <v>28.4092984743061</v>
      </c>
      <c r="O305" s="7" t="n">
        <f aca="false">L305+M305</f>
        <v>30.6073955591629</v>
      </c>
      <c r="P305" s="49" t="n">
        <f aca="false">IF(N305=0,I305*(1-G305/100)+J305*(1-H305/100),-N305)</f>
        <v>-28.4092984743061</v>
      </c>
      <c r="Q305" s="54" t="n">
        <f aca="false">IF(P304&gt;0,Q304+P304*(1-V$24/100),Q304+P304)</f>
        <v>1073.88316584609</v>
      </c>
      <c r="R305" s="55" t="n">
        <f aca="false">R$4+Q305/V$32</f>
        <v>50.443718207</v>
      </c>
    </row>
    <row r="306" customFormat="false" ht="12.8" hidden="false" customHeight="false" outlineLevel="0" collapsed="false">
      <c r="A306" s="1" t="n">
        <v>302</v>
      </c>
      <c r="B306" s="44" t="n">
        <v>43847</v>
      </c>
      <c r="C306" s="45" t="n">
        <f aca="false">V$30-V$30*SIN(2*PI()/365*A306)</f>
        <v>30.4793700238717</v>
      </c>
      <c r="D306" s="3" t="n">
        <f aca="false">IF((E306+F306)&gt;C306,C306,E306+F306)</f>
        <v>4.88365699483509</v>
      </c>
      <c r="E306" s="46" t="n">
        <f aca="false">(V$27+V$28*SIN(2*PI()/365*A306))*V$29/100*V$9*V$10/100</f>
        <v>0</v>
      </c>
      <c r="F306" s="46" t="n">
        <f aca="false">(V$27+V$28*SIN(2*PI()/365*A306))*V$29/100*V$11*(1-V$18/100)*(1-V$20/100)</f>
        <v>4.88365699483509</v>
      </c>
      <c r="G306" s="46" t="n">
        <f aca="false">IF(C306&gt;E306,100,C306/E306*100)</f>
        <v>100</v>
      </c>
      <c r="H306" s="46" t="n">
        <f aca="false">L306/F306*100</f>
        <v>100</v>
      </c>
      <c r="I306" s="47" t="n">
        <f aca="false">(V$27+V$28*SIN(2*PI()/365*A306))*V$29/100*V$9*V$10/100*(1-V$19/100)</f>
        <v>0</v>
      </c>
      <c r="J306" s="47" t="n">
        <f aca="false">(V$27+V$28*SIN(2*PI()/365*A306))*V$29/100*V$11*(1-V$18/100)</f>
        <v>5.36665603828032</v>
      </c>
      <c r="K306" s="48" t="n">
        <f aca="false">IF(E306/C306*100&lt;100,E306/C306*100,100)</f>
        <v>0</v>
      </c>
      <c r="L306" s="7" t="n">
        <f aca="false">IF(((C306-E306)&gt;0)*AND(F306&gt;(C306-E306)),(C306-E306),IF(C306&lt;E306,0,F306))</f>
        <v>4.88365699483509</v>
      </c>
      <c r="M306" s="7" t="n">
        <f aca="false">IF(C306&lt;(E306+F306),0,C306-E306-F306)</f>
        <v>25.5957130290367</v>
      </c>
      <c r="N306" s="7" t="n">
        <f aca="false">IF(C306&lt;(E306+F306),0,(C306-E306-F306)/(1-V$20/100))</f>
        <v>28.1271571747656</v>
      </c>
      <c r="O306" s="7" t="n">
        <f aca="false">L306+M306</f>
        <v>30.4793700238717</v>
      </c>
      <c r="P306" s="49" t="n">
        <f aca="false">IF(N306=0,I306*(1-G306/100)+J306*(1-H306/100),-N306)</f>
        <v>-28.1271571747656</v>
      </c>
      <c r="Q306" s="54" t="n">
        <f aca="false">IF(P305&gt;0,Q305+P305*(1-V$24/100),Q305+P305)</f>
        <v>1045.47386737179</v>
      </c>
      <c r="R306" s="55" t="n">
        <f aca="false">R$4+Q306/V$32</f>
        <v>50.1674323714823</v>
      </c>
    </row>
    <row r="307" customFormat="false" ht="12.8" hidden="false" customHeight="false" outlineLevel="0" collapsed="false">
      <c r="A307" s="1" t="n">
        <v>303</v>
      </c>
      <c r="B307" s="44" t="n">
        <v>43848</v>
      </c>
      <c r="C307" s="45" t="n">
        <f aca="false">V$30-V$30*SIN(2*PI()/365*A307)</f>
        <v>30.3471065150536</v>
      </c>
      <c r="D307" s="3" t="n">
        <f aca="false">IF((E307+F307)&gt;C307,C307,E307+F307)</f>
        <v>5.01664110508864</v>
      </c>
      <c r="E307" s="46" t="n">
        <f aca="false">(V$27+V$28*SIN(2*PI()/365*A307))*V$29/100*V$9*V$10/100</f>
        <v>0</v>
      </c>
      <c r="F307" s="46" t="n">
        <f aca="false">(V$27+V$28*SIN(2*PI()/365*A307))*V$29/100*V$11*(1-V$18/100)*(1-V$20/100)</f>
        <v>5.01664110508864</v>
      </c>
      <c r="G307" s="46" t="n">
        <f aca="false">IF(C307&gt;E307,100,C307/E307*100)</f>
        <v>100</v>
      </c>
      <c r="H307" s="46" t="n">
        <f aca="false">L307/F307*100</f>
        <v>100</v>
      </c>
      <c r="I307" s="47" t="n">
        <f aca="false">(V$27+V$28*SIN(2*PI()/365*A307))*V$29/100*V$9*V$10/100*(1-V$19/100)</f>
        <v>0</v>
      </c>
      <c r="J307" s="47" t="n">
        <f aca="false">(V$27+V$28*SIN(2*PI()/365*A307))*V$29/100*V$11*(1-V$18/100)</f>
        <v>5.51279242317433</v>
      </c>
      <c r="K307" s="48" t="n">
        <f aca="false">IF(E307/C307*100&lt;100,E307/C307*100,100)</f>
        <v>0</v>
      </c>
      <c r="L307" s="7" t="n">
        <f aca="false">IF(((C307-E307)&gt;0)*AND(F307&gt;(C307-E307)),(C307-E307),IF(C307&lt;E307,0,F307))</f>
        <v>5.01664110508864</v>
      </c>
      <c r="M307" s="7" t="n">
        <f aca="false">IF(C307&lt;(E307+F307),0,C307-E307-F307)</f>
        <v>25.330465409965</v>
      </c>
      <c r="N307" s="7" t="n">
        <f aca="false">IF(C307&lt;(E307+F307),0,(C307-E307-F307)/(1-V$20/100))</f>
        <v>27.8356762746868</v>
      </c>
      <c r="O307" s="7" t="n">
        <f aca="false">L307+M307</f>
        <v>30.3471065150536</v>
      </c>
      <c r="P307" s="49" t="n">
        <f aca="false">IF(N307=0,I307*(1-G307/100)+J307*(1-H307/100),-N307)</f>
        <v>-27.8356762746868</v>
      </c>
      <c r="Q307" s="54" t="n">
        <f aca="false">IF(P306&gt;0,Q306+P306*(1-V$24/100),Q306+P306)</f>
        <v>1017.34671019702</v>
      </c>
      <c r="R307" s="55" t="n">
        <f aca="false">R$4+Q307/V$32</f>
        <v>49.8938904138096</v>
      </c>
    </row>
    <row r="308" customFormat="false" ht="12.8" hidden="false" customHeight="false" outlineLevel="0" collapsed="false">
      <c r="A308" s="1" t="n">
        <v>304</v>
      </c>
      <c r="B308" s="44" t="n">
        <v>43849</v>
      </c>
      <c r="C308" s="45" t="n">
        <f aca="false">V$30-V$30*SIN(2*PI()/365*A308)</f>
        <v>30.2106442252407</v>
      </c>
      <c r="D308" s="3" t="n">
        <f aca="false">IF((E308+F308)&gt;C308,C308,E308+F308)</f>
        <v>5.15384687224313</v>
      </c>
      <c r="E308" s="46" t="n">
        <f aca="false">(V$27+V$28*SIN(2*PI()/365*A308))*V$29/100*V$9*V$10/100</f>
        <v>0</v>
      </c>
      <c r="F308" s="46" t="n">
        <f aca="false">(V$27+V$28*SIN(2*PI()/365*A308))*V$29/100*V$11*(1-V$18/100)*(1-V$20/100)</f>
        <v>5.15384687224313</v>
      </c>
      <c r="G308" s="46" t="n">
        <f aca="false">IF(C308&gt;E308,100,C308/E308*100)</f>
        <v>100</v>
      </c>
      <c r="H308" s="46" t="n">
        <f aca="false">L308/F308*100</f>
        <v>100</v>
      </c>
      <c r="I308" s="47" t="n">
        <f aca="false">(V$27+V$28*SIN(2*PI()/365*A308))*V$29/100*V$9*V$10/100*(1-V$19/100)</f>
        <v>0</v>
      </c>
      <c r="J308" s="47" t="n">
        <f aca="false">(V$27+V$28*SIN(2*PI()/365*A308))*V$29/100*V$11*(1-V$18/100)</f>
        <v>5.66356799147597</v>
      </c>
      <c r="K308" s="48" t="n">
        <f aca="false">IF(E308/C308*100&lt;100,E308/C308*100,100)</f>
        <v>0</v>
      </c>
      <c r="L308" s="7" t="n">
        <f aca="false">IF(((C308-E308)&gt;0)*AND(F308&gt;(C308-E308)),(C308-E308),IF(C308&lt;E308,0,F308))</f>
        <v>5.15384687224313</v>
      </c>
      <c r="M308" s="7" t="n">
        <f aca="false">IF(C308&lt;(E308+F308),0,C308-E308-F308)</f>
        <v>25.0567973529976</v>
      </c>
      <c r="N308" s="7" t="n">
        <f aca="false">IF(C308&lt;(E308+F308),0,(C308-E308-F308)/(1-V$20/100))</f>
        <v>27.5349421461512</v>
      </c>
      <c r="O308" s="7" t="n">
        <f aca="false">L308+M308</f>
        <v>30.2106442252407</v>
      </c>
      <c r="P308" s="49" t="n">
        <f aca="false">IF(N308=0,I308*(1-G308/100)+J308*(1-H308/100),-N308)</f>
        <v>-27.5349421461512</v>
      </c>
      <c r="Q308" s="54" t="n">
        <f aca="false">IF(P307&gt;0,Q307+P307*(1-V$24/100),Q307+P307)</f>
        <v>989.511033922333</v>
      </c>
      <c r="R308" s="55" t="n">
        <f aca="false">R$4+Q308/V$32</f>
        <v>49.6231831633751</v>
      </c>
    </row>
    <row r="309" customFormat="false" ht="12.8" hidden="false" customHeight="false" outlineLevel="0" collapsed="false">
      <c r="A309" s="1" t="n">
        <v>305</v>
      </c>
      <c r="B309" s="44" t="n">
        <v>43850</v>
      </c>
      <c r="C309" s="45" t="n">
        <f aca="false">V$30-V$30*SIN(2*PI()/365*A309)</f>
        <v>30.0700235911545</v>
      </c>
      <c r="D309" s="3" t="n">
        <f aca="false">IF((E309+F309)&gt;C309,C309,E309+F309)</f>
        <v>5.29523363926859</v>
      </c>
      <c r="E309" s="46" t="n">
        <f aca="false">(V$27+V$28*SIN(2*PI()/365*A309))*V$29/100*V$9*V$10/100</f>
        <v>0</v>
      </c>
      <c r="F309" s="46" t="n">
        <f aca="false">(V$27+V$28*SIN(2*PI()/365*A309))*V$29/100*V$11*(1-V$18/100)*(1-V$20/100)</f>
        <v>5.29523363926859</v>
      </c>
      <c r="G309" s="46" t="n">
        <f aca="false">IF(C309&gt;E309,100,C309/E309*100)</f>
        <v>100</v>
      </c>
      <c r="H309" s="46" t="n">
        <f aca="false">L309/F309*100</f>
        <v>100</v>
      </c>
      <c r="I309" s="47" t="n">
        <f aca="false">(V$27+V$28*SIN(2*PI()/365*A309))*V$29/100*V$9*V$10/100*(1-V$19/100)</f>
        <v>0</v>
      </c>
      <c r="J309" s="47" t="n">
        <f aca="false">(V$27+V$28*SIN(2*PI()/365*A309))*V$29/100*V$11*(1-V$18/100)</f>
        <v>5.81893806513032</v>
      </c>
      <c r="K309" s="48" t="n">
        <f aca="false">IF(E309/C309*100&lt;100,E309/C309*100,100)</f>
        <v>0</v>
      </c>
      <c r="L309" s="7" t="n">
        <f aca="false">IF(((C309-E309)&gt;0)*AND(F309&gt;(C309-E309)),(C309-E309),IF(C309&lt;E309,0,F309))</f>
        <v>5.29523363926859</v>
      </c>
      <c r="M309" s="7" t="n">
        <f aca="false">IF(C309&lt;(E309+F309),0,C309-E309-F309)</f>
        <v>24.7747899518859</v>
      </c>
      <c r="N309" s="7" t="n">
        <f aca="false">IF(C309&lt;(E309+F309),0,(C309-E309-F309)/(1-V$20/100))</f>
        <v>27.2250439031714</v>
      </c>
      <c r="O309" s="7" t="n">
        <f aca="false">L309+M309</f>
        <v>30.0700235911545</v>
      </c>
      <c r="P309" s="49" t="n">
        <f aca="false">IF(N309=0,I309*(1-G309/100)+J309*(1-H309/100),-N309)</f>
        <v>-27.2250439031714</v>
      </c>
      <c r="Q309" s="54" t="n">
        <f aca="false">IF(P308&gt;0,Q308+P308*(1-V$24/100),Q308+P308)</f>
        <v>961.976091776182</v>
      </c>
      <c r="R309" s="55" t="n">
        <f aca="false">R$4+Q309/V$32</f>
        <v>49.3554006095869</v>
      </c>
    </row>
    <row r="310" customFormat="false" ht="12.8" hidden="false" customHeight="false" outlineLevel="0" collapsed="false">
      <c r="A310" s="1" t="n">
        <v>306</v>
      </c>
      <c r="B310" s="44" t="n">
        <v>43851</v>
      </c>
      <c r="C310" s="45" t="n">
        <f aca="false">V$30-V$30*SIN(2*PI()/365*A310)</f>
        <v>29.9252862817239</v>
      </c>
      <c r="D310" s="3" t="n">
        <f aca="false">IF((E310+F310)&gt;C310,C310,E310+F310)</f>
        <v>5.44075951021459</v>
      </c>
      <c r="E310" s="46" t="n">
        <f aca="false">(V$27+V$28*SIN(2*PI()/365*A310))*V$29/100*V$9*V$10/100</f>
        <v>0</v>
      </c>
      <c r="F310" s="46" t="n">
        <f aca="false">(V$27+V$28*SIN(2*PI()/365*A310))*V$29/100*V$11*(1-V$18/100)*(1-V$20/100)</f>
        <v>5.44075951021459</v>
      </c>
      <c r="G310" s="46" t="n">
        <f aca="false">IF(C310&gt;E310,100,C310/E310*100)</f>
        <v>100</v>
      </c>
      <c r="H310" s="46" t="n">
        <f aca="false">L310/F310*100</f>
        <v>100</v>
      </c>
      <c r="I310" s="47" t="n">
        <f aca="false">(V$27+V$28*SIN(2*PI()/365*A310))*V$29/100*V$9*V$10/100*(1-V$19/100)</f>
        <v>0</v>
      </c>
      <c r="J310" s="47" t="n">
        <f aca="false">(V$27+V$28*SIN(2*PI()/365*A310))*V$29/100*V$11*(1-V$18/100)</f>
        <v>5.97885660463142</v>
      </c>
      <c r="K310" s="48" t="n">
        <f aca="false">IF(E310/C310*100&lt;100,E310/C310*100,100)</f>
        <v>0</v>
      </c>
      <c r="L310" s="7" t="n">
        <f aca="false">IF(((C310-E310)&gt;0)*AND(F310&gt;(C310-E310)),(C310-E310),IF(C310&lt;E310,0,F310))</f>
        <v>5.44075951021459</v>
      </c>
      <c r="M310" s="7" t="n">
        <f aca="false">IF(C310&lt;(E310+F310),0,C310-E310-F310)</f>
        <v>24.4845267715093</v>
      </c>
      <c r="N310" s="7" t="n">
        <f aca="false">IF(C310&lt;(E310+F310),0,(C310-E310-F310)/(1-V$20/100))</f>
        <v>26.9060733752849</v>
      </c>
      <c r="O310" s="7" t="n">
        <f aca="false">L310+M310</f>
        <v>29.9252862817239</v>
      </c>
      <c r="P310" s="49" t="n">
        <f aca="false">IF(N310=0,I310*(1-G310/100)+J310*(1-H310/100),-N310)</f>
        <v>-26.9060733752849</v>
      </c>
      <c r="Q310" s="54" t="n">
        <f aca="false">IF(P309&gt;0,Q309+P309*(1-V$24/100),Q309+P309)</f>
        <v>934.751047873011</v>
      </c>
      <c r="R310" s="55" t="n">
        <f aca="false">R$4+Q310/V$32</f>
        <v>49.0906318752024</v>
      </c>
    </row>
    <row r="311" customFormat="false" ht="12.8" hidden="false" customHeight="false" outlineLevel="0" collapsed="false">
      <c r="A311" s="1" t="n">
        <v>307</v>
      </c>
      <c r="B311" s="44" t="n">
        <v>43852</v>
      </c>
      <c r="C311" s="45" t="n">
        <f aca="false">V$30-V$30*SIN(2*PI()/365*A311)</f>
        <v>29.7764751857371</v>
      </c>
      <c r="D311" s="3" t="n">
        <f aca="false">IF((E311+F311)&gt;C311,C311,E311+F311)</f>
        <v>5.59038136262485</v>
      </c>
      <c r="E311" s="46" t="n">
        <f aca="false">(V$27+V$28*SIN(2*PI()/365*A311))*V$29/100*V$9*V$10/100</f>
        <v>0</v>
      </c>
      <c r="F311" s="46" t="n">
        <f aca="false">(V$27+V$28*SIN(2*PI()/365*A311))*V$29/100*V$11*(1-V$18/100)*(1-V$20/100)</f>
        <v>5.59038136262485</v>
      </c>
      <c r="G311" s="46" t="n">
        <f aca="false">IF(C311&gt;E311,100,C311/E311*100)</f>
        <v>100</v>
      </c>
      <c r="H311" s="46" t="n">
        <f aca="false">L311/F311*100</f>
        <v>100</v>
      </c>
      <c r="I311" s="47" t="n">
        <f aca="false">(V$27+V$28*SIN(2*PI()/365*A311))*V$29/100*V$9*V$10/100*(1-V$19/100)</f>
        <v>0</v>
      </c>
      <c r="J311" s="47" t="n">
        <f aca="false">(V$27+V$28*SIN(2*PI()/365*A311))*V$29/100*V$11*(1-V$18/100)</f>
        <v>6.14327622266468</v>
      </c>
      <c r="K311" s="48" t="n">
        <f aca="false">IF(E311/C311*100&lt;100,E311/C311*100,100)</f>
        <v>0</v>
      </c>
      <c r="L311" s="7" t="n">
        <f aca="false">IF(((C311-E311)&gt;0)*AND(F311&gt;(C311-E311)),(C311-E311),IF(C311&lt;E311,0,F311))</f>
        <v>5.59038136262485</v>
      </c>
      <c r="M311" s="7" t="n">
        <f aca="false">IF(C311&lt;(E311+F311),0,C311-E311-F311)</f>
        <v>24.1860938231123</v>
      </c>
      <c r="N311" s="7" t="n">
        <f aca="false">IF(C311&lt;(E311+F311),0,(C311-E311-F311)/(1-V$20/100))</f>
        <v>26.5781250803432</v>
      </c>
      <c r="O311" s="7" t="n">
        <f aca="false">L311+M311</f>
        <v>29.7764751857371</v>
      </c>
      <c r="P311" s="49" t="n">
        <f aca="false">IF(N311=0,I311*(1-G311/100)+J311*(1-H311/100),-N311)</f>
        <v>-26.5781250803432</v>
      </c>
      <c r="Q311" s="54" t="n">
        <f aca="false">IF(P310&gt;0,Q310+P310*(1-V$24/100),Q310+P310)</f>
        <v>907.844974497726</v>
      </c>
      <c r="R311" s="55" t="n">
        <f aca="false">R$4+Q311/V$32</f>
        <v>48.8289651899192</v>
      </c>
    </row>
    <row r="312" customFormat="false" ht="12.8" hidden="false" customHeight="false" outlineLevel="0" collapsed="false">
      <c r="A312" s="1" t="n">
        <v>308</v>
      </c>
      <c r="B312" s="44" t="n">
        <v>43853</v>
      </c>
      <c r="C312" s="45" t="n">
        <f aca="false">V$30-V$30*SIN(2*PI()/365*A312)</f>
        <v>29.6236343991337</v>
      </c>
      <c r="D312" s="3" t="n">
        <f aca="false">IF((E312+F312)&gt;C312,C312,E312+F312)</f>
        <v>5.7440548603154</v>
      </c>
      <c r="E312" s="46" t="n">
        <f aca="false">(V$27+V$28*SIN(2*PI()/365*A312))*V$29/100*V$9*V$10/100</f>
        <v>0</v>
      </c>
      <c r="F312" s="46" t="n">
        <f aca="false">(V$27+V$28*SIN(2*PI()/365*A312))*V$29/100*V$11*(1-V$18/100)*(1-V$20/100)</f>
        <v>5.7440548603154</v>
      </c>
      <c r="G312" s="46" t="n">
        <f aca="false">IF(C312&gt;E312,100,C312/E312*100)</f>
        <v>100</v>
      </c>
      <c r="H312" s="46" t="n">
        <f aca="false">L312/F312*100</f>
        <v>100</v>
      </c>
      <c r="I312" s="47" t="n">
        <f aca="false">(V$27+V$28*SIN(2*PI()/365*A312))*V$29/100*V$9*V$10/100*(1-V$19/100)</f>
        <v>0</v>
      </c>
      <c r="J312" s="47" t="n">
        <f aca="false">(V$27+V$28*SIN(2*PI()/365*A312))*V$29/100*V$11*(1-V$18/100)</f>
        <v>6.3121481981488</v>
      </c>
      <c r="K312" s="48" t="n">
        <f aca="false">IF(E312/C312*100&lt;100,E312/C312*100,100)</f>
        <v>0</v>
      </c>
      <c r="L312" s="7" t="n">
        <f aca="false">IF(((C312-E312)&gt;0)*AND(F312&gt;(C312-E312)),(C312-E312),IF(C312&lt;E312,0,F312))</f>
        <v>5.7440548603154</v>
      </c>
      <c r="M312" s="7" t="n">
        <f aca="false">IF(C312&lt;(E312+F312),0,C312-E312-F312)</f>
        <v>23.8795795388183</v>
      </c>
      <c r="N312" s="7" t="n">
        <f aca="false">IF(C312&lt;(E312+F312),0,(C312-E312-F312)/(1-V$20/100))</f>
        <v>26.2412961965037</v>
      </c>
      <c r="O312" s="7" t="n">
        <f aca="false">L312+M312</f>
        <v>29.6236343991337</v>
      </c>
      <c r="P312" s="49" t="n">
        <f aca="false">IF(N312=0,I312*(1-G312/100)+J312*(1-H312/100),-N312)</f>
        <v>-26.2412961965037</v>
      </c>
      <c r="Q312" s="54" t="n">
        <f aca="false">IF(P311&gt;0,Q311+P311*(1-V$24/100),Q311+P311)</f>
        <v>881.266849417383</v>
      </c>
      <c r="R312" s="55" t="n">
        <f aca="false">R$4+Q312/V$32</f>
        <v>48.570487864231</v>
      </c>
    </row>
    <row r="313" customFormat="false" ht="12.8" hidden="false" customHeight="false" outlineLevel="0" collapsed="false">
      <c r="A313" s="1" t="n">
        <v>309</v>
      </c>
      <c r="B313" s="44" t="n">
        <v>43854</v>
      </c>
      <c r="C313" s="45" t="n">
        <f aca="false">V$30-V$30*SIN(2*PI()/365*A313)</f>
        <v>29.4668092119373</v>
      </c>
      <c r="D313" s="3" t="n">
        <f aca="false">IF((E313+F313)&gt;C313,C313,E313+F313)</f>
        <v>5.90173446651235</v>
      </c>
      <c r="E313" s="46" t="n">
        <f aca="false">(V$27+V$28*SIN(2*PI()/365*A313))*V$29/100*V$9*V$10/100</f>
        <v>0</v>
      </c>
      <c r="F313" s="46" t="n">
        <f aca="false">(V$27+V$28*SIN(2*PI()/365*A313))*V$29/100*V$11*(1-V$18/100)*(1-V$20/100)</f>
        <v>5.90173446651235</v>
      </c>
      <c r="G313" s="46" t="n">
        <f aca="false">IF(C313&gt;E313,100,C313/E313*100)</f>
        <v>100</v>
      </c>
      <c r="H313" s="46" t="n">
        <f aca="false">L313/F313*100</f>
        <v>100</v>
      </c>
      <c r="I313" s="47" t="n">
        <f aca="false">(V$27+V$28*SIN(2*PI()/365*A313))*V$29/100*V$9*V$10/100*(1-V$19/100)</f>
        <v>0</v>
      </c>
      <c r="J313" s="47" t="n">
        <f aca="false">(V$27+V$28*SIN(2*PI()/365*A313))*V$29/100*V$11*(1-V$18/100)</f>
        <v>6.48542249067291</v>
      </c>
      <c r="K313" s="48" t="n">
        <f aca="false">IF(E313/C313*100&lt;100,E313/C313*100,100)</f>
        <v>0</v>
      </c>
      <c r="L313" s="7" t="n">
        <f aca="false">IF(((C313-E313)&gt;0)*AND(F313&gt;(C313-E313)),(C313-E313),IF(C313&lt;E313,0,F313))</f>
        <v>5.90173446651235</v>
      </c>
      <c r="M313" s="7" t="n">
        <f aca="false">IF(C313&lt;(E313+F313),0,C313-E313-F313)</f>
        <v>23.5650747454249</v>
      </c>
      <c r="N313" s="7" t="n">
        <f aca="false">IF(C313&lt;(E313+F313),0,(C313-E313-F313)/(1-V$20/100))</f>
        <v>25.895686533434</v>
      </c>
      <c r="O313" s="7" t="n">
        <f aca="false">L313+M313</f>
        <v>29.4668092119373</v>
      </c>
      <c r="P313" s="49" t="n">
        <f aca="false">IF(N313=0,I313*(1-G313/100)+J313*(1-H313/100),-N313)</f>
        <v>-25.895686533434</v>
      </c>
      <c r="Q313" s="54" t="n">
        <f aca="false">IF(P312&gt;0,Q312+P312*(1-V$24/100),Q312+P312)</f>
        <v>855.025553220879</v>
      </c>
      <c r="R313" s="55" t="n">
        <f aca="false">R$4+Q313/V$32</f>
        <v>48.3152862635552</v>
      </c>
    </row>
    <row r="314" customFormat="false" ht="12.8" hidden="false" customHeight="false" outlineLevel="0" collapsed="false">
      <c r="A314" s="1" t="n">
        <v>310</v>
      </c>
      <c r="B314" s="44" t="n">
        <v>43855</v>
      </c>
      <c r="C314" s="45" t="n">
        <f aca="false">V$30-V$30*SIN(2*PI()/365*A314)</f>
        <v>29.3060460948353</v>
      </c>
      <c r="D314" s="3" t="n">
        <f aca="false">IF((E314+F314)&gt;C314,C314,E314+F314)</f>
        <v>6.06337345734534</v>
      </c>
      <c r="E314" s="46" t="n">
        <f aca="false">(V$27+V$28*SIN(2*PI()/365*A314))*V$29/100*V$9*V$10/100</f>
        <v>0</v>
      </c>
      <c r="F314" s="46" t="n">
        <f aca="false">(V$27+V$28*SIN(2*PI()/365*A314))*V$29/100*V$11*(1-V$18/100)*(1-V$20/100)</f>
        <v>6.06337345734534</v>
      </c>
      <c r="G314" s="46" t="n">
        <f aca="false">IF(C314&gt;E314,100,C314/E314*100)</f>
        <v>100</v>
      </c>
      <c r="H314" s="46" t="n">
        <f aca="false">L314/F314*100</f>
        <v>100</v>
      </c>
      <c r="I314" s="47" t="n">
        <f aca="false">(V$27+V$28*SIN(2*PI()/365*A314))*V$29/100*V$9*V$10/100*(1-V$19/100)</f>
        <v>0</v>
      </c>
      <c r="J314" s="47" t="n">
        <f aca="false">(V$27+V$28*SIN(2*PI()/365*A314))*V$29/100*V$11*(1-V$18/100)</f>
        <v>6.66304775532454</v>
      </c>
      <c r="K314" s="48" t="n">
        <f aca="false">IF(E314/C314*100&lt;100,E314/C314*100,100)</f>
        <v>0</v>
      </c>
      <c r="L314" s="7" t="n">
        <f aca="false">IF(((C314-E314)&gt;0)*AND(F314&gt;(C314-E314)),(C314-E314),IF(C314&lt;E314,0,F314))</f>
        <v>6.06337345734534</v>
      </c>
      <c r="M314" s="7" t="n">
        <f aca="false">IF(C314&lt;(E314+F314),0,C314-E314-F314)</f>
        <v>23.24267263749</v>
      </c>
      <c r="N314" s="7" t="n">
        <f aca="false">IF(C314&lt;(E314+F314),0,(C314-E314-F314)/(1-V$20/100))</f>
        <v>25.5413985027362</v>
      </c>
      <c r="O314" s="7" t="n">
        <f aca="false">L314+M314</f>
        <v>29.3060460948353</v>
      </c>
      <c r="P314" s="49" t="n">
        <f aca="false">IF(N314=0,I314*(1-G314/100)+J314*(1-H314/100),-N314)</f>
        <v>-25.5413985027362</v>
      </c>
      <c r="Q314" s="54" t="n">
        <f aca="false">IF(P313&gt;0,Q313+P313*(1-V$24/100),Q313+P313)</f>
        <v>829.129866687445</v>
      </c>
      <c r="R314" s="55" t="n">
        <f aca="false">R$4+Q314/V$32</f>
        <v>48.0634457826413</v>
      </c>
    </row>
    <row r="315" customFormat="false" ht="12.8" hidden="false" customHeight="false" outlineLevel="0" collapsed="false">
      <c r="A315" s="1" t="n">
        <v>311</v>
      </c>
      <c r="B315" s="44" t="n">
        <v>43856</v>
      </c>
      <c r="C315" s="45" t="n">
        <f aca="false">V$30-V$30*SIN(2*PI()/365*A315)</f>
        <v>29.141392685409</v>
      </c>
      <c r="D315" s="3" t="n">
        <f aca="false">IF((E315+F315)&gt;C315,C315,E315+F315)</f>
        <v>6.22892393569296</v>
      </c>
      <c r="E315" s="46" t="n">
        <f aca="false">(V$27+V$28*SIN(2*PI()/365*A315))*V$29/100*V$9*V$10/100</f>
        <v>0</v>
      </c>
      <c r="F315" s="46" t="n">
        <f aca="false">(V$27+V$28*SIN(2*PI()/365*A315))*V$29/100*V$11*(1-V$18/100)*(1-V$20/100)</f>
        <v>6.22892393569296</v>
      </c>
      <c r="G315" s="46" t="n">
        <f aca="false">IF(C315&gt;E315,100,C315/E315*100)</f>
        <v>100</v>
      </c>
      <c r="H315" s="46" t="n">
        <f aca="false">L315/F315*100</f>
        <v>100</v>
      </c>
      <c r="I315" s="47" t="n">
        <f aca="false">(V$27+V$28*SIN(2*PI()/365*A315))*V$29/100*V$9*V$10/100*(1-V$19/100)</f>
        <v>0</v>
      </c>
      <c r="J315" s="47" t="n">
        <f aca="false">(V$27+V$28*SIN(2*PI()/365*A315))*V$29/100*V$11*(1-V$18/100)</f>
        <v>6.84497135790435</v>
      </c>
      <c r="K315" s="48" t="n">
        <f aca="false">IF(E315/C315*100&lt;100,E315/C315*100,100)</f>
        <v>0</v>
      </c>
      <c r="L315" s="7" t="n">
        <f aca="false">IF(((C315-E315)&gt;0)*AND(F315&gt;(C315-E315)),(C315-E315),IF(C315&lt;E315,0,F315))</f>
        <v>6.22892393569296</v>
      </c>
      <c r="M315" s="7" t="n">
        <f aca="false">IF(C315&lt;(E315+F315),0,C315-E315-F315)</f>
        <v>22.912468749716</v>
      </c>
      <c r="N315" s="7" t="n">
        <f aca="false">IF(C315&lt;(E315+F315),0,(C315-E315-F315)/(1-V$20/100))</f>
        <v>25.1785370876</v>
      </c>
      <c r="O315" s="7" t="n">
        <f aca="false">L315+M315</f>
        <v>29.141392685409</v>
      </c>
      <c r="P315" s="49" t="n">
        <f aca="false">IF(N315=0,I315*(1-G315/100)+J315*(1-H315/100),-N315)</f>
        <v>-25.1785370876</v>
      </c>
      <c r="Q315" s="54" t="n">
        <f aca="false">IF(P314&gt;0,Q314+P314*(1-V$24/100),Q314+P314)</f>
        <v>803.588468184709</v>
      </c>
      <c r="R315" s="55" t="n">
        <f aca="false">R$4+Q315/V$32</f>
        <v>47.8150508202665</v>
      </c>
    </row>
    <row r="316" customFormat="false" ht="12.8" hidden="false" customHeight="false" outlineLevel="0" collapsed="false">
      <c r="A316" s="1" t="n">
        <v>312</v>
      </c>
      <c r="B316" s="44" t="n">
        <v>43857</v>
      </c>
      <c r="C316" s="45" t="n">
        <f aca="false">V$30-V$30*SIN(2*PI()/365*A316)</f>
        <v>28.972897774017</v>
      </c>
      <c r="D316" s="3" t="n">
        <f aca="false">IF((E316+F316)&gt;C316,C316,E316+F316)</f>
        <v>6.3983368453756</v>
      </c>
      <c r="E316" s="46" t="n">
        <f aca="false">(V$27+V$28*SIN(2*PI()/365*A316))*V$29/100*V$9*V$10/100</f>
        <v>0</v>
      </c>
      <c r="F316" s="46" t="n">
        <f aca="false">(V$27+V$28*SIN(2*PI()/365*A316))*V$29/100*V$11*(1-V$18/100)*(1-V$20/100)</f>
        <v>6.3983368453756</v>
      </c>
      <c r="G316" s="46" t="n">
        <f aca="false">IF(C316&gt;E316,100,C316/E316*100)</f>
        <v>100</v>
      </c>
      <c r="H316" s="46" t="n">
        <f aca="false">L316/F316*100</f>
        <v>100</v>
      </c>
      <c r="I316" s="47" t="n">
        <f aca="false">(V$27+V$28*SIN(2*PI()/365*A316))*V$29/100*V$9*V$10/100*(1-V$19/100)</f>
        <v>0</v>
      </c>
      <c r="J316" s="47" t="n">
        <f aca="false">(V$27+V$28*SIN(2*PI()/365*A316))*V$29/100*V$11*(1-V$18/100)</f>
        <v>7.03113939052263</v>
      </c>
      <c r="K316" s="48" t="n">
        <f aca="false">IF(E316/C316*100&lt;100,E316/C316*100,100)</f>
        <v>0</v>
      </c>
      <c r="L316" s="7" t="n">
        <f aca="false">IF(((C316-E316)&gt;0)*AND(F316&gt;(C316-E316)),(C316-E316),IF(C316&lt;E316,0,F316))</f>
        <v>6.3983368453756</v>
      </c>
      <c r="M316" s="7" t="n">
        <f aca="false">IF(C316&lt;(E316+F316),0,C316-E316-F316)</f>
        <v>22.5745609286414</v>
      </c>
      <c r="N316" s="7" t="n">
        <f aca="false">IF(C316&lt;(E316+F316),0,(C316-E316-F316)/(1-V$20/100))</f>
        <v>24.8072098116938</v>
      </c>
      <c r="O316" s="7" t="n">
        <f aca="false">L316+M316</f>
        <v>28.972897774017</v>
      </c>
      <c r="P316" s="49" t="n">
        <f aca="false">IF(N316=0,I316*(1-G316/100)+J316*(1-H316/100),-N316)</f>
        <v>-24.8072098116938</v>
      </c>
      <c r="Q316" s="54" t="n">
        <f aca="false">IF(P315&gt;0,Q315+P315*(1-V$24/100),Q315+P315)</f>
        <v>778.409931097109</v>
      </c>
      <c r="R316" s="55" t="n">
        <f aca="false">R$4+Q316/V$32</f>
        <v>47.5701847542264</v>
      </c>
    </row>
    <row r="317" customFormat="false" ht="12.8" hidden="false" customHeight="false" outlineLevel="0" collapsed="false">
      <c r="A317" s="1" t="n">
        <v>313</v>
      </c>
      <c r="B317" s="44" t="n">
        <v>43858</v>
      </c>
      <c r="C317" s="45" t="n">
        <f aca="false">V$30-V$30*SIN(2*PI()/365*A317)</f>
        <v>28.800611289338</v>
      </c>
      <c r="D317" s="3" t="n">
        <f aca="false">IF((E317+F317)&gt;C317,C317,E317+F317)</f>
        <v>6.57156198569187</v>
      </c>
      <c r="E317" s="46" t="n">
        <f aca="false">(V$27+V$28*SIN(2*PI()/365*A317))*V$29/100*V$9*V$10/100</f>
        <v>0</v>
      </c>
      <c r="F317" s="46" t="n">
        <f aca="false">(V$27+V$28*SIN(2*PI()/365*A317))*V$29/100*V$11*(1-V$18/100)*(1-V$20/100)</f>
        <v>6.57156198569187</v>
      </c>
      <c r="G317" s="46" t="n">
        <f aca="false">IF(C317&gt;E317,100,C317/E317*100)</f>
        <v>100</v>
      </c>
      <c r="H317" s="46" t="n">
        <f aca="false">L317/F317*100</f>
        <v>100</v>
      </c>
      <c r="I317" s="47" t="n">
        <f aca="false">(V$27+V$28*SIN(2*PI()/365*A317))*V$29/100*V$9*V$10/100*(1-V$19/100)</f>
        <v>0</v>
      </c>
      <c r="J317" s="47" t="n">
        <f aca="false">(V$27+V$28*SIN(2*PI()/365*A317))*V$29/100*V$11*(1-V$18/100)</f>
        <v>7.22149668757348</v>
      </c>
      <c r="K317" s="48" t="n">
        <f aca="false">IF(E317/C317*100&lt;100,E317/C317*100,100)</f>
        <v>0</v>
      </c>
      <c r="L317" s="7" t="n">
        <f aca="false">IF(((C317-E317)&gt;0)*AND(F317&gt;(C317-E317)),(C317-E317),IF(C317&lt;E317,0,F317))</f>
        <v>6.57156198569187</v>
      </c>
      <c r="M317" s="7" t="n">
        <f aca="false">IF(C317&lt;(E317+F317),0,C317-E317-F317)</f>
        <v>22.2290493036462</v>
      </c>
      <c r="N317" s="7" t="n">
        <f aca="false">IF(C317&lt;(E317+F317),0,(C317-E317-F317)/(1-V$20/100))</f>
        <v>24.4275267073035</v>
      </c>
      <c r="O317" s="7" t="n">
        <f aca="false">L317+M317</f>
        <v>28.800611289338</v>
      </c>
      <c r="P317" s="49" t="n">
        <f aca="false">IF(N317=0,I317*(1-G317/100)+J317*(1-H317/100),-N317)</f>
        <v>-24.4275267073035</v>
      </c>
      <c r="Q317" s="54" t="n">
        <f aca="false">IF(P316&gt;0,Q316+P316*(1-V$24/100),Q316+P316)</f>
        <v>753.602721285415</v>
      </c>
      <c r="R317" s="55" t="n">
        <f aca="false">R$4+Q317/V$32</f>
        <v>47.3289299166286</v>
      </c>
    </row>
    <row r="318" customFormat="false" ht="12.8" hidden="false" customHeight="false" outlineLevel="0" collapsed="false">
      <c r="A318" s="1" t="n">
        <v>314</v>
      </c>
      <c r="B318" s="44" t="n">
        <v>43859</v>
      </c>
      <c r="C318" s="45" t="n">
        <f aca="false">V$30-V$30*SIN(2*PI()/365*A318)</f>
        <v>28.6245842835758</v>
      </c>
      <c r="D318" s="3" t="n">
        <f aca="false">IF((E318+F318)&gt;C318,C318,E318+F318)</f>
        <v>6.74854802629422</v>
      </c>
      <c r="E318" s="46" t="n">
        <f aca="false">(V$27+V$28*SIN(2*PI()/365*A318))*V$29/100*V$9*V$10/100</f>
        <v>0</v>
      </c>
      <c r="F318" s="46" t="n">
        <f aca="false">(V$27+V$28*SIN(2*PI()/365*A318))*V$29/100*V$11*(1-V$18/100)*(1-V$20/100)</f>
        <v>6.74854802629422</v>
      </c>
      <c r="G318" s="46" t="n">
        <f aca="false">IF(C318&gt;E318,100,C318/E318*100)</f>
        <v>100</v>
      </c>
      <c r="H318" s="46" t="n">
        <f aca="false">L318/F318*100</f>
        <v>100</v>
      </c>
      <c r="I318" s="47" t="n">
        <f aca="false">(V$27+V$28*SIN(2*PI()/365*A318))*V$29/100*V$9*V$10/100*(1-V$19/100)</f>
        <v>0</v>
      </c>
      <c r="J318" s="47" t="n">
        <f aca="false">(V$27+V$28*SIN(2*PI()/365*A318))*V$29/100*V$11*(1-V$18/100)</f>
        <v>7.41598684208156</v>
      </c>
      <c r="K318" s="48" t="n">
        <f aca="false">IF(E318/C318*100&lt;100,E318/C318*100,100)</f>
        <v>0</v>
      </c>
      <c r="L318" s="7" t="n">
        <f aca="false">IF(((C318-E318)&gt;0)*AND(F318&gt;(C318-E318)),(C318-E318),IF(C318&lt;E318,0,F318))</f>
        <v>6.74854802629422</v>
      </c>
      <c r="M318" s="7" t="n">
        <f aca="false">IF(C318&lt;(E318+F318),0,C318-E318-F318)</f>
        <v>21.8760362572815</v>
      </c>
      <c r="N318" s="7" t="n">
        <f aca="false">IF(C318&lt;(E318+F318),0,(C318-E318-F318)/(1-V$20/100))</f>
        <v>24.039600282727</v>
      </c>
      <c r="O318" s="7" t="n">
        <f aca="false">L318+M318</f>
        <v>28.6245842835758</v>
      </c>
      <c r="P318" s="49" t="n">
        <f aca="false">IF(N318=0,I318*(1-G318/100)+J318*(1-H318/100),-N318)</f>
        <v>-24.039600282727</v>
      </c>
      <c r="Q318" s="54" t="n">
        <f aca="false">IF(P317&gt;0,Q317+P317*(1-V$24/100),Q317+P317)</f>
        <v>729.175194578112</v>
      </c>
      <c r="R318" s="55" t="n">
        <f aca="false">R$4+Q318/V$32</f>
        <v>47.0913675694956</v>
      </c>
    </row>
    <row r="319" customFormat="false" ht="12.8" hidden="false" customHeight="false" outlineLevel="0" collapsed="false">
      <c r="A319" s="1" t="n">
        <v>315</v>
      </c>
      <c r="B319" s="44" t="n">
        <v>43860</v>
      </c>
      <c r="C319" s="45" t="n">
        <f aca="false">V$30-V$30*SIN(2*PI()/365*A319)</f>
        <v>28.4448689173309</v>
      </c>
      <c r="D319" s="3" t="n">
        <f aca="false">IF((E319+F319)&gt;C319,C319,E319+F319)</f>
        <v>6.92924252239913</v>
      </c>
      <c r="E319" s="46" t="n">
        <f aca="false">(V$27+V$28*SIN(2*PI()/365*A319))*V$29/100*V$9*V$10/100</f>
        <v>0</v>
      </c>
      <c r="F319" s="46" t="n">
        <f aca="false">(V$27+V$28*SIN(2*PI()/365*A319))*V$29/100*V$11*(1-V$18/100)*(1-V$20/100)</f>
        <v>6.92924252239913</v>
      </c>
      <c r="G319" s="46" t="n">
        <f aca="false">IF(C319&gt;E319,100,C319/E319*100)</f>
        <v>100</v>
      </c>
      <c r="H319" s="46" t="n">
        <f aca="false">L319/F319*100</f>
        <v>100</v>
      </c>
      <c r="I319" s="47" t="n">
        <f aca="false">(V$27+V$28*SIN(2*PI()/365*A319))*V$29/100*V$9*V$10/100*(1-V$19/100)</f>
        <v>0</v>
      </c>
      <c r="J319" s="47" t="n">
        <f aca="false">(V$27+V$28*SIN(2*PI()/365*A319))*V$29/100*V$11*(1-V$18/100)</f>
        <v>7.61455222241662</v>
      </c>
      <c r="K319" s="48" t="n">
        <f aca="false">IF(E319/C319*100&lt;100,E319/C319*100,100)</f>
        <v>0</v>
      </c>
      <c r="L319" s="7" t="n">
        <f aca="false">IF(((C319-E319)&gt;0)*AND(F319&gt;(C319-E319)),(C319-E319),IF(C319&lt;E319,0,F319))</f>
        <v>6.92924252239913</v>
      </c>
      <c r="M319" s="7" t="n">
        <f aca="false">IF(C319&lt;(E319+F319),0,C319-E319-F319)</f>
        <v>21.5156263949318</v>
      </c>
      <c r="N319" s="7" t="n">
        <f aca="false">IF(C319&lt;(E319+F319),0,(C319-E319-F319)/(1-V$20/100))</f>
        <v>23.6435454889361</v>
      </c>
      <c r="O319" s="7" t="n">
        <f aca="false">L319+M319</f>
        <v>28.4448689173309</v>
      </c>
      <c r="P319" s="49" t="n">
        <f aca="false">IF(N319=0,I319*(1-G319/100)+J319*(1-H319/100),-N319)</f>
        <v>-23.6435454889361</v>
      </c>
      <c r="Q319" s="54" t="n">
        <f aca="false">IF(P318&gt;0,Q318+P318*(1-V$24/100),Q318+P318)</f>
        <v>705.135594295385</v>
      </c>
      <c r="R319" s="55" t="n">
        <f aca="false">R$4+Q319/V$32</f>
        <v>46.8575778806853</v>
      </c>
    </row>
    <row r="320" customFormat="false" ht="12.8" hidden="false" customHeight="false" outlineLevel="0" collapsed="false">
      <c r="A320" s="1" t="n">
        <v>316</v>
      </c>
      <c r="B320" s="44" t="n">
        <v>43861</v>
      </c>
      <c r="C320" s="45" t="n">
        <f aca="false">V$30-V$30*SIN(2*PI()/365*A320)</f>
        <v>28.2615184441452</v>
      </c>
      <c r="D320" s="3" t="n">
        <f aca="false">IF((E320+F320)&gt;C320,C320,E320+F320)</f>
        <v>7.1135919303277</v>
      </c>
      <c r="E320" s="46" t="n">
        <f aca="false">(V$27+V$28*SIN(2*PI()/365*A320))*V$29/100*V$9*V$10/100</f>
        <v>0</v>
      </c>
      <c r="F320" s="46" t="n">
        <f aca="false">(V$27+V$28*SIN(2*PI()/365*A320))*V$29/100*V$11*(1-V$18/100)*(1-V$20/100)</f>
        <v>7.1135919303277</v>
      </c>
      <c r="G320" s="46" t="n">
        <f aca="false">IF(C320&gt;E320,100,C320/E320*100)</f>
        <v>100</v>
      </c>
      <c r="H320" s="46" t="n">
        <f aca="false">L320/F320*100</f>
        <v>100</v>
      </c>
      <c r="I320" s="47" t="n">
        <f aca="false">(V$27+V$28*SIN(2*PI()/365*A320))*V$29/100*V$9*V$10/100*(1-V$19/100)</f>
        <v>0</v>
      </c>
      <c r="J320" s="47" t="n">
        <f aca="false">(V$27+V$28*SIN(2*PI()/365*A320))*V$29/100*V$11*(1-V$18/100)</f>
        <v>7.8171339893711</v>
      </c>
      <c r="K320" s="48" t="n">
        <f aca="false">IF(E320/C320*100&lt;100,E320/C320*100,100)</f>
        <v>0</v>
      </c>
      <c r="L320" s="7" t="n">
        <f aca="false">IF(((C320-E320)&gt;0)*AND(F320&gt;(C320-E320)),(C320-E320),IF(C320&lt;E320,0,F320))</f>
        <v>7.1135919303277</v>
      </c>
      <c r="M320" s="7" t="n">
        <f aca="false">IF(C320&lt;(E320+F320),0,C320-E320-F320)</f>
        <v>21.1479265138175</v>
      </c>
      <c r="N320" s="7" t="n">
        <f aca="false">IF(C320&lt;(E320+F320),0,(C320-E320-F320)/(1-V$20/100))</f>
        <v>23.2394796855137</v>
      </c>
      <c r="O320" s="7" t="n">
        <f aca="false">L320+M320</f>
        <v>28.2615184441452</v>
      </c>
      <c r="P320" s="49" t="n">
        <f aca="false">IF(N320=0,I320*(1-G320/100)+J320*(1-H320/100),-N320)</f>
        <v>-23.2394796855137</v>
      </c>
      <c r="Q320" s="54" t="n">
        <f aca="false">IF(P319&gt;0,Q319+P319*(1-V$24/100),Q319+P319)</f>
        <v>681.492048806449</v>
      </c>
      <c r="R320" s="55" t="n">
        <f aca="false">R$4+Q320/V$32</f>
        <v>46.6276399001357</v>
      </c>
    </row>
    <row r="321" customFormat="false" ht="12.8" hidden="false" customHeight="false" outlineLevel="0" collapsed="false">
      <c r="A321" s="1" t="n">
        <v>317</v>
      </c>
      <c r="B321" s="44" t="n">
        <v>43862</v>
      </c>
      <c r="C321" s="45" t="n">
        <f aca="false">V$30-V$30*SIN(2*PI()/365*A321)</f>
        <v>28.0745871947207</v>
      </c>
      <c r="D321" s="3" t="n">
        <f aca="false">IF((E321+F321)&gt;C321,C321,E321+F321)</f>
        <v>7.30154162337178</v>
      </c>
      <c r="E321" s="46" t="n">
        <f aca="false">(V$27+V$28*SIN(2*PI()/365*A321))*V$29/100*V$9*V$10/100</f>
        <v>0</v>
      </c>
      <c r="F321" s="46" t="n">
        <f aca="false">(V$27+V$28*SIN(2*PI()/365*A321))*V$29/100*V$11*(1-V$18/100)*(1-V$20/100)</f>
        <v>7.30154162337178</v>
      </c>
      <c r="G321" s="46" t="n">
        <f aca="false">IF(C321&gt;E321,100,C321/E321*100)</f>
        <v>100</v>
      </c>
      <c r="H321" s="46" t="n">
        <f aca="false">L321/F321*100</f>
        <v>100</v>
      </c>
      <c r="I321" s="47" t="n">
        <f aca="false">(V$27+V$28*SIN(2*PI()/365*A321))*V$29/100*V$9*V$10/100*(1-V$19/100)</f>
        <v>0</v>
      </c>
      <c r="J321" s="47" t="n">
        <f aca="false">(V$27+V$28*SIN(2*PI()/365*A321))*V$29/100*V$11*(1-V$18/100)</f>
        <v>8.02367211359536</v>
      </c>
      <c r="K321" s="48" t="n">
        <f aca="false">IF(E321/C321*100&lt;100,E321/C321*100,100)</f>
        <v>0</v>
      </c>
      <c r="L321" s="7" t="n">
        <f aca="false">IF(((C321-E321)&gt;0)*AND(F321&gt;(C321-E321)),(C321-E321),IF(C321&lt;E321,0,F321))</f>
        <v>7.30154162337178</v>
      </c>
      <c r="M321" s="7" t="n">
        <f aca="false">IF(C321&lt;(E321+F321),0,C321-E321-F321)</f>
        <v>20.7730455713489</v>
      </c>
      <c r="N321" s="7" t="n">
        <f aca="false">IF(C321&lt;(E321+F321),0,(C321-E321-F321)/(1-V$20/100))</f>
        <v>22.8275226058779</v>
      </c>
      <c r="O321" s="7" t="n">
        <f aca="false">L321+M321</f>
        <v>28.0745871947207</v>
      </c>
      <c r="P321" s="49" t="n">
        <f aca="false">IF(N321=0,I321*(1-G321/100)+J321*(1-H321/100),-N321)</f>
        <v>-22.8275226058779</v>
      </c>
      <c r="Q321" s="54" t="n">
        <f aca="false">IF(P320&gt;0,Q320+P320*(1-V$24/100),Q320+P320)</f>
        <v>658.252569120935</v>
      </c>
      <c r="R321" s="55" t="n">
        <f aca="false">R$4+Q321/V$32</f>
        <v>46.4016315364404</v>
      </c>
    </row>
    <row r="322" customFormat="false" ht="12.8" hidden="false" customHeight="false" outlineLevel="0" collapsed="false">
      <c r="A322" s="1" t="n">
        <v>318</v>
      </c>
      <c r="B322" s="44" t="n">
        <v>43863</v>
      </c>
      <c r="C322" s="45" t="n">
        <f aca="false">V$30-V$30*SIN(2*PI()/365*A322)</f>
        <v>27.884130560821</v>
      </c>
      <c r="D322" s="3" t="n">
        <f aca="false">IF((E322+F322)&gt;C322,C322,E322+F322)</f>
        <v>7.49303590798102</v>
      </c>
      <c r="E322" s="46" t="n">
        <f aca="false">(V$27+V$28*SIN(2*PI()/365*A322))*V$29/100*V$9*V$10/100</f>
        <v>0</v>
      </c>
      <c r="F322" s="46" t="n">
        <f aca="false">(V$27+V$28*SIN(2*PI()/365*A322))*V$29/100*V$11*(1-V$18/100)*(1-V$20/100)</f>
        <v>7.49303590798102</v>
      </c>
      <c r="G322" s="46" t="n">
        <f aca="false">IF(C322&gt;E322,100,C322/E322*100)</f>
        <v>100</v>
      </c>
      <c r="H322" s="46" t="n">
        <f aca="false">L322/F322*100</f>
        <v>100</v>
      </c>
      <c r="I322" s="47" t="n">
        <f aca="false">(V$27+V$28*SIN(2*PI()/365*A322))*V$29/100*V$9*V$10/100*(1-V$19/100)</f>
        <v>0</v>
      </c>
      <c r="J322" s="47" t="n">
        <f aca="false">(V$27+V$28*SIN(2*PI()/365*A322))*V$29/100*V$11*(1-V$18/100)</f>
        <v>8.23410539338574</v>
      </c>
      <c r="K322" s="48" t="n">
        <f aca="false">IF(E322/C322*100&lt;100,E322/C322*100,100)</f>
        <v>0</v>
      </c>
      <c r="L322" s="7" t="n">
        <f aca="false">IF(((C322-E322)&gt;0)*AND(F322&gt;(C322-E322)),(C322-E322),IF(C322&lt;E322,0,F322))</f>
        <v>7.49303590798102</v>
      </c>
      <c r="M322" s="7" t="n">
        <f aca="false">IF(C322&lt;(E322+F322),0,C322-E322-F322)</f>
        <v>20.39109465284</v>
      </c>
      <c r="N322" s="7" t="n">
        <f aca="false">IF(C322&lt;(E322+F322),0,(C322-E322-F322)/(1-V$20/100))</f>
        <v>22.4077963218022</v>
      </c>
      <c r="O322" s="7" t="n">
        <f aca="false">L322+M322</f>
        <v>27.884130560821</v>
      </c>
      <c r="P322" s="49" t="n">
        <f aca="false">IF(N322=0,I322*(1-G322/100)+J322*(1-H322/100),-N322)</f>
        <v>-22.4077963218022</v>
      </c>
      <c r="Q322" s="54" t="n">
        <f aca="false">IF(P321&gt;0,Q321+P321*(1-V$24/100),Q321+P321)</f>
        <v>635.425046515057</v>
      </c>
      <c r="R322" s="55" t="n">
        <f aca="false">R$4+Q322/V$32</f>
        <v>46.1796295337627</v>
      </c>
    </row>
    <row r="323" customFormat="false" ht="12.8" hidden="false" customHeight="false" outlineLevel="0" collapsed="false">
      <c r="A323" s="1" t="n">
        <v>319</v>
      </c>
      <c r="B323" s="44" t="n">
        <v>43864</v>
      </c>
      <c r="C323" s="45" t="n">
        <f aca="false">V$30-V$30*SIN(2*PI()/365*A323)</f>
        <v>27.6902049788571</v>
      </c>
      <c r="D323" s="3" t="n">
        <f aca="false">IF((E323+F323)&gt;C323,C323,E323+F323)</f>
        <v>7.68801804026613</v>
      </c>
      <c r="E323" s="46" t="n">
        <f aca="false">(V$27+V$28*SIN(2*PI()/365*A323))*V$29/100*V$9*V$10/100</f>
        <v>0</v>
      </c>
      <c r="F323" s="46" t="n">
        <f aca="false">(V$27+V$28*SIN(2*PI()/365*A323))*V$29/100*V$11*(1-V$18/100)*(1-V$20/100)</f>
        <v>7.68801804026613</v>
      </c>
      <c r="G323" s="46" t="n">
        <f aca="false">IF(C323&gt;E323,100,C323/E323*100)</f>
        <v>100</v>
      </c>
      <c r="H323" s="46" t="n">
        <f aca="false">L323/F323*100</f>
        <v>100</v>
      </c>
      <c r="I323" s="47" t="n">
        <f aca="false">(V$27+V$28*SIN(2*PI()/365*A323))*V$29/100*V$9*V$10/100*(1-V$19/100)</f>
        <v>0</v>
      </c>
      <c r="J323" s="47" t="n">
        <f aca="false">(V$27+V$28*SIN(2*PI()/365*A323))*V$29/100*V$11*(1-V$18/100)</f>
        <v>8.44837147281992</v>
      </c>
      <c r="K323" s="48" t="n">
        <f aca="false">IF(E323/C323*100&lt;100,E323/C323*100,100)</f>
        <v>0</v>
      </c>
      <c r="L323" s="7" t="n">
        <f aca="false">IF(((C323-E323)&gt;0)*AND(F323&gt;(C323-E323)),(C323-E323),IF(C323&lt;E323,0,F323))</f>
        <v>7.68801804026613</v>
      </c>
      <c r="M323" s="7" t="n">
        <f aca="false">IF(C323&lt;(E323+F323),0,C323-E323-F323)</f>
        <v>20.002186938591</v>
      </c>
      <c r="N323" s="7" t="n">
        <f aca="false">IF(C323&lt;(E323+F323),0,(C323-E323-F323)/(1-V$20/100))</f>
        <v>21.9804252072429</v>
      </c>
      <c r="O323" s="7" t="n">
        <f aca="false">L323+M323</f>
        <v>27.6902049788571</v>
      </c>
      <c r="P323" s="49" t="n">
        <f aca="false">IF(N323=0,I323*(1-G323/100)+J323*(1-H323/100),-N323)</f>
        <v>-21.9804252072429</v>
      </c>
      <c r="Q323" s="54" t="n">
        <f aca="false">IF(P322&gt;0,Q322+P322*(1-V$24/100),Q322+P322)</f>
        <v>613.017250193255</v>
      </c>
      <c r="R323" s="55" t="n">
        <f aca="false">R$4+Q323/V$32</f>
        <v>45.9617094490947</v>
      </c>
    </row>
    <row r="324" customFormat="false" ht="12.8" hidden="false" customHeight="false" outlineLevel="0" collapsed="false">
      <c r="A324" s="1" t="n">
        <v>320</v>
      </c>
      <c r="B324" s="44" t="n">
        <v>43865</v>
      </c>
      <c r="C324" s="45" t="n">
        <f aca="false">V$30-V$30*SIN(2*PI()/365*A324)</f>
        <v>27.4928679131643</v>
      </c>
      <c r="D324" s="3" t="n">
        <f aca="false">IF((E324+F324)&gt;C324,C324,E324+F324)</f>
        <v>7.88643024281323</v>
      </c>
      <c r="E324" s="46" t="n">
        <f aca="false">(V$27+V$28*SIN(2*PI()/365*A324))*V$29/100*V$9*V$10/100</f>
        <v>0</v>
      </c>
      <c r="F324" s="46" t="n">
        <f aca="false">(V$27+V$28*SIN(2*PI()/365*A324))*V$29/100*V$11*(1-V$18/100)*(1-V$20/100)</f>
        <v>7.88643024281323</v>
      </c>
      <c r="G324" s="46" t="n">
        <f aca="false">IF(C324&gt;E324,100,C324/E324*100)</f>
        <v>100</v>
      </c>
      <c r="H324" s="46" t="n">
        <f aca="false">L324/F324*100</f>
        <v>100</v>
      </c>
      <c r="I324" s="47" t="n">
        <f aca="false">(V$27+V$28*SIN(2*PI()/365*A324))*V$29/100*V$9*V$10/100*(1-V$19/100)</f>
        <v>0</v>
      </c>
      <c r="J324" s="47" t="n">
        <f aca="false">(V$27+V$28*SIN(2*PI()/365*A324))*V$29/100*V$11*(1-V$18/100)</f>
        <v>8.66640686023432</v>
      </c>
      <c r="K324" s="48" t="n">
        <f aca="false">IF(E324/C324*100&lt;100,E324/C324*100,100)</f>
        <v>0</v>
      </c>
      <c r="L324" s="7" t="n">
        <f aca="false">IF(((C324-E324)&gt;0)*AND(F324&gt;(C324-E324)),(C324-E324),IF(C324&lt;E324,0,F324))</f>
        <v>7.88643024281323</v>
      </c>
      <c r="M324" s="7" t="n">
        <f aca="false">IF(C324&lt;(E324+F324),0,C324-E324-F324)</f>
        <v>19.6064376703511</v>
      </c>
      <c r="N324" s="7" t="n">
        <f aca="false">IF(C324&lt;(E324+F324),0,(C324-E324-F324)/(1-V$20/100))</f>
        <v>21.5455359014847</v>
      </c>
      <c r="O324" s="7" t="n">
        <f aca="false">L324+M324</f>
        <v>27.4928679131643</v>
      </c>
      <c r="P324" s="49" t="n">
        <f aca="false">IF(N324=0,I324*(1-G324/100)+J324*(1-H324/100),-N324)</f>
        <v>-21.5455359014847</v>
      </c>
      <c r="Q324" s="54" t="n">
        <f aca="false">IF(P323&gt;0,Q323+P323*(1-V$24/100),Q323+P323)</f>
        <v>591.036824986012</v>
      </c>
      <c r="R324" s="55" t="n">
        <f aca="false">R$4+Q324/V$32</f>
        <v>45.747945629868</v>
      </c>
    </row>
    <row r="325" customFormat="false" ht="12.8" hidden="false" customHeight="false" outlineLevel="0" collapsed="false">
      <c r="A325" s="1" t="n">
        <v>321</v>
      </c>
      <c r="B325" s="44" t="n">
        <v>43866</v>
      </c>
      <c r="C325" s="45" t="n">
        <f aca="false">V$30-V$30*SIN(2*PI()/365*A325)</f>
        <v>27.2921778389739</v>
      </c>
      <c r="D325" s="3" t="n">
        <f aca="false">IF((E325+F325)&gt;C325,C325,E325+F325)</f>
        <v>8.08821372180464</v>
      </c>
      <c r="E325" s="46" t="n">
        <f aca="false">(V$27+V$28*SIN(2*PI()/365*A325))*V$29/100*V$9*V$10/100</f>
        <v>0</v>
      </c>
      <c r="F325" s="46" t="n">
        <f aca="false">(V$27+V$28*SIN(2*PI()/365*A325))*V$29/100*V$11*(1-V$18/100)*(1-V$20/100)</f>
        <v>8.08821372180464</v>
      </c>
      <c r="G325" s="46" t="n">
        <f aca="false">IF(C325&gt;E325,100,C325/E325*100)</f>
        <v>100</v>
      </c>
      <c r="H325" s="46" t="n">
        <f aca="false">L325/F325*100</f>
        <v>100</v>
      </c>
      <c r="I325" s="47" t="n">
        <f aca="false">(V$27+V$28*SIN(2*PI()/365*A325))*V$29/100*V$9*V$10/100*(1-V$19/100)</f>
        <v>0</v>
      </c>
      <c r="J325" s="47" t="n">
        <f aca="false">(V$27+V$28*SIN(2*PI()/365*A325))*V$29/100*V$11*(1-V$18/100)</f>
        <v>8.88814694703806</v>
      </c>
      <c r="K325" s="48" t="n">
        <f aca="false">IF(E325/C325*100&lt;100,E325/C325*100,100)</f>
        <v>0</v>
      </c>
      <c r="L325" s="7" t="n">
        <f aca="false">IF(((C325-E325)&gt;0)*AND(F325&gt;(C325-E325)),(C325-E325),IF(C325&lt;E325,0,F325))</f>
        <v>8.08821372180464</v>
      </c>
      <c r="M325" s="7" t="n">
        <f aca="false">IF(C325&lt;(E325+F325),0,C325-E325-F325)</f>
        <v>19.2039641171692</v>
      </c>
      <c r="N325" s="7" t="n">
        <f aca="false">IF(C325&lt;(E325+F325),0,(C325-E325-F325)/(1-V$20/100))</f>
        <v>21.1032572716145</v>
      </c>
      <c r="O325" s="7" t="n">
        <f aca="false">L325+M325</f>
        <v>27.2921778389739</v>
      </c>
      <c r="P325" s="49" t="n">
        <f aca="false">IF(N325=0,I325*(1-G325/100)+J325*(1-H325/100),-N325)</f>
        <v>-21.1032572716145</v>
      </c>
      <c r="Q325" s="54" t="n">
        <f aca="false">IF(P324&gt;0,Q324+P324*(1-V$24/100),Q324+P324)</f>
        <v>569.491289084527</v>
      </c>
      <c r="R325" s="55" t="n">
        <f aca="false">R$4+Q325/V$32</f>
        <v>45.5384111919233</v>
      </c>
    </row>
    <row r="326" customFormat="false" ht="12.8" hidden="false" customHeight="false" outlineLevel="0" collapsed="false">
      <c r="A326" s="1" t="n">
        <v>322</v>
      </c>
      <c r="B326" s="44" t="n">
        <v>43867</v>
      </c>
      <c r="C326" s="45" t="n">
        <f aca="false">V$30-V$30*SIN(2*PI()/365*A326)</f>
        <v>27.0881942250861</v>
      </c>
      <c r="D326" s="3" t="n">
        <f aca="false">IF((E326+F326)&gt;C326,C326,E326+F326)</f>
        <v>8.29330868444067</v>
      </c>
      <c r="E326" s="46" t="n">
        <f aca="false">(V$27+V$28*SIN(2*PI()/365*A326))*V$29/100*V$9*V$10/100</f>
        <v>0</v>
      </c>
      <c r="F326" s="46" t="n">
        <f aca="false">(V$27+V$28*SIN(2*PI()/365*A326))*V$29/100*V$11*(1-V$18/100)*(1-V$20/100)</f>
        <v>8.29330868444067</v>
      </c>
      <c r="G326" s="46" t="n">
        <f aca="false">IF(C326&gt;E326,100,C326/E326*100)</f>
        <v>100</v>
      </c>
      <c r="H326" s="46" t="n">
        <f aca="false">L326/F326*100</f>
        <v>100</v>
      </c>
      <c r="I326" s="47" t="n">
        <f aca="false">(V$27+V$28*SIN(2*PI()/365*A326))*V$29/100*V$9*V$10/100*(1-V$19/100)</f>
        <v>0</v>
      </c>
      <c r="J326" s="47" t="n">
        <f aca="false">(V$27+V$28*SIN(2*PI()/365*A326))*V$29/100*V$11*(1-V$18/100)</f>
        <v>9.11352602685788</v>
      </c>
      <c r="K326" s="48" t="n">
        <f aca="false">IF(E326/C326*100&lt;100,E326/C326*100,100)</f>
        <v>0</v>
      </c>
      <c r="L326" s="7" t="n">
        <f aca="false">IF(((C326-E326)&gt;0)*AND(F326&gt;(C326-E326)),(C326-E326),IF(C326&lt;E326,0,F326))</f>
        <v>8.29330868444067</v>
      </c>
      <c r="M326" s="7" t="n">
        <f aca="false">IF(C326&lt;(E326+F326),0,C326-E326-F326)</f>
        <v>18.7948855406454</v>
      </c>
      <c r="N326" s="7" t="n">
        <f aca="false">IF(C326&lt;(E326+F326),0,(C326-E326-F326)/(1-V$20/100))</f>
        <v>20.6537203743357</v>
      </c>
      <c r="O326" s="7" t="n">
        <f aca="false">L326+M326</f>
        <v>27.0881942250861</v>
      </c>
      <c r="P326" s="49" t="n">
        <f aca="false">IF(N326=0,I326*(1-G326/100)+J326*(1-H326/100),-N326)</f>
        <v>-20.6537203743357</v>
      </c>
      <c r="Q326" s="54" t="n">
        <f aca="false">IF(P325&gt;0,Q325+P325*(1-V$24/100),Q325+P325)</f>
        <v>548.388031812913</v>
      </c>
      <c r="R326" s="55" t="n">
        <f aca="false">R$4+Q326/V$32</f>
        <v>45.333177997844</v>
      </c>
    </row>
    <row r="327" customFormat="false" ht="12.8" hidden="false" customHeight="false" outlineLevel="0" collapsed="false">
      <c r="A327" s="1" t="n">
        <v>323</v>
      </c>
      <c r="B327" s="44" t="n">
        <v>43868</v>
      </c>
      <c r="C327" s="45" t="n">
        <f aca="false">V$30-V$30*SIN(2*PI()/365*A327)</f>
        <v>26.8809775162482</v>
      </c>
      <c r="D327" s="3" t="n">
        <f aca="false">IF((E327+F327)&gt;C327,C327,E327+F327)</f>
        <v>8.50165435665759</v>
      </c>
      <c r="E327" s="46" t="n">
        <f aca="false">(V$27+V$28*SIN(2*PI()/365*A327))*V$29/100*V$9*V$10/100</f>
        <v>0</v>
      </c>
      <c r="F327" s="46" t="n">
        <f aca="false">(V$27+V$28*SIN(2*PI()/365*A327))*V$29/100*V$11*(1-V$18/100)*(1-V$20/100)</f>
        <v>8.50165435665759</v>
      </c>
      <c r="G327" s="46" t="n">
        <f aca="false">IF(C327&gt;E327,100,C327/E327*100)</f>
        <v>100</v>
      </c>
      <c r="H327" s="46" t="n">
        <f aca="false">L327/F327*100</f>
        <v>100</v>
      </c>
      <c r="I327" s="47" t="n">
        <f aca="false">(V$27+V$28*SIN(2*PI()/365*A327))*V$29/100*V$9*V$10/100*(1-V$19/100)</f>
        <v>0</v>
      </c>
      <c r="J327" s="47" t="n">
        <f aca="false">(V$27+V$28*SIN(2*PI()/365*A327))*V$29/100*V$11*(1-V$18/100)</f>
        <v>9.34247731500834</v>
      </c>
      <c r="K327" s="48" t="n">
        <f aca="false">IF(E327/C327*100&lt;100,E327/C327*100,100)</f>
        <v>0</v>
      </c>
      <c r="L327" s="7" t="n">
        <f aca="false">IF(((C327-E327)&gt;0)*AND(F327&gt;(C327-E327)),(C327-E327),IF(C327&lt;E327,0,F327))</f>
        <v>8.50165435665759</v>
      </c>
      <c r="M327" s="7" t="n">
        <f aca="false">IF(C327&lt;(E327+F327),0,C327-E327-F327)</f>
        <v>18.3793231595906</v>
      </c>
      <c r="N327" s="7" t="n">
        <f aca="false">IF(C327&lt;(E327+F327),0,(C327-E327-F327)/(1-V$20/100))</f>
        <v>20.1970584171325</v>
      </c>
      <c r="O327" s="7" t="n">
        <f aca="false">L327+M327</f>
        <v>26.8809775162482</v>
      </c>
      <c r="P327" s="49" t="n">
        <f aca="false">IF(N327=0,I327*(1-G327/100)+J327*(1-H327/100),-N327)</f>
        <v>-20.1970584171325</v>
      </c>
      <c r="Q327" s="54" t="n">
        <f aca="false">IF(P326&gt;0,Q326+P326*(1-V$24/100),Q326+P326)</f>
        <v>527.734311438577</v>
      </c>
      <c r="R327" s="55" t="n">
        <f aca="false">R$4+Q327/V$32</f>
        <v>45.1323166356624</v>
      </c>
    </row>
    <row r="328" customFormat="false" ht="12.8" hidden="false" customHeight="false" outlineLevel="0" collapsed="false">
      <c r="A328" s="1" t="n">
        <v>324</v>
      </c>
      <c r="B328" s="44" t="n">
        <v>43869</v>
      </c>
      <c r="C328" s="45" t="n">
        <f aca="false">V$30-V$30*SIN(2*PI()/365*A328)</f>
        <v>26.670589115243</v>
      </c>
      <c r="D328" s="3" t="n">
        <f aca="false">IF((E328+F328)&gt;C328,C328,E328+F328)</f>
        <v>8.71318900113626</v>
      </c>
      <c r="E328" s="46" t="n">
        <f aca="false">(V$27+V$28*SIN(2*PI()/365*A328))*V$29/100*V$9*V$10/100</f>
        <v>0</v>
      </c>
      <c r="F328" s="46" t="n">
        <f aca="false">(V$27+V$28*SIN(2*PI()/365*A328))*V$29/100*V$11*(1-V$18/100)*(1-V$20/100)</f>
        <v>8.71318900113626</v>
      </c>
      <c r="G328" s="46" t="n">
        <f aca="false">IF(C328&gt;E328,100,C328/E328*100)</f>
        <v>100</v>
      </c>
      <c r="H328" s="46" t="n">
        <f aca="false">L328/F328*100</f>
        <v>100</v>
      </c>
      <c r="I328" s="47" t="n">
        <f aca="false">(V$27+V$28*SIN(2*PI()/365*A328))*V$29/100*V$9*V$10/100*(1-V$19/100)</f>
        <v>0</v>
      </c>
      <c r="J328" s="47" t="n">
        <f aca="false">(V$27+V$28*SIN(2*PI()/365*A328))*V$29/100*V$11*(1-V$18/100)</f>
        <v>9.5749329682816</v>
      </c>
      <c r="K328" s="48" t="n">
        <f aca="false">IF(E328/C328*100&lt;100,E328/C328*100,100)</f>
        <v>0</v>
      </c>
      <c r="L328" s="7" t="n">
        <f aca="false">IF(((C328-E328)&gt;0)*AND(F328&gt;(C328-E328)),(C328-E328),IF(C328&lt;E328,0,F328))</f>
        <v>8.71318900113626</v>
      </c>
      <c r="M328" s="7" t="n">
        <f aca="false">IF(C328&lt;(E328+F328),0,C328-E328-F328)</f>
        <v>17.9574001141067</v>
      </c>
      <c r="N328" s="7" t="n">
        <f aca="false">IF(C328&lt;(E328+F328),0,(C328-E328-F328)/(1-V$20/100))</f>
        <v>19.7334067187986</v>
      </c>
      <c r="O328" s="7" t="n">
        <f aca="false">L328+M328</f>
        <v>26.670589115243</v>
      </c>
      <c r="P328" s="49" t="n">
        <f aca="false">IF(N328=0,I328*(1-G328/100)+J328*(1-H328/100),-N328)</f>
        <v>-19.7334067187986</v>
      </c>
      <c r="Q328" s="54" t="n">
        <f aca="false">IF(P327&gt;0,Q327+P327*(1-V$24/100),Q327+P327)</f>
        <v>507.537253021445</v>
      </c>
      <c r="R328" s="55" t="n">
        <f aca="false">R$4+Q328/V$32</f>
        <v>44.9358963979425</v>
      </c>
    </row>
    <row r="329" customFormat="false" ht="12.8" hidden="false" customHeight="false" outlineLevel="0" collapsed="false">
      <c r="A329" s="1" t="n">
        <v>325</v>
      </c>
      <c r="B329" s="44" t="n">
        <v>43870</v>
      </c>
      <c r="C329" s="45" t="n">
        <f aca="false">V$30-V$30*SIN(2*PI()/365*A329)</f>
        <v>26.4570913646943</v>
      </c>
      <c r="D329" s="3" t="n">
        <f aca="false">IF((E329+F329)&gt;C329,C329,E329+F329)</f>
        <v>8.92784993559622</v>
      </c>
      <c r="E329" s="46" t="n">
        <f aca="false">(V$27+V$28*SIN(2*PI()/365*A329))*V$29/100*V$9*V$10/100</f>
        <v>0</v>
      </c>
      <c r="F329" s="46" t="n">
        <f aca="false">(V$27+V$28*SIN(2*PI()/365*A329))*V$29/100*V$11*(1-V$18/100)*(1-V$20/100)</f>
        <v>8.92784993559622</v>
      </c>
      <c r="G329" s="46" t="n">
        <f aca="false">IF(C329&gt;E329,100,C329/E329*100)</f>
        <v>100</v>
      </c>
      <c r="H329" s="46" t="n">
        <f aca="false">L329/F329*100</f>
        <v>100</v>
      </c>
      <c r="I329" s="47" t="n">
        <f aca="false">(V$27+V$28*SIN(2*PI()/365*A329))*V$29/100*V$9*V$10/100*(1-V$19/100)</f>
        <v>0</v>
      </c>
      <c r="J329" s="47" t="n">
        <f aca="false">(V$27+V$28*SIN(2*PI()/365*A329))*V$29/100*V$11*(1-V$18/100)</f>
        <v>9.8108241050508</v>
      </c>
      <c r="K329" s="48" t="n">
        <f aca="false">IF(E329/C329*100&lt;100,E329/C329*100,100)</f>
        <v>0</v>
      </c>
      <c r="L329" s="7" t="n">
        <f aca="false">IF(((C329-E329)&gt;0)*AND(F329&gt;(C329-E329)),(C329-E329),IF(C329&lt;E329,0,F329))</f>
        <v>8.92784993559622</v>
      </c>
      <c r="M329" s="7" t="n">
        <f aca="false">IF(C329&lt;(E329+F329),0,C329-E329-F329)</f>
        <v>17.5292414290981</v>
      </c>
      <c r="N329" s="7" t="n">
        <f aca="false">IF(C329&lt;(E329+F329),0,(C329-E329-F329)/(1-V$20/100))</f>
        <v>19.2629026693386</v>
      </c>
      <c r="O329" s="7" t="n">
        <f aca="false">L329+M329</f>
        <v>26.4570913646943</v>
      </c>
      <c r="P329" s="49" t="n">
        <f aca="false">IF(N329=0,I329*(1-G329/100)+J329*(1-H329/100),-N329)</f>
        <v>-19.2629026693386</v>
      </c>
      <c r="Q329" s="54" t="n">
        <f aca="false">IF(P328&gt;0,Q328+P328*(1-V$24/100),Q328+P328)</f>
        <v>487.803846302646</v>
      </c>
      <c r="R329" s="55" t="n">
        <f aca="false">R$4+Q329/V$32</f>
        <v>44.7439852612474</v>
      </c>
    </row>
    <row r="330" customFormat="false" ht="12.8" hidden="false" customHeight="false" outlineLevel="0" collapsed="false">
      <c r="A330" s="1" t="n">
        <v>326</v>
      </c>
      <c r="B330" s="44" t="n">
        <v>43871</v>
      </c>
      <c r="C330" s="45" t="n">
        <f aca="false">V$30-V$30*SIN(2*PI()/365*A330)</f>
        <v>26.2405475285933</v>
      </c>
      <c r="D330" s="3" t="n">
        <f aca="false">IF((E330+F330)&gt;C330,C330,E330+F330)</f>
        <v>9.14557355136983</v>
      </c>
      <c r="E330" s="46" t="n">
        <f aca="false">(V$27+V$28*SIN(2*PI()/365*A330))*V$29/100*V$9*V$10/100</f>
        <v>0</v>
      </c>
      <c r="F330" s="46" t="n">
        <f aca="false">(V$27+V$28*SIN(2*PI()/365*A330))*V$29/100*V$11*(1-V$18/100)*(1-V$20/100)</f>
        <v>9.14557355136983</v>
      </c>
      <c r="G330" s="46" t="n">
        <f aca="false">IF(C330&gt;E330,100,C330/E330*100)</f>
        <v>100</v>
      </c>
      <c r="H330" s="46" t="n">
        <f aca="false">L330/F330*100</f>
        <v>100</v>
      </c>
      <c r="I330" s="47" t="n">
        <f aca="false">(V$27+V$28*SIN(2*PI()/365*A330))*V$29/100*V$9*V$10/100*(1-V$19/100)</f>
        <v>0</v>
      </c>
      <c r="J330" s="47" t="n">
        <f aca="false">(V$27+V$28*SIN(2*PI()/365*A330))*V$29/100*V$11*(1-V$18/100)</f>
        <v>10.0500808256811</v>
      </c>
      <c r="K330" s="48" t="n">
        <f aca="false">IF(E330/C330*100&lt;100,E330/C330*100,100)</f>
        <v>0</v>
      </c>
      <c r="L330" s="7" t="n">
        <f aca="false">IF(((C330-E330)&gt;0)*AND(F330&gt;(C330-E330)),(C330-E330),IF(C330&lt;E330,0,F330))</f>
        <v>9.14557355136983</v>
      </c>
      <c r="M330" s="7" t="n">
        <f aca="false">IF(C330&lt;(E330+F330),0,C330-E330-F330)</f>
        <v>17.0949739772234</v>
      </c>
      <c r="N330" s="7" t="n">
        <f aca="false">IF(C330&lt;(E330+F330),0,(C330-E330-F330)/(1-V$20/100))</f>
        <v>18.7856856892565</v>
      </c>
      <c r="O330" s="7" t="n">
        <f aca="false">L330+M330</f>
        <v>26.2405475285933</v>
      </c>
      <c r="P330" s="49" t="n">
        <f aca="false">IF(N330=0,I330*(1-G330/100)+J330*(1-H330/100),-N330)</f>
        <v>-18.7856856892565</v>
      </c>
      <c r="Q330" s="54" t="n">
        <f aca="false">IF(P329&gt;0,Q329+P329*(1-V$24/100),Q329+P329)</f>
        <v>468.540943633307</v>
      </c>
      <c r="R330" s="55" t="n">
        <f aca="false">R$4+Q330/V$32</f>
        <v>44.5566498659962</v>
      </c>
    </row>
    <row r="331" customFormat="false" ht="12.8" hidden="false" customHeight="false" outlineLevel="0" collapsed="false">
      <c r="A331" s="1" t="n">
        <v>327</v>
      </c>
      <c r="B331" s="44" t="n">
        <v>43872</v>
      </c>
      <c r="C331" s="45" t="n">
        <f aca="false">V$30-V$30*SIN(2*PI()/365*A331)</f>
        <v>26.0210217735519</v>
      </c>
      <c r="D331" s="3" t="n">
        <f aca="false">IF((E331+F331)&gt;C331,C331,E331+F331)</f>
        <v>9.36629533225088</v>
      </c>
      <c r="E331" s="46" t="n">
        <f aca="false">(V$27+V$28*SIN(2*PI()/365*A331))*V$29/100*V$9*V$10/100</f>
        <v>0</v>
      </c>
      <c r="F331" s="46" t="n">
        <f aca="false">(V$27+V$28*SIN(2*PI()/365*A331))*V$29/100*V$11*(1-V$18/100)*(1-V$20/100)</f>
        <v>9.36629533225088</v>
      </c>
      <c r="G331" s="46" t="n">
        <f aca="false">IF(C331&gt;E331,100,C331/E331*100)</f>
        <v>100</v>
      </c>
      <c r="H331" s="46" t="n">
        <f aca="false">L331/F331*100</f>
        <v>100</v>
      </c>
      <c r="I331" s="47" t="n">
        <f aca="false">(V$27+V$28*SIN(2*PI()/365*A331))*V$29/100*V$9*V$10/100*(1-V$19/100)</f>
        <v>0</v>
      </c>
      <c r="J331" s="47" t="n">
        <f aca="false">(V$27+V$28*SIN(2*PI()/365*A331))*V$29/100*V$11*(1-V$18/100)</f>
        <v>10.2926322332427</v>
      </c>
      <c r="K331" s="48" t="n">
        <f aca="false">IF(E331/C331*100&lt;100,E331/C331*100,100)</f>
        <v>0</v>
      </c>
      <c r="L331" s="7" t="n">
        <f aca="false">IF(((C331-E331)&gt;0)*AND(F331&gt;(C331-E331)),(C331-E331),IF(C331&lt;E331,0,F331))</f>
        <v>9.36629533225088</v>
      </c>
      <c r="M331" s="7" t="n">
        <f aca="false">IF(C331&lt;(E331+F331),0,C331-E331-F331)</f>
        <v>16.654726441301</v>
      </c>
      <c r="N331" s="7" t="n">
        <f aca="false">IF(C331&lt;(E331+F331),0,(C331-E331-F331)/(1-V$20/100))</f>
        <v>18.3018971882429</v>
      </c>
      <c r="O331" s="7" t="n">
        <f aca="false">L331+M331</f>
        <v>26.0210217735519</v>
      </c>
      <c r="P331" s="49" t="n">
        <f aca="false">IF(N331=0,I331*(1-G331/100)+J331*(1-H331/100),-N331)</f>
        <v>-18.3018971882429</v>
      </c>
      <c r="Q331" s="54" t="n">
        <f aca="false">IF(P330&gt;0,Q330+P330*(1-V$24/100),Q330+P330)</f>
        <v>449.755257944051</v>
      </c>
      <c r="R331" s="55" t="n">
        <f aca="false">R$4+Q331/V$32</f>
        <v>44.3739554967169</v>
      </c>
    </row>
    <row r="332" customFormat="false" ht="12.8" hidden="false" customHeight="false" outlineLevel="0" collapsed="false">
      <c r="A332" s="1" t="n">
        <v>328</v>
      </c>
      <c r="B332" s="44" t="n">
        <v>43873</v>
      </c>
      <c r="C332" s="45" t="n">
        <f aca="false">V$30-V$30*SIN(2*PI()/365*A332)</f>
        <v>25.7985791497892</v>
      </c>
      <c r="D332" s="3" t="n">
        <f aca="false">IF((E332+F332)&gt;C332,C332,E332+F332)</f>
        <v>9.58994987361212</v>
      </c>
      <c r="E332" s="46" t="n">
        <f aca="false">(V$27+V$28*SIN(2*PI()/365*A332))*V$29/100*V$9*V$10/100</f>
        <v>0</v>
      </c>
      <c r="F332" s="46" t="n">
        <f aca="false">(V$27+V$28*SIN(2*PI()/365*A332))*V$29/100*V$11*(1-V$18/100)*(1-V$20/100)</f>
        <v>9.58994987361212</v>
      </c>
      <c r="G332" s="46" t="n">
        <f aca="false">IF(C332&gt;E332,100,C332/E332*100)</f>
        <v>100</v>
      </c>
      <c r="H332" s="46" t="n">
        <f aca="false">L332/F332*100</f>
        <v>100</v>
      </c>
      <c r="I332" s="47" t="n">
        <f aca="false">(V$27+V$28*SIN(2*PI()/365*A332))*V$29/100*V$9*V$10/100*(1-V$19/100)</f>
        <v>0</v>
      </c>
      <c r="J332" s="47" t="n">
        <f aca="false">(V$27+V$28*SIN(2*PI()/365*A332))*V$29/100*V$11*(1-V$18/100)</f>
        <v>10.5384064545188</v>
      </c>
      <c r="K332" s="48" t="n">
        <f aca="false">IF(E332/C332*100&lt;100,E332/C332*100,100)</f>
        <v>0</v>
      </c>
      <c r="L332" s="7" t="n">
        <f aca="false">IF(((C332-E332)&gt;0)*AND(F332&gt;(C332-E332)),(C332-E332),IF(C332&lt;E332,0,F332))</f>
        <v>9.58994987361212</v>
      </c>
      <c r="M332" s="7" t="n">
        <f aca="false">IF(C332&lt;(E332+F332),0,C332-E332-F332)</f>
        <v>16.2086292761771</v>
      </c>
      <c r="N332" s="7" t="n">
        <f aca="false">IF(C332&lt;(E332+F332),0,(C332-E332-F332)/(1-V$20/100))</f>
        <v>17.8116805232716</v>
      </c>
      <c r="O332" s="7" t="n">
        <f aca="false">L332+M332</f>
        <v>25.7985791497892</v>
      </c>
      <c r="P332" s="49" t="n">
        <f aca="false">IF(N332=0,I332*(1-G332/100)+J332*(1-H332/100),-N332)</f>
        <v>-17.8116805232716</v>
      </c>
      <c r="Q332" s="54" t="n">
        <f aca="false">IF(P331&gt;0,Q331+P331*(1-V$24/100),Q331+P331)</f>
        <v>431.453360755808</v>
      </c>
      <c r="R332" s="55" t="n">
        <f aca="false">R$4+Q332/V$32</f>
        <v>44.1959660627016</v>
      </c>
    </row>
    <row r="333" customFormat="false" ht="12.8" hidden="false" customHeight="false" outlineLevel="0" collapsed="false">
      <c r="A333" s="1" t="n">
        <v>329</v>
      </c>
      <c r="B333" s="44" t="n">
        <v>43874</v>
      </c>
      <c r="C333" s="45" t="n">
        <f aca="false">V$30-V$30*SIN(2*PI()/365*A333)</f>
        <v>25.5732855718553</v>
      </c>
      <c r="D333" s="3" t="n">
        <f aca="false">IF((E333+F333)&gt;C333,C333,E333+F333)</f>
        <v>9.81647090178609</v>
      </c>
      <c r="E333" s="46" t="n">
        <f aca="false">(V$27+V$28*SIN(2*PI()/365*A333))*V$29/100*V$9*V$10/100</f>
        <v>0</v>
      </c>
      <c r="F333" s="46" t="n">
        <f aca="false">(V$27+V$28*SIN(2*PI()/365*A333))*V$29/100*V$11*(1-V$18/100)*(1-V$20/100)</f>
        <v>9.81647090178609</v>
      </c>
      <c r="G333" s="46" t="n">
        <f aca="false">IF(C333&gt;E333,100,C333/E333*100)</f>
        <v>100</v>
      </c>
      <c r="H333" s="46" t="n">
        <f aca="false">L333/F333*100</f>
        <v>100</v>
      </c>
      <c r="I333" s="47" t="n">
        <f aca="false">(V$27+V$28*SIN(2*PI()/365*A333))*V$29/100*V$9*V$10/100*(1-V$19/100)</f>
        <v>0</v>
      </c>
      <c r="J333" s="47" t="n">
        <f aca="false">(V$27+V$28*SIN(2*PI()/365*A333))*V$29/100*V$11*(1-V$18/100)</f>
        <v>10.7873306613034</v>
      </c>
      <c r="K333" s="48" t="n">
        <f aca="false">IF(E333/C333*100&lt;100,E333/C333*100,100)</f>
        <v>0</v>
      </c>
      <c r="L333" s="7" t="n">
        <f aca="false">IF(((C333-E333)&gt;0)*AND(F333&gt;(C333-E333)),(C333-E333),IF(C333&lt;E333,0,F333))</f>
        <v>9.81647090178609</v>
      </c>
      <c r="M333" s="7" t="n">
        <f aca="false">IF(C333&lt;(E333+F333),0,C333-E333-F333)</f>
        <v>15.7568146700693</v>
      </c>
      <c r="N333" s="7" t="n">
        <f aca="false">IF(C333&lt;(E333+F333),0,(C333-E333-F333)/(1-V$20/100))</f>
        <v>17.3151809561201</v>
      </c>
      <c r="O333" s="7" t="n">
        <f aca="false">L333+M333</f>
        <v>25.5732855718553</v>
      </c>
      <c r="P333" s="49" t="n">
        <f aca="false">IF(N333=0,I333*(1-G333/100)+J333*(1-H333/100),-N333)</f>
        <v>-17.3151809561201</v>
      </c>
      <c r="Q333" s="54" t="n">
        <f aca="false">IF(P332&gt;0,Q332+P332*(1-V$24/100),Q332+P332)</f>
        <v>413.641680232536</v>
      </c>
      <c r="R333" s="55" t="n">
        <f aca="false">R$4+Q333/V$32</f>
        <v>44.0227440790684</v>
      </c>
    </row>
    <row r="334" customFormat="false" ht="12.8" hidden="false" customHeight="false" outlineLevel="0" collapsed="false">
      <c r="A334" s="1" t="n">
        <v>330</v>
      </c>
      <c r="B334" s="44" t="n">
        <v>43875</v>
      </c>
      <c r="C334" s="45" t="n">
        <f aca="false">V$30-V$30*SIN(2*PI()/365*A334)</f>
        <v>25.3452077990996</v>
      </c>
      <c r="D334" s="3" t="n">
        <f aca="false">IF((E334+F334)&gt;C334,C334,E334+F334)</f>
        <v>10.0457912937034</v>
      </c>
      <c r="E334" s="46" t="n">
        <f aca="false">(V$27+V$28*SIN(2*PI()/365*A334))*V$29/100*V$9*V$10/100</f>
        <v>0</v>
      </c>
      <c r="F334" s="46" t="n">
        <f aca="false">(V$27+V$28*SIN(2*PI()/365*A334))*V$29/100*V$11*(1-V$18/100)*(1-V$20/100)</f>
        <v>10.0457912937034</v>
      </c>
      <c r="G334" s="46" t="n">
        <f aca="false">IF(C334&gt;E334,100,C334/E334*100)</f>
        <v>100</v>
      </c>
      <c r="H334" s="46" t="n">
        <f aca="false">L334/F334*100</f>
        <v>100</v>
      </c>
      <c r="I334" s="47" t="n">
        <f aca="false">(V$27+V$28*SIN(2*PI()/365*A334))*V$29/100*V$9*V$10/100*(1-V$19/100)</f>
        <v>0</v>
      </c>
      <c r="J334" s="47" t="n">
        <f aca="false">(V$27+V$28*SIN(2*PI()/365*A334))*V$29/100*V$11*(1-V$18/100)</f>
        <v>11.0393310919818</v>
      </c>
      <c r="K334" s="48" t="n">
        <f aca="false">IF(E334/C334*100&lt;100,E334/C334*100,100)</f>
        <v>0</v>
      </c>
      <c r="L334" s="7" t="n">
        <f aca="false">IF(((C334-E334)&gt;0)*AND(F334&gt;(C334-E334)),(C334-E334),IF(C334&lt;E334,0,F334))</f>
        <v>10.0457912937034</v>
      </c>
      <c r="M334" s="7" t="n">
        <f aca="false">IF(C334&lt;(E334+F334),0,C334-E334-F334)</f>
        <v>15.2994165053962</v>
      </c>
      <c r="N334" s="7" t="n">
        <f aca="false">IF(C334&lt;(E334+F334),0,(C334-E334-F334)/(1-V$20/100))</f>
        <v>16.8125456103255</v>
      </c>
      <c r="O334" s="7" t="n">
        <f aca="false">L334+M334</f>
        <v>25.3452077990996</v>
      </c>
      <c r="P334" s="49" t="n">
        <f aca="false">IF(N334=0,I334*(1-G334/100)+J334*(1-H334/100),-N334)</f>
        <v>-16.8125456103255</v>
      </c>
      <c r="Q334" s="54" t="n">
        <f aca="false">IF(P333&gt;0,Q333+P333*(1-V$24/100),Q333+P333)</f>
        <v>396.326499276416</v>
      </c>
      <c r="R334" s="55" t="n">
        <f aca="false">R$4+Q334/V$32</f>
        <v>43.854350648237</v>
      </c>
    </row>
    <row r="335" customFormat="false" ht="12.8" hidden="false" customHeight="false" outlineLevel="0" collapsed="false">
      <c r="A335" s="1" t="n">
        <v>331</v>
      </c>
      <c r="B335" s="44" t="n">
        <v>43876</v>
      </c>
      <c r="C335" s="45" t="n">
        <f aca="false">V$30-V$30*SIN(2*PI()/365*A335)</f>
        <v>25.1144134158884</v>
      </c>
      <c r="D335" s="3" t="n">
        <f aca="false">IF((E335+F335)&gt;C335,C335,E335+F335)</f>
        <v>10.2778430967828</v>
      </c>
      <c r="E335" s="46" t="n">
        <f aca="false">(V$27+V$28*SIN(2*PI()/365*A335))*V$29/100*V$9*V$10/100</f>
        <v>0</v>
      </c>
      <c r="F335" s="46" t="n">
        <f aca="false">(V$27+V$28*SIN(2*PI()/365*A335))*V$29/100*V$11*(1-V$18/100)*(1-V$20/100)</f>
        <v>10.2778430967828</v>
      </c>
      <c r="G335" s="46" t="n">
        <f aca="false">IF(C335&gt;E335,100,C335/E335*100)</f>
        <v>100</v>
      </c>
      <c r="H335" s="46" t="n">
        <f aca="false">L335/F335*100</f>
        <v>100</v>
      </c>
      <c r="I335" s="47" t="n">
        <f aca="false">(V$27+V$28*SIN(2*PI()/365*A335))*V$29/100*V$9*V$10/100*(1-V$19/100)</f>
        <v>0</v>
      </c>
      <c r="J335" s="47" t="n">
        <f aca="false">(V$27+V$28*SIN(2*PI()/365*A335))*V$29/100*V$11*(1-V$18/100)</f>
        <v>11.2943330733877</v>
      </c>
      <c r="K335" s="48" t="n">
        <f aca="false">IF(E335/C335*100&lt;100,E335/C335*100,100)</f>
        <v>0</v>
      </c>
      <c r="L335" s="7" t="n">
        <f aca="false">IF(((C335-E335)&gt;0)*AND(F335&gt;(C335-E335)),(C335-E335),IF(C335&lt;E335,0,F335))</f>
        <v>10.2778430967828</v>
      </c>
      <c r="M335" s="7" t="n">
        <f aca="false">IF(C335&lt;(E335+F335),0,C335-E335-F335)</f>
        <v>14.8365703191056</v>
      </c>
      <c r="N335" s="7" t="n">
        <f aca="false">IF(C335&lt;(E335+F335),0,(C335-E335-F335)/(1-V$20/100))</f>
        <v>16.3039234275886</v>
      </c>
      <c r="O335" s="7" t="n">
        <f aca="false">L335+M335</f>
        <v>25.1144134158884</v>
      </c>
      <c r="P335" s="49" t="n">
        <f aca="false">IF(N335=0,I335*(1-G335/100)+J335*(1-H335/100),-N335)</f>
        <v>-16.3039234275886</v>
      </c>
      <c r="Q335" s="54" t="n">
        <f aca="false">IF(P334&gt;0,Q334+P334*(1-V$24/100),Q334+P334)</f>
        <v>379.513953666091</v>
      </c>
      <c r="R335" s="55" t="n">
        <f aca="false">R$4+Q335/V$32</f>
        <v>43.6908454418226</v>
      </c>
    </row>
    <row r="336" customFormat="false" ht="12.8" hidden="false" customHeight="false" outlineLevel="0" collapsed="false">
      <c r="A336" s="1" t="n">
        <v>332</v>
      </c>
      <c r="B336" s="44" t="n">
        <v>43877</v>
      </c>
      <c r="C336" s="45" t="n">
        <f aca="false">V$30-V$30*SIN(2*PI()/365*A336)</f>
        <v>24.8809708115785</v>
      </c>
      <c r="D336" s="3" t="n">
        <f aca="false">IF((E336+F336)&gt;C336,C336,E336+F336)</f>
        <v>10.512557549067</v>
      </c>
      <c r="E336" s="46" t="n">
        <f aca="false">(V$27+V$28*SIN(2*PI()/365*A336))*V$29/100*V$9*V$10/100</f>
        <v>0</v>
      </c>
      <c r="F336" s="46" t="n">
        <f aca="false">(V$27+V$28*SIN(2*PI()/365*A336))*V$29/100*V$11*(1-V$18/100)*(1-V$20/100)</f>
        <v>10.512557549067</v>
      </c>
      <c r="G336" s="46" t="n">
        <f aca="false">IF(C336&gt;E336,100,C336/E336*100)</f>
        <v>100</v>
      </c>
      <c r="H336" s="46" t="n">
        <f aca="false">L336/F336*100</f>
        <v>100</v>
      </c>
      <c r="I336" s="47" t="n">
        <f aca="false">(V$27+V$28*SIN(2*PI()/365*A336))*V$29/100*V$9*V$10/100*(1-V$19/100)</f>
        <v>0</v>
      </c>
      <c r="J336" s="47" t="n">
        <f aca="false">(V$27+V$28*SIN(2*PI()/365*A336))*V$29/100*V$11*(1-V$18/100)</f>
        <v>11.5522610429308</v>
      </c>
      <c r="K336" s="48" t="n">
        <f aca="false">IF(E336/C336*100&lt;100,E336/C336*100,100)</f>
        <v>0</v>
      </c>
      <c r="L336" s="7" t="n">
        <f aca="false">IF(((C336-E336)&gt;0)*AND(F336&gt;(C336-E336)),(C336-E336),IF(C336&lt;E336,0,F336))</f>
        <v>10.512557549067</v>
      </c>
      <c r="M336" s="7" t="n">
        <f aca="false">IF(C336&lt;(E336+F336),0,C336-E336-F336)</f>
        <v>14.3684132625115</v>
      </c>
      <c r="N336" s="7" t="n">
        <f aca="false">IF(C336&lt;(E336+F336),0,(C336-E336-F336)/(1-V$20/100))</f>
        <v>15.789465123639</v>
      </c>
      <c r="O336" s="7" t="n">
        <f aca="false">L336+M336</f>
        <v>24.8809708115785</v>
      </c>
      <c r="P336" s="49" t="n">
        <f aca="false">IF(N336=0,I336*(1-G336/100)+J336*(1-H336/100),-N336)</f>
        <v>-15.789465123639</v>
      </c>
      <c r="Q336" s="54" t="n">
        <f aca="false">IF(P335&gt;0,Q335+P335*(1-V$24/100),Q335+P335)</f>
        <v>363.210030238502</v>
      </c>
      <c r="R336" s="55" t="n">
        <f aca="false">R$4+Q336/V$32</f>
        <v>43.5322866829542</v>
      </c>
    </row>
    <row r="337" customFormat="false" ht="12.8" hidden="false" customHeight="false" outlineLevel="0" collapsed="false">
      <c r="A337" s="1" t="n">
        <v>333</v>
      </c>
      <c r="B337" s="44" t="n">
        <v>43878</v>
      </c>
      <c r="C337" s="45" t="n">
        <f aca="false">V$30-V$30*SIN(2*PI()/365*A337)</f>
        <v>24.6449491602516</v>
      </c>
      <c r="D337" s="3" t="n">
        <f aca="false">IF((E337+F337)&gt;C337,C337,E337+F337)</f>
        <v>10.7498650995982</v>
      </c>
      <c r="E337" s="46" t="n">
        <f aca="false">(V$27+V$28*SIN(2*PI()/365*A337))*V$29/100*V$9*V$10/100</f>
        <v>0</v>
      </c>
      <c r="F337" s="46" t="n">
        <f aca="false">(V$27+V$28*SIN(2*PI()/365*A337))*V$29/100*V$11*(1-V$18/100)*(1-V$20/100)</f>
        <v>10.7498650995982</v>
      </c>
      <c r="G337" s="46" t="n">
        <f aca="false">IF(C337&gt;E337,100,C337/E337*100)</f>
        <v>100</v>
      </c>
      <c r="H337" s="46" t="n">
        <f aca="false">L337/F337*100</f>
        <v>100</v>
      </c>
      <c r="I337" s="47" t="n">
        <f aca="false">(V$27+V$28*SIN(2*PI()/365*A337))*V$29/100*V$9*V$10/100*(1-V$19/100)</f>
        <v>0</v>
      </c>
      <c r="J337" s="47" t="n">
        <f aca="false">(V$27+V$28*SIN(2*PI()/365*A337))*V$29/100*V$11*(1-V$18/100)</f>
        <v>11.813038570987</v>
      </c>
      <c r="K337" s="48" t="n">
        <f aca="false">IF(E337/C337*100&lt;100,E337/C337*100,100)</f>
        <v>0</v>
      </c>
      <c r="L337" s="7" t="n">
        <f aca="false">IF(((C337-E337)&gt;0)*AND(F337&gt;(C337-E337)),(C337-E337),IF(C337&lt;E337,0,F337))</f>
        <v>10.7498650995982</v>
      </c>
      <c r="M337" s="7" t="n">
        <f aca="false">IF(C337&lt;(E337+F337),0,C337-E337-F337)</f>
        <v>13.8950840606534</v>
      </c>
      <c r="N337" s="7" t="n">
        <f aca="false">IF(C337&lt;(E337+F337),0,(C337-E337-F337)/(1-V$20/100))</f>
        <v>15.2693231435752</v>
      </c>
      <c r="O337" s="7" t="n">
        <f aca="false">L337+M337</f>
        <v>24.6449491602516</v>
      </c>
      <c r="P337" s="49" t="n">
        <f aca="false">IF(N337=0,I337*(1-G337/100)+J337*(1-H337/100),-N337)</f>
        <v>-15.2693231435752</v>
      </c>
      <c r="Q337" s="54" t="n">
        <f aca="false">IF(P336&gt;0,Q336+P336*(1-V$24/100),Q336+P336)</f>
        <v>347.420565114863</v>
      </c>
      <c r="R337" s="55" t="n">
        <f aca="false">R$4+Q337/V$32</f>
        <v>43.3787311290215</v>
      </c>
    </row>
    <row r="338" customFormat="false" ht="12.8" hidden="false" customHeight="false" outlineLevel="0" collapsed="false">
      <c r="A338" s="1" t="n">
        <v>334</v>
      </c>
      <c r="B338" s="44" t="n">
        <v>43879</v>
      </c>
      <c r="C338" s="45" t="n">
        <f aca="false">V$30-V$30*SIN(2*PI()/365*A338)</f>
        <v>24.4064184002167</v>
      </c>
      <c r="D338" s="3" t="n">
        <f aca="false">IF((E338+F338)&gt;C338,C338,E338+F338)</f>
        <v>10.9896954290276</v>
      </c>
      <c r="E338" s="46" t="n">
        <f aca="false">(V$27+V$28*SIN(2*PI()/365*A338))*V$29/100*V$9*V$10/100</f>
        <v>0</v>
      </c>
      <c r="F338" s="46" t="n">
        <f aca="false">(V$27+V$28*SIN(2*PI()/365*A338))*V$29/100*V$11*(1-V$18/100)*(1-V$20/100)</f>
        <v>10.9896954290276</v>
      </c>
      <c r="G338" s="46" t="n">
        <f aca="false">IF(C338&gt;E338,100,C338/E338*100)</f>
        <v>100</v>
      </c>
      <c r="H338" s="46" t="n">
        <f aca="false">L338/F338*100</f>
        <v>100</v>
      </c>
      <c r="I338" s="47" t="n">
        <f aca="false">(V$27+V$28*SIN(2*PI()/365*A338))*V$29/100*V$9*V$10/100*(1-V$19/100)</f>
        <v>0</v>
      </c>
      <c r="J338" s="47" t="n">
        <f aca="false">(V$27+V$28*SIN(2*PI()/365*A338))*V$29/100*V$11*(1-V$18/100)</f>
        <v>12.0765883835468</v>
      </c>
      <c r="K338" s="48" t="n">
        <f aca="false">IF(E338/C338*100&lt;100,E338/C338*100,100)</f>
        <v>0</v>
      </c>
      <c r="L338" s="7" t="n">
        <f aca="false">IF(((C338-E338)&gt;0)*AND(F338&gt;(C338-E338)),(C338-E338),IF(C338&lt;E338,0,F338))</f>
        <v>10.9896954290276</v>
      </c>
      <c r="M338" s="7" t="n">
        <f aca="false">IF(C338&lt;(E338+F338),0,C338-E338-F338)</f>
        <v>13.4167229711891</v>
      </c>
      <c r="N338" s="7" t="n">
        <f aca="false">IF(C338&lt;(E338+F338),0,(C338-E338-F338)/(1-V$20/100))</f>
        <v>14.7436516166913</v>
      </c>
      <c r="O338" s="7" t="n">
        <f aca="false">L338+M338</f>
        <v>24.4064184002167</v>
      </c>
      <c r="P338" s="49" t="n">
        <f aca="false">IF(N338=0,I338*(1-G338/100)+J338*(1-H338/100),-N338)</f>
        <v>-14.7436516166913</v>
      </c>
      <c r="Q338" s="54" t="n">
        <f aca="false">IF(P337&gt;0,Q337+P337*(1-V$24/100),Q337+P337)</f>
        <v>332.151241971288</v>
      </c>
      <c r="R338" s="55" t="n">
        <f aca="false">R$4+Q338/V$32</f>
        <v>43.2302340548566</v>
      </c>
    </row>
    <row r="339" customFormat="false" ht="12.8" hidden="false" customHeight="false" outlineLevel="0" collapsed="false">
      <c r="A339" s="1" t="n">
        <v>335</v>
      </c>
      <c r="B339" s="44" t="n">
        <v>43880</v>
      </c>
      <c r="C339" s="45" t="n">
        <f aca="false">V$30-V$30*SIN(2*PI()/365*A339)</f>
        <v>24.165449213286</v>
      </c>
      <c r="D339" s="3" t="n">
        <f aca="false">IF((E339+F339)&gt;C339,C339,E339+F339)</f>
        <v>11.2319774704527</v>
      </c>
      <c r="E339" s="46" t="n">
        <f aca="false">(V$27+V$28*SIN(2*PI()/365*A339))*V$29/100*V$9*V$10/100</f>
        <v>0</v>
      </c>
      <c r="F339" s="46" t="n">
        <f aca="false">(V$27+V$28*SIN(2*PI()/365*A339))*V$29/100*V$11*(1-V$18/100)*(1-V$20/100)</f>
        <v>11.2319774704527</v>
      </c>
      <c r="G339" s="46" t="n">
        <f aca="false">IF(C339&gt;E339,100,C339/E339*100)</f>
        <v>100</v>
      </c>
      <c r="H339" s="46" t="n">
        <f aca="false">L339/F339*100</f>
        <v>100</v>
      </c>
      <c r="I339" s="47" t="n">
        <f aca="false">(V$27+V$28*SIN(2*PI()/365*A339))*V$29/100*V$9*V$10/100*(1-V$19/100)</f>
        <v>0</v>
      </c>
      <c r="J339" s="47" t="n">
        <f aca="false">(V$27+V$28*SIN(2*PI()/365*A339))*V$29/100*V$11*(1-V$18/100)</f>
        <v>12.3428323851128</v>
      </c>
      <c r="K339" s="48" t="n">
        <f aca="false">IF(E339/C339*100&lt;100,E339/C339*100,100)</f>
        <v>0</v>
      </c>
      <c r="L339" s="7" t="n">
        <f aca="false">IF(((C339-E339)&gt;0)*AND(F339&gt;(C339-E339)),(C339-E339),IF(C339&lt;E339,0,F339))</f>
        <v>11.2319774704527</v>
      </c>
      <c r="M339" s="7" t="n">
        <f aca="false">IF(C339&lt;(E339+F339),0,C339-E339-F339)</f>
        <v>12.9334717428333</v>
      </c>
      <c r="N339" s="7" t="n">
        <f aca="false">IF(C339&lt;(E339+F339),0,(C339-E339-F339)/(1-V$20/100))</f>
        <v>14.2126063108058</v>
      </c>
      <c r="O339" s="7" t="n">
        <f aca="false">L339+M339</f>
        <v>24.165449213286</v>
      </c>
      <c r="P339" s="49" t="n">
        <f aca="false">IF(N339=0,I339*(1-G339/100)+J339*(1-H339/100),-N339)</f>
        <v>-14.2126063108058</v>
      </c>
      <c r="Q339" s="54" t="n">
        <f aca="false">IF(P338&gt;0,Q338+P338*(1-V$24/100),Q338+P338)</f>
        <v>317.407590354597</v>
      </c>
      <c r="R339" s="55" t="n">
        <f aca="false">R$4+Q339/V$32</f>
        <v>43.0868492363548</v>
      </c>
    </row>
    <row r="340" customFormat="false" ht="12.8" hidden="false" customHeight="false" outlineLevel="0" collapsed="false">
      <c r="A340" s="1" t="n">
        <v>336</v>
      </c>
      <c r="B340" s="44" t="n">
        <v>43881</v>
      </c>
      <c r="C340" s="45" t="n">
        <f aca="false">V$30-V$30*SIN(2*PI()/365*A340)</f>
        <v>23.9221130038301</v>
      </c>
      <c r="D340" s="3" t="n">
        <f aca="false">IF((E340+F340)&gt;C340,C340,E340+F340)</f>
        <v>11.4766394304757</v>
      </c>
      <c r="E340" s="46" t="n">
        <f aca="false">(V$27+V$28*SIN(2*PI()/365*A340))*V$29/100*V$9*V$10/100</f>
        <v>0</v>
      </c>
      <c r="F340" s="46" t="n">
        <f aca="false">(V$27+V$28*SIN(2*PI()/365*A340))*V$29/100*V$11*(1-V$18/100)*(1-V$20/100)</f>
        <v>11.4766394304757</v>
      </c>
      <c r="G340" s="46" t="n">
        <f aca="false">IF(C340&gt;E340,100,C340/E340*100)</f>
        <v>100</v>
      </c>
      <c r="H340" s="46" t="n">
        <f aca="false">L340/F340*100</f>
        <v>100</v>
      </c>
      <c r="I340" s="47" t="n">
        <f aca="false">(V$27+V$28*SIN(2*PI()/365*A340))*V$29/100*V$9*V$10/100*(1-V$19/100)</f>
        <v>0</v>
      </c>
      <c r="J340" s="47" t="n">
        <f aca="false">(V$27+V$28*SIN(2*PI()/365*A340))*V$29/100*V$11*(1-V$18/100)</f>
        <v>12.6116916818414</v>
      </c>
      <c r="K340" s="48" t="n">
        <f aca="false">IF(E340/C340*100&lt;100,E340/C340*100,100)</f>
        <v>0</v>
      </c>
      <c r="L340" s="7" t="n">
        <f aca="false">IF(((C340-E340)&gt;0)*AND(F340&gt;(C340-E340)),(C340-E340),IF(C340&lt;E340,0,F340))</f>
        <v>11.4766394304757</v>
      </c>
      <c r="M340" s="7" t="n">
        <f aca="false">IF(C340&lt;(E340+F340),0,C340-E340-F340)</f>
        <v>12.4454735733544</v>
      </c>
      <c r="N340" s="7" t="n">
        <f aca="false">IF(C340&lt;(E340+F340),0,(C340-E340-F340)/(1-V$20/100))</f>
        <v>13.6763445861038</v>
      </c>
      <c r="O340" s="7" t="n">
        <f aca="false">L340+M340</f>
        <v>23.9221130038301</v>
      </c>
      <c r="P340" s="49" t="n">
        <f aca="false">IF(N340=0,I340*(1-G340/100)+J340*(1-H340/100),-N340)</f>
        <v>-13.6763445861038</v>
      </c>
      <c r="Q340" s="54" t="n">
        <f aca="false">IF(P339&gt;0,Q339+P339*(1-V$24/100),Q339+P339)</f>
        <v>303.194984043791</v>
      </c>
      <c r="R340" s="55" t="n">
        <f aca="false">R$4+Q340/V$32</f>
        <v>42.94862893454</v>
      </c>
    </row>
    <row r="341" customFormat="false" ht="12.8" hidden="false" customHeight="false" outlineLevel="0" collapsed="false">
      <c r="A341" s="1" t="n">
        <v>337</v>
      </c>
      <c r="B341" s="44" t="n">
        <v>43882</v>
      </c>
      <c r="C341" s="45" t="n">
        <f aca="false">V$30-V$30*SIN(2*PI()/365*A341)</f>
        <v>23.6764818776195</v>
      </c>
      <c r="D341" s="3" t="n">
        <f aca="false">IF((E341+F341)&gt;C341,C341,E341+F341)</f>
        <v>11.7236088104776</v>
      </c>
      <c r="E341" s="46" t="n">
        <f aca="false">(V$27+V$28*SIN(2*PI()/365*A341))*V$29/100*V$9*V$10/100</f>
        <v>0</v>
      </c>
      <c r="F341" s="46" t="n">
        <f aca="false">(V$27+V$28*SIN(2*PI()/365*A341))*V$29/100*V$11*(1-V$18/100)*(1-V$20/100)</f>
        <v>11.7236088104776</v>
      </c>
      <c r="G341" s="46" t="n">
        <f aca="false">IF(C341&gt;E341,100,C341/E341*100)</f>
        <v>100</v>
      </c>
      <c r="H341" s="46" t="n">
        <f aca="false">L341/F341*100</f>
        <v>100</v>
      </c>
      <c r="I341" s="47" t="n">
        <f aca="false">(V$27+V$28*SIN(2*PI()/365*A341))*V$29/100*V$9*V$10/100*(1-V$19/100)</f>
        <v>0</v>
      </c>
      <c r="J341" s="47" t="n">
        <f aca="false">(V$27+V$28*SIN(2*PI()/365*A341))*V$29/100*V$11*(1-V$18/100)</f>
        <v>12.8830866049205</v>
      </c>
      <c r="K341" s="48" t="n">
        <f aca="false">IF(E341/C341*100&lt;100,E341/C341*100,100)</f>
        <v>0</v>
      </c>
      <c r="L341" s="7" t="n">
        <f aca="false">IF(((C341-E341)&gt;0)*AND(F341&gt;(C341-E341)),(C341-E341),IF(C341&lt;E341,0,F341))</f>
        <v>11.7236088104776</v>
      </c>
      <c r="M341" s="7" t="n">
        <f aca="false">IF(C341&lt;(E341+F341),0,C341-E341-F341)</f>
        <v>11.9528730671419</v>
      </c>
      <c r="N341" s="7" t="n">
        <f aca="false">IF(C341&lt;(E341+F341),0,(C341-E341-F341)/(1-V$20/100))</f>
        <v>13.1350253485075</v>
      </c>
      <c r="O341" s="7" t="n">
        <f aca="false">L341+M341</f>
        <v>23.6764818776195</v>
      </c>
      <c r="P341" s="49" t="n">
        <f aca="false">IF(N341=0,I341*(1-G341/100)+J341*(1-H341/100),-N341)</f>
        <v>-13.1350253485075</v>
      </c>
      <c r="Q341" s="54" t="n">
        <f aca="false">IF(P340&gt;0,Q340+P340*(1-V$24/100),Q340+P340)</f>
        <v>289.518639457687</v>
      </c>
      <c r="R341" s="55" t="n">
        <f aca="false">R$4+Q341/V$32</f>
        <v>42.8156238800781</v>
      </c>
    </row>
    <row r="342" customFormat="false" ht="12.8" hidden="false" customHeight="false" outlineLevel="0" collapsed="false">
      <c r="A342" s="1" t="n">
        <v>338</v>
      </c>
      <c r="B342" s="44" t="n">
        <v>43883</v>
      </c>
      <c r="C342" s="45" t="n">
        <f aca="false">V$30-V$30*SIN(2*PI()/365*A342)</f>
        <v>23.428628620458</v>
      </c>
      <c r="D342" s="3" t="n">
        <f aca="false">IF((E342+F342)&gt;C342,C342,E342+F342)</f>
        <v>11.9728124281012</v>
      </c>
      <c r="E342" s="46" t="n">
        <f aca="false">(V$27+V$28*SIN(2*PI()/365*A342))*V$29/100*V$9*V$10/100</f>
        <v>0</v>
      </c>
      <c r="F342" s="46" t="n">
        <f aca="false">(V$27+V$28*SIN(2*PI()/365*A342))*V$29/100*V$11*(1-V$18/100)*(1-V$20/100)</f>
        <v>11.9728124281012</v>
      </c>
      <c r="G342" s="46" t="n">
        <f aca="false">IF(C342&gt;E342,100,C342/E342*100)</f>
        <v>100</v>
      </c>
      <c r="H342" s="46" t="n">
        <f aca="false">L342/F342*100</f>
        <v>100</v>
      </c>
      <c r="I342" s="47" t="n">
        <f aca="false">(V$27+V$28*SIN(2*PI()/365*A342))*V$29/100*V$9*V$10/100*(1-V$19/100)</f>
        <v>0</v>
      </c>
      <c r="J342" s="47" t="n">
        <f aca="false">(V$27+V$28*SIN(2*PI()/365*A342))*V$29/100*V$11*(1-V$18/100)</f>
        <v>13.1569367341771</v>
      </c>
      <c r="K342" s="48" t="n">
        <f aca="false">IF(E342/C342*100&lt;100,E342/C342*100,100)</f>
        <v>0</v>
      </c>
      <c r="L342" s="7" t="n">
        <f aca="false">IF(((C342-E342)&gt;0)*AND(F342&gt;(C342-E342)),(C342-E342),IF(C342&lt;E342,0,F342))</f>
        <v>11.9728124281012</v>
      </c>
      <c r="M342" s="7" t="n">
        <f aca="false">IF(C342&lt;(E342+F342),0,C342-E342-F342)</f>
        <v>11.4558161923569</v>
      </c>
      <c r="N342" s="7" t="n">
        <f aca="false">IF(C342&lt;(E342+F342),0,(C342-E342-F342)/(1-V$20/100))</f>
        <v>12.58880900259</v>
      </c>
      <c r="O342" s="7" t="n">
        <f aca="false">L342+M342</f>
        <v>23.428628620458</v>
      </c>
      <c r="P342" s="49" t="n">
        <f aca="false">IF(N342=0,I342*(1-G342/100)+J342*(1-H342/100),-N342)</f>
        <v>-12.58880900259</v>
      </c>
      <c r="Q342" s="54" t="n">
        <f aca="false">IF(P341&gt;0,Q341+P341*(1-V$24/100),Q341+P341)</f>
        <v>276.38361410918</v>
      </c>
      <c r="R342" s="55" t="n">
        <f aca="false">R$4+Q342/V$32</f>
        <v>42.6878832582447</v>
      </c>
    </row>
    <row r="343" customFormat="false" ht="12.8" hidden="false" customHeight="false" outlineLevel="0" collapsed="false">
      <c r="A343" s="1" t="n">
        <v>339</v>
      </c>
      <c r="B343" s="44" t="n">
        <v>43884</v>
      </c>
      <c r="C343" s="45" t="n">
        <f aca="false">V$30-V$30*SIN(2*PI()/365*A343)</f>
        <v>23.1786266766149</v>
      </c>
      <c r="D343" s="3" t="n">
        <f aca="false">IF((E343+F343)&gt;C343,C343,E343+F343)</f>
        <v>12.2241764389362</v>
      </c>
      <c r="E343" s="46" t="n">
        <f aca="false">(V$27+V$28*SIN(2*PI()/365*A343))*V$29/100*V$9*V$10/100</f>
        <v>0</v>
      </c>
      <c r="F343" s="46" t="n">
        <f aca="false">(V$27+V$28*SIN(2*PI()/365*A343))*V$29/100*V$11*(1-V$18/100)*(1-V$20/100)</f>
        <v>12.2241764389362</v>
      </c>
      <c r="G343" s="46" t="n">
        <f aca="false">IF(C343&gt;E343,100,C343/E343*100)</f>
        <v>100</v>
      </c>
      <c r="H343" s="46" t="n">
        <f aca="false">L343/F343*100</f>
        <v>100</v>
      </c>
      <c r="I343" s="47" t="n">
        <f aca="false">(V$27+V$28*SIN(2*PI()/365*A343))*V$29/100*V$9*V$10/100*(1-V$19/100)</f>
        <v>0</v>
      </c>
      <c r="J343" s="47" t="n">
        <f aca="false">(V$27+V$28*SIN(2*PI()/365*A343))*V$29/100*V$11*(1-V$18/100)</f>
        <v>13.4331609219079</v>
      </c>
      <c r="K343" s="48" t="n">
        <f aca="false">IF(E343/C343*100&lt;100,E343/C343*100,100)</f>
        <v>0</v>
      </c>
      <c r="L343" s="7" t="n">
        <f aca="false">IF(((C343-E343)&gt;0)*AND(F343&gt;(C343-E343)),(C343-E343),IF(C343&lt;E343,0,F343))</f>
        <v>12.2241764389362</v>
      </c>
      <c r="M343" s="7" t="n">
        <f aca="false">IF(C343&lt;(E343+F343),0,C343-E343-F343)</f>
        <v>10.9544502376787</v>
      </c>
      <c r="N343" s="7" t="n">
        <f aca="false">IF(C343&lt;(E343+F343),0,(C343-E343-F343)/(1-V$20/100))</f>
        <v>12.0378574040426</v>
      </c>
      <c r="O343" s="7" t="n">
        <f aca="false">L343+M343</f>
        <v>23.1786266766149</v>
      </c>
      <c r="P343" s="49" t="n">
        <f aca="false">IF(N343=0,I343*(1-G343/100)+J343*(1-H343/100),-N343)</f>
        <v>-12.0378574040426</v>
      </c>
      <c r="Q343" s="54" t="n">
        <f aca="false">IF(P342&gt;0,Q342+P342*(1-V$24/100),Q342+P342)</f>
        <v>263.79480510659</v>
      </c>
      <c r="R343" s="55" t="n">
        <f aca="false">R$4+Q343/V$32</f>
        <v>42.5654546943504</v>
      </c>
    </row>
    <row r="344" customFormat="false" ht="12.8" hidden="false" customHeight="false" outlineLevel="0" collapsed="false">
      <c r="A344" s="1" t="n">
        <v>340</v>
      </c>
      <c r="B344" s="44" t="n">
        <v>43885</v>
      </c>
      <c r="C344" s="45" t="n">
        <f aca="false">V$30-V$30*SIN(2*PI()/365*A344)</f>
        <v>22.9265501270616</v>
      </c>
      <c r="D344" s="3" t="n">
        <f aca="false">IF((E344+F344)&gt;C344,C344,E344+F344)</f>
        <v>12.4776263584013</v>
      </c>
      <c r="E344" s="46" t="n">
        <f aca="false">(V$27+V$28*SIN(2*PI()/365*A344))*V$29/100*V$9*V$10/100</f>
        <v>0</v>
      </c>
      <c r="F344" s="46" t="n">
        <f aca="false">(V$27+V$28*SIN(2*PI()/365*A344))*V$29/100*V$11*(1-V$18/100)*(1-V$20/100)</f>
        <v>12.4776263584013</v>
      </c>
      <c r="G344" s="46" t="n">
        <f aca="false">IF(C344&gt;E344,100,C344/E344*100)</f>
        <v>100</v>
      </c>
      <c r="H344" s="46" t="n">
        <f aca="false">L344/F344*100</f>
        <v>100</v>
      </c>
      <c r="I344" s="47" t="n">
        <f aca="false">(V$27+V$28*SIN(2*PI()/365*A344))*V$29/100*V$9*V$10/100*(1-V$19/100)</f>
        <v>0</v>
      </c>
      <c r="J344" s="47" t="n">
        <f aca="false">(V$27+V$28*SIN(2*PI()/365*A344))*V$29/100*V$11*(1-V$18/100)</f>
        <v>13.7116773169246</v>
      </c>
      <c r="K344" s="48" t="n">
        <f aca="false">IF(E344/C344*100&lt;100,E344/C344*100,100)</f>
        <v>0</v>
      </c>
      <c r="L344" s="7" t="n">
        <f aca="false">IF(((C344-E344)&gt;0)*AND(F344&gt;(C344-E344)),(C344-E344),IF(C344&lt;E344,0,F344))</f>
        <v>12.4776263584013</v>
      </c>
      <c r="M344" s="7" t="n">
        <f aca="false">IF(C344&lt;(E344+F344),0,C344-E344-F344)</f>
        <v>10.4489237686603</v>
      </c>
      <c r="N344" s="7" t="n">
        <f aca="false">IF(C344&lt;(E344+F344),0,(C344-E344-F344)/(1-V$20/100))</f>
        <v>11.4823338117146</v>
      </c>
      <c r="O344" s="7" t="n">
        <f aca="false">L344+M344</f>
        <v>22.9265501270616</v>
      </c>
      <c r="P344" s="49" t="n">
        <f aca="false">IF(N344=0,I344*(1-G344/100)+J344*(1-H344/100),-N344)</f>
        <v>-11.4823338117146</v>
      </c>
      <c r="Q344" s="54" t="n">
        <f aca="false">IF(P343&gt;0,Q343+P343*(1-V$24/100),Q343+P343)</f>
        <v>251.756947702547</v>
      </c>
      <c r="R344" s="55" t="n">
        <f aca="false">R$4+Q344/V$32</f>
        <v>42.4483842396284</v>
      </c>
    </row>
    <row r="345" customFormat="false" ht="12.8" hidden="false" customHeight="false" outlineLevel="0" collapsed="false">
      <c r="A345" s="1" t="n">
        <v>341</v>
      </c>
      <c r="B345" s="44" t="n">
        <v>43886</v>
      </c>
      <c r="C345" s="45" t="n">
        <f aca="false">V$30-V$30*SIN(2*PI()/365*A345)</f>
        <v>22.67247366752</v>
      </c>
      <c r="D345" s="3" t="n">
        <f aca="false">IF((E345+F345)&gt;C345,C345,E345+F345)</f>
        <v>12.7330870838156</v>
      </c>
      <c r="E345" s="46" t="n">
        <f aca="false">(V$27+V$28*SIN(2*PI()/365*A345))*V$29/100*V$9*V$10/100</f>
        <v>0</v>
      </c>
      <c r="F345" s="46" t="n">
        <f aca="false">(V$27+V$28*SIN(2*PI()/365*A345))*V$29/100*V$11*(1-V$18/100)*(1-V$20/100)</f>
        <v>12.7330870838156</v>
      </c>
      <c r="G345" s="46" t="n">
        <f aca="false">IF(C345&gt;E345,100,C345/E345*100)</f>
        <v>100</v>
      </c>
      <c r="H345" s="46" t="n">
        <f aca="false">L345/F345*100</f>
        <v>100</v>
      </c>
      <c r="I345" s="47" t="n">
        <f aca="false">(V$27+V$28*SIN(2*PI()/365*A345))*V$29/100*V$9*V$10/100*(1-V$19/100)</f>
        <v>0</v>
      </c>
      <c r="J345" s="47" t="n">
        <f aca="false">(V$27+V$28*SIN(2*PI()/365*A345))*V$29/100*V$11*(1-V$18/100)</f>
        <v>13.9924033888084</v>
      </c>
      <c r="K345" s="48" t="n">
        <f aca="false">IF(E345/C345*100&lt;100,E345/C345*100,100)</f>
        <v>0</v>
      </c>
      <c r="L345" s="7" t="n">
        <f aca="false">IF(((C345-E345)&gt;0)*AND(F345&gt;(C345-E345)),(C345-E345),IF(C345&lt;E345,0,F345))</f>
        <v>12.7330870838156</v>
      </c>
      <c r="M345" s="7" t="n">
        <f aca="false">IF(C345&lt;(E345+F345),0,C345-E345-F345)</f>
        <v>9.93938658370435</v>
      </c>
      <c r="N345" s="7" t="n">
        <f aca="false">IF(C345&lt;(E345+F345),0,(C345-E345-F345)/(1-V$20/100))</f>
        <v>10.9224028392356</v>
      </c>
      <c r="O345" s="7" t="n">
        <f aca="false">L345+M345</f>
        <v>22.67247366752</v>
      </c>
      <c r="P345" s="49" t="n">
        <f aca="false">IF(N345=0,I345*(1-G345/100)+J345*(1-H345/100),-N345)</f>
        <v>-10.9224028392356</v>
      </c>
      <c r="Q345" s="54" t="n">
        <f aca="false">IF(P344&gt;0,Q344+P344*(1-V$24/100),Q344+P344)</f>
        <v>240.274613890833</v>
      </c>
      <c r="R345" s="55" t="n">
        <f aca="false">R$4+Q345/V$32</f>
        <v>42.3367163575886</v>
      </c>
    </row>
    <row r="346" customFormat="false" ht="12.8" hidden="false" customHeight="false" outlineLevel="0" collapsed="false">
      <c r="A346" s="1" t="n">
        <v>342</v>
      </c>
      <c r="B346" s="44" t="n">
        <v>43887</v>
      </c>
      <c r="C346" s="45" t="n">
        <f aca="false">V$30-V$30*SIN(2*PI()/365*A346)</f>
        <v>22.4164725863284</v>
      </c>
      <c r="D346" s="3" t="n">
        <f aca="false">IF((E346+F346)&gt;C346,C346,E346+F346)</f>
        <v>12.9904829166528</v>
      </c>
      <c r="E346" s="46" t="n">
        <f aca="false">(V$27+V$28*SIN(2*PI()/365*A346))*V$29/100*V$9*V$10/100</f>
        <v>0</v>
      </c>
      <c r="F346" s="46" t="n">
        <f aca="false">(V$27+V$28*SIN(2*PI()/365*A346))*V$29/100*V$11*(1-V$18/100)*(1-V$20/100)</f>
        <v>12.9904829166528</v>
      </c>
      <c r="G346" s="46" t="n">
        <f aca="false">IF(C346&gt;E346,100,C346/E346*100)</f>
        <v>100</v>
      </c>
      <c r="H346" s="46" t="n">
        <f aca="false">L346/F346*100</f>
        <v>100</v>
      </c>
      <c r="I346" s="47" t="n">
        <f aca="false">(V$27+V$28*SIN(2*PI()/365*A346))*V$29/100*V$9*V$10/100*(1-V$19/100)</f>
        <v>0</v>
      </c>
      <c r="J346" s="47" t="n">
        <f aca="false">(V$27+V$28*SIN(2*PI()/365*A346))*V$29/100*V$11*(1-V$18/100)</f>
        <v>14.2752559523657</v>
      </c>
      <c r="K346" s="48" t="n">
        <f aca="false">IF(E346/C346*100&lt;100,E346/C346*100,100)</f>
        <v>0</v>
      </c>
      <c r="L346" s="7" t="n">
        <f aca="false">IF(((C346-E346)&gt;0)*AND(F346&gt;(C346-E346)),(C346-E346),IF(C346&lt;E346,0,F346))</f>
        <v>12.9904829166528</v>
      </c>
      <c r="M346" s="7" t="n">
        <f aca="false">IF(C346&lt;(E346+F346),0,C346-E346-F346)</f>
        <v>9.4259896696756</v>
      </c>
      <c r="N346" s="7" t="n">
        <f aca="false">IF(C346&lt;(E346+F346),0,(C346-E346-F346)/(1-V$20/100))</f>
        <v>10.3582304062369</v>
      </c>
      <c r="O346" s="7" t="n">
        <f aca="false">L346+M346</f>
        <v>22.4164725863284</v>
      </c>
      <c r="P346" s="49" t="n">
        <f aca="false">IF(N346=0,I346*(1-G346/100)+J346*(1-H346/100),-N346)</f>
        <v>-10.3582304062369</v>
      </c>
      <c r="Q346" s="54" t="n">
        <f aca="false">IF(P345&gt;0,Q345+P345*(1-V$24/100),Q345+P345)</f>
        <v>229.352211051597</v>
      </c>
      <c r="R346" s="55" t="n">
        <f aca="false">R$4+Q346/V$32</f>
        <v>42.2304939108419</v>
      </c>
    </row>
    <row r="347" customFormat="false" ht="12.8" hidden="false" customHeight="false" outlineLevel="0" collapsed="false">
      <c r="A347" s="1" t="n">
        <v>343</v>
      </c>
      <c r="B347" s="44" t="n">
        <v>43888</v>
      </c>
      <c r="C347" s="45" t="n">
        <f aca="false">V$30-V$30*SIN(2*PI()/365*A347)</f>
        <v>22.1586227421322</v>
      </c>
      <c r="D347" s="3" t="n">
        <f aca="false">IF((E347+F347)&gt;C347,C347,E347+F347)</f>
        <v>13.2497375849725</v>
      </c>
      <c r="E347" s="46" t="n">
        <f aca="false">(V$27+V$28*SIN(2*PI()/365*A347))*V$29/100*V$9*V$10/100</f>
        <v>0</v>
      </c>
      <c r="F347" s="46" t="n">
        <f aca="false">(V$27+V$28*SIN(2*PI()/365*A347))*V$29/100*V$11*(1-V$18/100)*(1-V$20/100)</f>
        <v>13.2497375849725</v>
      </c>
      <c r="G347" s="46" t="n">
        <f aca="false">IF(C347&gt;E347,100,C347/E347*100)</f>
        <v>100</v>
      </c>
      <c r="H347" s="46" t="n">
        <f aca="false">L347/F347*100</f>
        <v>100</v>
      </c>
      <c r="I347" s="47" t="n">
        <f aca="false">(V$27+V$28*SIN(2*PI()/365*A347))*V$29/100*V$9*V$10/100*(1-V$19/100)</f>
        <v>0</v>
      </c>
      <c r="J347" s="47" t="n">
        <f aca="false">(V$27+V$28*SIN(2*PI()/365*A347))*V$29/100*V$11*(1-V$18/100)</f>
        <v>14.5601511922775</v>
      </c>
      <c r="K347" s="48" t="n">
        <f aca="false">IF(E347/C347*100&lt;100,E347/C347*100,100)</f>
        <v>0</v>
      </c>
      <c r="L347" s="7" t="n">
        <f aca="false">IF(((C347-E347)&gt;0)*AND(F347&gt;(C347-E347)),(C347-E347),IF(C347&lt;E347,0,F347))</f>
        <v>13.2497375849725</v>
      </c>
      <c r="M347" s="7" t="n">
        <f aca="false">IF(C347&lt;(E347+F347),0,C347-E347-F347)</f>
        <v>8.90888515715969</v>
      </c>
      <c r="N347" s="7" t="n">
        <f aca="false">IF(C347&lt;(E347+F347),0,(C347-E347-F347)/(1-V$20/100))</f>
        <v>9.78998368918647</v>
      </c>
      <c r="O347" s="7" t="n">
        <f aca="false">L347+M347</f>
        <v>22.1586227421322</v>
      </c>
      <c r="P347" s="49" t="n">
        <f aca="false">IF(N347=0,I347*(1-G347/100)+J347*(1-H347/100),-N347)</f>
        <v>-9.78998368918647</v>
      </c>
      <c r="Q347" s="54" t="n">
        <f aca="false">IF(P346&gt;0,Q346+P346*(1-V$24/100),Q346+P346)</f>
        <v>218.99398064536</v>
      </c>
      <c r="R347" s="55" t="n">
        <f aca="false">R$4+Q347/V$32</f>
        <v>42.1297581483991</v>
      </c>
    </row>
    <row r="348" customFormat="false" ht="12.8" hidden="false" customHeight="false" outlineLevel="0" collapsed="false">
      <c r="A348" s="1" t="n">
        <v>344</v>
      </c>
      <c r="B348" s="44" t="n">
        <v>43889</v>
      </c>
      <c r="C348" s="45" t="n">
        <f aca="false">V$30-V$30*SIN(2*PI()/365*A348)</f>
        <v>21.8990005414051</v>
      </c>
      <c r="D348" s="3" t="n">
        <f aca="false">IF((E348+F348)&gt;C348,C348,E348+F348)</f>
        <v>13.5107742660214</v>
      </c>
      <c r="E348" s="46" t="n">
        <f aca="false">(V$27+V$28*SIN(2*PI()/365*A348))*V$29/100*V$9*V$10/100</f>
        <v>0</v>
      </c>
      <c r="F348" s="46" t="n">
        <f aca="false">(V$27+V$28*SIN(2*PI()/365*A348))*V$29/100*V$11*(1-V$18/100)*(1-V$20/100)</f>
        <v>13.5107742660214</v>
      </c>
      <c r="G348" s="46" t="n">
        <f aca="false">IF(C348&gt;E348,100,C348/E348*100)</f>
        <v>100</v>
      </c>
      <c r="H348" s="46" t="n">
        <f aca="false">L348/F348*100</f>
        <v>100</v>
      </c>
      <c r="I348" s="47" t="n">
        <f aca="false">(V$27+V$28*SIN(2*PI()/365*A348))*V$29/100*V$9*V$10/100*(1-V$19/100)</f>
        <v>0</v>
      </c>
      <c r="J348" s="47" t="n">
        <f aca="false">(V$27+V$28*SIN(2*PI()/365*A348))*V$29/100*V$11*(1-V$18/100)</f>
        <v>14.8470046879356</v>
      </c>
      <c r="K348" s="48" t="n">
        <f aca="false">IF(E348/C348*100&lt;100,E348/C348*100,100)</f>
        <v>0</v>
      </c>
      <c r="L348" s="7" t="n">
        <f aca="false">IF(((C348-E348)&gt;0)*AND(F348&gt;(C348-E348)),(C348-E348),IF(C348&lt;E348,0,F348))</f>
        <v>13.5107742660214</v>
      </c>
      <c r="M348" s="7" t="n">
        <f aca="false">IF(C348&lt;(E348+F348),0,C348-E348-F348)</f>
        <v>8.38822627538366</v>
      </c>
      <c r="N348" s="7" t="n">
        <f aca="false">IF(C348&lt;(E348+F348),0,(C348-E348-F348)/(1-V$20/100))</f>
        <v>9.21783107185017</v>
      </c>
      <c r="O348" s="7" t="n">
        <f aca="false">L348+M348</f>
        <v>21.8990005414051</v>
      </c>
      <c r="P348" s="49" t="n">
        <f aca="false">IF(N348=0,I348*(1-G348/100)+J348*(1-H348/100),-N348)</f>
        <v>-9.21783107185017</v>
      </c>
      <c r="Q348" s="54" t="n">
        <f aca="false">IF(P347&gt;0,Q347+P347*(1-V$24/100),Q347+P347)</f>
        <v>209.203996956174</v>
      </c>
      <c r="R348" s="55" t="n">
        <f aca="false">R$4+Q348/V$32</f>
        <v>42.0345486934484</v>
      </c>
    </row>
    <row r="349" customFormat="false" ht="12.8" hidden="false" customHeight="false" outlineLevel="0" collapsed="false">
      <c r="A349" s="1" t="n">
        <v>345</v>
      </c>
      <c r="B349" s="44" t="n">
        <v>43890</v>
      </c>
      <c r="C349" s="45" t="n">
        <f aca="false">V$30-V$30*SIN(2*PI()/365*A349)</f>
        <v>21.6376829158082</v>
      </c>
      <c r="D349" s="3" t="n">
        <f aca="false">IF((E349+F349)&gt;C349,C349,E349+F349)</f>
        <v>13.7735156089973</v>
      </c>
      <c r="E349" s="46" t="n">
        <f aca="false">(V$27+V$28*SIN(2*PI()/365*A349))*V$29/100*V$9*V$10/100</f>
        <v>0</v>
      </c>
      <c r="F349" s="46" t="n">
        <f aca="false">(V$27+V$28*SIN(2*PI()/365*A349))*V$29/100*V$11*(1-V$18/100)*(1-V$20/100)</f>
        <v>13.7735156089973</v>
      </c>
      <c r="G349" s="46" t="n">
        <f aca="false">IF(C349&gt;E349,100,C349/E349*100)</f>
        <v>100</v>
      </c>
      <c r="H349" s="46" t="n">
        <f aca="false">L349/F349*100</f>
        <v>100</v>
      </c>
      <c r="I349" s="47" t="n">
        <f aca="false">(V$27+V$28*SIN(2*PI()/365*A349))*V$29/100*V$9*V$10/100*(1-V$19/100)</f>
        <v>0</v>
      </c>
      <c r="J349" s="47" t="n">
        <f aca="false">(V$27+V$28*SIN(2*PI()/365*A349))*V$29/100*V$11*(1-V$18/100)</f>
        <v>15.1357314384585</v>
      </c>
      <c r="K349" s="48" t="n">
        <f aca="false">IF(E349/C349*100&lt;100,E349/C349*100,100)</f>
        <v>0</v>
      </c>
      <c r="L349" s="7" t="n">
        <f aca="false">IF(((C349-E349)&gt;0)*AND(F349&gt;(C349-E349)),(C349-E349),IF(C349&lt;E349,0,F349))</f>
        <v>13.7735156089973</v>
      </c>
      <c r="M349" s="7" t="n">
        <f aca="false">IF(C349&lt;(E349+F349),0,C349-E349-F349)</f>
        <v>7.86416730681094</v>
      </c>
      <c r="N349" s="7" t="n">
        <f aca="false">IF(C349&lt;(E349+F349),0,(C349-E349-F349)/(1-V$20/100))</f>
        <v>8.64194209539663</v>
      </c>
      <c r="O349" s="7" t="n">
        <f aca="false">L349+M349</f>
        <v>21.6376829158082</v>
      </c>
      <c r="P349" s="49" t="n">
        <f aca="false">IF(N349=0,I349*(1-G349/100)+J349*(1-H349/100),-N349)</f>
        <v>-8.64194209539663</v>
      </c>
      <c r="Q349" s="54" t="n">
        <f aca="false">IF(P348&gt;0,Q348+P348*(1-V$24/100),Q348+P348)</f>
        <v>199.986165884324</v>
      </c>
      <c r="R349" s="55" t="n">
        <f aca="false">R$4+Q349/V$32</f>
        <v>41.9449035316134</v>
      </c>
    </row>
    <row r="350" customFormat="false" ht="12.8" hidden="false" customHeight="false" outlineLevel="0" collapsed="false">
      <c r="A350" s="1" t="n">
        <v>346</v>
      </c>
      <c r="B350" s="44" t="n">
        <v>43891</v>
      </c>
      <c r="C350" s="45" t="n">
        <f aca="false">V$30-V$30*SIN(2*PI()/365*A350)</f>
        <v>21.3747472993938</v>
      </c>
      <c r="D350" s="3" t="n">
        <f aca="false">IF((E350+F350)&gt;C350,C350,E350+F350)</f>
        <v>14.0378837579697</v>
      </c>
      <c r="E350" s="46" t="n">
        <f aca="false">(V$27+V$28*SIN(2*PI()/365*A350))*V$29/100*V$9*V$10/100</f>
        <v>0</v>
      </c>
      <c r="F350" s="46" t="n">
        <f aca="false">(V$27+V$28*SIN(2*PI()/365*A350))*V$29/100*V$11*(1-V$18/100)*(1-V$20/100)</f>
        <v>14.0378837579697</v>
      </c>
      <c r="G350" s="46" t="n">
        <f aca="false">IF(C350&gt;E350,100,C350/E350*100)</f>
        <v>100</v>
      </c>
      <c r="H350" s="46" t="n">
        <f aca="false">L350/F350*100</f>
        <v>100</v>
      </c>
      <c r="I350" s="47" t="n">
        <f aca="false">(V$27+V$28*SIN(2*PI()/365*A350))*V$29/100*V$9*V$10/100*(1-V$19/100)</f>
        <v>0</v>
      </c>
      <c r="J350" s="47" t="n">
        <f aca="false">(V$27+V$28*SIN(2*PI()/365*A350))*V$29/100*V$11*(1-V$18/100)</f>
        <v>15.4262458878788</v>
      </c>
      <c r="K350" s="48" t="n">
        <f aca="false">IF(E350/C350*100&lt;100,E350/C350*100,100)</f>
        <v>0</v>
      </c>
      <c r="L350" s="7" t="n">
        <f aca="false">IF(((C350-E350)&gt;0)*AND(F350&gt;(C350-E350)),(C350-E350),IF(C350&lt;E350,0,F350))</f>
        <v>14.0378837579697</v>
      </c>
      <c r="M350" s="7" t="n">
        <f aca="false">IF(C350&lt;(E350+F350),0,C350-E350-F350)</f>
        <v>7.33686354142406</v>
      </c>
      <c r="N350" s="7" t="n">
        <f aca="false">IF(C350&lt;(E350+F350),0,(C350-E350-F350)/(1-V$20/100))</f>
        <v>8.0624874081583</v>
      </c>
      <c r="O350" s="7" t="n">
        <f aca="false">L350+M350</f>
        <v>21.3747472993938</v>
      </c>
      <c r="P350" s="49" t="n">
        <f aca="false">IF(N350=0,I350*(1-G350/100)+J350*(1-H350/100),-N350)</f>
        <v>-8.0624874081583</v>
      </c>
      <c r="Q350" s="54" t="n">
        <f aca="false">IF(P349&gt;0,Q349+P349*(1-V$24/100),Q349+P349)</f>
        <v>191.344223788927</v>
      </c>
      <c r="R350" s="55" t="n">
        <f aca="false">R$4+Q350/V$32</f>
        <v>41.8608589996978</v>
      </c>
    </row>
    <row r="351" customFormat="false" ht="12.8" hidden="false" customHeight="false" outlineLevel="0" collapsed="false">
      <c r="A351" s="1" t="n">
        <v>347</v>
      </c>
      <c r="B351" s="44" t="n">
        <v>43892</v>
      </c>
      <c r="C351" s="45" t="n">
        <f aca="false">V$30-V$30*SIN(2*PI()/365*A351)</f>
        <v>21.1102716056595</v>
      </c>
      <c r="D351" s="3" t="n">
        <f aca="false">IF((E351+F351)&gt;C351,C351,E351+F351)</f>
        <v>14.3038003749506</v>
      </c>
      <c r="E351" s="46" t="n">
        <f aca="false">(V$27+V$28*SIN(2*PI()/365*A351))*V$29/100*V$9*V$10/100</f>
        <v>0</v>
      </c>
      <c r="F351" s="46" t="n">
        <f aca="false">(V$27+V$28*SIN(2*PI()/365*A351))*V$29/100*V$11*(1-V$18/100)*(1-V$20/100)</f>
        <v>14.3038003749506</v>
      </c>
      <c r="G351" s="46" t="n">
        <f aca="false">IF(C351&gt;E351,100,C351/E351*100)</f>
        <v>100</v>
      </c>
      <c r="H351" s="46" t="n">
        <f aca="false">L351/F351*100</f>
        <v>100</v>
      </c>
      <c r="I351" s="47" t="n">
        <f aca="false">(V$27+V$28*SIN(2*PI()/365*A351))*V$29/100*V$9*V$10/100*(1-V$19/100)</f>
        <v>0</v>
      </c>
      <c r="J351" s="47" t="n">
        <f aca="false">(V$27+V$28*SIN(2*PI()/365*A351))*V$29/100*V$11*(1-V$18/100)</f>
        <v>15.7184619504952</v>
      </c>
      <c r="K351" s="48" t="n">
        <f aca="false">IF(E351/C351*100&lt;100,E351/C351*100,100)</f>
        <v>0</v>
      </c>
      <c r="L351" s="7" t="n">
        <f aca="false">IF(((C351-E351)&gt;0)*AND(F351&gt;(C351-E351)),(C351-E351),IF(C351&lt;E351,0,F351))</f>
        <v>14.3038003749506</v>
      </c>
      <c r="M351" s="7" t="n">
        <f aca="false">IF(C351&lt;(E351+F351),0,C351-E351-F351)</f>
        <v>6.80647123070881</v>
      </c>
      <c r="N351" s="7" t="n">
        <f aca="false">IF(C351&lt;(E351+F351),0,(C351-E351-F351)/(1-V$20/100))</f>
        <v>7.47963871506463</v>
      </c>
      <c r="O351" s="7" t="n">
        <f aca="false">L351+M351</f>
        <v>21.1102716056595</v>
      </c>
      <c r="P351" s="49" t="n">
        <f aca="false">IF(N351=0,I351*(1-G351/100)+J351*(1-H351/100),-N351)</f>
        <v>-7.47963871506463</v>
      </c>
      <c r="Q351" s="54" t="n">
        <f aca="false">IF(P350&gt;0,Q350+P350*(1-V$24/100),Q350+P350)</f>
        <v>183.281736380769</v>
      </c>
      <c r="R351" s="55" t="n">
        <f aca="false">R$4+Q351/V$32</f>
        <v>41.7824497749178</v>
      </c>
    </row>
    <row r="352" customFormat="false" ht="12.8" hidden="false" customHeight="false" outlineLevel="0" collapsed="false">
      <c r="A352" s="1" t="n">
        <v>348</v>
      </c>
      <c r="B352" s="44" t="n">
        <v>43893</v>
      </c>
      <c r="C352" s="45" t="n">
        <f aca="false">V$30-V$30*SIN(2*PI()/365*A352)</f>
        <v>20.8443342044613</v>
      </c>
      <c r="D352" s="3" t="n">
        <f aca="false">IF((E352+F352)&gt;C352,C352,E352+F352)</f>
        <v>14.5711866631075</v>
      </c>
      <c r="E352" s="46" t="n">
        <f aca="false">(V$27+V$28*SIN(2*PI()/365*A352))*V$29/100*V$9*V$10/100</f>
        <v>0</v>
      </c>
      <c r="F352" s="46" t="n">
        <f aca="false">(V$27+V$28*SIN(2*PI()/365*A352))*V$29/100*V$11*(1-V$18/100)*(1-V$20/100)</f>
        <v>14.5711866631075</v>
      </c>
      <c r="G352" s="46" t="n">
        <f aca="false">IF(C352&gt;E352,100,C352/E352*100)</f>
        <v>100</v>
      </c>
      <c r="H352" s="46" t="n">
        <f aca="false">L352/F352*100</f>
        <v>100</v>
      </c>
      <c r="I352" s="47" t="n">
        <f aca="false">(V$27+V$28*SIN(2*PI()/365*A352))*V$29/100*V$9*V$10/100*(1-V$19/100)</f>
        <v>0</v>
      </c>
      <c r="J352" s="47" t="n">
        <f aca="false">(V$27+V$28*SIN(2*PI()/365*A352))*V$29/100*V$11*(1-V$18/100)</f>
        <v>16.0122930363819</v>
      </c>
      <c r="K352" s="48" t="n">
        <f aca="false">IF(E352/C352*100&lt;100,E352/C352*100,100)</f>
        <v>0</v>
      </c>
      <c r="L352" s="7" t="n">
        <f aca="false">IF(((C352-E352)&gt;0)*AND(F352&gt;(C352-E352)),(C352-E352),IF(C352&lt;E352,0,F352))</f>
        <v>14.5711866631075</v>
      </c>
      <c r="M352" s="7" t="n">
        <f aca="false">IF(C352&lt;(E352+F352),0,C352-E352-F352)</f>
        <v>6.27314754135371</v>
      </c>
      <c r="N352" s="7" t="n">
        <f aca="false">IF(C352&lt;(E352+F352),0,(C352-E352-F352)/(1-V$20/100))</f>
        <v>6.89356872676231</v>
      </c>
      <c r="O352" s="7" t="n">
        <f aca="false">L352+M352</f>
        <v>20.8443342044613</v>
      </c>
      <c r="P352" s="49" t="n">
        <f aca="false">IF(N352=0,I352*(1-G352/100)+J352*(1-H352/100),-N352)</f>
        <v>-6.89356872676231</v>
      </c>
      <c r="Q352" s="54" t="n">
        <f aca="false">IF(P351&gt;0,Q351+P351*(1-V$24/100),Q351+P351)</f>
        <v>175.802097665704</v>
      </c>
      <c r="R352" s="55" t="n">
        <f aca="false">R$4+Q352/V$32</f>
        <v>41.7097088646264</v>
      </c>
    </row>
    <row r="353" customFormat="false" ht="12.8" hidden="false" customHeight="false" outlineLevel="0" collapsed="false">
      <c r="A353" s="1" t="n">
        <v>349</v>
      </c>
      <c r="B353" s="44" t="n">
        <v>43894</v>
      </c>
      <c r="C353" s="45" t="n">
        <f aca="false">V$30-V$30*SIN(2*PI()/365*A353)</f>
        <v>20.5770138987905</v>
      </c>
      <c r="D353" s="3" t="n">
        <f aca="false">IF((E353+F353)&gt;C353,C353,E353+F353)</f>
        <v>14.8399633901126</v>
      </c>
      <c r="E353" s="46" t="n">
        <f aca="false">(V$27+V$28*SIN(2*PI()/365*A353))*V$29/100*V$9*V$10/100</f>
        <v>0</v>
      </c>
      <c r="F353" s="46" t="n">
        <f aca="false">(V$27+V$28*SIN(2*PI()/365*A353))*V$29/100*V$11*(1-V$18/100)*(1-V$20/100)</f>
        <v>14.8399633901126</v>
      </c>
      <c r="G353" s="46" t="n">
        <f aca="false">IF(C353&gt;E353,100,C353/E353*100)</f>
        <v>100</v>
      </c>
      <c r="H353" s="46" t="n">
        <f aca="false">L353/F353*100</f>
        <v>100</v>
      </c>
      <c r="I353" s="47" t="n">
        <f aca="false">(V$27+V$28*SIN(2*PI()/365*A353))*V$29/100*V$9*V$10/100*(1-V$19/100)</f>
        <v>0</v>
      </c>
      <c r="J353" s="47" t="n">
        <f aca="false">(V$27+V$28*SIN(2*PI()/365*A353))*V$29/100*V$11*(1-V$18/100)</f>
        <v>16.3076520770468</v>
      </c>
      <c r="K353" s="48" t="n">
        <f aca="false">IF(E353/C353*100&lt;100,E353/C353*100,100)</f>
        <v>0</v>
      </c>
      <c r="L353" s="7" t="n">
        <f aca="false">IF(((C353-E353)&gt;0)*AND(F353&gt;(C353-E353)),(C353-E353),IF(C353&lt;E353,0,F353))</f>
        <v>14.8399633901126</v>
      </c>
      <c r="M353" s="7" t="n">
        <f aca="false">IF(C353&lt;(E353+F353),0,C353-E353-F353)</f>
        <v>5.73705050867792</v>
      </c>
      <c r="N353" s="7" t="n">
        <f aca="false">IF(C353&lt;(E353+F353),0,(C353-E353-F353)/(1-V$20/100))</f>
        <v>6.30445110843727</v>
      </c>
      <c r="O353" s="7" t="n">
        <f aca="false">L353+M353</f>
        <v>20.5770138987905</v>
      </c>
      <c r="P353" s="49" t="n">
        <f aca="false">IF(N353=0,I353*(1-G353/100)+J353*(1-H353/100),-N353)</f>
        <v>-6.30445110843727</v>
      </c>
      <c r="Q353" s="54" t="n">
        <f aca="false">IF(P352&gt;0,Q352+P352*(1-V$24/100),Q352+P352)</f>
        <v>168.908528938942</v>
      </c>
      <c r="R353" s="55" t="n">
        <f aca="false">R$4+Q353/V$32</f>
        <v>41.6426675965326</v>
      </c>
    </row>
    <row r="354" customFormat="false" ht="12.8" hidden="false" customHeight="false" outlineLevel="0" collapsed="false">
      <c r="A354" s="1" t="n">
        <v>350</v>
      </c>
      <c r="B354" s="44" t="n">
        <v>43895</v>
      </c>
      <c r="C354" s="45" t="n">
        <f aca="false">V$30-V$30*SIN(2*PI()/365*A354)</f>
        <v>20.308389901423</v>
      </c>
      <c r="D354" s="3" t="n">
        <f aca="false">IF((E354+F354)&gt;C354,C354,E354+F354)</f>
        <v>15.1100509116208</v>
      </c>
      <c r="E354" s="46" t="n">
        <f aca="false">(V$27+V$28*SIN(2*PI()/365*A354))*V$29/100*V$9*V$10/100</f>
        <v>0</v>
      </c>
      <c r="F354" s="46" t="n">
        <f aca="false">(V$27+V$28*SIN(2*PI()/365*A354))*V$29/100*V$11*(1-V$18/100)*(1-V$20/100)</f>
        <v>15.1100509116208</v>
      </c>
      <c r="G354" s="46" t="n">
        <f aca="false">IF(C354&gt;E354,100,C354/E354*100)</f>
        <v>100</v>
      </c>
      <c r="H354" s="46" t="n">
        <f aca="false">L354/F354*100</f>
        <v>100</v>
      </c>
      <c r="I354" s="47" t="n">
        <f aca="false">(V$27+V$28*SIN(2*PI()/365*A354))*V$29/100*V$9*V$10/100*(1-V$19/100)</f>
        <v>0</v>
      </c>
      <c r="J354" s="47" t="n">
        <f aca="false">(V$27+V$28*SIN(2*PI()/365*A354))*V$29/100*V$11*(1-V$18/100)</f>
        <v>16.6044515512316</v>
      </c>
      <c r="K354" s="48" t="n">
        <f aca="false">IF(E354/C354*100&lt;100,E354/C354*100,100)</f>
        <v>0</v>
      </c>
      <c r="L354" s="7" t="n">
        <f aca="false">IF(((C354-E354)&gt;0)*AND(F354&gt;(C354-E354)),(C354-E354),IF(C354&lt;E354,0,F354))</f>
        <v>15.1100509116208</v>
      </c>
      <c r="M354" s="7" t="n">
        <f aca="false">IF(C354&lt;(E354+F354),0,C354-E354-F354)</f>
        <v>5.19833898980217</v>
      </c>
      <c r="N354" s="7" t="n">
        <f aca="false">IF(C354&lt;(E354+F354),0,(C354-E354-F354)/(1-V$20/100))</f>
        <v>5.71246042835404</v>
      </c>
      <c r="O354" s="7" t="n">
        <f aca="false">L354+M354</f>
        <v>20.308389901423</v>
      </c>
      <c r="P354" s="49" t="n">
        <f aca="false">IF(N354=0,I354*(1-G354/100)+J354*(1-H354/100),-N354)</f>
        <v>-5.71246042835404</v>
      </c>
      <c r="Q354" s="54" t="n">
        <f aca="false">IF(P353&gt;0,Q353+P353*(1-V$24/100),Q353+P353)</f>
        <v>162.604077830504</v>
      </c>
      <c r="R354" s="55" t="n">
        <f aca="false">R$4+Q354/V$32</f>
        <v>41.5813556094186</v>
      </c>
    </row>
    <row r="355" customFormat="false" ht="12.8" hidden="false" customHeight="false" outlineLevel="0" collapsed="false">
      <c r="A355" s="1" t="n">
        <v>351</v>
      </c>
      <c r="B355" s="44" t="n">
        <v>43896</v>
      </c>
      <c r="C355" s="45" t="n">
        <f aca="false">V$30-V$30*SIN(2*PI()/365*A355)</f>
        <v>20.0385418114465</v>
      </c>
      <c r="D355" s="3" t="n">
        <f aca="false">IF((E355+F355)&gt;C355,C355,E355+F355)</f>
        <v>15.3813691948707</v>
      </c>
      <c r="E355" s="46" t="n">
        <f aca="false">(V$27+V$28*SIN(2*PI()/365*A355))*V$29/100*V$9*V$10/100</f>
        <v>0</v>
      </c>
      <c r="F355" s="46" t="n">
        <f aca="false">(V$27+V$28*SIN(2*PI()/365*A355))*V$29/100*V$11*(1-V$18/100)*(1-V$20/100)</f>
        <v>15.3813691948707</v>
      </c>
      <c r="G355" s="46" t="n">
        <f aca="false">IF(C355&gt;E355,100,C355/E355*100)</f>
        <v>100</v>
      </c>
      <c r="H355" s="46" t="n">
        <f aca="false">L355/F355*100</f>
        <v>100</v>
      </c>
      <c r="I355" s="47" t="n">
        <f aca="false">(V$27+V$28*SIN(2*PI()/365*A355))*V$29/100*V$9*V$10/100*(1-V$19/100)</f>
        <v>0</v>
      </c>
      <c r="J355" s="47" t="n">
        <f aca="false">(V$27+V$28*SIN(2*PI()/365*A355))*V$29/100*V$11*(1-V$18/100)</f>
        <v>16.9026035108469</v>
      </c>
      <c r="K355" s="48" t="n">
        <f aca="false">IF(E355/C355*100&lt;100,E355/C355*100,100)</f>
        <v>0</v>
      </c>
      <c r="L355" s="7" t="n">
        <f aca="false">IF(((C355-E355)&gt;0)*AND(F355&gt;(C355-E355)),(C355-E355),IF(C355&lt;E355,0,F355))</f>
        <v>15.3813691948707</v>
      </c>
      <c r="M355" s="7" t="n">
        <f aca="false">IF(C355&lt;(E355+F355),0,C355-E355-F355)</f>
        <v>4.65717261657589</v>
      </c>
      <c r="N355" s="7" t="n">
        <f aca="false">IF(C355&lt;(E355+F355),0,(C355-E355-F355)/(1-V$20/100))</f>
        <v>5.11777210612735</v>
      </c>
      <c r="O355" s="7" t="n">
        <f aca="false">L355+M355</f>
        <v>20.0385418114465</v>
      </c>
      <c r="P355" s="49" t="n">
        <f aca="false">IF(N355=0,I355*(1-G355/100)+J355*(1-H355/100),-N355)</f>
        <v>-5.11777210612735</v>
      </c>
      <c r="Q355" s="54" t="n">
        <f aca="false">IF(P354&gt;0,Q354+P354*(1-V$24/100),Q354+P354)</f>
        <v>156.89161740215</v>
      </c>
      <c r="R355" s="55" t="n">
        <f aca="false">R$4+Q355/V$32</f>
        <v>41.5258008443568</v>
      </c>
    </row>
    <row r="356" customFormat="false" ht="12.8" hidden="false" customHeight="false" outlineLevel="0" collapsed="false">
      <c r="A356" s="1" t="n">
        <v>352</v>
      </c>
      <c r="B356" s="44" t="n">
        <v>43897</v>
      </c>
      <c r="C356" s="45" t="n">
        <f aca="false">V$30-V$30*SIN(2*PI()/365*A356)</f>
        <v>19.767549590674</v>
      </c>
      <c r="D356" s="3" t="n">
        <f aca="false">IF((E356+F356)&gt;C356,C356,E356+F356)</f>
        <v>15.6538378423993</v>
      </c>
      <c r="E356" s="46" t="n">
        <f aca="false">(V$27+V$28*SIN(2*PI()/365*A356))*V$29/100*V$9*V$10/100</f>
        <v>0</v>
      </c>
      <c r="F356" s="46" t="n">
        <f aca="false">(V$27+V$28*SIN(2*PI()/365*A356))*V$29/100*V$11*(1-V$18/100)*(1-V$20/100)</f>
        <v>15.6538378423993</v>
      </c>
      <c r="G356" s="46" t="n">
        <f aca="false">IF(C356&gt;E356,100,C356/E356*100)</f>
        <v>100</v>
      </c>
      <c r="H356" s="46" t="n">
        <f aca="false">L356/F356*100</f>
        <v>100</v>
      </c>
      <c r="I356" s="47" t="n">
        <f aca="false">(V$27+V$28*SIN(2*PI()/365*A356))*V$29/100*V$9*V$10/100*(1-V$19/100)</f>
        <v>0</v>
      </c>
      <c r="J356" s="47" t="n">
        <f aca="false">(V$27+V$28*SIN(2*PI()/365*A356))*V$29/100*V$11*(1-V$18/100)</f>
        <v>17.2020196070322</v>
      </c>
      <c r="K356" s="48" t="n">
        <f aca="false">IF(E356/C356*100&lt;100,E356/C356*100,100)</f>
        <v>0</v>
      </c>
      <c r="L356" s="7" t="n">
        <f aca="false">IF(((C356-E356)&gt;0)*AND(F356&gt;(C356-E356)),(C356-E356),IF(C356&lt;E356,0,F356))</f>
        <v>15.6538378423993</v>
      </c>
      <c r="M356" s="7" t="n">
        <f aca="false">IF(C356&lt;(E356+F356),0,C356-E356-F356)</f>
        <v>4.11371174827473</v>
      </c>
      <c r="N356" s="7" t="n">
        <f aca="false">IF(C356&lt;(E356+F356),0,(C356-E356-F356)/(1-V$20/100))</f>
        <v>4.52056236074146</v>
      </c>
      <c r="O356" s="7" t="n">
        <f aca="false">L356+M356</f>
        <v>19.767549590674</v>
      </c>
      <c r="P356" s="49" t="n">
        <f aca="false">IF(N356=0,I356*(1-G356/100)+J356*(1-H356/100),-N356)</f>
        <v>-4.52056236074146</v>
      </c>
      <c r="Q356" s="54" t="n">
        <f aca="false">IF(P355&gt;0,Q355+P355*(1-V$24/100),Q355+P355)</f>
        <v>151.773845296023</v>
      </c>
      <c r="R356" s="55" t="n">
        <f aca="false">R$4+Q356/V$32</f>
        <v>41.4760295364306</v>
      </c>
    </row>
    <row r="357" customFormat="false" ht="12.8" hidden="false" customHeight="false" outlineLevel="0" collapsed="false">
      <c r="A357" s="1" t="n">
        <v>353</v>
      </c>
      <c r="B357" s="44" t="n">
        <v>43898</v>
      </c>
      <c r="C357" s="45" t="n">
        <f aca="false">V$30-V$30*SIN(2*PI()/365*A357)</f>
        <v>19.495493539949</v>
      </c>
      <c r="D357" s="3" t="n">
        <f aca="false">IF((E357+F357)&gt;C357,C357,E357+F357)</f>
        <v>15.9273761158661</v>
      </c>
      <c r="E357" s="46" t="n">
        <f aca="false">(V$27+V$28*SIN(2*PI()/365*A357))*V$29/100*V$9*V$10/100</f>
        <v>0</v>
      </c>
      <c r="F357" s="46" t="n">
        <f aca="false">(V$27+V$28*SIN(2*PI()/365*A357))*V$29/100*V$11*(1-V$18/100)*(1-V$20/100)</f>
        <v>15.9273761158661</v>
      </c>
      <c r="G357" s="46" t="n">
        <f aca="false">IF(C357&gt;E357,100,C357/E357*100)</f>
        <v>100</v>
      </c>
      <c r="H357" s="46" t="n">
        <f aca="false">L357/F357*100</f>
        <v>100</v>
      </c>
      <c r="I357" s="47" t="n">
        <f aca="false">(V$27+V$28*SIN(2*PI()/365*A357))*V$29/100*V$9*V$10/100*(1-V$19/100)</f>
        <v>0</v>
      </c>
      <c r="J357" s="47" t="n">
        <f aca="false">(V$27+V$28*SIN(2*PI()/365*A357))*V$29/100*V$11*(1-V$18/100)</f>
        <v>17.5026111163364</v>
      </c>
      <c r="K357" s="48" t="n">
        <f aca="false">IF(E357/C357*100&lt;100,E357/C357*100,100)</f>
        <v>0</v>
      </c>
      <c r="L357" s="7" t="n">
        <f aca="false">IF(((C357-E357)&gt;0)*AND(F357&gt;(C357-E357)),(C357-E357),IF(C357&lt;E357,0,F357))</f>
        <v>15.9273761158661</v>
      </c>
      <c r="M357" s="7" t="n">
        <f aca="false">IF(C357&lt;(E357+F357),0,C357-E357-F357)</f>
        <v>3.56811742408288</v>
      </c>
      <c r="N357" s="7" t="n">
        <f aca="false">IF(C357&lt;(E357+F357),0,(C357-E357-F357)/(1-V$20/100))</f>
        <v>3.92100815833284</v>
      </c>
      <c r="O357" s="7" t="n">
        <f aca="false">L357+M357</f>
        <v>19.495493539949</v>
      </c>
      <c r="P357" s="49" t="n">
        <f aca="false">IF(N357=0,I357*(1-G357/100)+J357*(1-H357/100),-N357)</f>
        <v>-3.92100815833284</v>
      </c>
      <c r="Q357" s="54" t="n">
        <f aca="false">IF(P356&gt;0,Q356+P356*(1-V$24/100),Q356+P356)</f>
        <v>147.253282935282</v>
      </c>
      <c r="R357" s="55" t="n">
        <f aca="false">R$4+Q357/V$32</f>
        <v>41.4320662069603</v>
      </c>
    </row>
    <row r="358" customFormat="false" ht="12.8" hidden="false" customHeight="false" outlineLevel="0" collapsed="false">
      <c r="A358" s="1" t="n">
        <v>354</v>
      </c>
      <c r="B358" s="44" t="n">
        <v>43899</v>
      </c>
      <c r="C358" s="45" t="n">
        <f aca="false">V$30-V$30*SIN(2*PI()/365*A358)</f>
        <v>19.2224542753506</v>
      </c>
      <c r="D358" s="3" t="n">
        <f aca="false">IF((E358+F358)&gt;C358,C358,E358+F358)</f>
        <v>16.2019029599772</v>
      </c>
      <c r="E358" s="46" t="n">
        <f aca="false">(V$27+V$28*SIN(2*PI()/365*A358))*V$29/100*V$9*V$10/100</f>
        <v>0</v>
      </c>
      <c r="F358" s="46" t="n">
        <f aca="false">(V$27+V$28*SIN(2*PI()/365*A358))*V$29/100*V$11*(1-V$18/100)*(1-V$20/100)</f>
        <v>16.2019029599772</v>
      </c>
      <c r="G358" s="46" t="n">
        <f aca="false">IF(C358&gt;E358,100,C358/E358*100)</f>
        <v>100</v>
      </c>
      <c r="H358" s="46" t="n">
        <f aca="false">L358/F358*100</f>
        <v>100</v>
      </c>
      <c r="I358" s="47" t="n">
        <f aca="false">(V$27+V$28*SIN(2*PI()/365*A358))*V$29/100*V$9*V$10/100*(1-V$19/100)</f>
        <v>0</v>
      </c>
      <c r="J358" s="47" t="n">
        <f aca="false">(V$27+V$28*SIN(2*PI()/365*A358))*V$29/100*V$11*(1-V$18/100)</f>
        <v>17.8042889670079</v>
      </c>
      <c r="K358" s="48" t="n">
        <f aca="false">IF(E358/C358*100&lt;100,E358/C358*100,100)</f>
        <v>0</v>
      </c>
      <c r="L358" s="7" t="n">
        <f aca="false">IF(((C358-E358)&gt;0)*AND(F358&gt;(C358-E358)),(C358-E358),IF(C358&lt;E358,0,F358))</f>
        <v>16.2019029599772</v>
      </c>
      <c r="M358" s="7" t="n">
        <f aca="false">IF(C358&lt;(E358+F358),0,C358-E358-F358)</f>
        <v>3.02055131537342</v>
      </c>
      <c r="N358" s="7" t="n">
        <f aca="false">IF(C358&lt;(E358+F358),0,(C358-E358-F358)/(1-V$20/100))</f>
        <v>3.31928715975101</v>
      </c>
      <c r="O358" s="7" t="n">
        <f aca="false">L358+M358</f>
        <v>19.2224542753506</v>
      </c>
      <c r="P358" s="49" t="n">
        <f aca="false">IF(N358=0,I358*(1-G358/100)+J358*(1-H358/100),-N358)</f>
        <v>-3.31928715975101</v>
      </c>
      <c r="Q358" s="54" t="n">
        <f aca="false">IF(P357&gt;0,Q357+P357*(1-V$24/100),Q357+P357)</f>
        <v>143.332274776949</v>
      </c>
      <c r="R358" s="55" t="n">
        <f aca="false">R$4+Q358/V$32</f>
        <v>41.3939336562366</v>
      </c>
    </row>
    <row r="359" customFormat="false" ht="12.8" hidden="false" customHeight="false" outlineLevel="0" collapsed="false">
      <c r="A359" s="1" t="n">
        <v>355</v>
      </c>
      <c r="B359" s="44" t="n">
        <v>43900</v>
      </c>
      <c r="C359" s="45" t="n">
        <f aca="false">V$30-V$30*SIN(2*PI()/365*A359)</f>
        <v>18.9485127043057</v>
      </c>
      <c r="D359" s="3" t="n">
        <f aca="false">IF((E359+F359)&gt;C359,C359,E359+F359)</f>
        <v>16.4773370265039</v>
      </c>
      <c r="E359" s="46" t="n">
        <f aca="false">(V$27+V$28*SIN(2*PI()/365*A359))*V$29/100*V$9*V$10/100</f>
        <v>0</v>
      </c>
      <c r="F359" s="46" t="n">
        <f aca="false">(V$27+V$28*SIN(2*PI()/365*A359))*V$29/100*V$11*(1-V$18/100)*(1-V$20/100)</f>
        <v>16.4773370265039</v>
      </c>
      <c r="G359" s="46" t="n">
        <f aca="false">IF(C359&gt;E359,100,C359/E359*100)</f>
        <v>100</v>
      </c>
      <c r="H359" s="46" t="n">
        <f aca="false">L359/F359*100</f>
        <v>100</v>
      </c>
      <c r="I359" s="47" t="n">
        <f aca="false">(V$27+V$28*SIN(2*PI()/365*A359))*V$29/100*V$9*V$10/100*(1-V$19/100)</f>
        <v>0</v>
      </c>
      <c r="J359" s="47" t="n">
        <f aca="false">(V$27+V$28*SIN(2*PI()/365*A359))*V$29/100*V$11*(1-V$18/100)</f>
        <v>18.1069637653889</v>
      </c>
      <c r="K359" s="48" t="n">
        <f aca="false">IF(E359/C359*100&lt;100,E359/C359*100,100)</f>
        <v>0</v>
      </c>
      <c r="L359" s="7" t="n">
        <f aca="false">IF(((C359-E359)&gt;0)*AND(F359&gt;(C359-E359)),(C359-E359),IF(C359&lt;E359,0,F359))</f>
        <v>16.4773370265039</v>
      </c>
      <c r="M359" s="7" t="n">
        <f aca="false">IF(C359&lt;(E359+F359),0,C359-E359-F359)</f>
        <v>2.47117567780184</v>
      </c>
      <c r="N359" s="7" t="n">
        <f aca="false">IF(C359&lt;(E359+F359),0,(C359-E359-F359)/(1-V$20/100))</f>
        <v>2.7155776679141</v>
      </c>
      <c r="O359" s="7" t="n">
        <f aca="false">L359+M359</f>
        <v>18.9485127043057</v>
      </c>
      <c r="P359" s="49" t="n">
        <f aca="false">IF(N359=0,I359*(1-G359/100)+J359*(1-H359/100),-N359)</f>
        <v>-2.7155776679141</v>
      </c>
      <c r="Q359" s="54" t="n">
        <f aca="false">IF(P358&gt;0,Q358+P358*(1-V$24/100),Q358+P358)</f>
        <v>140.012987617198</v>
      </c>
      <c r="R359" s="55" t="n">
        <f aca="false">R$4+Q359/V$32</f>
        <v>41.3616529567647</v>
      </c>
    </row>
    <row r="360" customFormat="false" ht="12.8" hidden="false" customHeight="false" outlineLevel="0" collapsed="false">
      <c r="A360" s="1" t="n">
        <v>356</v>
      </c>
      <c r="B360" s="44" t="n">
        <v>43901</v>
      </c>
      <c r="C360" s="45" t="n">
        <f aca="false">V$30-V$30*SIN(2*PI()/365*A360)</f>
        <v>18.6737500016139</v>
      </c>
      <c r="D360" s="3" t="n">
        <f aca="false">IF((E360+F360)&gt;C360,C360,E360+F360)</f>
        <v>16.7535966983879</v>
      </c>
      <c r="E360" s="46" t="n">
        <f aca="false">(V$27+V$28*SIN(2*PI()/365*A360))*V$29/100*V$9*V$10/100</f>
        <v>0</v>
      </c>
      <c r="F360" s="46" t="n">
        <f aca="false">(V$27+V$28*SIN(2*PI()/365*A360))*V$29/100*V$11*(1-V$18/100)*(1-V$20/100)</f>
        <v>16.7535966983879</v>
      </c>
      <c r="G360" s="46" t="n">
        <f aca="false">IF(C360&gt;E360,100,C360/E360*100)</f>
        <v>100</v>
      </c>
      <c r="H360" s="46" t="n">
        <f aca="false">L360/F360*100</f>
        <v>100</v>
      </c>
      <c r="I360" s="47" t="n">
        <f aca="false">(V$27+V$28*SIN(2*PI()/365*A360))*V$29/100*V$9*V$10/100*(1-V$19/100)</f>
        <v>0</v>
      </c>
      <c r="J360" s="47" t="n">
        <f aca="false">(V$27+V$28*SIN(2*PI()/365*A360))*V$29/100*V$11*(1-V$18/100)</f>
        <v>18.4105458224043</v>
      </c>
      <c r="K360" s="48" t="n">
        <f aca="false">IF(E360/C360*100&lt;100,E360/C360*100,100)</f>
        <v>0</v>
      </c>
      <c r="L360" s="7" t="n">
        <f aca="false">IF(((C360-E360)&gt;0)*AND(F360&gt;(C360-E360)),(C360-E360),IF(C360&lt;E360,0,F360))</f>
        <v>16.7535966983879</v>
      </c>
      <c r="M360" s="7" t="n">
        <f aca="false">IF(C360&lt;(E360+F360),0,C360-E360-F360)</f>
        <v>1.92015330322607</v>
      </c>
      <c r="N360" s="7" t="n">
        <f aca="false">IF(C360&lt;(E360+F360),0,(C360-E360-F360)/(1-V$20/100))</f>
        <v>2.1100585749737</v>
      </c>
      <c r="O360" s="7" t="n">
        <f aca="false">L360+M360</f>
        <v>18.6737500016139</v>
      </c>
      <c r="P360" s="49" t="n">
        <f aca="false">IF(N360=0,I360*(1-G360/100)+J360*(1-H360/100),-N360)</f>
        <v>-2.1100585749737</v>
      </c>
      <c r="Q360" s="54" t="n">
        <f aca="false">IF(P359&gt;0,Q359+P359*(1-V$24/100),Q359+P359)</f>
        <v>137.297409949284</v>
      </c>
      <c r="R360" s="55" t="n">
        <f aca="false">R$4+Q360/V$32</f>
        <v>41.3352434470202</v>
      </c>
    </row>
    <row r="361" customFormat="false" ht="12.8" hidden="false" customHeight="false" outlineLevel="0" collapsed="false">
      <c r="A361" s="1" t="n">
        <v>357</v>
      </c>
      <c r="B361" s="44" t="n">
        <v>43902</v>
      </c>
      <c r="C361" s="45" t="n">
        <f aca="false">V$30-V$30*SIN(2*PI()/365*A361)</f>
        <v>18.398247585394</v>
      </c>
      <c r="D361" s="3" t="n">
        <f aca="false">IF((E361+F361)&gt;C361,C361,E361+F361)</f>
        <v>17.0306001139263</v>
      </c>
      <c r="E361" s="46" t="n">
        <f aca="false">(V$27+V$28*SIN(2*PI()/365*A361))*V$29/100*V$9*V$10/100</f>
        <v>0</v>
      </c>
      <c r="F361" s="46" t="n">
        <f aca="false">(V$27+V$28*SIN(2*PI()/365*A361))*V$29/100*V$11*(1-V$18/100)*(1-V$20/100)</f>
        <v>17.0306001139263</v>
      </c>
      <c r="G361" s="46" t="n">
        <f aca="false">IF(C361&gt;E361,100,C361/E361*100)</f>
        <v>100</v>
      </c>
      <c r="H361" s="46" t="n">
        <f aca="false">L361/F361*100</f>
        <v>100</v>
      </c>
      <c r="I361" s="47" t="n">
        <f aca="false">(V$27+V$28*SIN(2*PI()/365*A361))*V$29/100*V$9*V$10/100*(1-V$19/100)</f>
        <v>0</v>
      </c>
      <c r="J361" s="47" t="n">
        <f aca="false">(V$27+V$28*SIN(2*PI()/365*A361))*V$29/100*V$11*(1-V$18/100)</f>
        <v>18.7149451801388</v>
      </c>
      <c r="K361" s="48" t="n">
        <f aca="false">IF(E361/C361*100&lt;100,E361/C361*100,100)</f>
        <v>0</v>
      </c>
      <c r="L361" s="7" t="n">
        <f aca="false">IF(((C361-E361)&gt;0)*AND(F361&gt;(C361-E361)),(C361-E361),IF(C361&lt;E361,0,F361))</f>
        <v>17.0306001139263</v>
      </c>
      <c r="M361" s="7" t="n">
        <f aca="false">IF(C361&lt;(E361+F361),0,C361-E361-F361)</f>
        <v>1.36764747146767</v>
      </c>
      <c r="N361" s="7" t="n">
        <f aca="false">IF(C361&lt;(E361+F361),0,(C361-E361-F361)/(1-V$20/100))</f>
        <v>1.50290930930514</v>
      </c>
      <c r="O361" s="7" t="n">
        <f aca="false">L361+M361</f>
        <v>18.398247585394</v>
      </c>
      <c r="P361" s="49" t="n">
        <f aca="false">IF(N361=0,I361*(1-G361/100)+J361*(1-H361/100),-N361)</f>
        <v>-1.50290930930514</v>
      </c>
      <c r="Q361" s="54" t="n">
        <f aca="false">IF(P360&gt;0,Q360+P360*(1-V$24/100),Q360+P360)</f>
        <v>135.18735137431</v>
      </c>
      <c r="R361" s="55" t="n">
        <f aca="false">R$4+Q361/V$32</f>
        <v>41.3147227257181</v>
      </c>
    </row>
    <row r="362" customFormat="false" ht="12.8" hidden="false" customHeight="false" outlineLevel="0" collapsed="false">
      <c r="A362" s="1" t="n">
        <v>358</v>
      </c>
      <c r="B362" s="44" t="n">
        <v>43903</v>
      </c>
      <c r="C362" s="45" t="n">
        <f aca="false">V$30-V$30*SIN(2*PI()/365*A362)</f>
        <v>18.1220870929576</v>
      </c>
      <c r="D362" s="3" t="n">
        <f aca="false">IF((E362+F362)&gt;C362,C362,E362+F362)</f>
        <v>17.3082651910288</v>
      </c>
      <c r="E362" s="46" t="n">
        <f aca="false">(V$27+V$28*SIN(2*PI()/365*A362))*V$29/100*V$9*V$10/100</f>
        <v>0</v>
      </c>
      <c r="F362" s="46" t="n">
        <f aca="false">(V$27+V$28*SIN(2*PI()/365*A362))*V$29/100*V$11*(1-V$18/100)*(1-V$20/100)</f>
        <v>17.3082651910288</v>
      </c>
      <c r="G362" s="46" t="n">
        <f aca="false">IF(C362&gt;E362,100,C362/E362*100)</f>
        <v>100</v>
      </c>
      <c r="H362" s="46" t="n">
        <f aca="false">L362/F362*100</f>
        <v>100</v>
      </c>
      <c r="I362" s="47" t="n">
        <f aca="false">(V$27+V$28*SIN(2*PI()/365*A362))*V$29/100*V$9*V$10/100*(1-V$19/100)</f>
        <v>0</v>
      </c>
      <c r="J362" s="47" t="n">
        <f aca="false">(V$27+V$28*SIN(2*PI()/365*A362))*V$29/100*V$11*(1-V$18/100)</f>
        <v>19.0200716384932</v>
      </c>
      <c r="K362" s="48" t="n">
        <f aca="false">IF(E362/C362*100&lt;100,E362/C362*100,100)</f>
        <v>0</v>
      </c>
      <c r="L362" s="7" t="n">
        <f aca="false">IF(((C362-E362)&gt;0)*AND(F362&gt;(C362-E362)),(C362-E362),IF(C362&lt;E362,0,F362))</f>
        <v>17.3082651910288</v>
      </c>
      <c r="M362" s="7" t="n">
        <f aca="false">IF(C362&lt;(E362+F362),0,C362-E362-F362)</f>
        <v>0.81382190192873</v>
      </c>
      <c r="N362" s="7" t="n">
        <f aca="false">IF(C362&lt;(E362+F362),0,(C362-E362-F362)/(1-V$20/100))</f>
        <v>0.894309782339264</v>
      </c>
      <c r="O362" s="7" t="n">
        <f aca="false">L362+M362</f>
        <v>18.1220870929576</v>
      </c>
      <c r="P362" s="49" t="n">
        <f aca="false">IF(N362=0,I362*(1-G362/100)+J362*(1-H362/100),-N362)</f>
        <v>-0.894309782339264</v>
      </c>
      <c r="Q362" s="54" t="n">
        <f aca="false">IF(P361&gt;0,Q361+P361*(1-V$24/100),Q361+P361)</f>
        <v>133.684442065005</v>
      </c>
      <c r="R362" s="55" t="n">
        <f aca="false">R$4+Q362/V$32</f>
        <v>41.3001066465987</v>
      </c>
    </row>
    <row r="363" customFormat="false" ht="12.8" hidden="false" customHeight="false" outlineLevel="0" collapsed="false">
      <c r="A363" s="1" t="n">
        <v>359</v>
      </c>
      <c r="B363" s="44" t="n">
        <v>43904</v>
      </c>
      <c r="C363" s="45" t="n">
        <f aca="false">V$30-V$30*SIN(2*PI()/365*A363)</f>
        <v>17.8453503566186</v>
      </c>
      <c r="D363" s="3" t="n">
        <f aca="false">IF((E363+F363)&gt;C363,C363,E363+F363)</f>
        <v>17.5865096515407</v>
      </c>
      <c r="E363" s="46" t="n">
        <f aca="false">(V$27+V$28*SIN(2*PI()/365*A363))*V$29/100*V$9*V$10/100</f>
        <v>0</v>
      </c>
      <c r="F363" s="46" t="n">
        <f aca="false">(V$27+V$28*SIN(2*PI()/365*A363))*V$29/100*V$11*(1-V$18/100)*(1-V$20/100)</f>
        <v>17.5865096515407</v>
      </c>
      <c r="G363" s="46" t="n">
        <f aca="false">IF(C363&gt;E363,100,C363/E363*100)</f>
        <v>100</v>
      </c>
      <c r="H363" s="46" t="n">
        <f aca="false">L363/F363*100</f>
        <v>100</v>
      </c>
      <c r="I363" s="47" t="n">
        <f aca="false">(V$27+V$28*SIN(2*PI()/365*A363))*V$29/100*V$9*V$10/100*(1-V$19/100)</f>
        <v>0</v>
      </c>
      <c r="J363" s="47" t="n">
        <f aca="false">(V$27+V$28*SIN(2*PI()/365*A363))*V$29/100*V$11*(1-V$18/100)</f>
        <v>19.3258347819128</v>
      </c>
      <c r="K363" s="48" t="n">
        <f aca="false">IF(E363/C363*100&lt;100,E363/C363*100,100)</f>
        <v>0</v>
      </c>
      <c r="L363" s="7" t="n">
        <f aca="false">IF(((C363-E363)&gt;0)*AND(F363&gt;(C363-E363)),(C363-E363),IF(C363&lt;E363,0,F363))</f>
        <v>17.5865096515407</v>
      </c>
      <c r="M363" s="7" t="n">
        <f aca="false">IF(C363&lt;(E363+F363),0,C363-E363-F363)</f>
        <v>0.258840705077954</v>
      </c>
      <c r="N363" s="7" t="n">
        <f aca="false">IF(C363&lt;(E363+F363),0,(C363-E363-F363)/(1-V$20/100))</f>
        <v>0.284440335250499</v>
      </c>
      <c r="O363" s="7" t="n">
        <f aca="false">L363+M363</f>
        <v>17.8453503566186</v>
      </c>
      <c r="P363" s="49" t="n">
        <f aca="false">IF(N363=0,I363*(1-G363/100)+J363*(1-H363/100),-N363)</f>
        <v>-0.284440335250499</v>
      </c>
      <c r="Q363" s="54" t="n">
        <f aca="false">IF(P362&gt;0,Q362+P362*(1-V$24/100),Q362+P362)</f>
        <v>132.790132282666</v>
      </c>
      <c r="R363" s="55" t="n">
        <f aca="false">R$4+Q363/V$32</f>
        <v>41.291409313729</v>
      </c>
    </row>
    <row r="364" customFormat="false" ht="12.8" hidden="false" customHeight="false" outlineLevel="0" collapsed="false">
      <c r="A364" s="1" t="n">
        <v>360</v>
      </c>
      <c r="B364" s="44" t="n">
        <v>43905</v>
      </c>
      <c r="C364" s="45" t="n">
        <f aca="false">V$30-V$30*SIN(2*PI()/365*A364)</f>
        <v>17.5681193794447</v>
      </c>
      <c r="D364" s="3" t="n">
        <f aca="false">IF((E364+F364)&gt;C364,C364,E364+F364)</f>
        <v>17.5681193794447</v>
      </c>
      <c r="E364" s="46" t="n">
        <f aca="false">(V$27+V$28*SIN(2*PI()/365*A364))*V$29/100*V$9*V$10/100</f>
        <v>0</v>
      </c>
      <c r="F364" s="46" t="n">
        <f aca="false">(V$27+V$28*SIN(2*PI()/365*A364))*V$29/100*V$11*(1-V$18/100)*(1-V$20/100)</f>
        <v>17.8652510456232</v>
      </c>
      <c r="G364" s="46" t="n">
        <f aca="false">IF(C364&gt;E364,100,C364/E364*100)</f>
        <v>100</v>
      </c>
      <c r="H364" s="46" t="n">
        <f aca="false">L364/F364*100</f>
        <v>98.3368178514832</v>
      </c>
      <c r="I364" s="47" t="n">
        <f aca="false">(V$27+V$28*SIN(2*PI()/365*A364))*V$29/100*V$9*V$10/100*(1-V$19/100)</f>
        <v>0</v>
      </c>
      <c r="J364" s="47" t="n">
        <f aca="false">(V$27+V$28*SIN(2*PI()/365*A364))*V$29/100*V$11*(1-V$18/100)</f>
        <v>19.6321440061793</v>
      </c>
      <c r="K364" s="48" t="n">
        <f aca="false">IF(E364/C364*100&lt;100,E364/C364*100,100)</f>
        <v>0</v>
      </c>
      <c r="L364" s="7" t="n">
        <f aca="false">IF(((C364-E364)&gt;0)*AND(F364&gt;(C364-E364)),(C364-E364),IF(C364&lt;E364,0,F364))</f>
        <v>17.5681193794447</v>
      </c>
      <c r="M364" s="7" t="n">
        <f aca="false">IF(C364&lt;(E364+F364),0,C364-E364-F364)</f>
        <v>0</v>
      </c>
      <c r="N364" s="7" t="n">
        <f aca="false">IF(C364&lt;(E364+F364),0,(C364-E364-F364)/(1-V$20/100))</f>
        <v>0</v>
      </c>
      <c r="O364" s="7" t="n">
        <f aca="false">L364+M364</f>
        <v>17.5681193794447</v>
      </c>
      <c r="P364" s="49" t="n">
        <f aca="false">IF(N364=0,I364*(1-G364/100)+J364*(1-H364/100),-N364)</f>
        <v>0.326518314481882</v>
      </c>
      <c r="Q364" s="54" t="n">
        <f aca="false">IF(P363&gt;0,Q363+P363*(1-V$24/100),Q363+P363)</f>
        <v>132.505691947415</v>
      </c>
      <c r="R364" s="55" t="n">
        <f aca="false">R$4+Q364/V$32</f>
        <v>41.288643077324</v>
      </c>
    </row>
    <row r="365" customFormat="false" ht="12.8" hidden="false" customHeight="false" outlineLevel="0" collapsed="false">
      <c r="A365" s="1" t="n">
        <v>361</v>
      </c>
      <c r="B365" s="44" t="n">
        <v>43906</v>
      </c>
      <c r="C365" s="45" t="n">
        <f aca="false">V$30-V$30*SIN(2*PI()/365*A365)</f>
        <v>17.2904763109573</v>
      </c>
      <c r="D365" s="3" t="n">
        <f aca="false">IF((E365+F365)&gt;C365,C365,E365+F365)</f>
        <v>17.2904763109573</v>
      </c>
      <c r="E365" s="46" t="n">
        <f aca="false">(V$27+V$28*SIN(2*PI()/365*A365))*V$29/100*V$9*V$10/100</f>
        <v>0</v>
      </c>
      <c r="F365" s="46" t="n">
        <f aca="false">(V$27+V$28*SIN(2*PI()/365*A365))*V$29/100*V$11*(1-V$18/100)*(1-V$20/100)</f>
        <v>18.1444067761855</v>
      </c>
      <c r="G365" s="46" t="n">
        <f aca="false">IF(C365&gt;E365,100,C365/E365*100)</f>
        <v>100</v>
      </c>
      <c r="H365" s="46" t="n">
        <f aca="false">L365/F365*100</f>
        <v>95.2936986270118</v>
      </c>
      <c r="I365" s="47" t="n">
        <f aca="false">(V$27+V$28*SIN(2*PI()/365*A365))*V$29/100*V$9*V$10/100*(1-V$19/100)</f>
        <v>0</v>
      </c>
      <c r="J365" s="47" t="n">
        <f aca="false">(V$27+V$28*SIN(2*PI()/365*A365))*V$29/100*V$11*(1-V$18/100)</f>
        <v>19.9389085452588</v>
      </c>
      <c r="K365" s="48" t="n">
        <f aca="false">IF(E365/C365*100&lt;100,E365/C365*100,100)</f>
        <v>0</v>
      </c>
      <c r="L365" s="7" t="n">
        <f aca="false">IF(((C365-E365)&gt;0)*AND(F365&gt;(C365-E365)),(C365-E365),IF(C365&lt;E365,0,F365))</f>
        <v>17.2904763109573</v>
      </c>
      <c r="M365" s="7" t="n">
        <f aca="false">IF(C365&lt;(E365+F365),0,C365-E365-F365)</f>
        <v>0</v>
      </c>
      <c r="N365" s="7" t="n">
        <f aca="false">IF(C365&lt;(E365+F365),0,(C365-E365-F365)/(1-V$20/100))</f>
        <v>0</v>
      </c>
      <c r="O365" s="7" t="n">
        <f aca="false">L365+M365</f>
        <v>17.2904763109573</v>
      </c>
      <c r="P365" s="49" t="n">
        <f aca="false">IF(N365=0,I365*(1-G365/100)+J365*(1-H365/100),-N365)</f>
        <v>0.938385126624379</v>
      </c>
      <c r="Q365" s="54" t="n">
        <f aca="false">IF(P364&gt;0,Q364+P364*(1-V$24/100),Q364+P364)</f>
        <v>132.757111049566</v>
      </c>
      <c r="R365" s="55" t="n">
        <f aca="false">R$4+Q365/V$32</f>
        <v>41.2910881759513</v>
      </c>
    </row>
    <row r="366" customFormat="false" ht="12.8" hidden="false" customHeight="false" outlineLevel="0" collapsed="false">
      <c r="A366" s="1" t="n">
        <v>362</v>
      </c>
      <c r="B366" s="44" t="n">
        <v>43907</v>
      </c>
      <c r="C366" s="45" t="n">
        <f aca="false">V$30-V$30*SIN(2*PI()/365*A366)</f>
        <v>17.0125034227898</v>
      </c>
      <c r="D366" s="3" t="n">
        <f aca="false">IF((E366+F366)&gt;C366,C366,E366+F366)</f>
        <v>17.0125034227898</v>
      </c>
      <c r="E366" s="46" t="n">
        <f aca="false">(V$27+V$28*SIN(2*PI()/365*A366))*V$29/100*V$9*V$10/100</f>
        <v>0</v>
      </c>
      <c r="F366" s="46" t="n">
        <f aca="false">(V$27+V$28*SIN(2*PI()/365*A366))*V$29/100*V$11*(1-V$18/100)*(1-V$20/100)</f>
        <v>18.42389412336</v>
      </c>
      <c r="G366" s="46" t="n">
        <f aca="false">IF(C366&gt;E366,100,C366/E366*100)</f>
        <v>100</v>
      </c>
      <c r="H366" s="46" t="n">
        <f aca="false">L366/F366*100</f>
        <v>92.3393464426138</v>
      </c>
      <c r="I366" s="47" t="n">
        <f aca="false">(V$27+V$28*SIN(2*PI()/365*A366))*V$29/100*V$9*V$10/100*(1-V$19/100)</f>
        <v>0</v>
      </c>
      <c r="J366" s="47" t="n">
        <f aca="false">(V$27+V$28*SIN(2*PI()/365*A366))*V$29/100*V$11*(1-V$18/100)</f>
        <v>20.2460374981978</v>
      </c>
      <c r="K366" s="48" t="n">
        <f aca="false">IF(E366/C366*100&lt;100,E366/C366*100,100)</f>
        <v>0</v>
      </c>
      <c r="L366" s="7" t="n">
        <f aca="false">IF(((C366-E366)&gt;0)*AND(F366&gt;(C366-E366)),(C366-E366),IF(C366&lt;E366,0,F366))</f>
        <v>17.0125034227898</v>
      </c>
      <c r="M366" s="7" t="n">
        <f aca="false">IF(C366&lt;(E366+F366),0,C366-E366-F366)</f>
        <v>0</v>
      </c>
      <c r="N366" s="7" t="n">
        <f aca="false">IF(C366&lt;(E366+F366),0,(C366-E366-F366)/(1-V$20/100))</f>
        <v>0</v>
      </c>
      <c r="O366" s="7" t="n">
        <f aca="false">L366+M366</f>
        <v>17.0125034227898</v>
      </c>
      <c r="P366" s="49" t="n">
        <f aca="false">IF(N366=0,I366*(1-G366/100)+J366*(1-H366/100),-N366)</f>
        <v>1.55097879183543</v>
      </c>
      <c r="Q366" s="54" t="n">
        <f aca="false">IF(P365&gt;0,Q365+P365*(1-V$24/100),Q365+P365)</f>
        <v>133.479667597067</v>
      </c>
      <c r="R366" s="55" t="n">
        <f aca="false">R$4+Q366/V$32</f>
        <v>41.2981151759181</v>
      </c>
    </row>
    <row r="367" customFormat="false" ht="12.8" hidden="false" customHeight="false" outlineLevel="0" collapsed="false">
      <c r="A367" s="1" t="n">
        <v>363</v>
      </c>
      <c r="B367" s="44" t="n">
        <v>43908</v>
      </c>
      <c r="C367" s="45" t="n">
        <f aca="false">V$30-V$30*SIN(2*PI()/365*A367)</f>
        <v>16.734283084308</v>
      </c>
      <c r="D367" s="3" t="n">
        <f aca="false">IF((E367+F367)&gt;C367,C367,E367+F367)</f>
        <v>16.734283084308</v>
      </c>
      <c r="E367" s="46" t="n">
        <f aca="false">(V$27+V$28*SIN(2*PI()/365*A367))*V$29/100*V$9*V$10/100</f>
        <v>0</v>
      </c>
      <c r="F367" s="46" t="n">
        <f aca="false">(V$27+V$28*SIN(2*PI()/365*A367))*V$29/100*V$11*(1-V$18/100)*(1-V$20/100)</f>
        <v>18.7036302690139</v>
      </c>
      <c r="G367" s="46" t="n">
        <f aca="false">IF(C367&gt;E367,100,C367/E367*100)</f>
        <v>100</v>
      </c>
      <c r="H367" s="46" t="n">
        <f aca="false">L367/F367*100</f>
        <v>89.4707756923076</v>
      </c>
      <c r="I367" s="47" t="n">
        <f aca="false">(V$27+V$28*SIN(2*PI()/365*A367))*V$29/100*V$9*V$10/100*(1-V$19/100)</f>
        <v>0</v>
      </c>
      <c r="J367" s="47" t="n">
        <f aca="false">(V$27+V$28*SIN(2*PI()/365*A367))*V$29/100*V$11*(1-V$18/100)</f>
        <v>20.5534398560592</v>
      </c>
      <c r="K367" s="48" t="n">
        <f aca="false">IF(E367/C367*100&lt;100,E367/C367*100,100)</f>
        <v>0</v>
      </c>
      <c r="L367" s="7" t="n">
        <f aca="false">IF(((C367-E367)&gt;0)*AND(F367&gt;(C367-E367)),(C367-E367),IF(C367&lt;E367,0,F367))</f>
        <v>16.734283084308</v>
      </c>
      <c r="M367" s="7" t="n">
        <f aca="false">IF(C367&lt;(E367+F367),0,C367-E367-F367)</f>
        <v>0</v>
      </c>
      <c r="N367" s="7" t="n">
        <f aca="false">IF(C367&lt;(E367+F367),0,(C367-E367-F367)/(1-V$20/100))</f>
        <v>0</v>
      </c>
      <c r="O367" s="7" t="n">
        <f aca="false">L367+M367</f>
        <v>16.734283084308</v>
      </c>
      <c r="P367" s="49" t="n">
        <f aca="false">IF(N367=0,I367*(1-G367/100)+J367*(1-H367/100),-N367)</f>
        <v>2.16411778539113</v>
      </c>
      <c r="Q367" s="54" t="n">
        <f aca="false">IF(P366&gt;0,Q366+P366*(1-V$24/100),Q366+P366)</f>
        <v>134.67392126678</v>
      </c>
      <c r="R367" s="55" t="n">
        <f aca="false">R$4+Q367/V$32</f>
        <v>41.3097295201884</v>
      </c>
    </row>
    <row r="368" customFormat="false" ht="12.8" hidden="false" customHeight="false" outlineLevel="0" collapsed="false">
      <c r="A368" s="1" t="n">
        <v>364</v>
      </c>
      <c r="B368" s="44" t="n">
        <v>43909</v>
      </c>
      <c r="C368" s="45" t="n">
        <f aca="false">V$30-V$30*SIN(2*PI()/365*A368)</f>
        <v>16.4558977382027</v>
      </c>
      <c r="D368" s="3" t="n">
        <f aca="false">IF((E368+F368)&gt;C368,C368,E368+F368)</f>
        <v>16.4558977382027</v>
      </c>
      <c r="E368" s="46" t="n">
        <f aca="false">(V$27+V$28*SIN(2*PI()/365*A368))*V$29/100*V$9*V$10/100</f>
        <v>0</v>
      </c>
      <c r="F368" s="46" t="n">
        <f aca="false">(V$27+V$28*SIN(2*PI()/365*A368))*V$29/100*V$11*(1-V$18/100)*(1-V$20/100)</f>
        <v>18.98353232129</v>
      </c>
      <c r="G368" s="46" t="n">
        <f aca="false">IF(C368&gt;E368,100,C368/E368*100)</f>
        <v>100</v>
      </c>
      <c r="H368" s="46" t="n">
        <f aca="false">L368/F368*100</f>
        <v>86.6851198169656</v>
      </c>
      <c r="I368" s="47" t="n">
        <f aca="false">(V$27+V$28*SIN(2*PI()/365*A368))*V$29/100*V$9*V$10/100*(1-V$19/100)</f>
        <v>0</v>
      </c>
      <c r="J368" s="47" t="n">
        <f aca="false">(V$27+V$28*SIN(2*PI()/365*A368))*V$29/100*V$11*(1-V$18/100)</f>
        <v>20.8610245288902</v>
      </c>
      <c r="K368" s="48" t="n">
        <f aca="false">IF(E368/C368*100&lt;100,E368/C368*100,100)</f>
        <v>0</v>
      </c>
      <c r="L368" s="7" t="n">
        <f aca="false">IF(((C368-E368)&gt;0)*AND(F368&gt;(C368-E368)),(C368-E368),IF(C368&lt;E368,0,F368))</f>
        <v>16.4558977382027</v>
      </c>
      <c r="M368" s="7" t="n">
        <f aca="false">IF(C368&lt;(E368+F368),0,C368-E368-F368)</f>
        <v>0</v>
      </c>
      <c r="N368" s="7" t="n">
        <f aca="false">IF(C368&lt;(E368+F368),0,(C368-E368-F368)/(1-V$20/100))</f>
        <v>0</v>
      </c>
      <c r="O368" s="7" t="n">
        <f aca="false">L368+M368</f>
        <v>16.4558977382027</v>
      </c>
      <c r="P368" s="49" t="n">
        <f aca="false">IF(N368=0,I368*(1-G368/100)+J368*(1-H368/100),-N368)</f>
        <v>2.77762042097514</v>
      </c>
      <c r="Q368" s="54" t="n">
        <f aca="false">IF(P367&gt;0,Q367+P367*(1-V$24/100),Q367+P367)</f>
        <v>136.340291961531</v>
      </c>
      <c r="R368" s="55" t="n">
        <f aca="false">R$4+Q368/V$32</f>
        <v>41.325935292397</v>
      </c>
    </row>
    <row r="369" customFormat="false" ht="12.8" hidden="false" customHeight="false" outlineLevel="0" collapsed="false">
      <c r="A369" s="1" t="n">
        <v>365</v>
      </c>
      <c r="B369" s="44" t="n">
        <v>43910</v>
      </c>
      <c r="C369" s="45" t="n">
        <f aca="false">V$30-V$30*SIN(2*PI()/365*A369)</f>
        <v>16.17742987606</v>
      </c>
      <c r="D369" s="3" t="n">
        <f aca="false">IF((E369+F369)&gt;C369,C369,E369+F369)</f>
        <v>16.17742987606</v>
      </c>
      <c r="E369" s="46" t="n">
        <f aca="false">(V$27+V$28*SIN(2*PI()/365*A369))*V$29/100*V$9*V$10/100</f>
        <v>0</v>
      </c>
      <c r="F369" s="46" t="n">
        <f aca="false">(V$27+V$28*SIN(2*PI()/365*A369))*V$29/100*V$11*(1-V$18/100)*(1-V$20/100)</f>
        <v>19.2635173391696</v>
      </c>
      <c r="G369" s="46" t="n">
        <f aca="false">IF(C369&gt;E369,100,C369/E369*100)</f>
        <v>100</v>
      </c>
      <c r="H369" s="46" t="n">
        <f aca="false">L369/F369*100</f>
        <v>83.9796263124053</v>
      </c>
      <c r="I369" s="47" t="n">
        <f aca="false">(V$27+V$28*SIN(2*PI()/365*A369))*V$29/100*V$9*V$10/100*(1-V$19/100)</f>
        <v>0</v>
      </c>
      <c r="J369" s="47" t="n">
        <f aca="false">(V$27+V$28*SIN(2*PI()/365*A369))*V$29/100*V$11*(1-V$18/100)</f>
        <v>21.1687003727138</v>
      </c>
      <c r="K369" s="48" t="n">
        <f aca="false">IF(E369/C369*100&lt;100,E369/C369*100,100)</f>
        <v>0</v>
      </c>
      <c r="L369" s="7" t="n">
        <f aca="false">IF(((C369-E369)&gt;0)*AND(F369&gt;(C369-E369)),(C369-E369),IF(C369&lt;E369,0,F369))</f>
        <v>16.17742987606</v>
      </c>
      <c r="M369" s="7" t="n">
        <f aca="false">IF(C369&lt;(E369+F369),0,C369-E369-F369)</f>
        <v>0</v>
      </c>
      <c r="N369" s="7" t="n">
        <f aca="false">IF(C369&lt;(E369+F369),0,(C369-E369-F369)/(1-V$20/100))</f>
        <v>0</v>
      </c>
      <c r="O369" s="7" t="n">
        <f aca="false">L369+M369</f>
        <v>16.17742987606</v>
      </c>
      <c r="P369" s="49" t="n">
        <f aca="false">IF(N369=0,I369*(1-G369/100)+J369*(1-H369/100),-N369)</f>
        <v>3.39130490451601</v>
      </c>
      <c r="Q369" s="54" t="n">
        <f aca="false">IF(P368&gt;0,Q368+P368*(1-V$24/100),Q368+P368)</f>
        <v>138.479059685682</v>
      </c>
      <c r="R369" s="55" t="n">
        <f aca="false">R$4+Q369/V$32</f>
        <v>41.3467352156397</v>
      </c>
    </row>
    <row r="370" customFormat="false" ht="12.8" hidden="false" customHeight="false" outlineLevel="0" collapsed="false">
      <c r="A370" s="1" t="n">
        <v>366</v>
      </c>
      <c r="B370" s="44" t="n">
        <v>43911</v>
      </c>
      <c r="C370" s="45" t="n">
        <f aca="false">V$30-V$30*SIN(2*PI()/365*A370)</f>
        <v>15.8989620139174</v>
      </c>
      <c r="D370" s="3" t="n">
        <f aca="false">IF((E370+F370)&gt;C370,C370,E370+F370)</f>
        <v>15.8989620139174</v>
      </c>
      <c r="E370" s="46" t="n">
        <f aca="false">(V$27+V$28*SIN(2*PI()/365*A370))*V$29/100*V$9*V$10/100</f>
        <v>0</v>
      </c>
      <c r="F370" s="46" t="n">
        <f aca="false">(V$27+V$28*SIN(2*PI()/365*A370))*V$29/100*V$11*(1-V$18/100)*(1-V$20/100)</f>
        <v>19.5435023570491</v>
      </c>
      <c r="G370" s="46" t="n">
        <f aca="false">IF(C370&gt;E370,100,C370/E370*100)</f>
        <v>100</v>
      </c>
      <c r="H370" s="46" t="n">
        <f aca="false">L370/F370*100</f>
        <v>81.35165193757</v>
      </c>
      <c r="I370" s="47" t="n">
        <f aca="false">(V$27+V$28*SIN(2*PI()/365*A370))*V$29/100*V$9*V$10/100*(1-V$19/100)</f>
        <v>0</v>
      </c>
      <c r="J370" s="47" t="n">
        <f aca="false">(V$27+V$28*SIN(2*PI()/365*A370))*V$29/100*V$11*(1-V$18/100)</f>
        <v>21.4763762165374</v>
      </c>
      <c r="K370" s="48" t="n">
        <f aca="false">IF(E370/C370*100&lt;100,E370/C370*100,100)</f>
        <v>0</v>
      </c>
      <c r="L370" s="7" t="n">
        <f aca="false">IF(((C370-E370)&gt;0)*AND(F370&gt;(C370-E370)),(C370-E370),IF(C370&lt;E370,0,F370))</f>
        <v>15.8989620139174</v>
      </c>
      <c r="M370" s="7" t="n">
        <f aca="false">IF(C370&lt;(E370+F370),0,C370-E370-F370)</f>
        <v>0</v>
      </c>
      <c r="N370" s="7" t="n">
        <f aca="false">IF(C370&lt;(E370+F370),0,(C370-E370-F370)/(1-V$20/100))</f>
        <v>0</v>
      </c>
      <c r="O370" s="7" t="n">
        <f aca="false">L370+M370</f>
        <v>15.8989620139174</v>
      </c>
      <c r="P370" s="49" t="n">
        <f aca="false">IF(N370=0,I370*(1-G370/100)+J370*(1-H370/100),-N370)</f>
        <v>4.00498938805684</v>
      </c>
      <c r="Q370" s="54" t="n">
        <f aca="false">IF(P369&gt;0,Q369+P369*(1-V$24/100),Q369+P369)</f>
        <v>141.090364462159</v>
      </c>
      <c r="R370" s="55" t="n">
        <f aca="false">R$4+Q370/V$32</f>
        <v>41.3721306516662</v>
      </c>
    </row>
    <row r="371" customFormat="false" ht="12.8" hidden="false" customHeight="false" outlineLevel="0" collapsed="false">
      <c r="A371" s="1" t="n">
        <v>367</v>
      </c>
      <c r="B371" s="44" t="n">
        <v>43912</v>
      </c>
      <c r="C371" s="45" t="n">
        <f aca="false">V$30-V$30*SIN(2*PI()/365*A371)</f>
        <v>15.6205766678121</v>
      </c>
      <c r="D371" s="3" t="n">
        <f aca="false">IF((E371+F371)&gt;C371,C371,E371+F371)</f>
        <v>15.6205766678121</v>
      </c>
      <c r="E371" s="46" t="n">
        <f aca="false">(V$27+V$28*SIN(2*PI()/365*A371))*V$29/100*V$9*V$10/100</f>
        <v>0</v>
      </c>
      <c r="F371" s="46" t="n">
        <f aca="false">(V$27+V$28*SIN(2*PI()/365*A371))*V$29/100*V$11*(1-V$18/100)*(1-V$20/100)</f>
        <v>19.8234044093252</v>
      </c>
      <c r="G371" s="46" t="n">
        <f aca="false">IF(C371&gt;E371,100,C371/E371*100)</f>
        <v>100</v>
      </c>
      <c r="H371" s="46" t="n">
        <f aca="false">L371/F371*100</f>
        <v>78.7986581177949</v>
      </c>
      <c r="I371" s="47" t="n">
        <f aca="false">(V$27+V$28*SIN(2*PI()/365*A371))*V$29/100*V$9*V$10/100*(1-V$19/100)</f>
        <v>0</v>
      </c>
      <c r="J371" s="47" t="n">
        <f aca="false">(V$27+V$28*SIN(2*PI()/365*A371))*V$29/100*V$11*(1-V$18/100)</f>
        <v>21.7839608893684</v>
      </c>
      <c r="K371" s="48" t="n">
        <f aca="false">IF(E371/C371*100&lt;100,E371/C371*100,100)</f>
        <v>0</v>
      </c>
      <c r="L371" s="7" t="n">
        <f aca="false">IF(((C371-E371)&gt;0)*AND(F371&gt;(C371-E371)),(C371-E371),IF(C371&lt;E371,0,F371))</f>
        <v>15.6205766678121</v>
      </c>
      <c r="M371" s="7" t="n">
        <f aca="false">IF(C371&lt;(E371+F371),0,C371-E371-F371)</f>
        <v>0</v>
      </c>
      <c r="N371" s="7" t="n">
        <f aca="false">IF(C371&lt;(E371+F371),0,(C371-E371-F371)/(1-V$20/100))</f>
        <v>0</v>
      </c>
      <c r="O371" s="7" t="n">
        <f aca="false">L371+M371</f>
        <v>15.6205766678121</v>
      </c>
      <c r="P371" s="49" t="n">
        <f aca="false">IF(N371=0,I371*(1-G371/100)+J371*(1-H371/100),-N371)</f>
        <v>4.61849202364084</v>
      </c>
      <c r="Q371" s="54" t="n">
        <f aca="false">IF(P370&gt;0,Q370+P370*(1-V$24/100),Q370+P370)</f>
        <v>144.174206290963</v>
      </c>
      <c r="R371" s="55" t="n">
        <f aca="false">R$4+Q371/V$32</f>
        <v>41.4021216004763</v>
      </c>
    </row>
    <row r="372" customFormat="false" ht="12.8" hidden="false" customHeight="false" outlineLevel="0" collapsed="false">
      <c r="A372" s="1" t="n">
        <v>368</v>
      </c>
      <c r="B372" s="44" t="n">
        <v>43913</v>
      </c>
      <c r="C372" s="45" t="n">
        <f aca="false">V$30-V$30*SIN(2*PI()/365*A372)</f>
        <v>15.3423563293303</v>
      </c>
      <c r="D372" s="3" t="n">
        <f aca="false">IF((E372+F372)&gt;C372,C372,E372+F372)</f>
        <v>15.3423563293303</v>
      </c>
      <c r="E372" s="46" t="n">
        <f aca="false">(V$27+V$28*SIN(2*PI()/365*A372))*V$29/100*V$9*V$10/100</f>
        <v>0</v>
      </c>
      <c r="F372" s="46" t="n">
        <f aca="false">(V$27+V$28*SIN(2*PI()/365*A372))*V$29/100*V$11*(1-V$18/100)*(1-V$20/100)</f>
        <v>20.1031405549791</v>
      </c>
      <c r="G372" s="46" t="n">
        <f aca="false">IF(C372&gt;E372,100,C372/E372*100)</f>
        <v>100</v>
      </c>
      <c r="H372" s="46" t="n">
        <f aca="false">L372/F372*100</f>
        <v>76.3182065377854</v>
      </c>
      <c r="I372" s="47" t="n">
        <f aca="false">(V$27+V$28*SIN(2*PI()/365*A372))*V$29/100*V$9*V$10/100*(1-V$19/100)</f>
        <v>0</v>
      </c>
      <c r="J372" s="47" t="n">
        <f aca="false">(V$27+V$28*SIN(2*PI()/365*A372))*V$29/100*V$11*(1-V$18/100)</f>
        <v>22.0913632472298</v>
      </c>
      <c r="K372" s="48" t="n">
        <f aca="false">IF(E372/C372*100&lt;100,E372/C372*100,100)</f>
        <v>0</v>
      </c>
      <c r="L372" s="7" t="n">
        <f aca="false">IF(((C372-E372)&gt;0)*AND(F372&gt;(C372-E372)),(C372-E372),IF(C372&lt;E372,0,F372))</f>
        <v>15.3423563293303</v>
      </c>
      <c r="M372" s="7" t="n">
        <f aca="false">IF(C372&lt;(E372+F372),0,C372-E372-F372)</f>
        <v>0</v>
      </c>
      <c r="N372" s="7" t="n">
        <f aca="false">IF(C372&lt;(E372+F372),0,(C372-E372-F372)/(1-V$20/100))</f>
        <v>0</v>
      </c>
      <c r="O372" s="7" t="n">
        <f aca="false">L372+M372</f>
        <v>15.3423563293303</v>
      </c>
      <c r="P372" s="49" t="n">
        <f aca="false">IF(N372=0,I372*(1-G372/100)+J372*(1-H372/100),-N372)</f>
        <v>5.23163101719654</v>
      </c>
      <c r="Q372" s="54" t="n">
        <f aca="false">IF(P371&gt;0,Q371+P371*(1-V$24/100),Q371+P371)</f>
        <v>147.730445149167</v>
      </c>
      <c r="R372" s="55" t="n">
        <f aca="false">R$4+Q372/V$32</f>
        <v>41.4367067003206</v>
      </c>
    </row>
    <row r="373" customFormat="false" ht="12.8" hidden="false" customHeight="false" outlineLevel="0" collapsed="false">
      <c r="A373" s="1" t="n">
        <v>369</v>
      </c>
      <c r="B373" s="44" t="n">
        <v>43914</v>
      </c>
      <c r="C373" s="45" t="n">
        <f aca="false">V$30-V$30*SIN(2*PI()/365*A373)</f>
        <v>15.0643834411627</v>
      </c>
      <c r="D373" s="3" t="n">
        <f aca="false">IF((E373+F373)&gt;C373,C373,E373+F373)</f>
        <v>15.0643834411627</v>
      </c>
      <c r="E373" s="46" t="n">
        <f aca="false">(V$27+V$28*SIN(2*PI()/365*A373))*V$29/100*V$9*V$10/100</f>
        <v>0</v>
      </c>
      <c r="F373" s="46" t="n">
        <f aca="false">(V$27+V$28*SIN(2*PI()/365*A373))*V$29/100*V$11*(1-V$18/100)*(1-V$20/100)</f>
        <v>20.3826279021536</v>
      </c>
      <c r="G373" s="46" t="n">
        <f aca="false">IF(C373&gt;E373,100,C373/E373*100)</f>
        <v>100</v>
      </c>
      <c r="H373" s="46" t="n">
        <f aca="false">L373/F373*100</f>
        <v>73.9079549186639</v>
      </c>
      <c r="I373" s="47" t="n">
        <f aca="false">(V$27+V$28*SIN(2*PI()/365*A373))*V$29/100*V$9*V$10/100*(1-V$19/100)</f>
        <v>0</v>
      </c>
      <c r="J373" s="47" t="n">
        <f aca="false">(V$27+V$28*SIN(2*PI()/365*A373))*V$29/100*V$11*(1-V$18/100)</f>
        <v>22.3984922001688</v>
      </c>
      <c r="K373" s="48" t="n">
        <f aca="false">IF(E373/C373*100&lt;100,E373/C373*100,100)</f>
        <v>0</v>
      </c>
      <c r="L373" s="7" t="n">
        <f aca="false">IF(((C373-E373)&gt;0)*AND(F373&gt;(C373-E373)),(C373-E373),IF(C373&lt;E373,0,F373))</f>
        <v>15.0643834411627</v>
      </c>
      <c r="M373" s="7" t="n">
        <f aca="false">IF(C373&lt;(E373+F373),0,C373-E373-F373)</f>
        <v>0</v>
      </c>
      <c r="N373" s="7" t="n">
        <f aca="false">IF(C373&lt;(E373+F373),0,(C373-E373-F373)/(1-V$20/100))</f>
        <v>0</v>
      </c>
      <c r="O373" s="7" t="n">
        <f aca="false">L373+M373</f>
        <v>15.0643834411627</v>
      </c>
      <c r="P373" s="49" t="n">
        <f aca="false">IF(N373=0,I373*(1-G373/100)+J373*(1-H373/100),-N373)</f>
        <v>5.8442246824076</v>
      </c>
      <c r="Q373" s="54" t="n">
        <f aca="false">IF(P372&gt;0,Q372+P372*(1-V$24/100),Q372+P372)</f>
        <v>151.758801032408</v>
      </c>
      <c r="R373" s="55" t="n">
        <f aca="false">R$4+Q373/V$32</f>
        <v>41.4758832281032</v>
      </c>
    </row>
    <row r="374" customFormat="false" ht="12.8" hidden="false" customHeight="false" outlineLevel="0" collapsed="false">
      <c r="A374" s="1" t="n">
        <v>370</v>
      </c>
      <c r="B374" s="44" t="n">
        <v>43915</v>
      </c>
      <c r="C374" s="45" t="n">
        <f aca="false">V$30-V$30*SIN(2*PI()/365*A374)</f>
        <v>14.7867403726754</v>
      </c>
      <c r="D374" s="3" t="n">
        <f aca="false">IF((E374+F374)&gt;C374,C374,E374+F374)</f>
        <v>14.7867403726754</v>
      </c>
      <c r="E374" s="46" t="n">
        <f aca="false">(V$27+V$28*SIN(2*PI()/365*A374))*V$29/100*V$9*V$10/100</f>
        <v>0</v>
      </c>
      <c r="F374" s="46" t="n">
        <f aca="false">(V$27+V$28*SIN(2*PI()/365*A374))*V$29/100*V$11*(1-V$18/100)*(1-V$20/100)</f>
        <v>20.661783632716</v>
      </c>
      <c r="G374" s="46" t="n">
        <f aca="false">IF(C374&gt;E374,100,C374/E374*100)</f>
        <v>100</v>
      </c>
      <c r="H374" s="46" t="n">
        <f aca="false">L374/F374*100</f>
        <v>71.56565297326</v>
      </c>
      <c r="I374" s="47" t="n">
        <f aca="false">(V$27+V$28*SIN(2*PI()/365*A374))*V$29/100*V$9*V$10/100*(1-V$19/100)</f>
        <v>0</v>
      </c>
      <c r="J374" s="47" t="n">
        <f aca="false">(V$27+V$28*SIN(2*PI()/365*A374))*V$29/100*V$11*(1-V$18/100)</f>
        <v>22.7052567392483</v>
      </c>
      <c r="K374" s="48" t="n">
        <f aca="false">IF(E374/C374*100&lt;100,E374/C374*100,100)</f>
        <v>0</v>
      </c>
      <c r="L374" s="7" t="n">
        <f aca="false">IF(((C374-E374)&gt;0)*AND(F374&gt;(C374-E374)),(C374-E374),IF(C374&lt;E374,0,F374))</f>
        <v>14.7867403726754</v>
      </c>
      <c r="M374" s="7" t="n">
        <f aca="false">IF(C374&lt;(E374+F374),0,C374-E374-F374)</f>
        <v>0</v>
      </c>
      <c r="N374" s="7" t="n">
        <f aca="false">IF(C374&lt;(E374+F374),0,(C374-E374-F374)/(1-V$20/100))</f>
        <v>0</v>
      </c>
      <c r="O374" s="7" t="n">
        <f aca="false">L374+M374</f>
        <v>14.7867403726754</v>
      </c>
      <c r="P374" s="49" t="n">
        <f aca="false">IF(N374=0,I374*(1-G374/100)+J374*(1-H374/100),-N374)</f>
        <v>6.45609149455013</v>
      </c>
      <c r="Q374" s="54" t="n">
        <f aca="false">IF(P373&gt;0,Q373+P373*(1-V$24/100),Q373+P373)</f>
        <v>156.258854037862</v>
      </c>
      <c r="R374" s="55" t="n">
        <f aca="false">R$4+Q374/V$32</f>
        <v>41.5196471001894</v>
      </c>
    </row>
    <row r="375" customFormat="false" ht="12.8" hidden="false" customHeight="false" outlineLevel="0" collapsed="false">
      <c r="A375" s="1" t="n">
        <v>371</v>
      </c>
      <c r="B375" s="44" t="n">
        <v>43916</v>
      </c>
      <c r="C375" s="45" t="n">
        <f aca="false">V$30-V$30*SIN(2*PI()/365*A375)</f>
        <v>14.5095093955014</v>
      </c>
      <c r="D375" s="3" t="n">
        <f aca="false">IF((E375+F375)&gt;C375,C375,E375+F375)</f>
        <v>14.5095093955014</v>
      </c>
      <c r="E375" s="46" t="n">
        <f aca="false">(V$27+V$28*SIN(2*PI()/365*A375))*V$29/100*V$9*V$10/100</f>
        <v>0</v>
      </c>
      <c r="F375" s="46" t="n">
        <f aca="false">(V$27+V$28*SIN(2*PI()/365*A375))*V$29/100*V$11*(1-V$18/100)*(1-V$20/100)</f>
        <v>20.9405250267984</v>
      </c>
      <c r="G375" s="46" t="n">
        <f aca="false">IF(C375&gt;E375,100,C375/E375*100)</f>
        <v>100</v>
      </c>
      <c r="H375" s="46" t="n">
        <f aca="false">L375/F375*100</f>
        <v>69.2891385336947</v>
      </c>
      <c r="I375" s="47" t="n">
        <f aca="false">(V$27+V$28*SIN(2*PI()/365*A375))*V$29/100*V$9*V$10/100*(1-V$19/100)</f>
        <v>0</v>
      </c>
      <c r="J375" s="47" t="n">
        <f aca="false">(V$27+V$28*SIN(2*PI()/365*A375))*V$29/100*V$11*(1-V$18/100)</f>
        <v>23.0115659635148</v>
      </c>
      <c r="K375" s="48" t="n">
        <f aca="false">IF(E375/C375*100&lt;100,E375/C375*100,100)</f>
        <v>0</v>
      </c>
      <c r="L375" s="7" t="n">
        <f aca="false">IF(((C375-E375)&gt;0)*AND(F375&gt;(C375-E375)),(C375-E375),IF(C375&lt;E375,0,F375))</f>
        <v>14.5095093955014</v>
      </c>
      <c r="M375" s="7" t="n">
        <f aca="false">IF(C375&lt;(E375+F375),0,C375-E375-F375)</f>
        <v>0</v>
      </c>
      <c r="N375" s="7" t="n">
        <f aca="false">IF(C375&lt;(E375+F375),0,(C375-E375-F375)/(1-V$20/100))</f>
        <v>0</v>
      </c>
      <c r="O375" s="7" t="n">
        <f aca="false">L375+M375</f>
        <v>14.5095093955014</v>
      </c>
      <c r="P375" s="49" t="n">
        <f aca="false">IF(N375=0,I375*(1-G375/100)+J375*(1-H375/100),-N375)</f>
        <v>7.06705014428248</v>
      </c>
      <c r="Q375" s="54" t="n">
        <f aca="false">IF(P374&gt;0,Q374+P374*(1-V$24/100),Q374+P374)</f>
        <v>161.230044488665</v>
      </c>
      <c r="R375" s="55" t="n">
        <f aca="false">R$4+Q375/V$32</f>
        <v>41.5679928736149</v>
      </c>
    </row>
    <row r="376" customFormat="false" ht="12.8" hidden="false" customHeight="false" outlineLevel="0" collapsed="false">
      <c r="A376" s="1" t="n">
        <v>372</v>
      </c>
      <c r="B376" s="44" t="n">
        <v>43917</v>
      </c>
      <c r="C376" s="45" t="n">
        <f aca="false">V$30-V$30*SIN(2*PI()/365*A376)</f>
        <v>14.2327726591625</v>
      </c>
      <c r="D376" s="3" t="n">
        <f aca="false">IF((E376+F376)&gt;C376,C376,E376+F376)</f>
        <v>14.2327726591625</v>
      </c>
      <c r="E376" s="46" t="n">
        <f aca="false">(V$27+V$28*SIN(2*PI()/365*A376))*V$29/100*V$9*V$10/100</f>
        <v>0</v>
      </c>
      <c r="F376" s="46" t="n">
        <f aca="false">(V$27+V$28*SIN(2*PI()/365*A376))*V$29/100*V$11*(1-V$18/100)*(1-V$20/100)</f>
        <v>21.2187694873103</v>
      </c>
      <c r="G376" s="46" t="n">
        <f aca="false">IF(C376&gt;E376,100,C376/E376*100)</f>
        <v>100</v>
      </c>
      <c r="H376" s="46" t="n">
        <f aca="false">L376/F376*100</f>
        <v>67.0763338452508</v>
      </c>
      <c r="I376" s="47" t="n">
        <f aca="false">(V$27+V$28*SIN(2*PI()/365*A376))*V$29/100*V$9*V$10/100*(1-V$19/100)</f>
        <v>0</v>
      </c>
      <c r="J376" s="47" t="n">
        <f aca="false">(V$27+V$28*SIN(2*PI()/365*A376))*V$29/100*V$11*(1-V$18/100)</f>
        <v>23.3173291069344</v>
      </c>
      <c r="K376" s="48" t="n">
        <f aca="false">IF(E376/C376*100&lt;100,E376/C376*100,100)</f>
        <v>0</v>
      </c>
      <c r="L376" s="7" t="n">
        <f aca="false">IF(((C376-E376)&gt;0)*AND(F376&gt;(C376-E376)),(C376-E376),IF(C376&lt;E376,0,F376))</f>
        <v>14.2327726591625</v>
      </c>
      <c r="M376" s="7" t="n">
        <f aca="false">IF(C376&lt;(E376+F376),0,C376-E376-F376)</f>
        <v>0</v>
      </c>
      <c r="N376" s="7" t="n">
        <f aca="false">IF(C376&lt;(E376+F376),0,(C376-E376-F376)/(1-V$20/100))</f>
        <v>0</v>
      </c>
      <c r="O376" s="7" t="n">
        <f aca="false">L376+M376</f>
        <v>14.2327726591625</v>
      </c>
      <c r="P376" s="49" t="n">
        <f aca="false">IF(N376=0,I376*(1-G376/100)+J376*(1-H376/100),-N376)</f>
        <v>7.67691959137124</v>
      </c>
      <c r="Q376" s="54" t="n">
        <f aca="false">IF(P375&gt;0,Q375+P375*(1-V$24/100),Q375+P375)</f>
        <v>166.671673099763</v>
      </c>
      <c r="R376" s="55" t="n">
        <f aca="false">R$4+Q376/V$32</f>
        <v>41.6209137476996</v>
      </c>
    </row>
    <row r="377" customFormat="false" ht="12.8" hidden="false" customHeight="false" outlineLevel="0" collapsed="false">
      <c r="A377" s="1" t="n">
        <v>373</v>
      </c>
      <c r="B377" s="44" t="n">
        <v>43918</v>
      </c>
      <c r="C377" s="45" t="n">
        <f aca="false">V$30-V$30*SIN(2*PI()/365*A377)</f>
        <v>13.9566121667261</v>
      </c>
      <c r="D377" s="3" t="n">
        <f aca="false">IF((E377+F377)&gt;C377,C377,E377+F377)</f>
        <v>13.9566121667261</v>
      </c>
      <c r="E377" s="46" t="n">
        <f aca="false">(V$27+V$28*SIN(2*PI()/365*A377))*V$29/100*V$9*V$10/100</f>
        <v>0</v>
      </c>
      <c r="F377" s="46" t="n">
        <f aca="false">(V$27+V$28*SIN(2*PI()/365*A377))*V$29/100*V$11*(1-V$18/100)*(1-V$20/100)</f>
        <v>21.4964345644128</v>
      </c>
      <c r="G377" s="46" t="n">
        <f aca="false">IF(C377&gt;E377,100,C377/E377*100)</f>
        <v>100</v>
      </c>
      <c r="H377" s="46" t="n">
        <f aca="false">L377/F377*100</f>
        <v>64.9252420205121</v>
      </c>
      <c r="I377" s="47" t="n">
        <f aca="false">(V$27+V$28*SIN(2*PI()/365*A377))*V$29/100*V$9*V$10/100*(1-V$19/100)</f>
        <v>0</v>
      </c>
      <c r="J377" s="47" t="n">
        <f aca="false">(V$27+V$28*SIN(2*PI()/365*A377))*V$29/100*V$11*(1-V$18/100)</f>
        <v>23.6224555652888</v>
      </c>
      <c r="K377" s="48" t="n">
        <f aca="false">IF(E377/C377*100&lt;100,E377/C377*100,100)</f>
        <v>0</v>
      </c>
      <c r="L377" s="7" t="n">
        <f aca="false">IF(((C377-E377)&gt;0)*AND(F377&gt;(C377-E377)),(C377-E377),IF(C377&lt;E377,0,F377))</f>
        <v>13.9566121667261</v>
      </c>
      <c r="M377" s="7" t="n">
        <f aca="false">IF(C377&lt;(E377+F377),0,C377-E377-F377)</f>
        <v>0</v>
      </c>
      <c r="N377" s="7" t="n">
        <f aca="false">IF(C377&lt;(E377+F377),0,(C377-E377-F377)/(1-V$20/100))</f>
        <v>0</v>
      </c>
      <c r="O377" s="7" t="n">
        <f aca="false">L377+M377</f>
        <v>13.9566121667261</v>
      </c>
      <c r="P377" s="49" t="n">
        <f aca="false">IF(N377=0,I377*(1-G377/100)+J377*(1-H377/100),-N377)</f>
        <v>8.28551911833712</v>
      </c>
      <c r="Q377" s="54" t="n">
        <f aca="false">IF(P376&gt;0,Q376+P376*(1-V$24/100),Q376+P376)</f>
        <v>172.582901185119</v>
      </c>
      <c r="R377" s="55" t="n">
        <f aca="false">R$4+Q377/V$32</f>
        <v>41.6784015660622</v>
      </c>
    </row>
    <row r="378" customFormat="false" ht="12.8" hidden="false" customHeight="false" outlineLevel="0" collapsed="false">
      <c r="A378" s="1" t="n">
        <v>374</v>
      </c>
      <c r="B378" s="44" t="n">
        <v>43919</v>
      </c>
      <c r="C378" s="45" t="n">
        <f aca="false">V$30-V$30*SIN(2*PI()/365*A378)</f>
        <v>13.6811097505061</v>
      </c>
      <c r="D378" s="3" t="n">
        <f aca="false">IF((E378+F378)&gt;C378,C378,E378+F378)</f>
        <v>13.6811097505061</v>
      </c>
      <c r="E378" s="46" t="n">
        <f aca="false">(V$27+V$28*SIN(2*PI()/365*A378))*V$29/100*V$9*V$10/100</f>
        <v>0</v>
      </c>
      <c r="F378" s="46" t="n">
        <f aca="false">(V$27+V$28*SIN(2*PI()/365*A378))*V$29/100*V$11*(1-V$18/100)*(1-V$20/100)</f>
        <v>21.7734379799512</v>
      </c>
      <c r="G378" s="46" t="n">
        <f aca="false">IF(C378&gt;E378,100,C378/E378*100)</f>
        <v>100</v>
      </c>
      <c r="H378" s="46" t="n">
        <f aca="false">L378/F378*100</f>
        <v>62.8339436477763</v>
      </c>
      <c r="I378" s="47" t="n">
        <f aca="false">(V$27+V$28*SIN(2*PI()/365*A378))*V$29/100*V$9*V$10/100*(1-V$19/100)</f>
        <v>0</v>
      </c>
      <c r="J378" s="47" t="n">
        <f aca="false">(V$27+V$28*SIN(2*PI()/365*A378))*V$29/100*V$11*(1-V$18/100)</f>
        <v>23.9268549230234</v>
      </c>
      <c r="K378" s="48" t="n">
        <f aca="false">IF(E378/C378*100&lt;100,E378/C378*100,100)</f>
        <v>0</v>
      </c>
      <c r="L378" s="7" t="n">
        <f aca="false">IF(((C378-E378)&gt;0)*AND(F378&gt;(C378-E378)),(C378-E378),IF(C378&lt;E378,0,F378))</f>
        <v>13.6811097505061</v>
      </c>
      <c r="M378" s="7" t="n">
        <f aca="false">IF(C378&lt;(E378+F378),0,C378-E378-F378)</f>
        <v>0</v>
      </c>
      <c r="N378" s="7" t="n">
        <f aca="false">IF(C378&lt;(E378+F378),0,(C378-E378-F378)/(1-V$20/100))</f>
        <v>0</v>
      </c>
      <c r="O378" s="7" t="n">
        <f aca="false">L378+M378</f>
        <v>13.6811097505061</v>
      </c>
      <c r="P378" s="49" t="n">
        <f aca="false">IF(N378=0,I378*(1-G378/100)+J378*(1-H378/100),-N378)</f>
        <v>8.89266838400567</v>
      </c>
      <c r="Q378" s="54" t="n">
        <f aca="false">IF(P377&gt;0,Q377+P377*(1-V$24/100),Q377+P377)</f>
        <v>178.962750906238</v>
      </c>
      <c r="R378" s="55" t="n">
        <f aca="false">R$4+Q378/V$32</f>
        <v>41.7404468190371</v>
      </c>
    </row>
    <row r="379" customFormat="false" ht="12.8" hidden="false" customHeight="false" outlineLevel="0" collapsed="false">
      <c r="A379" s="1" t="n">
        <v>375</v>
      </c>
      <c r="B379" s="44" t="n">
        <v>43920</v>
      </c>
      <c r="C379" s="45" t="n">
        <f aca="false">V$30-V$30*SIN(2*PI()/365*A379)</f>
        <v>13.4063470478143</v>
      </c>
      <c r="D379" s="3" t="n">
        <f aca="false">IF((E379+F379)&gt;C379,C379,E379+F379)</f>
        <v>13.4063470478143</v>
      </c>
      <c r="E379" s="46" t="n">
        <f aca="false">(V$27+V$28*SIN(2*PI()/365*A379))*V$29/100*V$9*V$10/100</f>
        <v>0</v>
      </c>
      <c r="F379" s="46" t="n">
        <f aca="false">(V$27+V$28*SIN(2*PI()/365*A379))*V$29/100*V$11*(1-V$18/100)*(1-V$20/100)</f>
        <v>22.0496976518353</v>
      </c>
      <c r="G379" s="46" t="n">
        <f aca="false">IF(C379&gt;E379,100,C379/E379*100)</f>
        <v>100</v>
      </c>
      <c r="H379" s="46" t="n">
        <f aca="false">L379/F379*100</f>
        <v>60.8005935478143</v>
      </c>
      <c r="I379" s="47" t="n">
        <f aca="false">(V$27+V$28*SIN(2*PI()/365*A379))*V$29/100*V$9*V$10/100*(1-V$19/100)</f>
        <v>0</v>
      </c>
      <c r="J379" s="47" t="n">
        <f aca="false">(V$27+V$28*SIN(2*PI()/365*A379))*V$29/100*V$11*(1-V$18/100)</f>
        <v>24.2304369800388</v>
      </c>
      <c r="K379" s="48" t="n">
        <f aca="false">IF(E379/C379*100&lt;100,E379/C379*100,100)</f>
        <v>0</v>
      </c>
      <c r="L379" s="7" t="n">
        <f aca="false">IF(((C379-E379)&gt;0)*AND(F379&gt;(C379-E379)),(C379-E379),IF(C379&lt;E379,0,F379))</f>
        <v>13.4063470478143</v>
      </c>
      <c r="M379" s="7" t="n">
        <f aca="false">IF(C379&lt;(E379+F379),0,C379-E379-F379)</f>
        <v>0</v>
      </c>
      <c r="N379" s="7" t="n">
        <f aca="false">IF(C379&lt;(E379+F379),0,(C379-E379-F379)/(1-V$20/100))</f>
        <v>0</v>
      </c>
      <c r="O379" s="7" t="n">
        <f aca="false">L379+M379</f>
        <v>13.4063470478143</v>
      </c>
      <c r="P379" s="49" t="n">
        <f aca="false">IF(N379=0,I379*(1-G379/100)+J379*(1-H379/100),-N379)</f>
        <v>9.49818747694612</v>
      </c>
      <c r="Q379" s="54" t="n">
        <f aca="false">IF(P378&gt;0,Q378+P378*(1-V$24/100),Q378+P378)</f>
        <v>185.810105561923</v>
      </c>
      <c r="R379" s="55" t="n">
        <f aca="false">R$4+Q379/V$32</f>
        <v>41.8070386464925</v>
      </c>
    </row>
    <row r="380" customFormat="false" ht="12.8" hidden="false" customHeight="false" outlineLevel="0" collapsed="false">
      <c r="A380" s="1" t="n">
        <v>376</v>
      </c>
      <c r="B380" s="44" t="n">
        <v>43921</v>
      </c>
      <c r="C380" s="45" t="n">
        <f aca="false">V$30-V$30*SIN(2*PI()/365*A380)</f>
        <v>13.1324054767694</v>
      </c>
      <c r="D380" s="3" t="n">
        <f aca="false">IF((E380+F380)&gt;C380,C380,E380+F380)</f>
        <v>13.1324054767694</v>
      </c>
      <c r="E380" s="46" t="n">
        <f aca="false">(V$27+V$28*SIN(2*PI()/365*A380))*V$29/100*V$9*V$10/100</f>
        <v>0</v>
      </c>
      <c r="F380" s="46" t="n">
        <f aca="false">(V$27+V$28*SIN(2*PI()/365*A380))*V$29/100*V$11*(1-V$18/100)*(1-V$20/100)</f>
        <v>22.325131718362</v>
      </c>
      <c r="G380" s="46" t="n">
        <f aca="false">IF(C380&gt;E380,100,C380/E380*100)</f>
        <v>100</v>
      </c>
      <c r="H380" s="46" t="n">
        <f aca="false">L380/F380*100</f>
        <v>58.8234176731343</v>
      </c>
      <c r="I380" s="47" t="n">
        <f aca="false">(V$27+V$28*SIN(2*PI()/365*A380))*V$29/100*V$9*V$10/100*(1-V$19/100)</f>
        <v>0</v>
      </c>
      <c r="J380" s="47" t="n">
        <f aca="false">(V$27+V$28*SIN(2*PI()/365*A380))*V$29/100*V$11*(1-V$18/100)</f>
        <v>24.5331117784197</v>
      </c>
      <c r="K380" s="48" t="n">
        <f aca="false">IF(E380/C380*100&lt;100,E380/C380*100,100)</f>
        <v>0</v>
      </c>
      <c r="L380" s="7" t="n">
        <f aca="false">IF(((C380-E380)&gt;0)*AND(F380&gt;(C380-E380)),(C380-E380),IF(C380&lt;E380,0,F380))</f>
        <v>13.1324054767694</v>
      </c>
      <c r="M380" s="7" t="n">
        <f aca="false">IF(C380&lt;(E380+F380),0,C380-E380-F380)</f>
        <v>0</v>
      </c>
      <c r="N380" s="7" t="n">
        <f aca="false">IF(C380&lt;(E380+F380),0,(C380-E380-F380)/(1-V$20/100))</f>
        <v>0</v>
      </c>
      <c r="O380" s="7" t="n">
        <f aca="false">L380+M380</f>
        <v>13.1324054767694</v>
      </c>
      <c r="P380" s="49" t="n">
        <f aca="false">IF(N380=0,I380*(1-G380/100)+J380*(1-H380/100),-N380)</f>
        <v>10.101896968783</v>
      </c>
      <c r="Q380" s="54" t="n">
        <f aca="false">IF(P379&gt;0,Q379+P379*(1-V$24/100),Q379+P379)</f>
        <v>193.123709919171</v>
      </c>
      <c r="R380" s="55" t="n">
        <f aca="false">R$4+Q380/V$32</f>
        <v>41.8781648410487</v>
      </c>
    </row>
    <row r="381" customFormat="false" ht="12.8" hidden="false" customHeight="false" outlineLevel="0" collapsed="false">
      <c r="A381" s="1" t="n">
        <v>377</v>
      </c>
      <c r="B381" s="44" t="n">
        <v>43922</v>
      </c>
      <c r="C381" s="45" t="n">
        <f aca="false">V$30-V$30*SIN(2*PI()/365*A381)</f>
        <v>12.8593662121711</v>
      </c>
      <c r="D381" s="3" t="n">
        <f aca="false">IF((E381+F381)&gt;C381,C381,E381+F381)</f>
        <v>12.8593662121711</v>
      </c>
      <c r="E381" s="46" t="n">
        <f aca="false">(V$27+V$28*SIN(2*PI()/365*A381))*V$29/100*V$9*V$10/100</f>
        <v>0</v>
      </c>
      <c r="F381" s="46" t="n">
        <f aca="false">(V$27+V$28*SIN(2*PI()/365*A381))*V$29/100*V$11*(1-V$18/100)*(1-V$20/100)</f>
        <v>22.599658562473</v>
      </c>
      <c r="G381" s="46" t="n">
        <f aca="false">IF(C381&gt;E381,100,C381/E381*100)</f>
        <v>100</v>
      </c>
      <c r="H381" s="46" t="n">
        <f aca="false">L381/F381*100</f>
        <v>56.9007101440204</v>
      </c>
      <c r="I381" s="47" t="n">
        <f aca="false">(V$27+V$28*SIN(2*PI()/365*A381))*V$29/100*V$9*V$10/100*(1-V$19/100)</f>
        <v>0</v>
      </c>
      <c r="J381" s="47" t="n">
        <f aca="false">(V$27+V$28*SIN(2*PI()/365*A381))*V$29/100*V$11*(1-V$18/100)</f>
        <v>24.8347896290913</v>
      </c>
      <c r="K381" s="48" t="n">
        <f aca="false">IF(E381/C381*100&lt;100,E381/C381*100,100)</f>
        <v>0</v>
      </c>
      <c r="L381" s="7" t="n">
        <f aca="false">IF(((C381-E381)&gt;0)*AND(F381&gt;(C381-E381)),(C381-E381),IF(C381&lt;E381,0,F381))</f>
        <v>12.8593662121711</v>
      </c>
      <c r="M381" s="7" t="n">
        <f aca="false">IF(C381&lt;(E381+F381),0,C381-E381-F381)</f>
        <v>0</v>
      </c>
      <c r="N381" s="7" t="n">
        <f aca="false">IF(C381&lt;(E381+F381),0,(C381-E381-F381)/(1-V$20/100))</f>
        <v>0</v>
      </c>
      <c r="O381" s="7" t="n">
        <f aca="false">L381+M381</f>
        <v>12.8593662121711</v>
      </c>
      <c r="P381" s="49" t="n">
        <f aca="false">IF(N381=0,I381*(1-G381/100)+J381*(1-H381/100),-N381)</f>
        <v>10.7036179673648</v>
      </c>
      <c r="Q381" s="54" t="n">
        <f aca="false">IF(P380&gt;0,Q380+P380*(1-V$24/100),Q380+P380)</f>
        <v>200.902170585134</v>
      </c>
      <c r="R381" s="55" t="n">
        <f aca="false">R$4+Q381/V$32</f>
        <v>41.953811851695</v>
      </c>
    </row>
    <row r="382" customFormat="false" ht="12.8" hidden="false" customHeight="false" outlineLevel="0" collapsed="false">
      <c r="A382" s="1" t="n">
        <v>378</v>
      </c>
      <c r="B382" s="44" t="n">
        <v>43923</v>
      </c>
      <c r="C382" s="45" t="n">
        <f aca="false">V$30-V$30*SIN(2*PI()/365*A382)</f>
        <v>12.587310161446</v>
      </c>
      <c r="D382" s="3" t="n">
        <f aca="false">IF((E382+F382)&gt;C382,C382,E382+F382)</f>
        <v>12.587310161446</v>
      </c>
      <c r="E382" s="46" t="n">
        <f aca="false">(V$27+V$28*SIN(2*PI()/365*A382))*V$29/100*V$9*V$10/100</f>
        <v>0</v>
      </c>
      <c r="F382" s="46" t="n">
        <f aca="false">(V$27+V$28*SIN(2*PI()/365*A382))*V$29/100*V$11*(1-V$18/100)*(1-V$20/100)</f>
        <v>22.8731968359398</v>
      </c>
      <c r="G382" s="46" t="n">
        <f aca="false">IF(C382&gt;E382,100,C382/E382*100)</f>
        <v>100</v>
      </c>
      <c r="H382" s="46" t="n">
        <f aca="false">L382/F382*100</f>
        <v>55.0308304157467</v>
      </c>
      <c r="I382" s="47" t="n">
        <f aca="false">(V$27+V$28*SIN(2*PI()/365*A382))*V$29/100*V$9*V$10/100*(1-V$19/100)</f>
        <v>0</v>
      </c>
      <c r="J382" s="47" t="n">
        <f aca="false">(V$27+V$28*SIN(2*PI()/365*A382))*V$29/100*V$11*(1-V$18/100)</f>
        <v>25.1353811383954</v>
      </c>
      <c r="K382" s="48" t="n">
        <f aca="false">IF(E382/C382*100&lt;100,E382/C382*100,100)</f>
        <v>0</v>
      </c>
      <c r="L382" s="7" t="n">
        <f aca="false">IF(((C382-E382)&gt;0)*AND(F382&gt;(C382-E382)),(C382-E382),IF(C382&lt;E382,0,F382))</f>
        <v>12.587310161446</v>
      </c>
      <c r="M382" s="7" t="n">
        <f aca="false">IF(C382&lt;(E382+F382),0,C382-E382-F382)</f>
        <v>0</v>
      </c>
      <c r="N382" s="7" t="n">
        <f aca="false">IF(C382&lt;(E382+F382),0,(C382-E382-F382)/(1-V$20/100))</f>
        <v>0</v>
      </c>
      <c r="O382" s="7" t="n">
        <f aca="false">L382+M382</f>
        <v>12.587310161446</v>
      </c>
      <c r="P382" s="49" t="n">
        <f aca="false">IF(N382=0,I382*(1-G382/100)+J382*(1-H382/100),-N382)</f>
        <v>11.3031721697735</v>
      </c>
      <c r="Q382" s="54" t="n">
        <f aca="false">IF(P381&gt;0,Q381+P381*(1-V$24/100),Q381+P381)</f>
        <v>209.143956420005</v>
      </c>
      <c r="R382" s="55" t="n">
        <f aca="false">R$4+Q382/V$32</f>
        <v>42.0339647878051</v>
      </c>
    </row>
    <row r="383" customFormat="false" ht="12.8" hidden="false" customHeight="false" outlineLevel="0" collapsed="false">
      <c r="A383" s="1" t="n">
        <v>379</v>
      </c>
      <c r="B383" s="44" t="n">
        <v>43924</v>
      </c>
      <c r="C383" s="45" t="n">
        <f aca="false">V$30-V$30*SIN(2*PI()/365*A383)</f>
        <v>12.3163179406735</v>
      </c>
      <c r="D383" s="3" t="n">
        <f aca="false">IF((E383+F383)&gt;C383,C383,E383+F383)</f>
        <v>12.3163179406735</v>
      </c>
      <c r="E383" s="46" t="n">
        <f aca="false">(V$27+V$28*SIN(2*PI()/365*A383))*V$29/100*V$9*V$10/100</f>
        <v>0</v>
      </c>
      <c r="F383" s="46" t="n">
        <f aca="false">(V$27+V$28*SIN(2*PI()/365*A383))*V$29/100*V$11*(1-V$18/100)*(1-V$20/100)</f>
        <v>23.1456654834685</v>
      </c>
      <c r="G383" s="46" t="n">
        <f aca="false">IF(C383&gt;E383,100,C383/E383*100)</f>
        <v>100</v>
      </c>
      <c r="H383" s="46" t="n">
        <f aca="false">L383/F383*100</f>
        <v>53.2122005715077</v>
      </c>
      <c r="I383" s="47" t="n">
        <f aca="false">(V$27+V$28*SIN(2*PI()/365*A383))*V$29/100*V$9*V$10/100*(1-V$19/100)</f>
        <v>0</v>
      </c>
      <c r="J383" s="47" t="n">
        <f aca="false">(V$27+V$28*SIN(2*PI()/365*A383))*V$29/100*V$11*(1-V$18/100)</f>
        <v>25.4347972345807</v>
      </c>
      <c r="K383" s="48" t="n">
        <f aca="false">IF(E383/C383*100&lt;100,E383/C383*100,100)</f>
        <v>0</v>
      </c>
      <c r="L383" s="7" t="n">
        <f aca="false">IF(((C383-E383)&gt;0)*AND(F383&gt;(C383-E383)),(C383-E383),IF(C383&lt;E383,0,F383))</f>
        <v>12.3163179406735</v>
      </c>
      <c r="M383" s="7" t="n">
        <f aca="false">IF(C383&lt;(E383+F383),0,C383-E383-F383)</f>
        <v>0</v>
      </c>
      <c r="N383" s="7" t="n">
        <f aca="false">IF(C383&lt;(E383+F383),0,(C383-E383-F383)/(1-V$20/100))</f>
        <v>0</v>
      </c>
      <c r="O383" s="7" t="n">
        <f aca="false">L383+M383</f>
        <v>12.3163179406735</v>
      </c>
      <c r="P383" s="49" t="n">
        <f aca="false">IF(N383=0,I383*(1-G383/100)+J383*(1-H383/100),-N383)</f>
        <v>11.9003819151593</v>
      </c>
      <c r="Q383" s="54" t="n">
        <f aca="false">IF(P382&gt;0,Q382+P382*(1-V$24/100),Q382+P382)</f>
        <v>217.847398990731</v>
      </c>
      <c r="R383" s="55" t="n">
        <f aca="false">R$4+Q383/V$32</f>
        <v>42.1186074235502</v>
      </c>
    </row>
    <row r="384" customFormat="false" ht="12.8" hidden="false" customHeight="false" outlineLevel="0" collapsed="false">
      <c r="A384" s="1" t="n">
        <v>380</v>
      </c>
      <c r="B384" s="44" t="n">
        <v>43925</v>
      </c>
      <c r="C384" s="45" t="n">
        <f aca="false">V$30-V$30*SIN(2*PI()/365*A384)</f>
        <v>12.046469850697</v>
      </c>
      <c r="D384" s="3" t="n">
        <f aca="false">IF((E384+F384)&gt;C384,C384,E384+F384)</f>
        <v>12.046469850697</v>
      </c>
      <c r="E384" s="46" t="n">
        <f aca="false">(V$27+V$28*SIN(2*PI()/365*A384))*V$29/100*V$9*V$10/100</f>
        <v>0</v>
      </c>
      <c r="F384" s="46" t="n">
        <f aca="false">(V$27+V$28*SIN(2*PI()/365*A384))*V$29/100*V$11*(1-V$18/100)*(1-V$20/100)</f>
        <v>23.4169837667183</v>
      </c>
      <c r="G384" s="46" t="n">
        <f aca="false">IF(C384&gt;E384,100,C384/E384*100)</f>
        <v>100</v>
      </c>
      <c r="H384" s="46" t="n">
        <f aca="false">L384/F384*100</f>
        <v>51.4433027357615</v>
      </c>
      <c r="I384" s="47" t="n">
        <f aca="false">(V$27+V$28*SIN(2*PI()/365*A384))*V$29/100*V$9*V$10/100*(1-V$19/100)</f>
        <v>0</v>
      </c>
      <c r="J384" s="47" t="n">
        <f aca="false">(V$27+V$28*SIN(2*PI()/365*A384))*V$29/100*V$11*(1-V$18/100)</f>
        <v>25.732949194196</v>
      </c>
      <c r="K384" s="48" t="n">
        <f aca="false">IF(E384/C384*100&lt;100,E384/C384*100,100)</f>
        <v>0</v>
      </c>
      <c r="L384" s="7" t="n">
        <f aca="false">IF(((C384-E384)&gt;0)*AND(F384&gt;(C384-E384)),(C384-E384),IF(C384&lt;E384,0,F384))</f>
        <v>12.046469850697</v>
      </c>
      <c r="M384" s="7" t="n">
        <f aca="false">IF(C384&lt;(E384+F384),0,C384-E384-F384)</f>
        <v>0</v>
      </c>
      <c r="N384" s="7" t="n">
        <f aca="false">IF(C384&lt;(E384+F384),0,(C384-E384-F384)/(1-V$20/100))</f>
        <v>0</v>
      </c>
      <c r="O384" s="7" t="n">
        <f aca="false">L384+M384</f>
        <v>12.046469850697</v>
      </c>
      <c r="P384" s="49" t="n">
        <f aca="false">IF(N384=0,I384*(1-G384/100)+J384*(1-H384/100),-N384)</f>
        <v>12.4950702373861</v>
      </c>
      <c r="Q384" s="54" t="n">
        <f aca="false">IF(P383&gt;0,Q383+P383*(1-V$24/100),Q383+P383)</f>
        <v>227.010693065403</v>
      </c>
      <c r="R384" s="55" t="n">
        <f aca="false">R$4+Q384/V$32</f>
        <v>42.2077222027062</v>
      </c>
    </row>
    <row r="385" customFormat="false" ht="12.8" hidden="false" customHeight="false" outlineLevel="0" collapsed="false">
      <c r="A385" s="1" t="n">
        <v>381</v>
      </c>
      <c r="B385" s="44" t="n">
        <v>43926</v>
      </c>
      <c r="C385" s="45" t="n">
        <f aca="false">V$30-V$30*SIN(2*PI()/365*A385)</f>
        <v>11.7778458533295</v>
      </c>
      <c r="D385" s="3" t="n">
        <f aca="false">IF((E385+F385)&gt;C385,C385,E385+F385)</f>
        <v>11.7778458533295</v>
      </c>
      <c r="E385" s="46" t="n">
        <f aca="false">(V$27+V$28*SIN(2*PI()/365*A385))*V$29/100*V$9*V$10/100</f>
        <v>0</v>
      </c>
      <c r="F385" s="46" t="n">
        <f aca="false">(V$27+V$28*SIN(2*PI()/365*A385))*V$29/100*V$11*(1-V$18/100)*(1-V$20/100)</f>
        <v>23.6870712882266</v>
      </c>
      <c r="G385" s="46" t="n">
        <f aca="false">IF(C385&gt;E385,100,C385/E385*100)</f>
        <v>100</v>
      </c>
      <c r="H385" s="46" t="n">
        <f aca="false">L385/F385*100</f>
        <v>49.7226766028421</v>
      </c>
      <c r="I385" s="47" t="n">
        <f aca="false">(V$27+V$28*SIN(2*PI()/365*A385))*V$29/100*V$9*V$10/100*(1-V$19/100)</f>
        <v>0</v>
      </c>
      <c r="J385" s="47" t="n">
        <f aca="false">(V$27+V$28*SIN(2*PI()/365*A385))*V$29/100*V$11*(1-V$18/100)</f>
        <v>26.0297486683808</v>
      </c>
      <c r="K385" s="48" t="n">
        <f aca="false">IF(E385/C385*100&lt;100,E385/C385*100,100)</f>
        <v>0</v>
      </c>
      <c r="L385" s="7" t="n">
        <f aca="false">IF(((C385-E385)&gt;0)*AND(F385&gt;(C385-E385)),(C385-E385),IF(C385&lt;E385,0,F385))</f>
        <v>11.7778458533295</v>
      </c>
      <c r="M385" s="7" t="n">
        <f aca="false">IF(C385&lt;(E385+F385),0,C385-E385-F385)</f>
        <v>0</v>
      </c>
      <c r="N385" s="7" t="n">
        <f aca="false">IF(C385&lt;(E385+F385),0,(C385-E385-F385)/(1-V$20/100))</f>
        <v>0</v>
      </c>
      <c r="O385" s="7" t="n">
        <f aca="false">L385+M385</f>
        <v>11.7778458533295</v>
      </c>
      <c r="P385" s="49" t="n">
        <f aca="false">IF(N385=0,I385*(1-G385/100)+J385*(1-H385/100),-N385)</f>
        <v>13.0870609174692</v>
      </c>
      <c r="Q385" s="54" t="n">
        <f aca="false">IF(P384&gt;0,Q384+P384*(1-V$24/100),Q384+P384)</f>
        <v>236.631897148191</v>
      </c>
      <c r="R385" s="55" t="n">
        <f aca="false">R$4+Q385/V$32</f>
        <v>42.3012902438567</v>
      </c>
    </row>
    <row r="386" customFormat="false" ht="12.8" hidden="false" customHeight="false" outlineLevel="0" collapsed="false">
      <c r="A386" s="1" t="n">
        <v>382</v>
      </c>
      <c r="B386" s="44" t="n">
        <v>43927</v>
      </c>
      <c r="C386" s="45" t="n">
        <f aca="false">V$30-V$30*SIN(2*PI()/365*A386)</f>
        <v>11.5105255476588</v>
      </c>
      <c r="D386" s="3" t="n">
        <f aca="false">IF((E386+F386)&gt;C386,C386,E386+F386)</f>
        <v>11.5105255476588</v>
      </c>
      <c r="E386" s="46" t="n">
        <f aca="false">(V$27+V$28*SIN(2*PI()/365*A386))*V$29/100*V$9*V$10/100</f>
        <v>0</v>
      </c>
      <c r="F386" s="46" t="n">
        <f aca="false">(V$27+V$28*SIN(2*PI()/365*A386))*V$29/100*V$11*(1-V$18/100)*(1-V$20/100)</f>
        <v>23.9558480152316</v>
      </c>
      <c r="G386" s="46" t="n">
        <f aca="false">IF(C386&gt;E386,100,C386/E386*100)</f>
        <v>100</v>
      </c>
      <c r="H386" s="46" t="n">
        <f aca="false">L386/F386*100</f>
        <v>48.0489170758646</v>
      </c>
      <c r="I386" s="47" t="n">
        <f aca="false">(V$27+V$28*SIN(2*PI()/365*A386))*V$29/100*V$9*V$10/100*(1-V$19/100)</f>
        <v>0</v>
      </c>
      <c r="J386" s="47" t="n">
        <f aca="false">(V$27+V$28*SIN(2*PI()/365*A386))*V$29/100*V$11*(1-V$18/100)</f>
        <v>26.3251077090457</v>
      </c>
      <c r="K386" s="48" t="n">
        <f aca="false">IF(E386/C386*100&lt;100,E386/C386*100,100)</f>
        <v>0</v>
      </c>
      <c r="L386" s="7" t="n">
        <f aca="false">IF(((C386-E386)&gt;0)*AND(F386&gt;(C386-E386)),(C386-E386),IF(C386&lt;E386,0,F386))</f>
        <v>11.5105255476588</v>
      </c>
      <c r="M386" s="7" t="n">
        <f aca="false">IF(C386&lt;(E386+F386),0,C386-E386-F386)</f>
        <v>0</v>
      </c>
      <c r="N386" s="7" t="n">
        <f aca="false">IF(C386&lt;(E386+F386),0,(C386-E386-F386)/(1-V$20/100))</f>
        <v>0</v>
      </c>
      <c r="O386" s="7" t="n">
        <f aca="false">L386+M386</f>
        <v>11.5105255476588</v>
      </c>
      <c r="P386" s="49" t="n">
        <f aca="false">IF(N386=0,I386*(1-G386/100)+J386*(1-H386/100),-N386)</f>
        <v>13.6761785357943</v>
      </c>
      <c r="Q386" s="54" t="n">
        <f aca="false">IF(P385&gt;0,Q385+P385*(1-V$24/100),Q385+P385)</f>
        <v>246.708934054642</v>
      </c>
      <c r="R386" s="55" t="n">
        <f aca="false">R$4+Q386/V$32</f>
        <v>42.3992913459874</v>
      </c>
    </row>
    <row r="387" customFormat="false" ht="12.8" hidden="false" customHeight="false" outlineLevel="0" collapsed="false">
      <c r="A387" s="1" t="n">
        <v>383</v>
      </c>
      <c r="B387" s="44" t="n">
        <v>43928</v>
      </c>
      <c r="C387" s="45" t="n">
        <f aca="false">V$30-V$30*SIN(2*PI()/365*A387)</f>
        <v>11.2445881464606</v>
      </c>
      <c r="D387" s="3" t="n">
        <f aca="false">IF((E387+F387)&gt;C387,C387,E387+F387)</f>
        <v>11.2445881464606</v>
      </c>
      <c r="E387" s="46" t="n">
        <f aca="false">(V$27+V$28*SIN(2*PI()/365*A387))*V$29/100*V$9*V$10/100</f>
        <v>0</v>
      </c>
      <c r="F387" s="46" t="n">
        <f aca="false">(V$27+V$28*SIN(2*PI()/365*A387))*V$29/100*V$11*(1-V$18/100)*(1-V$20/100)</f>
        <v>24.2232343033885</v>
      </c>
      <c r="G387" s="46" t="n">
        <f aca="false">IF(C387&gt;E387,100,C387/E387*100)</f>
        <v>100</v>
      </c>
      <c r="H387" s="46" t="n">
        <f aca="false">L387/F387*100</f>
        <v>46.4206720111179</v>
      </c>
      <c r="I387" s="47" t="n">
        <f aca="false">(V$27+V$28*SIN(2*PI()/365*A387))*V$29/100*V$9*V$10/100*(1-V$19/100)</f>
        <v>0</v>
      </c>
      <c r="J387" s="47" t="n">
        <f aca="false">(V$27+V$28*SIN(2*PI()/365*A387))*V$29/100*V$11*(1-V$18/100)</f>
        <v>26.6189387949324</v>
      </c>
      <c r="K387" s="48" t="n">
        <f aca="false">IF(E387/C387*100&lt;100,E387/C387*100,100)</f>
        <v>0</v>
      </c>
      <c r="L387" s="7" t="n">
        <f aca="false">IF(((C387-E387)&gt;0)*AND(F387&gt;(C387-E387)),(C387-E387),IF(C387&lt;E387,0,F387))</f>
        <v>11.2445881464606</v>
      </c>
      <c r="M387" s="7" t="n">
        <f aca="false">IF(C387&lt;(E387+F387),0,C387-E387-F387)</f>
        <v>0</v>
      </c>
      <c r="N387" s="7" t="n">
        <f aca="false">IF(C387&lt;(E387+F387),0,(C387-E387-F387)/(1-V$20/100))</f>
        <v>0</v>
      </c>
      <c r="O387" s="7" t="n">
        <f aca="false">L387+M387</f>
        <v>11.2445881464606</v>
      </c>
      <c r="P387" s="49" t="n">
        <f aca="false">IF(N387=0,I387*(1-G387/100)+J387*(1-H387/100),-N387)</f>
        <v>14.2622485240966</v>
      </c>
      <c r="Q387" s="54" t="n">
        <f aca="false">IF(P386&gt;0,Q386+P386*(1-V$24/100),Q386+P386)</f>
        <v>257.239591527204</v>
      </c>
      <c r="R387" s="55" t="n">
        <f aca="false">R$4+Q387/V$32</f>
        <v>42.5017039944725</v>
      </c>
    </row>
    <row r="388" customFormat="false" ht="12.8" hidden="false" customHeight="false" outlineLevel="0" collapsed="false">
      <c r="A388" s="1" t="n">
        <v>384</v>
      </c>
      <c r="B388" s="44" t="n">
        <v>43929</v>
      </c>
      <c r="C388" s="45" t="n">
        <f aca="false">V$30-V$30*SIN(2*PI()/365*A388)</f>
        <v>10.9801124527263</v>
      </c>
      <c r="D388" s="3" t="n">
        <f aca="false">IF((E388+F388)&gt;C388,C388,E388+F388)</f>
        <v>10.9801124527263</v>
      </c>
      <c r="E388" s="46" t="n">
        <f aca="false">(V$27+V$28*SIN(2*PI()/365*A388))*V$29/100*V$9*V$10/100</f>
        <v>0</v>
      </c>
      <c r="F388" s="46" t="n">
        <f aca="false">(V$27+V$28*SIN(2*PI()/365*A388))*V$29/100*V$11*(1-V$18/100)*(1-V$20/100)</f>
        <v>24.4891509203694</v>
      </c>
      <c r="G388" s="46" t="n">
        <f aca="false">IF(C388&gt;E388,100,C388/E388*100)</f>
        <v>100</v>
      </c>
      <c r="H388" s="46" t="n">
        <f aca="false">L388/F388*100</f>
        <v>44.8366400633078</v>
      </c>
      <c r="I388" s="47" t="n">
        <f aca="false">(V$27+V$28*SIN(2*PI()/365*A388))*V$29/100*V$9*V$10/100*(1-V$19/100)</f>
        <v>0</v>
      </c>
      <c r="J388" s="47" t="n">
        <f aca="false">(V$27+V$28*SIN(2*PI()/365*A388))*V$29/100*V$11*(1-V$18/100)</f>
        <v>26.9111548575488</v>
      </c>
      <c r="K388" s="48" t="n">
        <f aca="false">IF(E388/C388*100&lt;100,E388/C388*100,100)</f>
        <v>0</v>
      </c>
      <c r="L388" s="7" t="n">
        <f aca="false">IF(((C388-E388)&gt;0)*AND(F388&gt;(C388-E388)),(C388-E388),IF(C388&lt;E388,0,F388))</f>
        <v>10.9801124527263</v>
      </c>
      <c r="M388" s="7" t="n">
        <f aca="false">IF(C388&lt;(E388+F388),0,C388-E388-F388)</f>
        <v>0</v>
      </c>
      <c r="N388" s="7" t="n">
        <f aca="false">IF(C388&lt;(E388+F388),0,(C388-E388-F388)/(1-V$20/100))</f>
        <v>0</v>
      </c>
      <c r="O388" s="7" t="n">
        <f aca="false">L388+M388</f>
        <v>10.9801124527263</v>
      </c>
      <c r="P388" s="49" t="n">
        <f aca="false">IF(N388=0,I388*(1-G388/100)+J388*(1-H388/100),-N388)</f>
        <v>14.8450972171903</v>
      </c>
      <c r="Q388" s="54" t="n">
        <f aca="false">IF(P387&gt;0,Q387+P387*(1-V$24/100),Q387+P387)</f>
        <v>268.221522890758</v>
      </c>
      <c r="R388" s="55" t="n">
        <f aca="false">R$4+Q388/V$32</f>
        <v>42.6085053674498</v>
      </c>
    </row>
    <row r="389" customFormat="false" ht="12.8" hidden="false" customHeight="false" outlineLevel="0" collapsed="false">
      <c r="A389" s="1" t="n">
        <v>385</v>
      </c>
      <c r="B389" s="44" t="n">
        <v>43930</v>
      </c>
      <c r="C389" s="45" t="n">
        <f aca="false">V$30-V$30*SIN(2*PI()/365*A389)</f>
        <v>10.7171768363118</v>
      </c>
      <c r="D389" s="3" t="n">
        <f aca="false">IF((E389+F389)&gt;C389,C389,E389+F389)</f>
        <v>10.7171768363118</v>
      </c>
      <c r="E389" s="46" t="n">
        <f aca="false">(V$27+V$28*SIN(2*PI()/365*A389))*V$29/100*V$9*V$10/100</f>
        <v>0</v>
      </c>
      <c r="F389" s="46" t="n">
        <f aca="false">(V$27+V$28*SIN(2*PI()/365*A389))*V$29/100*V$11*(1-V$18/100)*(1-V$20/100)</f>
        <v>24.7535190693419</v>
      </c>
      <c r="G389" s="46" t="n">
        <f aca="false">IF(C389&gt;E389,100,C389/E389*100)</f>
        <v>100</v>
      </c>
      <c r="H389" s="46" t="n">
        <f aca="false">L389/F389*100</f>
        <v>43.2955686271913</v>
      </c>
      <c r="I389" s="47" t="n">
        <f aca="false">(V$27+V$28*SIN(2*PI()/365*A389))*V$29/100*V$9*V$10/100*(1-V$19/100)</f>
        <v>0</v>
      </c>
      <c r="J389" s="47" t="n">
        <f aca="false">(V$27+V$28*SIN(2*PI()/365*A389))*V$29/100*V$11*(1-V$18/100)</f>
        <v>27.2016693069691</v>
      </c>
      <c r="K389" s="48" t="n">
        <f aca="false">IF(E389/C389*100&lt;100,E389/C389*100,100)</f>
        <v>0</v>
      </c>
      <c r="L389" s="7" t="n">
        <f aca="false">IF(((C389-E389)&gt;0)*AND(F389&gt;(C389-E389)),(C389-E389),IF(C389&lt;E389,0,F389))</f>
        <v>10.7171768363118</v>
      </c>
      <c r="M389" s="7" t="n">
        <f aca="false">IF(C389&lt;(E389+F389),0,C389-E389-F389)</f>
        <v>0</v>
      </c>
      <c r="N389" s="7" t="n">
        <f aca="false">IF(C389&lt;(E389+F389),0,(C389-E389-F389)/(1-V$20/100))</f>
        <v>0</v>
      </c>
      <c r="O389" s="7" t="n">
        <f aca="false">L389+M389</f>
        <v>10.7171768363118</v>
      </c>
      <c r="P389" s="49" t="n">
        <f aca="false">IF(N389=0,I389*(1-G389/100)+J389*(1-H389/100),-N389)</f>
        <v>15.4245519044286</v>
      </c>
      <c r="Q389" s="54" t="n">
        <f aca="false">IF(P388&gt;0,Q388+P388*(1-V$24/100),Q388+P388)</f>
        <v>279.652247747994</v>
      </c>
      <c r="R389" s="55" t="n">
        <f aca="false">R$4+Q389/V$32</f>
        <v>42.7196713425833</v>
      </c>
    </row>
    <row r="390" customFormat="false" ht="12.8" hidden="false" customHeight="false" outlineLevel="0" collapsed="false">
      <c r="A390" s="1" t="n">
        <v>386</v>
      </c>
      <c r="B390" s="44" t="n">
        <v>43931</v>
      </c>
      <c r="C390" s="45" t="n">
        <f aca="false">V$30-V$30*SIN(2*PI()/365*A390)</f>
        <v>10.4558592107149</v>
      </c>
      <c r="D390" s="3" t="n">
        <f aca="false">IF((E390+F390)&gt;C390,C390,E390+F390)</f>
        <v>10.4558592107149</v>
      </c>
      <c r="E390" s="46" t="n">
        <f aca="false">(V$27+V$28*SIN(2*PI()/365*A390))*V$29/100*V$9*V$10/100</f>
        <v>0</v>
      </c>
      <c r="F390" s="46" t="n">
        <f aca="false">(V$27+V$28*SIN(2*PI()/365*A390))*V$29/100*V$11*(1-V$18/100)*(1-V$20/100)</f>
        <v>25.0162604123177</v>
      </c>
      <c r="G390" s="46" t="n">
        <f aca="false">IF(C390&gt;E390,100,C390/E390*100)</f>
        <v>100</v>
      </c>
      <c r="H390" s="46" t="n">
        <f aca="false">L390/F390*100</f>
        <v>41.7962518713093</v>
      </c>
      <c r="I390" s="47" t="n">
        <f aca="false">(V$27+V$28*SIN(2*PI()/365*A390))*V$29/100*V$9*V$10/100*(1-V$19/100)</f>
        <v>0</v>
      </c>
      <c r="J390" s="47" t="n">
        <f aca="false">(V$27+V$28*SIN(2*PI()/365*A390))*V$29/100*V$11*(1-V$18/100)</f>
        <v>27.490396057492</v>
      </c>
      <c r="K390" s="48" t="n">
        <f aca="false">IF(E390/C390*100&lt;100,E390/C390*100,100)</f>
        <v>0</v>
      </c>
      <c r="L390" s="7" t="n">
        <f aca="false">IF(((C390-E390)&gt;0)*AND(F390&gt;(C390-E390)),(C390-E390),IF(C390&lt;E390,0,F390))</f>
        <v>10.4558592107149</v>
      </c>
      <c r="M390" s="7" t="n">
        <f aca="false">IF(C390&lt;(E390+F390),0,C390-E390-F390)</f>
        <v>0</v>
      </c>
      <c r="N390" s="7" t="n">
        <f aca="false">IF(C390&lt;(E390+F390),0,(C390-E390-F390)/(1-V$20/100))</f>
        <v>0</v>
      </c>
      <c r="O390" s="7" t="n">
        <f aca="false">L390+M390</f>
        <v>10.4558592107149</v>
      </c>
      <c r="P390" s="49" t="n">
        <f aca="false">IF(N390=0,I390*(1-G390/100)+J390*(1-H390/100),-N390)</f>
        <v>16.0004408808822</v>
      </c>
      <c r="Q390" s="54" t="n">
        <f aca="false">IF(P389&gt;0,Q389+P389*(1-V$24/100),Q389+P389)</f>
        <v>291.529152714404</v>
      </c>
      <c r="R390" s="55" t="n">
        <f aca="false">R$4+Q390/V$32</f>
        <v>42.8351765042111</v>
      </c>
    </row>
    <row r="391" customFormat="false" ht="12.8" hidden="false" customHeight="false" outlineLevel="0" collapsed="false">
      <c r="A391" s="1" t="n">
        <v>387</v>
      </c>
      <c r="B391" s="44" t="n">
        <v>43932</v>
      </c>
      <c r="C391" s="45" t="n">
        <f aca="false">V$30-V$30*SIN(2*PI()/365*A391)</f>
        <v>10.1962370099878</v>
      </c>
      <c r="D391" s="3" t="n">
        <f aca="false">IF((E391+F391)&gt;C391,C391,E391+F391)</f>
        <v>10.1962370099878</v>
      </c>
      <c r="E391" s="46" t="n">
        <f aca="false">(V$27+V$28*SIN(2*PI()/365*A391))*V$29/100*V$9*V$10/100</f>
        <v>0</v>
      </c>
      <c r="F391" s="46" t="n">
        <f aca="false">(V$27+V$28*SIN(2*PI()/365*A391))*V$29/100*V$11*(1-V$18/100)*(1-V$20/100)</f>
        <v>25.2772970933666</v>
      </c>
      <c r="G391" s="46" t="n">
        <f aca="false">IF(C391&gt;E391,100,C391/E391*100)</f>
        <v>100</v>
      </c>
      <c r="H391" s="46" t="n">
        <f aca="false">L391/F391*100</f>
        <v>40.3375288596958</v>
      </c>
      <c r="I391" s="47" t="n">
        <f aca="false">(V$27+V$28*SIN(2*PI()/365*A391))*V$29/100*V$9*V$10/100*(1-V$19/100)</f>
        <v>0</v>
      </c>
      <c r="J391" s="47" t="n">
        <f aca="false">(V$27+V$28*SIN(2*PI()/365*A391))*V$29/100*V$11*(1-V$18/100)</f>
        <v>27.7772495531501</v>
      </c>
      <c r="K391" s="48" t="n">
        <f aca="false">IF(E391/C391*100&lt;100,E391/C391*100,100)</f>
        <v>0</v>
      </c>
      <c r="L391" s="7" t="n">
        <f aca="false">IF(((C391-E391)&gt;0)*AND(F391&gt;(C391-E391)),(C391-E391),IF(C391&lt;E391,0,F391))</f>
        <v>10.1962370099878</v>
      </c>
      <c r="M391" s="7" t="n">
        <f aca="false">IF(C391&lt;(E391+F391),0,C391-E391-F391)</f>
        <v>0</v>
      </c>
      <c r="N391" s="7" t="n">
        <f aca="false">IF(C391&lt;(E391+F391),0,(C391-E391-F391)/(1-V$20/100))</f>
        <v>0</v>
      </c>
      <c r="O391" s="7" t="n">
        <f aca="false">L391+M391</f>
        <v>10.1962370099878</v>
      </c>
      <c r="P391" s="49" t="n">
        <f aca="false">IF(N391=0,I391*(1-G391/100)+J391*(1-H391/100),-N391)</f>
        <v>16.5725934982185</v>
      </c>
      <c r="Q391" s="54" t="n">
        <f aca="false">IF(P390&gt;0,Q390+P390*(1-V$24/100),Q390+P390)</f>
        <v>303.849492192684</v>
      </c>
      <c r="R391" s="55" t="n">
        <f aca="false">R$4+Q391/V$32</f>
        <v>42.954994150877</v>
      </c>
    </row>
    <row r="392" customFormat="false" ht="12.8" hidden="false" customHeight="false" outlineLevel="0" collapsed="false">
      <c r="A392" s="1" t="n">
        <v>388</v>
      </c>
      <c r="B392" s="44" t="n">
        <v>43933</v>
      </c>
      <c r="C392" s="45" t="n">
        <f aca="false">V$30-V$30*SIN(2*PI()/365*A392)</f>
        <v>9.93838716579162</v>
      </c>
      <c r="D392" s="3" t="n">
        <f aca="false">IF((E392+F392)&gt;C392,C392,E392+F392)</f>
        <v>9.93838716579162</v>
      </c>
      <c r="E392" s="46" t="n">
        <f aca="false">(V$27+V$28*SIN(2*PI()/365*A392))*V$29/100*V$9*V$10/100</f>
        <v>0</v>
      </c>
      <c r="F392" s="46" t="n">
        <f aca="false">(V$27+V$28*SIN(2*PI()/365*A392))*V$29/100*V$11*(1-V$18/100)*(1-V$20/100)</f>
        <v>25.5365517616863</v>
      </c>
      <c r="G392" s="46" t="n">
        <f aca="false">IF(C392&gt;E392,100,C392/E392*100)</f>
        <v>100</v>
      </c>
      <c r="H392" s="46" t="n">
        <f aca="false">L392/F392*100</f>
        <v>38.9182817576124</v>
      </c>
      <c r="I392" s="47" t="n">
        <f aca="false">(V$27+V$28*SIN(2*PI()/365*A392))*V$29/100*V$9*V$10/100*(1-V$19/100)</f>
        <v>0</v>
      </c>
      <c r="J392" s="47" t="n">
        <f aca="false">(V$27+V$28*SIN(2*PI()/365*A392))*V$29/100*V$11*(1-V$18/100)</f>
        <v>28.0621447930619</v>
      </c>
      <c r="K392" s="48" t="n">
        <f aca="false">IF(E392/C392*100&lt;100,E392/C392*100,100)</f>
        <v>0</v>
      </c>
      <c r="L392" s="7" t="n">
        <f aca="false">IF(((C392-E392)&gt;0)*AND(F392&gt;(C392-E392)),(C392-E392),IF(C392&lt;E392,0,F392))</f>
        <v>9.93838716579162</v>
      </c>
      <c r="M392" s="7" t="n">
        <f aca="false">IF(C392&lt;(E392+F392),0,C392-E392-F392)</f>
        <v>0</v>
      </c>
      <c r="N392" s="7" t="n">
        <f aca="false">IF(C392&lt;(E392+F392),0,(C392-E392-F392)/(1-V$20/100))</f>
        <v>0</v>
      </c>
      <c r="O392" s="7" t="n">
        <f aca="false">L392+M392</f>
        <v>9.93838716579162</v>
      </c>
      <c r="P392" s="49" t="n">
        <f aca="false">IF(N392=0,I392*(1-G392/100)+J392*(1-H392/100),-N392)</f>
        <v>17.1408402152689</v>
      </c>
      <c r="Q392" s="54" t="n">
        <f aca="false">IF(P391&gt;0,Q391+P391*(1-V$24/100),Q391+P391)</f>
        <v>316.610389186312</v>
      </c>
      <c r="R392" s="55" t="n">
        <f aca="false">R$4+Q392/V$32</f>
        <v>43.0790963032419</v>
      </c>
    </row>
    <row r="393" customFormat="false" ht="12.8" hidden="false" customHeight="false" outlineLevel="0" collapsed="false">
      <c r="A393" s="1" t="n">
        <v>389</v>
      </c>
      <c r="B393" s="44" t="n">
        <v>43934</v>
      </c>
      <c r="C393" s="45" t="n">
        <f aca="false">V$30-V$30*SIN(2*PI()/365*A393)</f>
        <v>9.68238608460005</v>
      </c>
      <c r="D393" s="3" t="n">
        <f aca="false">IF((E393+F393)&gt;C393,C393,E393+F393)</f>
        <v>9.68238608460005</v>
      </c>
      <c r="E393" s="46" t="n">
        <f aca="false">(V$27+V$28*SIN(2*PI()/365*A393))*V$29/100*V$9*V$10/100</f>
        <v>0</v>
      </c>
      <c r="F393" s="46" t="n">
        <f aca="false">(V$27+V$28*SIN(2*PI()/365*A393))*V$29/100*V$11*(1-V$18/100)*(1-V$20/100)</f>
        <v>25.7939475945235</v>
      </c>
      <c r="G393" s="46" t="n">
        <f aca="false">IF(C393&gt;E393,100,C393/E393*100)</f>
        <v>100</v>
      </c>
      <c r="H393" s="46" t="n">
        <f aca="false">L393/F393*100</f>
        <v>37.5374341175128</v>
      </c>
      <c r="I393" s="47" t="n">
        <f aca="false">(V$27+V$28*SIN(2*PI()/365*A393))*V$29/100*V$9*V$10/100*(1-V$19/100)</f>
        <v>0</v>
      </c>
      <c r="J393" s="47" t="n">
        <f aca="false">(V$27+V$28*SIN(2*PI()/365*A393))*V$29/100*V$11*(1-V$18/100)</f>
        <v>28.3449973566192</v>
      </c>
      <c r="K393" s="48" t="n">
        <f aca="false">IF(E393/C393*100&lt;100,E393/C393*100,100)</f>
        <v>0</v>
      </c>
      <c r="L393" s="7" t="n">
        <f aca="false">IF(((C393-E393)&gt;0)*AND(F393&gt;(C393-E393)),(C393-E393),IF(C393&lt;E393,0,F393))</f>
        <v>9.68238608460005</v>
      </c>
      <c r="M393" s="7" t="n">
        <f aca="false">IF(C393&lt;(E393+F393),0,C393-E393-F393)</f>
        <v>0</v>
      </c>
      <c r="N393" s="7" t="n">
        <f aca="false">IF(C393&lt;(E393+F393),0,(C393-E393-F393)/(1-V$20/100))</f>
        <v>0</v>
      </c>
      <c r="O393" s="7" t="n">
        <f aca="false">L393+M393</f>
        <v>9.68238608460005</v>
      </c>
      <c r="P393" s="49" t="n">
        <f aca="false">IF(N393=0,I393*(1-G393/100)+J393*(1-H393/100),-N393)</f>
        <v>17.7050126482675</v>
      </c>
      <c r="Q393" s="54" t="n">
        <f aca="false">IF(P392&gt;0,Q392+P392*(1-V$24/100),Q392+P392)</f>
        <v>329.808836152069</v>
      </c>
      <c r="R393" s="55" t="n">
        <f aca="false">R$4+Q393/V$32</f>
        <v>43.2074537123757</v>
      </c>
    </row>
    <row r="394" customFormat="false" ht="12.8" hidden="false" customHeight="false" outlineLevel="0" collapsed="false">
      <c r="A394" s="1" t="n">
        <v>390</v>
      </c>
      <c r="B394" s="44" t="n">
        <v>43935</v>
      </c>
      <c r="C394" s="45" t="n">
        <f aca="false">V$30-V$30*SIN(2*PI()/365*A394)</f>
        <v>9.42830962505841</v>
      </c>
      <c r="D394" s="3" t="n">
        <f aca="false">IF((E394+F394)&gt;C394,C394,E394+F394)</f>
        <v>9.42830962505841</v>
      </c>
      <c r="E394" s="46" t="n">
        <f aca="false">(V$27+V$28*SIN(2*PI()/365*A394))*V$29/100*V$9*V$10/100</f>
        <v>0</v>
      </c>
      <c r="F394" s="46" t="n">
        <f aca="false">(V$27+V$28*SIN(2*PI()/365*A394))*V$29/100*V$11*(1-V$18/100)*(1-V$20/100)</f>
        <v>26.0494083199378</v>
      </c>
      <c r="G394" s="46" t="n">
        <f aca="false">IF(C394&gt;E394,100,C394/E394*100)</f>
        <v>100</v>
      </c>
      <c r="H394" s="46" t="n">
        <f aca="false">L394/F394*100</f>
        <v>36.1939492416115</v>
      </c>
      <c r="I394" s="47" t="n">
        <f aca="false">(V$27+V$28*SIN(2*PI()/365*A394))*V$29/100*V$9*V$10/100*(1-V$19/100)</f>
        <v>0</v>
      </c>
      <c r="J394" s="47" t="n">
        <f aca="false">(V$27+V$28*SIN(2*PI()/365*A394))*V$29/100*V$11*(1-V$18/100)</f>
        <v>28.6257234285031</v>
      </c>
      <c r="K394" s="48" t="n">
        <f aca="false">IF(E394/C394*100&lt;100,E394/C394*100,100)</f>
        <v>0</v>
      </c>
      <c r="L394" s="7" t="n">
        <f aca="false">IF(((C394-E394)&gt;0)*AND(F394&gt;(C394-E394)),(C394-E394),IF(C394&lt;E394,0,F394))</f>
        <v>9.42830962505841</v>
      </c>
      <c r="M394" s="7" t="n">
        <f aca="false">IF(C394&lt;(E394+F394),0,C394-E394-F394)</f>
        <v>0</v>
      </c>
      <c r="N394" s="7" t="n">
        <f aca="false">IF(C394&lt;(E394+F394),0,(C394-E394-F394)/(1-V$20/100))</f>
        <v>0</v>
      </c>
      <c r="O394" s="7" t="n">
        <f aca="false">L394+M394</f>
        <v>9.42830962505841</v>
      </c>
      <c r="P394" s="49" t="n">
        <f aca="false">IF(N394=0,I394*(1-G394/100)+J394*(1-H394/100),-N394)</f>
        <v>18.2649436207466</v>
      </c>
      <c r="Q394" s="54" t="n">
        <f aca="false">IF(P393&gt;0,Q393+P393*(1-V$24/100),Q393+P393)</f>
        <v>343.441695891235</v>
      </c>
      <c r="R394" s="55" t="n">
        <f aca="false">R$4+Q394/V$32</f>
        <v>43.3400358684236</v>
      </c>
    </row>
    <row r="395" customFormat="false" ht="12.8" hidden="false" customHeight="false" outlineLevel="0" collapsed="false">
      <c r="A395" s="1" t="n">
        <v>391</v>
      </c>
      <c r="B395" s="44" t="n">
        <v>43936</v>
      </c>
      <c r="C395" s="45" t="n">
        <f aca="false">V$30-V$30*SIN(2*PI()/365*A395)</f>
        <v>9.1762330755051</v>
      </c>
      <c r="D395" s="3" t="n">
        <f aca="false">IF((E395+F395)&gt;C395,C395,E395+F395)</f>
        <v>9.1762330755051</v>
      </c>
      <c r="E395" s="46" t="n">
        <f aca="false">(V$27+V$28*SIN(2*PI()/365*A395))*V$29/100*V$9*V$10/100</f>
        <v>0</v>
      </c>
      <c r="F395" s="46" t="n">
        <f aca="false">(V$27+V$28*SIN(2*PI()/365*A395))*V$29/100*V$11*(1-V$18/100)*(1-V$20/100)</f>
        <v>26.3028582394029</v>
      </c>
      <c r="G395" s="46" t="n">
        <f aca="false">IF(C395&gt;E395,100,C395/E395*100)</f>
        <v>100</v>
      </c>
      <c r="H395" s="46" t="n">
        <f aca="false">L395/F395*100</f>
        <v>34.8868286175784</v>
      </c>
      <c r="I395" s="47" t="n">
        <f aca="false">(V$27+V$28*SIN(2*PI()/365*A395))*V$29/100*V$9*V$10/100*(1-V$19/100)</f>
        <v>0</v>
      </c>
      <c r="J395" s="47" t="n">
        <f aca="false">(V$27+V$28*SIN(2*PI()/365*A395))*V$29/100*V$11*(1-V$18/100)</f>
        <v>28.9042398235197</v>
      </c>
      <c r="K395" s="48" t="n">
        <f aca="false">IF(E395/C395*100&lt;100,E395/C395*100,100)</f>
        <v>0</v>
      </c>
      <c r="L395" s="7" t="n">
        <f aca="false">IF(((C395-E395)&gt;0)*AND(F395&gt;(C395-E395)),(C395-E395),IF(C395&lt;E395,0,F395))</f>
        <v>9.1762330755051</v>
      </c>
      <c r="M395" s="7" t="n">
        <f aca="false">IF(C395&lt;(E395+F395),0,C395-E395-F395)</f>
        <v>0</v>
      </c>
      <c r="N395" s="7" t="n">
        <f aca="false">IF(C395&lt;(E395+F395),0,(C395-E395-F395)/(1-V$20/100))</f>
        <v>0</v>
      </c>
      <c r="O395" s="7" t="n">
        <f aca="false">L395+M395</f>
        <v>9.1762330755051</v>
      </c>
      <c r="P395" s="49" t="n">
        <f aca="false">IF(N395=0,I395*(1-G395/100)+J395*(1-H395/100),-N395)</f>
        <v>18.8204672130746</v>
      </c>
      <c r="Q395" s="54" t="n">
        <f aca="false">IF(P394&gt;0,Q394+P394*(1-V$24/100),Q394+P394)</f>
        <v>357.50570247921</v>
      </c>
      <c r="R395" s="55" t="n">
        <f aca="false">R$4+Q395/V$32</f>
        <v>43.4768110096472</v>
      </c>
    </row>
    <row r="396" customFormat="false" ht="12.8" hidden="false" customHeight="false" outlineLevel="0" collapsed="false">
      <c r="A396" s="1" t="n">
        <v>392</v>
      </c>
      <c r="B396" s="44" t="n">
        <v>43937</v>
      </c>
      <c r="C396" s="45" t="n">
        <f aca="false">V$30-V$30*SIN(2*PI()/365*A396)</f>
        <v>8.92623113166198</v>
      </c>
      <c r="D396" s="3" t="n">
        <f aca="false">IF((E396+F396)&gt;C396,C396,E396+F396)</f>
        <v>8.92623113166198</v>
      </c>
      <c r="E396" s="46" t="n">
        <f aca="false">(V$27+V$28*SIN(2*PI()/365*A396))*V$29/100*V$9*V$10/100</f>
        <v>0</v>
      </c>
      <c r="F396" s="46" t="n">
        <f aca="false">(V$27+V$28*SIN(2*PI()/365*A396))*V$29/100*V$11*(1-V$18/100)*(1-V$20/100)</f>
        <v>26.554222250238</v>
      </c>
      <c r="G396" s="46" t="n">
        <f aca="false">IF(C396&gt;E396,100,C396/E396*100)</f>
        <v>100</v>
      </c>
      <c r="H396" s="46" t="n">
        <f aca="false">L396/F396*100</f>
        <v>33.6151104240381</v>
      </c>
      <c r="I396" s="47" t="n">
        <f aca="false">(V$27+V$28*SIN(2*PI()/365*A396))*V$29/100*V$9*V$10/100*(1-V$19/100)</f>
        <v>0</v>
      </c>
      <c r="J396" s="47" t="n">
        <f aca="false">(V$27+V$28*SIN(2*PI()/365*A396))*V$29/100*V$11*(1-V$18/100)</f>
        <v>29.1804640112505</v>
      </c>
      <c r="K396" s="48" t="n">
        <f aca="false">IF(E396/C396*100&lt;100,E396/C396*100,100)</f>
        <v>0</v>
      </c>
      <c r="L396" s="7" t="n">
        <f aca="false">IF(((C396-E396)&gt;0)*AND(F396&gt;(C396-E396)),(C396-E396),IF(C396&lt;E396,0,F396))</f>
        <v>8.92623113166198</v>
      </c>
      <c r="M396" s="7" t="n">
        <f aca="false">IF(C396&lt;(E396+F396),0,C396-E396-F396)</f>
        <v>0</v>
      </c>
      <c r="N396" s="7" t="n">
        <f aca="false">IF(C396&lt;(E396+F396),0,(C396-E396-F396)/(1-V$20/100))</f>
        <v>0</v>
      </c>
      <c r="O396" s="7" t="n">
        <f aca="false">L396+M396</f>
        <v>8.92623113166198</v>
      </c>
      <c r="P396" s="49" t="n">
        <f aca="false">IF(N396=0,I396*(1-G396/100)+J396*(1-H396/100),-N396)</f>
        <v>19.3714188116219</v>
      </c>
      <c r="Q396" s="54" t="n">
        <f aca="false">IF(P395&gt;0,Q395+P395*(1-V$24/100),Q395+P395)</f>
        <v>371.997462233277</v>
      </c>
      <c r="R396" s="55" t="n">
        <f aca="false">R$4+Q396/V$32</f>
        <v>43.617746131836</v>
      </c>
    </row>
    <row r="397" customFormat="false" ht="12.8" hidden="false" customHeight="false" outlineLevel="0" collapsed="false">
      <c r="A397" s="1" t="n">
        <v>393</v>
      </c>
      <c r="B397" s="44" t="n">
        <v>43938</v>
      </c>
      <c r="C397" s="45" t="n">
        <f aca="false">V$30-V$30*SIN(2*PI()/365*A397)</f>
        <v>8.67837787450053</v>
      </c>
      <c r="D397" s="3" t="n">
        <f aca="false">IF((E397+F397)&gt;C397,C397,E397+F397)</f>
        <v>8.67837787450053</v>
      </c>
      <c r="E397" s="46" t="n">
        <f aca="false">(V$27+V$28*SIN(2*PI()/365*A397))*V$29/100*V$9*V$10/100</f>
        <v>0</v>
      </c>
      <c r="F397" s="46" t="n">
        <f aca="false">(V$27+V$28*SIN(2*PI()/365*A397))*V$29/100*V$11*(1-V$18/100)*(1-V$20/100)</f>
        <v>26.8034258678615</v>
      </c>
      <c r="G397" s="46" t="n">
        <f aca="false">IF(C397&gt;E397,100,C397/E397*100)</f>
        <v>100</v>
      </c>
      <c r="H397" s="46" t="n">
        <f aca="false">L397/F397*100</f>
        <v>32.3778681026976</v>
      </c>
      <c r="I397" s="47" t="n">
        <f aca="false">(V$27+V$28*SIN(2*PI()/365*A397))*V$29/100*V$9*V$10/100*(1-V$19/100)</f>
        <v>0</v>
      </c>
      <c r="J397" s="47" t="n">
        <f aca="false">(V$27+V$28*SIN(2*PI()/365*A397))*V$29/100*V$11*(1-V$18/100)</f>
        <v>29.4543141405071</v>
      </c>
      <c r="K397" s="48" t="n">
        <f aca="false">IF(E397/C397*100&lt;100,E397/C397*100,100)</f>
        <v>0</v>
      </c>
      <c r="L397" s="7" t="n">
        <f aca="false">IF(((C397-E397)&gt;0)*AND(F397&gt;(C397-E397)),(C397-E397),IF(C397&lt;E397,0,F397))</f>
        <v>8.67837787450053</v>
      </c>
      <c r="M397" s="7" t="n">
        <f aca="false">IF(C397&lt;(E397+F397),0,C397-E397-F397)</f>
        <v>0</v>
      </c>
      <c r="N397" s="7" t="n">
        <f aca="false">IF(C397&lt;(E397+F397),0,(C397-E397-F397)/(1-V$20/100))</f>
        <v>0</v>
      </c>
      <c r="O397" s="7" t="n">
        <f aca="false">L397+M397</f>
        <v>8.67837787450053</v>
      </c>
      <c r="P397" s="49" t="n">
        <f aca="false">IF(N397=0,I397*(1-G397/100)+J397*(1-H397/100),-N397)</f>
        <v>19.9176351575395</v>
      </c>
      <c r="Q397" s="54" t="n">
        <f aca="false">IF(P396&gt;0,Q396+P396*(1-V$24/100),Q396+P396)</f>
        <v>386.913454718226</v>
      </c>
      <c r="R397" s="55" t="n">
        <f aca="false">R$4+Q397/V$32</f>
        <v>43.7628069980875</v>
      </c>
    </row>
    <row r="398" customFormat="false" ht="12.8" hidden="false" customHeight="false" outlineLevel="0" collapsed="false">
      <c r="A398" s="1" t="n">
        <v>394</v>
      </c>
      <c r="B398" s="44" t="n">
        <v>43939</v>
      </c>
      <c r="C398" s="45" t="n">
        <f aca="false">V$30-V$30*SIN(2*PI()/365*A398)</f>
        <v>8.43274674828992</v>
      </c>
      <c r="D398" s="3" t="n">
        <f aca="false">IF((E398+F398)&gt;C398,C398,E398+F398)</f>
        <v>8.43274674828992</v>
      </c>
      <c r="E398" s="46" t="n">
        <f aca="false">(V$27+V$28*SIN(2*PI()/365*A398))*V$29/100*V$9*V$10/100</f>
        <v>0</v>
      </c>
      <c r="F398" s="46" t="n">
        <f aca="false">(V$27+V$28*SIN(2*PI()/365*A398))*V$29/100*V$11*(1-V$18/100)*(1-V$20/100)</f>
        <v>27.0503952478635</v>
      </c>
      <c r="G398" s="46" t="n">
        <f aca="false">IF(C398&gt;E398,100,C398/E398*100)</f>
        <v>100</v>
      </c>
      <c r="H398" s="46" t="n">
        <f aca="false">L398/F398*100</f>
        <v>31.1742089940663</v>
      </c>
      <c r="I398" s="47" t="n">
        <f aca="false">(V$27+V$28*SIN(2*PI()/365*A398))*V$29/100*V$9*V$10/100*(1-V$19/100)</f>
        <v>0</v>
      </c>
      <c r="J398" s="47" t="n">
        <f aca="false">(V$27+V$28*SIN(2*PI()/365*A398))*V$29/100*V$11*(1-V$18/100)</f>
        <v>29.7257090635862</v>
      </c>
      <c r="K398" s="48" t="n">
        <f aca="false">IF(E398/C398*100&lt;100,E398/C398*100,100)</f>
        <v>0</v>
      </c>
      <c r="L398" s="7" t="n">
        <f aca="false">IF(((C398-E398)&gt;0)*AND(F398&gt;(C398-E398)),(C398-E398),IF(C398&lt;E398,0,F398))</f>
        <v>8.43274674828992</v>
      </c>
      <c r="M398" s="7" t="n">
        <f aca="false">IF(C398&lt;(E398+F398),0,C398-E398-F398)</f>
        <v>0</v>
      </c>
      <c r="N398" s="7" t="n">
        <f aca="false">IF(C398&lt;(E398+F398),0,(C398-E398-F398)/(1-V$20/100))</f>
        <v>0</v>
      </c>
      <c r="O398" s="7" t="n">
        <f aca="false">L398+M398</f>
        <v>8.43274674828992</v>
      </c>
      <c r="P398" s="49" t="n">
        <f aca="false">IF(N398=0,I398*(1-G398/100)+J398*(1-H398/100),-N398)</f>
        <v>20.4589543951357</v>
      </c>
      <c r="Q398" s="54" t="n">
        <f aca="false">IF(P397&gt;0,Q397+P397*(1-V$24/100),Q397+P397)</f>
        <v>402.250033789532</v>
      </c>
      <c r="R398" s="55" t="n">
        <f aca="false">R$4+Q398/V$32</f>
        <v>43.9119581489521</v>
      </c>
    </row>
    <row r="399" customFormat="false" ht="12.8" hidden="false" customHeight="false" outlineLevel="0" collapsed="false">
      <c r="A399" s="1" t="n">
        <v>395</v>
      </c>
      <c r="B399" s="44" t="n">
        <v>43940</v>
      </c>
      <c r="C399" s="45" t="n">
        <f aca="false">V$30-V$30*SIN(2*PI()/365*A399)</f>
        <v>8.18941053883403</v>
      </c>
      <c r="D399" s="3" t="n">
        <f aca="false">IF((E399+F399)&gt;C399,C399,E399+F399)</f>
        <v>8.18941053883403</v>
      </c>
      <c r="E399" s="46" t="n">
        <f aca="false">(V$27+V$28*SIN(2*PI()/365*A399))*V$29/100*V$9*V$10/100</f>
        <v>0</v>
      </c>
      <c r="F399" s="46" t="n">
        <f aca="false">(V$27+V$28*SIN(2*PI()/365*A399))*V$29/100*V$11*(1-V$18/100)*(1-V$20/100)</f>
        <v>27.2950572078865</v>
      </c>
      <c r="G399" s="46" t="n">
        <f aca="false">IF(C399&gt;E399,100,C399/E399*100)</f>
        <v>100</v>
      </c>
      <c r="H399" s="46" t="n">
        <f aca="false">L399/F399*100</f>
        <v>30.0032730338731</v>
      </c>
      <c r="I399" s="47" t="n">
        <f aca="false">(V$27+V$28*SIN(2*PI()/365*A399))*V$29/100*V$9*V$10/100*(1-V$19/100)</f>
        <v>0</v>
      </c>
      <c r="J399" s="47" t="n">
        <f aca="false">(V$27+V$28*SIN(2*PI()/365*A399))*V$29/100*V$11*(1-V$18/100)</f>
        <v>29.9945683603148</v>
      </c>
      <c r="K399" s="48" t="n">
        <f aca="false">IF(E399/C399*100&lt;100,E399/C399*100,100)</f>
        <v>0</v>
      </c>
      <c r="L399" s="7" t="n">
        <f aca="false">IF(((C399-E399)&gt;0)*AND(F399&gt;(C399-E399)),(C399-E399),IF(C399&lt;E399,0,F399))</f>
        <v>8.18941053883403</v>
      </c>
      <c r="M399" s="7" t="n">
        <f aca="false">IF(C399&lt;(E399+F399),0,C399-E399-F399)</f>
        <v>0</v>
      </c>
      <c r="N399" s="7" t="n">
        <f aca="false">IF(C399&lt;(E399+F399),0,(C399-E399-F399)/(1-V$20/100))</f>
        <v>0</v>
      </c>
      <c r="O399" s="7" t="n">
        <f aca="false">L399+M399</f>
        <v>8.18941053883403</v>
      </c>
      <c r="P399" s="49" t="n">
        <f aca="false">IF(N399=0,I399*(1-G399/100)+J399*(1-H399/100),-N399)</f>
        <v>20.9952161198378</v>
      </c>
      <c r="Q399" s="54" t="n">
        <f aca="false">IF(P398&gt;0,Q398+P398*(1-V$24/100),Q398+P398)</f>
        <v>418.003428673786</v>
      </c>
      <c r="R399" s="55" t="n">
        <f aca="false">R$4+Q399/V$32</f>
        <v>44.0651629129407</v>
      </c>
    </row>
    <row r="400" customFormat="false" ht="12.8" hidden="false" customHeight="false" outlineLevel="0" collapsed="false">
      <c r="A400" s="1" t="n">
        <v>396</v>
      </c>
      <c r="B400" s="44" t="n">
        <v>43941</v>
      </c>
      <c r="C400" s="45" t="n">
        <f aca="false">V$30-V$30*SIN(2*PI()/365*A400)</f>
        <v>7.94844135190334</v>
      </c>
      <c r="D400" s="3" t="n">
        <f aca="false">IF((E400+F400)&gt;C400,C400,E400+F400)</f>
        <v>7.94844135190334</v>
      </c>
      <c r="E400" s="46" t="n">
        <f aca="false">(V$27+V$28*SIN(2*PI()/365*A400))*V$29/100*V$9*V$10/100</f>
        <v>0</v>
      </c>
      <c r="F400" s="46" t="n">
        <f aca="false">(V$27+V$28*SIN(2*PI()/365*A400))*V$29/100*V$11*(1-V$18/100)*(1-V$20/100)</f>
        <v>27.5373392493115</v>
      </c>
      <c r="G400" s="46" t="n">
        <f aca="false">IF(C400&gt;E400,100,C400/E400*100)</f>
        <v>100</v>
      </c>
      <c r="H400" s="46" t="n">
        <f aca="false">L400/F400*100</f>
        <v>28.8642315074143</v>
      </c>
      <c r="I400" s="47" t="n">
        <f aca="false">(V$27+V$28*SIN(2*PI()/365*A400))*V$29/100*V$9*V$10/100*(1-V$19/100)</f>
        <v>0</v>
      </c>
      <c r="J400" s="47" t="n">
        <f aca="false">(V$27+V$28*SIN(2*PI()/365*A400))*V$29/100*V$11*(1-V$18/100)</f>
        <v>30.2608123618808</v>
      </c>
      <c r="K400" s="48" t="n">
        <f aca="false">IF(E400/C400*100&lt;100,E400/C400*100,100)</f>
        <v>0</v>
      </c>
      <c r="L400" s="7" t="n">
        <f aca="false">IF(((C400-E400)&gt;0)*AND(F400&gt;(C400-E400)),(C400-E400),IF(C400&lt;E400,0,F400))</f>
        <v>7.94844135190334</v>
      </c>
      <c r="M400" s="7" t="n">
        <f aca="false">IF(C400&lt;(E400+F400),0,C400-E400-F400)</f>
        <v>0</v>
      </c>
      <c r="N400" s="7" t="n">
        <f aca="false">IF(C400&lt;(E400+F400),0,(C400-E400-F400)/(1-V$20/100))</f>
        <v>0</v>
      </c>
      <c r="O400" s="7" t="n">
        <f aca="false">L400+M400</f>
        <v>7.94844135190334</v>
      </c>
      <c r="P400" s="49" t="n">
        <f aca="false">IF(N400=0,I400*(1-G400/100)+J400*(1-H400/100),-N400)</f>
        <v>21.5262614257233</v>
      </c>
      <c r="Q400" s="54" t="n">
        <f aca="false">IF(P399&gt;0,Q399+P399*(1-V$24/100),Q399+P399)</f>
        <v>434.169745086061</v>
      </c>
      <c r="R400" s="55" t="n">
        <f aca="false">R$4+Q400/V$32</f>
        <v>44.222383417391</v>
      </c>
    </row>
    <row r="401" customFormat="false" ht="12.8" hidden="false" customHeight="false" outlineLevel="0" collapsed="false">
      <c r="A401" s="1" t="n">
        <v>397</v>
      </c>
      <c r="B401" s="44" t="n">
        <v>43942</v>
      </c>
      <c r="C401" s="45" t="n">
        <f aca="false">V$30-V$30*SIN(2*PI()/365*A401)</f>
        <v>7.70991059186846</v>
      </c>
      <c r="D401" s="3" t="n">
        <f aca="false">IF((E401+F401)&gt;C401,C401,E401+F401)</f>
        <v>7.70991059186846</v>
      </c>
      <c r="E401" s="46" t="n">
        <f aca="false">(V$27+V$28*SIN(2*PI()/365*A401))*V$29/100*V$9*V$10/100</f>
        <v>0</v>
      </c>
      <c r="F401" s="46" t="n">
        <f aca="false">(V$27+V$28*SIN(2*PI()/365*A401))*V$29/100*V$11*(1-V$18/100)*(1-V$20/100)</f>
        <v>27.777169578741</v>
      </c>
      <c r="G401" s="46" t="n">
        <f aca="false">IF(C401&gt;E401,100,C401/E401*100)</f>
        <v>100</v>
      </c>
      <c r="H401" s="46" t="n">
        <f aca="false">L401/F401*100</f>
        <v>27.7562858591942</v>
      </c>
      <c r="I401" s="47" t="n">
        <f aca="false">(V$27+V$28*SIN(2*PI()/365*A401))*V$29/100*V$9*V$10/100*(1-V$19/100)</f>
        <v>0</v>
      </c>
      <c r="J401" s="47" t="n">
        <f aca="false">(V$27+V$28*SIN(2*PI()/365*A401))*V$29/100*V$11*(1-V$18/100)</f>
        <v>30.5243621744406</v>
      </c>
      <c r="K401" s="48" t="n">
        <f aca="false">IF(E401/C401*100&lt;100,E401/C401*100,100)</f>
        <v>0</v>
      </c>
      <c r="L401" s="7" t="n">
        <f aca="false">IF(((C401-E401)&gt;0)*AND(F401&gt;(C401-E401)),(C401-E401),IF(C401&lt;E401,0,F401))</f>
        <v>7.70991059186846</v>
      </c>
      <c r="M401" s="7" t="n">
        <f aca="false">IF(C401&lt;(E401+F401),0,C401-E401-F401)</f>
        <v>0</v>
      </c>
      <c r="N401" s="7" t="n">
        <f aca="false">IF(C401&lt;(E401+F401),0,(C401-E401-F401)/(1-V$20/100))</f>
        <v>0</v>
      </c>
      <c r="O401" s="7" t="n">
        <f aca="false">L401+M401</f>
        <v>7.70991059186846</v>
      </c>
      <c r="P401" s="49" t="n">
        <f aca="false">IF(N401=0,I401*(1-G401/100)+J401*(1-H401/100),-N401)</f>
        <v>22.0519329526071</v>
      </c>
      <c r="Q401" s="54" t="n">
        <f aca="false">IF(P400&gt;0,Q400+P400*(1-V$24/100),Q400+P400)</f>
        <v>450.744966383868</v>
      </c>
      <c r="R401" s="55" t="n">
        <f aca="false">R$4+Q401/V$32</f>
        <v>44.3835805996902</v>
      </c>
    </row>
    <row r="402" customFormat="false" ht="12.8" hidden="false" customHeight="false" outlineLevel="0" collapsed="false">
      <c r="A402" s="1" t="n">
        <v>398</v>
      </c>
      <c r="B402" s="44" t="n">
        <v>43943</v>
      </c>
      <c r="C402" s="45" t="n">
        <f aca="false">V$30-V$30*SIN(2*PI()/365*A402)</f>
        <v>7.47388894054154</v>
      </c>
      <c r="D402" s="3" t="n">
        <f aca="false">IF((E402+F402)&gt;C402,C402,E402+F402)</f>
        <v>7.47388894054154</v>
      </c>
      <c r="E402" s="46" t="n">
        <f aca="false">(V$27+V$28*SIN(2*PI()/365*A402))*V$29/100*V$9*V$10/100</f>
        <v>0</v>
      </c>
      <c r="F402" s="46" t="n">
        <f aca="false">(V$27+V$28*SIN(2*PI()/365*A402))*V$29/100*V$11*(1-V$18/100)*(1-V$20/100)</f>
        <v>28.0144771292721</v>
      </c>
      <c r="G402" s="46" t="n">
        <f aca="false">IF(C402&gt;E402,100,C402/E402*100)</f>
        <v>100</v>
      </c>
      <c r="H402" s="46" t="n">
        <f aca="false">L402/F402*100</f>
        <v>26.6786665553437</v>
      </c>
      <c r="I402" s="47" t="n">
        <f aca="false">(V$27+V$28*SIN(2*PI()/365*A402))*V$29/100*V$9*V$10/100*(1-V$19/100)</f>
        <v>0</v>
      </c>
      <c r="J402" s="47" t="n">
        <f aca="false">(V$27+V$28*SIN(2*PI()/365*A402))*V$29/100*V$11*(1-V$18/100)</f>
        <v>30.7851397024968</v>
      </c>
      <c r="K402" s="48" t="n">
        <f aca="false">IF(E402/C402*100&lt;100,E402/C402*100,100)</f>
        <v>0</v>
      </c>
      <c r="L402" s="7" t="n">
        <f aca="false">IF(((C402-E402)&gt;0)*AND(F402&gt;(C402-E402)),(C402-E402),IF(C402&lt;E402,0,F402))</f>
        <v>7.47388894054154</v>
      </c>
      <c r="M402" s="7" t="n">
        <f aca="false">IF(C402&lt;(E402+F402),0,C402-E402-F402)</f>
        <v>0</v>
      </c>
      <c r="N402" s="7" t="n">
        <f aca="false">IF(C402&lt;(E402+F402),0,(C402-E402-F402)/(1-V$20/100))</f>
        <v>0</v>
      </c>
      <c r="O402" s="7" t="n">
        <f aca="false">L402+M402</f>
        <v>7.47388894054154</v>
      </c>
      <c r="P402" s="49" t="n">
        <f aca="false">IF(N402=0,I402*(1-G402/100)+J402*(1-H402/100),-N402)</f>
        <v>22.572074932671</v>
      </c>
      <c r="Q402" s="54" t="n">
        <f aca="false">IF(P401&gt;0,Q401+P401*(1-V$24/100),Q401+P401)</f>
        <v>467.724954757376</v>
      </c>
      <c r="R402" s="55" t="n">
        <f aca="false">R$4+Q402/V$32</f>
        <v>44.5487142188501</v>
      </c>
    </row>
    <row r="403" customFormat="false" ht="12.8" hidden="false" customHeight="false" outlineLevel="0" collapsed="false">
      <c r="A403" s="1" t="n">
        <v>399</v>
      </c>
      <c r="B403" s="44" t="n">
        <v>43944</v>
      </c>
      <c r="C403" s="45" t="n">
        <f aca="false">V$30-V$30*SIN(2*PI()/365*A403)</f>
        <v>7.2404463362316</v>
      </c>
      <c r="D403" s="3" t="n">
        <f aca="false">IF((E403+F403)&gt;C403,C403,E403+F403)</f>
        <v>7.2404463362316</v>
      </c>
      <c r="E403" s="46" t="n">
        <f aca="false">(V$27+V$28*SIN(2*PI()/365*A403))*V$29/100*V$9*V$10/100</f>
        <v>0</v>
      </c>
      <c r="F403" s="46" t="n">
        <f aca="false">(V$27+V$28*SIN(2*PI()/365*A403))*V$29/100*V$11*(1-V$18/100)*(1-V$20/100)</f>
        <v>28.2491915815563</v>
      </c>
      <c r="G403" s="46" t="n">
        <f aca="false">IF(C403&gt;E403,100,C403/E403*100)</f>
        <v>100</v>
      </c>
      <c r="H403" s="46" t="n">
        <f aca="false">L403/F403*100</f>
        <v>25.6306319964173</v>
      </c>
      <c r="I403" s="47" t="n">
        <f aca="false">(V$27+V$28*SIN(2*PI()/365*A403))*V$29/100*V$9*V$10/100*(1-V$19/100)</f>
        <v>0</v>
      </c>
      <c r="J403" s="47" t="n">
        <f aca="false">(V$27+V$28*SIN(2*PI()/365*A403))*V$29/100*V$11*(1-V$18/100)</f>
        <v>31.0430676720399</v>
      </c>
      <c r="K403" s="48" t="n">
        <f aca="false">IF(E403/C403*100&lt;100,E403/C403*100,100)</f>
        <v>0</v>
      </c>
      <c r="L403" s="7" t="n">
        <f aca="false">IF(((C403-E403)&gt;0)*AND(F403&gt;(C403-E403)),(C403-E403),IF(C403&lt;E403,0,F403))</f>
        <v>7.2404463362316</v>
      </c>
      <c r="M403" s="7" t="n">
        <f aca="false">IF(C403&lt;(E403+F403),0,C403-E403-F403)</f>
        <v>0</v>
      </c>
      <c r="N403" s="7" t="n">
        <f aca="false">IF(C403&lt;(E403+F403),0,(C403-E403-F403)/(1-V$20/100))</f>
        <v>0</v>
      </c>
      <c r="O403" s="7" t="n">
        <f aca="false">L403+M403</f>
        <v>7.2404463362316</v>
      </c>
      <c r="P403" s="49" t="n">
        <f aca="false">IF(N403=0,I403*(1-G403/100)+J403*(1-H403/100),-N403)</f>
        <v>23.0865332366205</v>
      </c>
      <c r="Q403" s="54" t="n">
        <f aca="false">IF(P402&gt;0,Q402+P402*(1-V$24/100),Q402+P402)</f>
        <v>485.105452455532</v>
      </c>
      <c r="R403" s="55" t="n">
        <f aca="false">R$4+Q403/V$32</f>
        <v>44.7177428674312</v>
      </c>
    </row>
    <row r="404" customFormat="false" ht="12.8" hidden="false" customHeight="false" outlineLevel="0" collapsed="false">
      <c r="A404" s="1" t="n">
        <v>400</v>
      </c>
      <c r="B404" s="44" t="n">
        <v>43945</v>
      </c>
      <c r="C404" s="45" t="n">
        <f aca="false">V$30-V$30*SIN(2*PI()/365*A404)</f>
        <v>7.00965195302041</v>
      </c>
      <c r="D404" s="3" t="n">
        <f aca="false">IF((E404+F404)&gt;C404,C404,E404+F404)</f>
        <v>7.00965195302041</v>
      </c>
      <c r="E404" s="46" t="n">
        <f aca="false">(V$27+V$28*SIN(2*PI()/365*A404))*V$29/100*V$9*V$10/100</f>
        <v>0</v>
      </c>
      <c r="F404" s="46" t="n">
        <f aca="false">(V$27+V$28*SIN(2*PI()/365*A404))*V$29/100*V$11*(1-V$18/100)*(1-V$20/100)</f>
        <v>28.4812433846357</v>
      </c>
      <c r="G404" s="46" t="n">
        <f aca="false">IF(C404&gt;E404,100,C404/E404*100)</f>
        <v>100</v>
      </c>
      <c r="H404" s="46" t="n">
        <f aca="false">L404/F404*100</f>
        <v>24.6114674782836</v>
      </c>
      <c r="I404" s="47" t="n">
        <f aca="false">(V$27+V$28*SIN(2*PI()/365*A404))*V$29/100*V$9*V$10/100*(1-V$19/100)</f>
        <v>0</v>
      </c>
      <c r="J404" s="47" t="n">
        <f aca="false">(V$27+V$28*SIN(2*PI()/365*A404))*V$29/100*V$11*(1-V$18/100)</f>
        <v>31.2980696534458</v>
      </c>
      <c r="K404" s="48" t="n">
        <f aca="false">IF(E404/C404*100&lt;100,E404/C404*100,100)</f>
        <v>0</v>
      </c>
      <c r="L404" s="7" t="n">
        <f aca="false">IF(((C404-E404)&gt;0)*AND(F404&gt;(C404-E404)),(C404-E404),IF(C404&lt;E404,0,F404))</f>
        <v>7.00965195302041</v>
      </c>
      <c r="M404" s="7" t="n">
        <f aca="false">IF(C404&lt;(E404+F404),0,C404-E404-F404)</f>
        <v>0</v>
      </c>
      <c r="N404" s="7" t="n">
        <f aca="false">IF(C404&lt;(E404+F404),0,(C404-E404-F404)/(1-V$20/100))</f>
        <v>0</v>
      </c>
      <c r="O404" s="7" t="n">
        <f aca="false">L404+M404</f>
        <v>7.00965195302041</v>
      </c>
      <c r="P404" s="49" t="n">
        <f aca="false">IF(N404=0,I404*(1-G404/100)+J404*(1-H404/100),-N404)</f>
        <v>23.5951554193575</v>
      </c>
      <c r="Q404" s="54" t="n">
        <f aca="false">IF(P403&gt;0,Q403+P403*(1-V$24/100),Q403+P403)</f>
        <v>502.88208304773</v>
      </c>
      <c r="R404" s="55" t="n">
        <f aca="false">R$4+Q404/V$32</f>
        <v>44.8906239838128</v>
      </c>
    </row>
    <row r="405" customFormat="false" ht="12.8" hidden="false" customHeight="false" outlineLevel="0" collapsed="false">
      <c r="A405" s="1" t="n">
        <v>401</v>
      </c>
      <c r="B405" s="44" t="n">
        <v>43946</v>
      </c>
      <c r="C405" s="45" t="n">
        <f aca="false">V$30-V$30*SIN(2*PI()/365*A405)</f>
        <v>6.78157418026468</v>
      </c>
      <c r="D405" s="3" t="n">
        <f aca="false">IF((E405+F405)&gt;C405,C405,E405+F405)</f>
        <v>6.78157418026468</v>
      </c>
      <c r="E405" s="46" t="n">
        <f aca="false">(V$27+V$28*SIN(2*PI()/365*A405))*V$29/100*V$9*V$10/100</f>
        <v>0</v>
      </c>
      <c r="F405" s="46" t="n">
        <f aca="false">(V$27+V$28*SIN(2*PI()/365*A405))*V$29/100*V$11*(1-V$18/100)*(1-V$20/100)</f>
        <v>28.710563776553</v>
      </c>
      <c r="G405" s="46" t="n">
        <f aca="false">IF(C405&gt;E405,100,C405/E405*100)</f>
        <v>100</v>
      </c>
      <c r="H405" s="46" t="n">
        <f aca="false">L405/F405*100</f>
        <v>23.6204841989309</v>
      </c>
      <c r="I405" s="47" t="n">
        <f aca="false">(V$27+V$28*SIN(2*PI()/365*A405))*V$29/100*V$9*V$10/100*(1-V$19/100)</f>
        <v>0</v>
      </c>
      <c r="J405" s="47" t="n">
        <f aca="false">(V$27+V$28*SIN(2*PI()/365*A405))*V$29/100*V$11*(1-V$18/100)</f>
        <v>31.5500700841242</v>
      </c>
      <c r="K405" s="48" t="n">
        <f aca="false">IF(E405/C405*100&lt;100,E405/C405*100,100)</f>
        <v>0</v>
      </c>
      <c r="L405" s="7" t="n">
        <f aca="false">IF(((C405-E405)&gt;0)*AND(F405&gt;(C405-E405)),(C405-E405),IF(C405&lt;E405,0,F405))</f>
        <v>6.78157418026468</v>
      </c>
      <c r="M405" s="7" t="n">
        <f aca="false">IF(C405&lt;(E405+F405),0,C405-E405-F405)</f>
        <v>0</v>
      </c>
      <c r="N405" s="7" t="n">
        <f aca="false">IF(C405&lt;(E405+F405),0,(C405-E405-F405)/(1-V$20/100))</f>
        <v>0</v>
      </c>
      <c r="O405" s="7" t="n">
        <f aca="false">L405+M405</f>
        <v>6.78157418026468</v>
      </c>
      <c r="P405" s="49" t="n">
        <f aca="false">IF(N405=0,I405*(1-G405/100)+J405*(1-H405/100),-N405)</f>
        <v>24.097790765152</v>
      </c>
      <c r="Q405" s="54" t="n">
        <f aca="false">IF(P404&gt;0,Q404+P404*(1-V$24/100),Q404+P404)</f>
        <v>521.050352720636</v>
      </c>
      <c r="R405" s="55" t="n">
        <f aca="false">R$4+Q405/V$32</f>
        <v>45.0673138648047</v>
      </c>
    </row>
    <row r="406" customFormat="false" ht="12.8" hidden="false" customHeight="false" outlineLevel="0" collapsed="false">
      <c r="A406" s="1" t="n">
        <v>402</v>
      </c>
      <c r="B406" s="44" t="n">
        <v>43947</v>
      </c>
      <c r="C406" s="45" t="n">
        <f aca="false">V$30-V$30*SIN(2*PI()/365*A406)</f>
        <v>6.55628060233077</v>
      </c>
      <c r="D406" s="3" t="n">
        <f aca="false">IF((E406+F406)&gt;C406,C406,E406+F406)</f>
        <v>6.55628060233077</v>
      </c>
      <c r="E406" s="46" t="n">
        <f aca="false">(V$27+V$28*SIN(2*PI()/365*A406))*V$29/100*V$9*V$10/100</f>
        <v>0</v>
      </c>
      <c r="F406" s="46" t="n">
        <f aca="false">(V$27+V$28*SIN(2*PI()/365*A406))*V$29/100*V$11*(1-V$18/100)*(1-V$20/100)</f>
        <v>28.937084804727</v>
      </c>
      <c r="G406" s="46" t="n">
        <f aca="false">IF(C406&gt;E406,100,C406/E406*100)</f>
        <v>100</v>
      </c>
      <c r="H406" s="46" t="n">
        <f aca="false">L406/F406*100</f>
        <v>22.6570183091138</v>
      </c>
      <c r="I406" s="47" t="n">
        <f aca="false">(V$27+V$28*SIN(2*PI()/365*A406))*V$29/100*V$9*V$10/100*(1-V$19/100)</f>
        <v>0</v>
      </c>
      <c r="J406" s="47" t="n">
        <f aca="false">(V$27+V$28*SIN(2*PI()/365*A406))*V$29/100*V$11*(1-V$18/100)</f>
        <v>31.7989942909088</v>
      </c>
      <c r="K406" s="48" t="n">
        <f aca="false">IF(E406/C406*100&lt;100,E406/C406*100,100)</f>
        <v>0</v>
      </c>
      <c r="L406" s="7" t="n">
        <f aca="false">IF(((C406-E406)&gt;0)*AND(F406&gt;(C406-E406)),(C406-E406),IF(C406&lt;E406,0,F406))</f>
        <v>6.55628060233077</v>
      </c>
      <c r="M406" s="7" t="n">
        <f aca="false">IF(C406&lt;(E406+F406),0,C406-E406-F406)</f>
        <v>0</v>
      </c>
      <c r="N406" s="7" t="n">
        <f aca="false">IF(C406&lt;(E406+F406),0,(C406-E406-F406)/(1-V$20/100))</f>
        <v>0</v>
      </c>
      <c r="O406" s="7" t="n">
        <f aca="false">L406+M406</f>
        <v>6.55628060233077</v>
      </c>
      <c r="P406" s="49" t="n">
        <f aca="false">IF(N406=0,I406*(1-G406/100)+J406*(1-H406/100),-N406)</f>
        <v>24.5942903323036</v>
      </c>
      <c r="Q406" s="54" t="n">
        <f aca="false">IF(P405&gt;0,Q405+P405*(1-V$24/100),Q405+P405)</f>
        <v>539.605651609803</v>
      </c>
      <c r="R406" s="55" t="n">
        <f aca="false">R$4+Q406/V$32</f>
        <v>45.2477676785978</v>
      </c>
    </row>
    <row r="407" customFormat="false" ht="12.8" hidden="false" customHeight="false" outlineLevel="0" collapsed="false">
      <c r="A407" s="1" t="n">
        <v>403</v>
      </c>
      <c r="B407" s="44" t="n">
        <v>43948</v>
      </c>
      <c r="C407" s="45" t="n">
        <f aca="false">V$30-V$30*SIN(2*PI()/365*A407)</f>
        <v>6.33383797856809</v>
      </c>
      <c r="D407" s="3" t="n">
        <f aca="false">IF((E407+F407)&gt;C407,C407,E407+F407)</f>
        <v>6.33383797856809</v>
      </c>
      <c r="E407" s="46" t="n">
        <f aca="false">(V$27+V$28*SIN(2*PI()/365*A407))*V$29/100*V$9*V$10/100</f>
        <v>0</v>
      </c>
      <c r="F407" s="46" t="n">
        <f aca="false">(V$27+V$28*SIN(2*PI()/365*A407))*V$29/100*V$11*(1-V$18/100)*(1-V$20/100)</f>
        <v>29.1607393460883</v>
      </c>
      <c r="G407" s="46" t="n">
        <f aca="false">IF(C407&gt;E407,100,C407/E407*100)</f>
        <v>100</v>
      </c>
      <c r="H407" s="46" t="n">
        <f aca="false">L407/F407*100</f>
        <v>21.7204300048645</v>
      </c>
      <c r="I407" s="47" t="n">
        <f aca="false">(V$27+V$28*SIN(2*PI()/365*A407))*V$29/100*V$9*V$10/100*(1-V$19/100)</f>
        <v>0</v>
      </c>
      <c r="J407" s="47" t="n">
        <f aca="false">(V$27+V$28*SIN(2*PI()/365*A407))*V$29/100*V$11*(1-V$18/100)</f>
        <v>32.0447685121849</v>
      </c>
      <c r="K407" s="48" t="n">
        <f aca="false">IF(E407/C407*100&lt;100,E407/C407*100,100)</f>
        <v>0</v>
      </c>
      <c r="L407" s="7" t="n">
        <f aca="false">IF(((C407-E407)&gt;0)*AND(F407&gt;(C407-E407)),(C407-E407),IF(C407&lt;E407,0,F407))</f>
        <v>6.33383797856809</v>
      </c>
      <c r="M407" s="7" t="n">
        <f aca="false">IF(C407&lt;(E407+F407),0,C407-E407-F407)</f>
        <v>0</v>
      </c>
      <c r="N407" s="7" t="n">
        <f aca="false">IF(C407&lt;(E407+F407),0,(C407-E407-F407)/(1-V$20/100))</f>
        <v>0</v>
      </c>
      <c r="O407" s="7" t="n">
        <f aca="false">L407+M407</f>
        <v>6.33383797856809</v>
      </c>
      <c r="P407" s="49" t="n">
        <f aca="false">IF(N407=0,I407*(1-G407/100)+J407*(1-H407/100),-N407)</f>
        <v>25.0845069972749</v>
      </c>
      <c r="Q407" s="54" t="n">
        <f aca="false">IF(P406&gt;0,Q406+P406*(1-V$24/100),Q406+P406)</f>
        <v>558.543255165676</v>
      </c>
      <c r="R407" s="55" t="n">
        <f aca="false">R$4+Q407/V$32</f>
        <v>45.4319394780483</v>
      </c>
    </row>
    <row r="408" customFormat="false" ht="12.8" hidden="false" customHeight="false" outlineLevel="0" collapsed="false">
      <c r="A408" s="1" t="n">
        <v>404</v>
      </c>
      <c r="B408" s="44" t="n">
        <v>43949</v>
      </c>
      <c r="C408" s="45" t="n">
        <f aca="false">V$30-V$30*SIN(2*PI()/365*A408)</f>
        <v>6.11431222352674</v>
      </c>
      <c r="D408" s="3" t="n">
        <f aca="false">IF((E408+F408)&gt;C408,C408,E408+F408)</f>
        <v>6.11431222352674</v>
      </c>
      <c r="E408" s="46" t="n">
        <f aca="false">(V$27+V$28*SIN(2*PI()/365*A408))*V$29/100*V$9*V$10/100</f>
        <v>0</v>
      </c>
      <c r="F408" s="46" t="n">
        <f aca="false">(V$27+V$28*SIN(2*PI()/365*A408))*V$29/100*V$11*(1-V$18/100)*(1-V$20/100)</f>
        <v>29.3814611269693</v>
      </c>
      <c r="G408" s="46" t="n">
        <f aca="false">IF(C408&gt;E408,100,C408/E408*100)</f>
        <v>100</v>
      </c>
      <c r="H408" s="46" t="n">
        <f aca="false">L408/F408*100</f>
        <v>20.8101026599879</v>
      </c>
      <c r="I408" s="47" t="n">
        <f aca="false">(V$27+V$28*SIN(2*PI()/365*A408))*V$29/100*V$9*V$10/100*(1-V$19/100)</f>
        <v>0</v>
      </c>
      <c r="J408" s="47" t="n">
        <f aca="false">(V$27+V$28*SIN(2*PI()/365*A408))*V$29/100*V$11*(1-V$18/100)</f>
        <v>32.2873199197465</v>
      </c>
      <c r="K408" s="48" t="n">
        <f aca="false">IF(E408/C408*100&lt;100,E408/C408*100,100)</f>
        <v>0</v>
      </c>
      <c r="L408" s="7" t="n">
        <f aca="false">IF(((C408-E408)&gt;0)*AND(F408&gt;(C408-E408)),(C408-E408),IF(C408&lt;E408,0,F408))</f>
        <v>6.11431222352674</v>
      </c>
      <c r="M408" s="7" t="n">
        <f aca="false">IF(C408&lt;(E408+F408),0,C408-E408-F408)</f>
        <v>0</v>
      </c>
      <c r="N408" s="7" t="n">
        <f aca="false">IF(C408&lt;(E408+F408),0,(C408-E408-F408)/(1-V$20/100))</f>
        <v>0</v>
      </c>
      <c r="O408" s="7" t="n">
        <f aca="false">L408+M408</f>
        <v>6.11431222352674</v>
      </c>
      <c r="P408" s="49" t="n">
        <f aca="false">IF(N408=0,I408*(1-G408/100)+J408*(1-H408/100),-N408)</f>
        <v>25.5682954982885</v>
      </c>
      <c r="Q408" s="54" t="n">
        <f aca="false">IF(P407&gt;0,Q407+P407*(1-V$24/100),Q407+P407)</f>
        <v>577.858325553578</v>
      </c>
      <c r="R408" s="55" t="n">
        <f aca="false">R$4+Q408/V$32</f>
        <v>45.6197822142929</v>
      </c>
    </row>
    <row r="409" customFormat="false" ht="12.8" hidden="false" customHeight="false" outlineLevel="0" collapsed="false">
      <c r="A409" s="1" t="n">
        <v>405</v>
      </c>
      <c r="B409" s="44" t="n">
        <v>43950</v>
      </c>
      <c r="C409" s="45" t="n">
        <f aca="false">V$30-V$30*SIN(2*PI()/365*A409)</f>
        <v>5.8977683874257</v>
      </c>
      <c r="D409" s="3" t="n">
        <f aca="false">IF((E409+F409)&gt;C409,C409,E409+F409)</f>
        <v>5.8977683874257</v>
      </c>
      <c r="E409" s="46" t="n">
        <f aca="false">(V$27+V$28*SIN(2*PI()/365*A409))*V$29/100*V$9*V$10/100</f>
        <v>0</v>
      </c>
      <c r="F409" s="46" t="n">
        <f aca="false">(V$27+V$28*SIN(2*PI()/365*A409))*V$29/100*V$11*(1-V$18/100)*(1-V$20/100)</f>
        <v>29.5991847427429</v>
      </c>
      <c r="G409" s="46" t="n">
        <f aca="false">IF(C409&gt;E409,100,C409/E409*100)</f>
        <v>100</v>
      </c>
      <c r="H409" s="46" t="n">
        <f aca="false">L409/F409*100</f>
        <v>19.9254419967486</v>
      </c>
      <c r="I409" s="47" t="n">
        <f aca="false">(V$27+V$28*SIN(2*PI()/365*A409))*V$29/100*V$9*V$10/100*(1-V$19/100)</f>
        <v>0</v>
      </c>
      <c r="J409" s="47" t="n">
        <f aca="false">(V$27+V$28*SIN(2*PI()/365*A409))*V$29/100*V$11*(1-V$18/100)</f>
        <v>32.5265766403768</v>
      </c>
      <c r="K409" s="48" t="n">
        <f aca="false">IF(E409/C409*100&lt;100,E409/C409*100,100)</f>
        <v>0</v>
      </c>
      <c r="L409" s="7" t="n">
        <f aca="false">IF(((C409-E409)&gt;0)*AND(F409&gt;(C409-E409)),(C409-E409),IF(C409&lt;E409,0,F409))</f>
        <v>5.8977683874257</v>
      </c>
      <c r="M409" s="7" t="n">
        <f aca="false">IF(C409&lt;(E409+F409),0,C409-E409-F409)</f>
        <v>0</v>
      </c>
      <c r="N409" s="7" t="n">
        <f aca="false">IF(C409&lt;(E409+F409),0,(C409-E409-F409)/(1-V$20/100))</f>
        <v>0</v>
      </c>
      <c r="O409" s="7" t="n">
        <f aca="false">L409+M409</f>
        <v>5.8977683874257</v>
      </c>
      <c r="P409" s="49" t="n">
        <f aca="false">IF(N409=0,I409*(1-G409/100)+J409*(1-H409/100),-N409)</f>
        <v>26.0455124783706</v>
      </c>
      <c r="Q409" s="54" t="n">
        <f aca="false">IF(P408&gt;0,Q408+P408*(1-V$24/100),Q408+P408)</f>
        <v>597.54591308726</v>
      </c>
      <c r="R409" s="55" t="n">
        <f aca="false">R$4+Q409/V$32</f>
        <v>45.8112477506908</v>
      </c>
    </row>
    <row r="410" customFormat="false" ht="12.8" hidden="false" customHeight="false" outlineLevel="0" collapsed="false">
      <c r="A410" s="1" t="n">
        <v>406</v>
      </c>
      <c r="B410" s="44" t="n">
        <v>43951</v>
      </c>
      <c r="C410" s="45" t="n">
        <f aca="false">V$30-V$30*SIN(2*PI()/365*A410)</f>
        <v>5.68427063687702</v>
      </c>
      <c r="D410" s="3" t="n">
        <f aca="false">IF((E410+F410)&gt;C410,C410,E410+F410)</f>
        <v>5.68427063687702</v>
      </c>
      <c r="E410" s="46" t="n">
        <f aca="false">(V$27+V$28*SIN(2*PI()/365*A410))*V$29/100*V$9*V$10/100</f>
        <v>0</v>
      </c>
      <c r="F410" s="46" t="n">
        <f aca="false">(V$27+V$28*SIN(2*PI()/365*A410))*V$29/100*V$11*(1-V$18/100)*(1-V$20/100)</f>
        <v>29.8138456772029</v>
      </c>
      <c r="G410" s="46" t="n">
        <f aca="false">IF(C410&gt;E410,100,C410/E410*100)</f>
        <v>100</v>
      </c>
      <c r="H410" s="46" t="n">
        <f aca="false">L410/F410*100</f>
        <v>19.0658752930471</v>
      </c>
      <c r="I410" s="47" t="n">
        <f aca="false">(V$27+V$28*SIN(2*PI()/365*A410))*V$29/100*V$9*V$10/100*(1-V$19/100)</f>
        <v>0</v>
      </c>
      <c r="J410" s="47" t="n">
        <f aca="false">(V$27+V$28*SIN(2*PI()/365*A410))*V$29/100*V$11*(1-V$18/100)</f>
        <v>32.762467777146</v>
      </c>
      <c r="K410" s="48" t="n">
        <f aca="false">IF(E410/C410*100&lt;100,E410/C410*100,100)</f>
        <v>0</v>
      </c>
      <c r="L410" s="7" t="n">
        <f aca="false">IF(((C410-E410)&gt;0)*AND(F410&gt;(C410-E410)),(C410-E410),IF(C410&lt;E410,0,F410))</f>
        <v>5.68427063687702</v>
      </c>
      <c r="M410" s="7" t="n">
        <f aca="false">IF(C410&lt;(E410+F410),0,C410-E410-F410)</f>
        <v>0</v>
      </c>
      <c r="N410" s="7" t="n">
        <f aca="false">IF(C410&lt;(E410+F410),0,(C410-E410-F410)/(1-V$20/100))</f>
        <v>0</v>
      </c>
      <c r="O410" s="7" t="n">
        <f aca="false">L410+M410</f>
        <v>5.68427063687702</v>
      </c>
      <c r="P410" s="49" t="n">
        <f aca="false">IF(N410=0,I410*(1-G410/100)+J410*(1-H410/100),-N410)</f>
        <v>26.5160165278306</v>
      </c>
      <c r="Q410" s="54" t="n">
        <f aca="false">IF(P409&gt;0,Q409+P409*(1-V$24/100),Q409+P409)</f>
        <v>617.600957695605</v>
      </c>
      <c r="R410" s="55" t="n">
        <f aca="false">R$4+Q410/V$32</f>
        <v>46.0062868770872</v>
      </c>
    </row>
    <row r="411" customFormat="false" ht="12.8" hidden="false" customHeight="false" outlineLevel="0" collapsed="false">
      <c r="A411" s="1" t="n">
        <v>407</v>
      </c>
      <c r="B411" s="44" t="n">
        <v>43952</v>
      </c>
      <c r="C411" s="45" t="n">
        <f aca="false">V$30-V$30*SIN(2*PI()/365*A411)</f>
        <v>5.47388223587182</v>
      </c>
      <c r="D411" s="3" t="n">
        <f aca="false">IF((E411+F411)&gt;C411,C411,E411+F411)</f>
        <v>5.47388223587182</v>
      </c>
      <c r="E411" s="46" t="n">
        <f aca="false">(V$27+V$28*SIN(2*PI()/365*A411))*V$29/100*V$9*V$10/100</f>
        <v>0</v>
      </c>
      <c r="F411" s="46" t="n">
        <f aca="false">(V$27+V$28*SIN(2*PI()/365*A411))*V$29/100*V$11*(1-V$18/100)*(1-V$20/100)</f>
        <v>30.0253803216815</v>
      </c>
      <c r="G411" s="46" t="n">
        <f aca="false">IF(C411&gt;E411,100,C411/E411*100)</f>
        <v>100</v>
      </c>
      <c r="H411" s="46" t="n">
        <f aca="false">L411/F411*100</f>
        <v>18.2308506244602</v>
      </c>
      <c r="I411" s="47" t="n">
        <f aca="false">(V$27+V$28*SIN(2*PI()/365*A411))*V$29/100*V$9*V$10/100*(1-V$19/100)</f>
        <v>0</v>
      </c>
      <c r="J411" s="47" t="n">
        <f aca="false">(V$27+V$28*SIN(2*PI()/365*A411))*V$29/100*V$11*(1-V$18/100)</f>
        <v>32.9949234304193</v>
      </c>
      <c r="K411" s="48" t="n">
        <f aca="false">IF(E411/C411*100&lt;100,E411/C411*100,100)</f>
        <v>0</v>
      </c>
      <c r="L411" s="7" t="n">
        <f aca="false">IF(((C411-E411)&gt;0)*AND(F411&gt;(C411-E411)),(C411-E411),IF(C411&lt;E411,0,F411))</f>
        <v>5.47388223587182</v>
      </c>
      <c r="M411" s="7" t="n">
        <f aca="false">IF(C411&lt;(E411+F411),0,C411-E411-F411)</f>
        <v>0</v>
      </c>
      <c r="N411" s="7" t="n">
        <f aca="false">IF(C411&lt;(E411+F411),0,(C411-E411-F411)/(1-V$20/100))</f>
        <v>0</v>
      </c>
      <c r="O411" s="7" t="n">
        <f aca="false">L411+M411</f>
        <v>5.47388223587182</v>
      </c>
      <c r="P411" s="49" t="n">
        <f aca="false">IF(N411=0,I411*(1-G411/100)+J411*(1-H411/100),-N411)</f>
        <v>26.9796682261645</v>
      </c>
      <c r="Q411" s="54" t="n">
        <f aca="false">IF(P410&gt;0,Q410+P410*(1-V$24/100),Q410+P410)</f>
        <v>638.018290422035</v>
      </c>
      <c r="R411" s="55" t="n">
        <f aca="false">R$4+Q411/V$32</f>
        <v>46.2048493243953</v>
      </c>
    </row>
    <row r="412" customFormat="false" ht="12.8" hidden="false" customHeight="false" outlineLevel="0" collapsed="false">
      <c r="A412" s="1" t="n">
        <v>408</v>
      </c>
      <c r="B412" s="44" t="n">
        <v>43953</v>
      </c>
      <c r="C412" s="45" t="n">
        <f aca="false">V$30-V$30*SIN(2*PI()/365*A412)</f>
        <v>5.2666655270339</v>
      </c>
      <c r="D412" s="3" t="n">
        <f aca="false">IF((E412+F412)&gt;C412,C412,E412+F412)</f>
        <v>5.2666655270339</v>
      </c>
      <c r="E412" s="46" t="n">
        <f aca="false">(V$27+V$28*SIN(2*PI()/365*A412))*V$29/100*V$9*V$10/100</f>
        <v>0</v>
      </c>
      <c r="F412" s="46" t="n">
        <f aca="false">(V$27+V$28*SIN(2*PI()/365*A412))*V$29/100*V$11*(1-V$18/100)*(1-V$20/100)</f>
        <v>30.2337259938985</v>
      </c>
      <c r="G412" s="46" t="n">
        <f aca="false">IF(C412&gt;E412,100,C412/E412*100)</f>
        <v>100</v>
      </c>
      <c r="H412" s="46" t="n">
        <f aca="false">L412/F412*100</f>
        <v>17.4198361396038</v>
      </c>
      <c r="I412" s="47" t="n">
        <f aca="false">(V$27+V$28*SIN(2*PI()/365*A412))*V$29/100*V$9*V$10/100*(1-V$19/100)</f>
        <v>0</v>
      </c>
      <c r="J412" s="47" t="n">
        <f aca="false">(V$27+V$28*SIN(2*PI()/365*A412))*V$29/100*V$11*(1-V$18/100)</f>
        <v>33.2238747185697</v>
      </c>
      <c r="K412" s="48" t="n">
        <f aca="false">IF(E412/C412*100&lt;100,E412/C412*100,100)</f>
        <v>0</v>
      </c>
      <c r="L412" s="7" t="n">
        <f aca="false">IF(((C412-E412)&gt;0)*AND(F412&gt;(C412-E412)),(C412-E412),IF(C412&lt;E412,0,F412))</f>
        <v>5.2666655270339</v>
      </c>
      <c r="M412" s="7" t="n">
        <f aca="false">IF(C412&lt;(E412+F412),0,C412-E412-F412)</f>
        <v>0</v>
      </c>
      <c r="N412" s="7" t="n">
        <f aca="false">IF(C412&lt;(E412+F412),0,(C412-E412-F412)/(1-V$20/100))</f>
        <v>0</v>
      </c>
      <c r="O412" s="7" t="n">
        <f aca="false">L412+M412</f>
        <v>5.2666655270339</v>
      </c>
      <c r="P412" s="49" t="n">
        <f aca="false">IF(N412=0,I412*(1-G412/100)+J412*(1-H412/100),-N412)</f>
        <v>27.4363301833676</v>
      </c>
      <c r="Q412" s="54" t="n">
        <f aca="false">IF(P411&gt;0,Q411+P411*(1-V$24/100),Q411+P411)</f>
        <v>658.792634956182</v>
      </c>
      <c r="R412" s="55" t="n">
        <f aca="false">R$4+Q412/V$32</f>
        <v>46.4068837794925</v>
      </c>
    </row>
    <row r="413" customFormat="false" ht="12.8" hidden="false" customHeight="false" outlineLevel="0" collapsed="false">
      <c r="A413" s="1" t="n">
        <v>409</v>
      </c>
      <c r="B413" s="44" t="n">
        <v>43954</v>
      </c>
      <c r="C413" s="45" t="n">
        <f aca="false">V$30-V$30*SIN(2*PI()/365*A413)</f>
        <v>5.06268191314616</v>
      </c>
      <c r="D413" s="3" t="n">
        <f aca="false">IF((E413+F413)&gt;C413,C413,E413+F413)</f>
        <v>5.06268191314616</v>
      </c>
      <c r="E413" s="46" t="n">
        <f aca="false">(V$27+V$28*SIN(2*PI()/365*A413))*V$29/100*V$9*V$10/100</f>
        <v>0</v>
      </c>
      <c r="F413" s="46" t="n">
        <f aca="false">(V$27+V$28*SIN(2*PI()/365*A413))*V$29/100*V$11*(1-V$18/100)*(1-V$20/100)</f>
        <v>30.4388209565345</v>
      </c>
      <c r="G413" s="46" t="n">
        <f aca="false">IF(C413&gt;E413,100,C413/E413*100)</f>
        <v>100</v>
      </c>
      <c r="H413" s="46" t="n">
        <f aca="false">L413/F413*100</f>
        <v>16.6323193673483</v>
      </c>
      <c r="I413" s="47" t="n">
        <f aca="false">(V$27+V$28*SIN(2*PI()/365*A413))*V$29/100*V$9*V$10/100*(1-V$19/100)</f>
        <v>0</v>
      </c>
      <c r="J413" s="47" t="n">
        <f aca="false">(V$27+V$28*SIN(2*PI()/365*A413))*V$29/100*V$11*(1-V$18/100)</f>
        <v>33.4492537983896</v>
      </c>
      <c r="K413" s="48" t="n">
        <f aca="false">IF(E413/C413*100&lt;100,E413/C413*100,100)</f>
        <v>0</v>
      </c>
      <c r="L413" s="7" t="n">
        <f aca="false">IF(((C413-E413)&gt;0)*AND(F413&gt;(C413-E413)),(C413-E413),IF(C413&lt;E413,0,F413))</f>
        <v>5.06268191314616</v>
      </c>
      <c r="M413" s="7" t="n">
        <f aca="false">IF(C413&lt;(E413+F413),0,C413-E413-F413)</f>
        <v>0</v>
      </c>
      <c r="N413" s="7" t="n">
        <f aca="false">IF(C413&lt;(E413+F413),0,(C413-E413-F413)/(1-V$20/100))</f>
        <v>0</v>
      </c>
      <c r="O413" s="7" t="n">
        <f aca="false">L413+M413</f>
        <v>5.06268191314616</v>
      </c>
      <c r="P413" s="49" t="n">
        <f aca="false">IF(N413=0,I413*(1-G413/100)+J413*(1-H413/100),-N413)</f>
        <v>27.8858670806465</v>
      </c>
      <c r="Q413" s="54" t="n">
        <f aca="false">IF(P412&gt;0,Q412+P412*(1-V$24/100),Q412+P412)</f>
        <v>679.918609197375</v>
      </c>
      <c r="R413" s="55" t="n">
        <f aca="false">R$4+Q413/V$32</f>
        <v>46.6123379004252</v>
      </c>
    </row>
    <row r="414" customFormat="false" ht="12.8" hidden="false" customHeight="false" outlineLevel="0" collapsed="false">
      <c r="A414" s="1" t="n">
        <v>410</v>
      </c>
      <c r="B414" s="44" t="n">
        <v>43955</v>
      </c>
      <c r="C414" s="45" t="n">
        <f aca="false">V$30-V$30*SIN(2*PI()/365*A414)</f>
        <v>4.86199183895574</v>
      </c>
      <c r="D414" s="3" t="n">
        <f aca="false">IF((E414+F414)&gt;C414,C414,E414+F414)</f>
        <v>4.86199183895574</v>
      </c>
      <c r="E414" s="46" t="n">
        <f aca="false">(V$27+V$28*SIN(2*PI()/365*A414))*V$29/100*V$9*V$10/100</f>
        <v>0</v>
      </c>
      <c r="F414" s="46" t="n">
        <f aca="false">(V$27+V$28*SIN(2*PI()/365*A414))*V$29/100*V$11*(1-V$18/100)*(1-V$20/100)</f>
        <v>30.6406044355259</v>
      </c>
      <c r="G414" s="46" t="n">
        <f aca="false">IF(C414&gt;E414,100,C414/E414*100)</f>
        <v>100</v>
      </c>
      <c r="H414" s="46" t="n">
        <f aca="false">L414/F414*100</f>
        <v>15.86780655449</v>
      </c>
      <c r="I414" s="47" t="n">
        <f aca="false">(V$27+V$28*SIN(2*PI()/365*A414))*V$29/100*V$9*V$10/100*(1-V$19/100)</f>
        <v>0</v>
      </c>
      <c r="J414" s="47" t="n">
        <f aca="false">(V$27+V$28*SIN(2*PI()/365*A414))*V$29/100*V$11*(1-V$18/100)</f>
        <v>33.6709938851933</v>
      </c>
      <c r="K414" s="48" t="n">
        <f aca="false">IF(E414/C414*100&lt;100,E414/C414*100,100)</f>
        <v>0</v>
      </c>
      <c r="L414" s="7" t="n">
        <f aca="false">IF(((C414-E414)&gt;0)*AND(F414&gt;(C414-E414)),(C414-E414),IF(C414&lt;E414,0,F414))</f>
        <v>4.86199183895574</v>
      </c>
      <c r="M414" s="7" t="n">
        <f aca="false">IF(C414&lt;(E414+F414),0,C414-E414-F414)</f>
        <v>0</v>
      </c>
      <c r="N414" s="7" t="n">
        <f aca="false">IF(C414&lt;(E414+F414),0,(C414-E414-F414)/(1-V$20/100))</f>
        <v>0</v>
      </c>
      <c r="O414" s="7" t="n">
        <f aca="false">L414+M414</f>
        <v>4.86199183895574</v>
      </c>
      <c r="P414" s="49" t="n">
        <f aca="false">IF(N414=0,I414*(1-G414/100)+J414*(1-H414/100),-N414)</f>
        <v>28.3281457105167</v>
      </c>
      <c r="Q414" s="54" t="n">
        <f aca="false">IF(P413&gt;0,Q413+P413*(1-V$24/100),Q413+P413)</f>
        <v>701.390726849473</v>
      </c>
      <c r="R414" s="55" t="n">
        <f aca="false">R$4+Q414/V$32</f>
        <v>46.8211583319192</v>
      </c>
    </row>
    <row r="415" customFormat="false" ht="12.8" hidden="false" customHeight="false" outlineLevel="0" collapsed="false">
      <c r="A415" s="1" t="n">
        <v>411</v>
      </c>
      <c r="B415" s="44" t="n">
        <v>43956</v>
      </c>
      <c r="C415" s="45" t="n">
        <f aca="false">V$30-V$30*SIN(2*PI()/365*A415)</f>
        <v>4.66465477326288</v>
      </c>
      <c r="D415" s="3" t="n">
        <f aca="false">IF((E415+F415)&gt;C415,C415,E415+F415)</f>
        <v>4.66465477326288</v>
      </c>
      <c r="E415" s="46" t="n">
        <f aca="false">(V$27+V$28*SIN(2*PI()/365*A415))*V$29/100*V$9*V$10/100</f>
        <v>0</v>
      </c>
      <c r="F415" s="46" t="n">
        <f aca="false">(V$27+V$28*SIN(2*PI()/365*A415))*V$29/100*V$11*(1-V$18/100)*(1-V$20/100)</f>
        <v>30.839016638073</v>
      </c>
      <c r="G415" s="46" t="n">
        <f aca="false">IF(C415&gt;E415,100,C415/E415*100)</f>
        <v>100</v>
      </c>
      <c r="H415" s="46" t="n">
        <f aca="false">L415/F415*100</f>
        <v>15.1258220325483</v>
      </c>
      <c r="I415" s="47" t="n">
        <f aca="false">(V$27+V$28*SIN(2*PI()/365*A415))*V$29/100*V$9*V$10/100*(1-V$19/100)</f>
        <v>0</v>
      </c>
      <c r="J415" s="47" t="n">
        <f aca="false">(V$27+V$28*SIN(2*PI()/365*A415))*V$29/100*V$11*(1-V$18/100)</f>
        <v>33.8890292726077</v>
      </c>
      <c r="K415" s="48" t="n">
        <f aca="false">IF(E415/C415*100&lt;100,E415/C415*100,100)</f>
        <v>0</v>
      </c>
      <c r="L415" s="7" t="n">
        <f aca="false">IF(((C415-E415)&gt;0)*AND(F415&gt;(C415-E415)),(C415-E415),IF(C415&lt;E415,0,F415))</f>
        <v>4.66465477326288</v>
      </c>
      <c r="M415" s="7" t="n">
        <f aca="false">IF(C415&lt;(E415+F415),0,C415-E415-F415)</f>
        <v>0</v>
      </c>
      <c r="N415" s="7" t="n">
        <f aca="false">IF(C415&lt;(E415+F415),0,(C415-E415-F415)/(1-V$20/100))</f>
        <v>0</v>
      </c>
      <c r="O415" s="7" t="n">
        <f aca="false">L415+M415</f>
        <v>4.66465477326288</v>
      </c>
      <c r="P415" s="49" t="n">
        <f aca="false">IF(N415=0,I415*(1-G415/100)+J415*(1-H415/100),-N415)</f>
        <v>28.7630350162749</v>
      </c>
      <c r="Q415" s="54" t="n">
        <f aca="false">IF(P414&gt;0,Q414+P414*(1-V$24/100),Q414+P414)</f>
        <v>723.20339904657</v>
      </c>
      <c r="R415" s="55" t="n">
        <f aca="false">R$4+Q415/V$32</f>
        <v>47.0332907211895</v>
      </c>
    </row>
    <row r="416" customFormat="false" ht="12.8" hidden="false" customHeight="false" outlineLevel="0" collapsed="false">
      <c r="A416" s="1" t="n">
        <v>412</v>
      </c>
      <c r="B416" s="44" t="n">
        <v>43957</v>
      </c>
      <c r="C416" s="45" t="n">
        <f aca="false">V$30-V$30*SIN(2*PI()/365*A416)</f>
        <v>4.47072919129901</v>
      </c>
      <c r="D416" s="3" t="n">
        <f aca="false">IF((E416+F416)&gt;C416,C416,E416+F416)</f>
        <v>4.47072919129901</v>
      </c>
      <c r="E416" s="46" t="n">
        <f aca="false">(V$27+V$28*SIN(2*PI()/365*A416))*V$29/100*V$9*V$10/100</f>
        <v>0</v>
      </c>
      <c r="F416" s="46" t="n">
        <f aca="false">(V$27+V$28*SIN(2*PI()/365*A416))*V$29/100*V$11*(1-V$18/100)*(1-V$20/100)</f>
        <v>31.0339987703581</v>
      </c>
      <c r="G416" s="46" t="n">
        <f aca="false">IF(C416&gt;E416,100,C416/E416*100)</f>
        <v>100</v>
      </c>
      <c r="H416" s="46" t="n">
        <f aca="false">L416/F416*100</f>
        <v>14.4059076124253</v>
      </c>
      <c r="I416" s="47" t="n">
        <f aca="false">(V$27+V$28*SIN(2*PI()/365*A416))*V$29/100*V$9*V$10/100*(1-V$19/100)</f>
        <v>0</v>
      </c>
      <c r="J416" s="47" t="n">
        <f aca="false">(V$27+V$28*SIN(2*PI()/365*A416))*V$29/100*V$11*(1-V$18/100)</f>
        <v>34.1032953520419</v>
      </c>
      <c r="K416" s="48" t="n">
        <f aca="false">IF(E416/C416*100&lt;100,E416/C416*100,100)</f>
        <v>0</v>
      </c>
      <c r="L416" s="7" t="n">
        <f aca="false">IF(((C416-E416)&gt;0)*AND(F416&gt;(C416-E416)),(C416-E416),IF(C416&lt;E416,0,F416))</f>
        <v>4.47072919129901</v>
      </c>
      <c r="M416" s="7" t="n">
        <f aca="false">IF(C416&lt;(E416+F416),0,C416-E416-F416)</f>
        <v>0</v>
      </c>
      <c r="N416" s="7" t="n">
        <f aca="false">IF(C416&lt;(E416+F416),0,(C416-E416-F416)/(1-V$20/100))</f>
        <v>0</v>
      </c>
      <c r="O416" s="7" t="n">
        <f aca="false">L416+M416</f>
        <v>4.47072919129901</v>
      </c>
      <c r="P416" s="49" t="n">
        <f aca="false">IF(N416=0,I416*(1-G416/100)+J416*(1-H416/100),-N416)</f>
        <v>29.1904061308342</v>
      </c>
      <c r="Q416" s="54" t="n">
        <f aca="false">IF(P415&gt;0,Q415+P415*(1-V$24/100),Q415+P415)</f>
        <v>745.350936009102</v>
      </c>
      <c r="R416" s="55" t="n">
        <f aca="false">R$4+Q416/V$32</f>
        <v>47.248679734047</v>
      </c>
    </row>
    <row r="417" customFormat="false" ht="12.8" hidden="false" customHeight="false" outlineLevel="0" collapsed="false">
      <c r="A417" s="1" t="n">
        <v>413</v>
      </c>
      <c r="B417" s="44" t="n">
        <v>43958</v>
      </c>
      <c r="C417" s="45" t="n">
        <f aca="false">V$30-V$30*SIN(2*PI()/365*A417)</f>
        <v>4.28027255739933</v>
      </c>
      <c r="D417" s="3" t="n">
        <f aca="false">IF((E417+F417)&gt;C417,C417,E417+F417)</f>
        <v>4.28027255739933</v>
      </c>
      <c r="E417" s="46" t="n">
        <f aca="false">(V$27+V$28*SIN(2*PI()/365*A417))*V$29/100*V$9*V$10/100</f>
        <v>0</v>
      </c>
      <c r="F417" s="46" t="n">
        <f aca="false">(V$27+V$28*SIN(2*PI()/365*A417))*V$29/100*V$11*(1-V$18/100)*(1-V$20/100)</f>
        <v>31.2254930549673</v>
      </c>
      <c r="G417" s="46" t="n">
        <f aca="false">IF(C417&gt;E417,100,C417/E417*100)</f>
        <v>100</v>
      </c>
      <c r="H417" s="46" t="n">
        <f aca="false">L417/F417*100</f>
        <v>13.7076220057266</v>
      </c>
      <c r="I417" s="47" t="n">
        <f aca="false">(V$27+V$28*SIN(2*PI()/365*A417))*V$29/100*V$9*V$10/100*(1-V$19/100)</f>
        <v>0</v>
      </c>
      <c r="J417" s="47" t="n">
        <f aca="false">(V$27+V$28*SIN(2*PI()/365*A417))*V$29/100*V$11*(1-V$18/100)</f>
        <v>34.3137286318322</v>
      </c>
      <c r="K417" s="48" t="n">
        <f aca="false">IF(E417/C417*100&lt;100,E417/C417*100,100)</f>
        <v>0</v>
      </c>
      <c r="L417" s="7" t="n">
        <f aca="false">IF(((C417-E417)&gt;0)*AND(F417&gt;(C417-E417)),(C417-E417),IF(C417&lt;E417,0,F417))</f>
        <v>4.28027255739933</v>
      </c>
      <c r="M417" s="7" t="n">
        <f aca="false">IF(C417&lt;(E417+F417),0,C417-E417-F417)</f>
        <v>0</v>
      </c>
      <c r="N417" s="7" t="n">
        <f aca="false">IF(C417&lt;(E417+F417),0,(C417-E417-F417)/(1-V$20/100))</f>
        <v>0</v>
      </c>
      <c r="O417" s="7" t="n">
        <f aca="false">L417+M417</f>
        <v>4.28027255739933</v>
      </c>
      <c r="P417" s="49" t="n">
        <f aca="false">IF(N417=0,I417*(1-G417/100)+J417*(1-H417/100),-N417)</f>
        <v>29.6101324149099</v>
      </c>
      <c r="Q417" s="54" t="n">
        <f aca="false">IF(P416&gt;0,Q416+P416*(1-V$24/100),Q416+P416)</f>
        <v>767.827548729844</v>
      </c>
      <c r="R417" s="55" t="n">
        <f aca="false">R$4+Q417/V$32</f>
        <v>47.4672690712942</v>
      </c>
    </row>
    <row r="418" customFormat="false" ht="12.8" hidden="false" customHeight="false" outlineLevel="0" collapsed="false">
      <c r="A418" s="1" t="n">
        <v>414</v>
      </c>
      <c r="B418" s="44" t="n">
        <v>43959</v>
      </c>
      <c r="C418" s="45" t="n">
        <f aca="false">V$30-V$30*SIN(2*PI()/365*A418)</f>
        <v>4.09334130797484</v>
      </c>
      <c r="D418" s="3" t="n">
        <f aca="false">IF((E418+F418)&gt;C418,C418,E418+F418)</f>
        <v>4.09334130797484</v>
      </c>
      <c r="E418" s="46" t="n">
        <f aca="false">(V$27+V$28*SIN(2*PI()/365*A418))*V$29/100*V$9*V$10/100</f>
        <v>0</v>
      </c>
      <c r="F418" s="46" t="n">
        <f aca="false">(V$27+V$28*SIN(2*PI()/365*A418))*V$29/100*V$11*(1-V$18/100)*(1-V$20/100)</f>
        <v>31.4134427480114</v>
      </c>
      <c r="G418" s="46" t="n">
        <f aca="false">IF(C418&gt;E418,100,C418/E418*100)</f>
        <v>100</v>
      </c>
      <c r="H418" s="46" t="n">
        <f aca="false">L418/F418*100</f>
        <v>13.0305402715975</v>
      </c>
      <c r="I418" s="47" t="n">
        <f aca="false">(V$27+V$28*SIN(2*PI()/365*A418))*V$29/100*V$9*V$10/100*(1-V$19/100)</f>
        <v>0</v>
      </c>
      <c r="J418" s="47" t="n">
        <f aca="false">(V$27+V$28*SIN(2*PI()/365*A418))*V$29/100*V$11*(1-V$18/100)</f>
        <v>34.5202667560565</v>
      </c>
      <c r="K418" s="48" t="n">
        <f aca="false">IF(E418/C418*100&lt;100,E418/C418*100,100)</f>
        <v>0</v>
      </c>
      <c r="L418" s="7" t="n">
        <f aca="false">IF(((C418-E418)&gt;0)*AND(F418&gt;(C418-E418)),(C418-E418),IF(C418&lt;E418,0,F418))</f>
        <v>4.09334130797484</v>
      </c>
      <c r="M418" s="7" t="n">
        <f aca="false">IF(C418&lt;(E418+F418),0,C418-E418-F418)</f>
        <v>0</v>
      </c>
      <c r="N418" s="7" t="n">
        <f aca="false">IF(C418&lt;(E418+F418),0,(C418-E418-F418)/(1-V$20/100))</f>
        <v>0</v>
      </c>
      <c r="O418" s="7" t="n">
        <f aca="false">L418+M418</f>
        <v>4.09334130797484</v>
      </c>
      <c r="P418" s="49" t="n">
        <f aca="false">IF(N418=0,I418*(1-G418/100)+J418*(1-H418/100),-N418)</f>
        <v>30.0220894945457</v>
      </c>
      <c r="Q418" s="54" t="n">
        <f aca="false">IF(P417&gt;0,Q417+P417*(1-V$24/100),Q417+P417)</f>
        <v>790.627350689325</v>
      </c>
      <c r="R418" s="55" t="n">
        <f aca="false">R$4+Q418/V$32</f>
        <v>47.689001485409</v>
      </c>
    </row>
    <row r="419" customFormat="false" ht="12.8" hidden="false" customHeight="false" outlineLevel="0" collapsed="false">
      <c r="A419" s="1" t="n">
        <v>415</v>
      </c>
      <c r="B419" s="44" t="n">
        <v>43960</v>
      </c>
      <c r="C419" s="45" t="n">
        <f aca="false">V$30-V$30*SIN(2*PI()/365*A419)</f>
        <v>3.90999083478908</v>
      </c>
      <c r="D419" s="3" t="n">
        <f aca="false">IF((E419+F419)&gt;C419,C419,E419+F419)</f>
        <v>3.90999083478908</v>
      </c>
      <c r="E419" s="46" t="n">
        <f aca="false">(V$27+V$28*SIN(2*PI()/365*A419))*V$29/100*V$9*V$10/100</f>
        <v>0</v>
      </c>
      <c r="F419" s="46" t="n">
        <f aca="false">(V$27+V$28*SIN(2*PI()/365*A419))*V$29/100*V$11*(1-V$18/100)*(1-V$20/100)</f>
        <v>31.59779215594</v>
      </c>
      <c r="G419" s="46" t="n">
        <f aca="false">IF(C419&gt;E419,100,C419/E419*100)</f>
        <v>100</v>
      </c>
      <c r="H419" s="46" t="n">
        <f aca="false">L419/F419*100</f>
        <v>12.3742532879913</v>
      </c>
      <c r="I419" s="47" t="n">
        <f aca="false">(V$27+V$28*SIN(2*PI()/365*A419))*V$29/100*V$9*V$10/100*(1-V$19/100)</f>
        <v>0</v>
      </c>
      <c r="J419" s="47" t="n">
        <f aca="false">(V$27+V$28*SIN(2*PI()/365*A419))*V$29/100*V$11*(1-V$18/100)</f>
        <v>34.722848523011</v>
      </c>
      <c r="K419" s="48" t="n">
        <f aca="false">IF(E419/C419*100&lt;100,E419/C419*100,100)</f>
        <v>0</v>
      </c>
      <c r="L419" s="7" t="n">
        <f aca="false">IF(((C419-E419)&gt;0)*AND(F419&gt;(C419-E419)),(C419-E419),IF(C419&lt;E419,0,F419))</f>
        <v>3.90999083478908</v>
      </c>
      <c r="M419" s="7" t="n">
        <f aca="false">IF(C419&lt;(E419+F419),0,C419-E419-F419)</f>
        <v>0</v>
      </c>
      <c r="N419" s="7" t="n">
        <f aca="false">IF(C419&lt;(E419+F419),0,(C419-E419-F419)/(1-V$20/100))</f>
        <v>0</v>
      </c>
      <c r="O419" s="7" t="n">
        <f aca="false">L419+M419</f>
        <v>3.90999083478908</v>
      </c>
      <c r="P419" s="49" t="n">
        <f aca="false">IF(N419=0,I419*(1-G419/100)+J419*(1-H419/100),-N419)</f>
        <v>30.426155297968</v>
      </c>
      <c r="Q419" s="54" t="n">
        <f aca="false">IF(P418&gt;0,Q418+P418*(1-V$24/100),Q418+P418)</f>
        <v>813.744359600125</v>
      </c>
      <c r="R419" s="55" t="n">
        <f aca="false">R$4+Q419/V$32</f>
        <v>47.9138187975073</v>
      </c>
    </row>
    <row r="420" customFormat="false" ht="12.8" hidden="false" customHeight="false" outlineLevel="0" collapsed="false">
      <c r="A420" s="1" t="n">
        <v>416</v>
      </c>
      <c r="B420" s="44" t="n">
        <v>43961</v>
      </c>
      <c r="C420" s="45" t="n">
        <f aca="false">V$30-V$30*SIN(2*PI()/365*A420)</f>
        <v>3.73027546854426</v>
      </c>
      <c r="D420" s="3" t="n">
        <f aca="false">IF((E420+F420)&gt;C420,C420,E420+F420)</f>
        <v>3.73027546854426</v>
      </c>
      <c r="E420" s="46" t="n">
        <f aca="false">(V$27+V$28*SIN(2*PI()/365*A420))*V$29/100*V$9*V$10/100</f>
        <v>0</v>
      </c>
      <c r="F420" s="46" t="n">
        <f aca="false">(V$27+V$28*SIN(2*PI()/365*A420))*V$29/100*V$11*(1-V$18/100)*(1-V$20/100)</f>
        <v>31.7784866520449</v>
      </c>
      <c r="G420" s="46" t="n">
        <f aca="false">IF(C420&gt;E420,100,C420/E420*100)</f>
        <v>100</v>
      </c>
      <c r="H420" s="46" t="n">
        <f aca="false">L420/F420*100</f>
        <v>11.738367246334</v>
      </c>
      <c r="I420" s="47" t="n">
        <f aca="false">(V$27+V$28*SIN(2*PI()/365*A420))*V$29/100*V$9*V$10/100*(1-V$19/100)</f>
        <v>0</v>
      </c>
      <c r="J420" s="47" t="n">
        <f aca="false">(V$27+V$28*SIN(2*PI()/365*A420))*V$29/100*V$11*(1-V$18/100)</f>
        <v>34.9214139033461</v>
      </c>
      <c r="K420" s="48" t="n">
        <f aca="false">IF(E420/C420*100&lt;100,E420/C420*100,100)</f>
        <v>0</v>
      </c>
      <c r="L420" s="7" t="n">
        <f aca="false">IF(((C420-E420)&gt;0)*AND(F420&gt;(C420-E420)),(C420-E420),IF(C420&lt;E420,0,F420))</f>
        <v>3.73027546854426</v>
      </c>
      <c r="M420" s="7" t="n">
        <f aca="false">IF(C420&lt;(E420+F420),0,C420-E420-F420)</f>
        <v>0</v>
      </c>
      <c r="N420" s="7" t="n">
        <f aca="false">IF(C420&lt;(E420+F420),0,(C420-E420-F420)/(1-V$20/100))</f>
        <v>0</v>
      </c>
      <c r="O420" s="7" t="n">
        <f aca="false">L420+M420</f>
        <v>3.73027546854426</v>
      </c>
      <c r="P420" s="49" t="n">
        <f aca="false">IF(N420=0,I420*(1-G420/100)+J420*(1-H420/100),-N420)</f>
        <v>30.822210091759</v>
      </c>
      <c r="Q420" s="54" t="n">
        <f aca="false">IF(P419&gt;0,Q419+P419*(1-V$24/100),Q419+P419)</f>
        <v>837.172499179561</v>
      </c>
      <c r="R420" s="55" t="n">
        <f aca="false">R$4+Q420/V$32</f>
        <v>48.1416619145833</v>
      </c>
    </row>
    <row r="421" customFormat="false" ht="12.8" hidden="false" customHeight="false" outlineLevel="0" collapsed="false">
      <c r="A421" s="1" t="n">
        <v>417</v>
      </c>
      <c r="B421" s="44" t="n">
        <v>43962</v>
      </c>
      <c r="C421" s="45" t="n">
        <f aca="false">V$30-V$30*SIN(2*PI()/365*A421)</f>
        <v>3.55424846278198</v>
      </c>
      <c r="D421" s="3" t="n">
        <f aca="false">IF((E421+F421)&gt;C421,C421,E421+F421)</f>
        <v>3.55424846278198</v>
      </c>
      <c r="E421" s="46" t="n">
        <f aca="false">(V$27+V$28*SIN(2*PI()/365*A421))*V$29/100*V$9*V$10/100</f>
        <v>0</v>
      </c>
      <c r="F421" s="46" t="n">
        <f aca="false">(V$27+V$28*SIN(2*PI()/365*A421))*V$29/100*V$11*(1-V$18/100)*(1-V$20/100)</f>
        <v>31.9554726926473</v>
      </c>
      <c r="G421" s="46" t="n">
        <f aca="false">IF(C421&gt;E421,100,C421/E421*100)</f>
        <v>100</v>
      </c>
      <c r="H421" s="46" t="n">
        <f aca="false">L421/F421*100</f>
        <v>11.1225031686037</v>
      </c>
      <c r="I421" s="47" t="n">
        <f aca="false">(V$27+V$28*SIN(2*PI()/365*A421))*V$29/100*V$9*V$10/100*(1-V$19/100)</f>
        <v>0</v>
      </c>
      <c r="J421" s="47" t="n">
        <f aca="false">(V$27+V$28*SIN(2*PI()/365*A421))*V$29/100*V$11*(1-V$18/100)</f>
        <v>35.1159040578541</v>
      </c>
      <c r="K421" s="48" t="n">
        <f aca="false">IF(E421/C421*100&lt;100,E421/C421*100,100)</f>
        <v>0</v>
      </c>
      <c r="L421" s="7" t="n">
        <f aca="false">IF(((C421-E421)&gt;0)*AND(F421&gt;(C421-E421)),(C421-E421),IF(C421&lt;E421,0,F421))</f>
        <v>3.55424846278198</v>
      </c>
      <c r="M421" s="7" t="n">
        <f aca="false">IF(C421&lt;(E421+F421),0,C421-E421-F421)</f>
        <v>0</v>
      </c>
      <c r="N421" s="7" t="n">
        <f aca="false">IF(C421&lt;(E421+F421),0,(C421-E421-F421)/(1-V$20/100))</f>
        <v>0</v>
      </c>
      <c r="O421" s="7" t="n">
        <f aca="false">L421+M421</f>
        <v>3.55424846278198</v>
      </c>
      <c r="P421" s="49" t="n">
        <f aca="false">IF(N421=0,I421*(1-G421/100)+J421*(1-H421/100),-N421)</f>
        <v>31.2101365163355</v>
      </c>
      <c r="Q421" s="54" t="n">
        <f aca="false">IF(P420&gt;0,Q420+P420*(1-V$24/100),Q420+P420)</f>
        <v>860.905600950215</v>
      </c>
      <c r="R421" s="55" t="n">
        <f aca="false">R$4+Q421/V$32</f>
        <v>48.3724708470201</v>
      </c>
    </row>
    <row r="422" customFormat="false" ht="12.8" hidden="false" customHeight="false" outlineLevel="0" collapsed="false">
      <c r="A422" s="1" t="n">
        <v>418</v>
      </c>
      <c r="B422" s="44" t="n">
        <v>43963</v>
      </c>
      <c r="C422" s="45" t="n">
        <f aca="false">V$30-V$30*SIN(2*PI()/365*A422)</f>
        <v>3.38196197810303</v>
      </c>
      <c r="D422" s="3" t="n">
        <f aca="false">IF((E422+F422)&gt;C422,C422,E422+F422)</f>
        <v>3.38196197810303</v>
      </c>
      <c r="E422" s="46" t="n">
        <f aca="false">(V$27+V$28*SIN(2*PI()/365*A422))*V$29/100*V$9*V$10/100</f>
        <v>0</v>
      </c>
      <c r="F422" s="46" t="n">
        <f aca="false">(V$27+V$28*SIN(2*PI()/365*A422))*V$29/100*V$11*(1-V$18/100)*(1-V$20/100)</f>
        <v>32.1286978329635</v>
      </c>
      <c r="G422" s="46" t="n">
        <f aca="false">IF(C422&gt;E422,100,C422/E422*100)</f>
        <v>100</v>
      </c>
      <c r="H422" s="46" t="n">
        <f aca="false">L422/F422*100</f>
        <v>10.5262964458933</v>
      </c>
      <c r="I422" s="47" t="n">
        <f aca="false">(V$27+V$28*SIN(2*PI()/365*A422))*V$29/100*V$9*V$10/100*(1-V$19/100)</f>
        <v>0</v>
      </c>
      <c r="J422" s="47" t="n">
        <f aca="false">(V$27+V$28*SIN(2*PI()/365*A422))*V$29/100*V$11*(1-V$18/100)</f>
        <v>35.306261354905</v>
      </c>
      <c r="K422" s="48" t="n">
        <f aca="false">IF(E422/C422*100&lt;100,E422/C422*100,100)</f>
        <v>0</v>
      </c>
      <c r="L422" s="7" t="n">
        <f aca="false">IF(((C422-E422)&gt;0)*AND(F422&gt;(C422-E422)),(C422-E422),IF(C422&lt;E422,0,F422))</f>
        <v>3.38196197810303</v>
      </c>
      <c r="M422" s="7" t="n">
        <f aca="false">IF(C422&lt;(E422+F422),0,C422-E422-F422)</f>
        <v>0</v>
      </c>
      <c r="N422" s="7" t="n">
        <f aca="false">IF(C422&lt;(E422+F422),0,(C422-E422-F422)/(1-V$20/100))</f>
        <v>0</v>
      </c>
      <c r="O422" s="7" t="n">
        <f aca="false">L422+M422</f>
        <v>3.38196197810303</v>
      </c>
      <c r="P422" s="49" t="n">
        <f aca="false">IF(N422=0,I422*(1-G422/100)+J422*(1-H422/100),-N422)</f>
        <v>31.5898196207258</v>
      </c>
      <c r="Q422" s="54" t="n">
        <f aca="false">IF(P421&gt;0,Q421+P421*(1-V$24/100),Q421+P421)</f>
        <v>884.937406067793</v>
      </c>
      <c r="R422" s="55" t="n">
        <f aca="false">R$4+Q422/V$32</f>
        <v>48.6061847263654</v>
      </c>
    </row>
    <row r="423" customFormat="false" ht="12.8" hidden="false" customHeight="false" outlineLevel="0" collapsed="false">
      <c r="A423" s="1" t="n">
        <v>419</v>
      </c>
      <c r="B423" s="44" t="n">
        <v>43964</v>
      </c>
      <c r="C423" s="45" t="n">
        <f aca="false">V$30-V$30*SIN(2*PI()/365*A423)</f>
        <v>3.21346706671104</v>
      </c>
      <c r="D423" s="3" t="n">
        <f aca="false">IF((E423+F423)&gt;C423,C423,E423+F423)</f>
        <v>3.21346706671104</v>
      </c>
      <c r="E423" s="46" t="n">
        <f aca="false">(V$27+V$28*SIN(2*PI()/365*A423))*V$29/100*V$9*V$10/100</f>
        <v>0</v>
      </c>
      <c r="F423" s="46" t="n">
        <f aca="false">(V$27+V$28*SIN(2*PI()/365*A423))*V$29/100*V$11*(1-V$18/100)*(1-V$20/100)</f>
        <v>32.2981107426462</v>
      </c>
      <c r="G423" s="46" t="n">
        <f aca="false">IF(C423&gt;E423,100,C423/E423*100)</f>
        <v>100</v>
      </c>
      <c r="H423" s="46" t="n">
        <f aca="false">L423/F423*100</f>
        <v>9.94939639756701</v>
      </c>
      <c r="I423" s="47" t="n">
        <f aca="false">(V$27+V$28*SIN(2*PI()/365*A423))*V$29/100*V$9*V$10/100*(1-V$19/100)</f>
        <v>0</v>
      </c>
      <c r="J423" s="47" t="n">
        <f aca="false">(V$27+V$28*SIN(2*PI()/365*A423))*V$29/100*V$11*(1-V$18/100)</f>
        <v>35.4924293875233</v>
      </c>
      <c r="K423" s="48" t="n">
        <f aca="false">IF(E423/C423*100&lt;100,E423/C423*100,100)</f>
        <v>0</v>
      </c>
      <c r="L423" s="7" t="n">
        <f aca="false">IF(((C423-E423)&gt;0)*AND(F423&gt;(C423-E423)),(C423-E423),IF(C423&lt;E423,0,F423))</f>
        <v>3.21346706671104</v>
      </c>
      <c r="M423" s="7" t="n">
        <f aca="false">IF(C423&lt;(E423+F423),0,C423-E423-F423)</f>
        <v>0</v>
      </c>
      <c r="N423" s="7" t="n">
        <f aca="false">IF(C423&lt;(E423+F423),0,(C423-E423-F423)/(1-V$20/100))</f>
        <v>0</v>
      </c>
      <c r="O423" s="7" t="n">
        <f aca="false">L423+M423</f>
        <v>3.21346706671104</v>
      </c>
      <c r="P423" s="49" t="n">
        <f aca="false">IF(N423=0,I423*(1-G423/100)+J423*(1-H423/100),-N423)</f>
        <v>31.961146896632</v>
      </c>
      <c r="Q423" s="54" t="n">
        <f aca="false">IF(P422&gt;0,Q422+P422*(1-V$24/100),Q422+P422)</f>
        <v>909.261567175752</v>
      </c>
      <c r="R423" s="55" t="n">
        <f aca="false">R$4+Q423/V$32</f>
        <v>48.8427418233687</v>
      </c>
    </row>
    <row r="424" customFormat="false" ht="12.8" hidden="false" customHeight="false" outlineLevel="0" collapsed="false">
      <c r="A424" s="1" t="n">
        <v>420</v>
      </c>
      <c r="B424" s="44" t="n">
        <v>43965</v>
      </c>
      <c r="C424" s="45" t="n">
        <f aca="false">V$30-V$30*SIN(2*PI()/365*A424)</f>
        <v>3.0488136572847</v>
      </c>
      <c r="D424" s="3" t="n">
        <f aca="false">IF((E424+F424)&gt;C424,C424,E424+F424)</f>
        <v>3.0488136572847</v>
      </c>
      <c r="E424" s="46" t="n">
        <f aca="false">(V$27+V$28*SIN(2*PI()/365*A424))*V$29/100*V$9*V$10/100</f>
        <v>0</v>
      </c>
      <c r="F424" s="46" t="n">
        <f aca="false">(V$27+V$28*SIN(2*PI()/365*A424))*V$29/100*V$11*(1-V$18/100)*(1-V$20/100)</f>
        <v>32.4636612209938</v>
      </c>
      <c r="G424" s="46" t="n">
        <f aca="false">IF(C424&gt;E424,100,C424/E424*100)</f>
        <v>100</v>
      </c>
      <c r="H424" s="46" t="n">
        <f aca="false">L424/F424*100</f>
        <v>9.39146585017059</v>
      </c>
      <c r="I424" s="47" t="n">
        <f aca="false">(V$27+V$28*SIN(2*PI()/365*A424))*V$29/100*V$9*V$10/100*(1-V$19/100)</f>
        <v>0</v>
      </c>
      <c r="J424" s="47" t="n">
        <f aca="false">(V$27+V$28*SIN(2*PI()/365*A424))*V$29/100*V$11*(1-V$18/100)</f>
        <v>35.6743529901031</v>
      </c>
      <c r="K424" s="48" t="n">
        <f aca="false">IF(E424/C424*100&lt;100,E424/C424*100,100)</f>
        <v>0</v>
      </c>
      <c r="L424" s="7" t="n">
        <f aca="false">IF(((C424-E424)&gt;0)*AND(F424&gt;(C424-E424)),(C424-E424),IF(C424&lt;E424,0,F424))</f>
        <v>3.0488136572847</v>
      </c>
      <c r="M424" s="7" t="n">
        <f aca="false">IF(C424&lt;(E424+F424),0,C424-E424-F424)</f>
        <v>0</v>
      </c>
      <c r="N424" s="7" t="n">
        <f aca="false">IF(C424&lt;(E424+F424),0,(C424-E424-F424)/(1-V$20/100))</f>
        <v>0</v>
      </c>
      <c r="O424" s="7" t="n">
        <f aca="false">L424+M424</f>
        <v>3.0488136572847</v>
      </c>
      <c r="P424" s="49" t="n">
        <f aca="false">IF(N424=0,I424*(1-G424/100)+J424*(1-H424/100),-N424)</f>
        <v>32.3240083117682</v>
      </c>
      <c r="Q424" s="54" t="n">
        <f aca="false">IF(P423&gt;0,Q423+P423*(1-V$24/100),Q423+P423)</f>
        <v>933.871650286159</v>
      </c>
      <c r="R424" s="55" t="n">
        <f aca="false">R$4+Q424/V$32</f>
        <v>49.0820795662724</v>
      </c>
    </row>
    <row r="425" customFormat="false" ht="12.8" hidden="false" customHeight="false" outlineLevel="0" collapsed="false">
      <c r="A425" s="1" t="n">
        <v>421</v>
      </c>
      <c r="B425" s="44" t="n">
        <v>43966</v>
      </c>
      <c r="C425" s="45" t="n">
        <f aca="false">V$30-V$30*SIN(2*PI()/365*A425)</f>
        <v>2.88805054018274</v>
      </c>
      <c r="D425" s="3" t="n">
        <f aca="false">IF((E425+F425)&gt;C425,C425,E425+F425)</f>
        <v>2.88805054018274</v>
      </c>
      <c r="E425" s="46" t="n">
        <f aca="false">(V$27+V$28*SIN(2*PI()/365*A425))*V$29/100*V$9*V$10/100</f>
        <v>0</v>
      </c>
      <c r="F425" s="46" t="n">
        <f aca="false">(V$27+V$28*SIN(2*PI()/365*A425))*V$29/100*V$11*(1-V$18/100)*(1-V$20/100)</f>
        <v>32.6253002118268</v>
      </c>
      <c r="G425" s="46" t="n">
        <f aca="false">IF(C425&gt;E425,100,C425/E425*100)</f>
        <v>100</v>
      </c>
      <c r="H425" s="46" t="n">
        <f aca="false">L425/F425*100</f>
        <v>8.8521807352927</v>
      </c>
      <c r="I425" s="47" t="n">
        <f aca="false">(V$27+V$28*SIN(2*PI()/365*A425))*V$29/100*V$9*V$10/100*(1-V$19/100)</f>
        <v>0</v>
      </c>
      <c r="J425" s="47" t="n">
        <f aca="false">(V$27+V$28*SIN(2*PI()/365*A425))*V$29/100*V$11*(1-V$18/100)</f>
        <v>35.8519782547547</v>
      </c>
      <c r="K425" s="48" t="n">
        <f aca="false">IF(E425/C425*100&lt;100,E425/C425*100,100)</f>
        <v>0</v>
      </c>
      <c r="L425" s="7" t="n">
        <f aca="false">IF(((C425-E425)&gt;0)*AND(F425&gt;(C425-E425)),(C425-E425),IF(C425&lt;E425,0,F425))</f>
        <v>2.88805054018274</v>
      </c>
      <c r="M425" s="7" t="n">
        <f aca="false">IF(C425&lt;(E425+F425),0,C425-E425-F425)</f>
        <v>0</v>
      </c>
      <c r="N425" s="7" t="n">
        <f aca="false">IF(C425&lt;(E425+F425),0,(C425-E425-F425)/(1-V$20/100))</f>
        <v>0</v>
      </c>
      <c r="O425" s="7" t="n">
        <f aca="false">L425+M425</f>
        <v>2.88805054018274</v>
      </c>
      <c r="P425" s="49" t="n">
        <f aca="false">IF(N425=0,I425*(1-G425/100)+J425*(1-H425/100),-N425)</f>
        <v>32.678296342466</v>
      </c>
      <c r="Q425" s="54" t="n">
        <f aca="false">IF(P424&gt;0,Q424+P424*(1-V$24/100),Q424+P424)</f>
        <v>958.76113668622</v>
      </c>
      <c r="R425" s="55" t="n">
        <f aca="false">R$4+Q425/V$32</f>
        <v>49.3241345593539</v>
      </c>
    </row>
    <row r="426" customFormat="false" ht="12.8" hidden="false" customHeight="false" outlineLevel="0" collapsed="false">
      <c r="A426" s="1" t="n">
        <v>422</v>
      </c>
      <c r="B426" s="44" t="n">
        <v>43967</v>
      </c>
      <c r="C426" s="45" t="n">
        <f aca="false">V$30-V$30*SIN(2*PI()/365*A426)</f>
        <v>2.73122535298628</v>
      </c>
      <c r="D426" s="3" t="n">
        <f aca="false">IF((E426+F426)&gt;C426,C426,E426+F426)</f>
        <v>2.73122535298628</v>
      </c>
      <c r="E426" s="46" t="n">
        <f aca="false">(V$27+V$28*SIN(2*PI()/365*A426))*V$29/100*V$9*V$10/100</f>
        <v>0</v>
      </c>
      <c r="F426" s="46" t="n">
        <f aca="false">(V$27+V$28*SIN(2*PI()/365*A426))*V$29/100*V$11*(1-V$18/100)*(1-V$20/100)</f>
        <v>32.7829798180237</v>
      </c>
      <c r="G426" s="46" t="n">
        <f aca="false">IF(C426&gt;E426,100,C426/E426*100)</f>
        <v>100</v>
      </c>
      <c r="H426" s="46" t="n">
        <f aca="false">L426/F426*100</f>
        <v>8.33122970561902</v>
      </c>
      <c r="I426" s="47" t="n">
        <f aca="false">(V$27+V$28*SIN(2*PI()/365*A426))*V$29/100*V$9*V$10/100*(1-V$19/100)</f>
        <v>0</v>
      </c>
      <c r="J426" s="47" t="n">
        <f aca="false">(V$27+V$28*SIN(2*PI()/365*A426))*V$29/100*V$11*(1-V$18/100)</f>
        <v>36.0252525472788</v>
      </c>
      <c r="K426" s="48" t="n">
        <f aca="false">IF(E426/C426*100&lt;100,E426/C426*100,100)</f>
        <v>0</v>
      </c>
      <c r="L426" s="7" t="n">
        <f aca="false">IF(((C426-E426)&gt;0)*AND(F426&gt;(C426-E426)),(C426-E426),IF(C426&lt;E426,0,F426))</f>
        <v>2.73122535298628</v>
      </c>
      <c r="M426" s="7" t="n">
        <f aca="false">IF(C426&lt;(E426+F426),0,C426-E426-F426)</f>
        <v>0</v>
      </c>
      <c r="N426" s="7" t="n">
        <f aca="false">IF(C426&lt;(E426+F426),0,(C426-E426-F426)/(1-V$20/100))</f>
        <v>0</v>
      </c>
      <c r="O426" s="7" t="n">
        <f aca="false">L426+M426</f>
        <v>2.73122535298628</v>
      </c>
      <c r="P426" s="49" t="n">
        <f aca="false">IF(N426=0,I426*(1-G426/100)+J426*(1-H426/100),-N426)</f>
        <v>33.0239060055357</v>
      </c>
      <c r="Q426" s="54" t="n">
        <f aca="false">IF(P425&gt;0,Q425+P425*(1-V$24/100),Q425+P425)</f>
        <v>983.923424869919</v>
      </c>
      <c r="R426" s="55" t="n">
        <f aca="false">R$4+Q426/V$32</f>
        <v>49.5688426017105</v>
      </c>
    </row>
    <row r="427" customFormat="false" ht="12.8" hidden="false" customHeight="false" outlineLevel="0" collapsed="false">
      <c r="A427" s="1" t="n">
        <v>423</v>
      </c>
      <c r="B427" s="44" t="n">
        <v>43968</v>
      </c>
      <c r="C427" s="45" t="n">
        <f aca="false">V$30-V$30*SIN(2*PI()/365*A427)</f>
        <v>2.57838456638288</v>
      </c>
      <c r="D427" s="3" t="n">
        <f aca="false">IF((E427+F427)&gt;C427,C427,E427+F427)</f>
        <v>2.57838456638288</v>
      </c>
      <c r="E427" s="46" t="n">
        <f aca="false">(V$27+V$28*SIN(2*PI()/365*A427))*V$29/100*V$9*V$10/100</f>
        <v>0</v>
      </c>
      <c r="F427" s="46" t="n">
        <f aca="false">(V$27+V$28*SIN(2*PI()/365*A427))*V$29/100*V$11*(1-V$18/100)*(1-V$20/100)</f>
        <v>32.9366533157143</v>
      </c>
      <c r="G427" s="46" t="n">
        <f aca="false">IF(C427&gt;E427,100,C427/E427*100)</f>
        <v>100</v>
      </c>
      <c r="H427" s="46" t="n">
        <f aca="false">L427/F427*100</f>
        <v>7.82831376845661</v>
      </c>
      <c r="I427" s="47" t="n">
        <f aca="false">(V$27+V$28*SIN(2*PI()/365*A427))*V$29/100*V$9*V$10/100*(1-V$19/100)</f>
        <v>0</v>
      </c>
      <c r="J427" s="47" t="n">
        <f aca="false">(V$27+V$28*SIN(2*PI()/365*A427))*V$29/100*V$11*(1-V$18/100)</f>
        <v>36.1941245227629</v>
      </c>
      <c r="K427" s="48" t="n">
        <f aca="false">IF(E427/C427*100&lt;100,E427/C427*100,100)</f>
        <v>0</v>
      </c>
      <c r="L427" s="7" t="n">
        <f aca="false">IF(((C427-E427)&gt;0)*AND(F427&gt;(C427-E427)),(C427-E427),IF(C427&lt;E427,0,F427))</f>
        <v>2.57838456638288</v>
      </c>
      <c r="M427" s="7" t="n">
        <f aca="false">IF(C427&lt;(E427+F427),0,C427-E427-F427)</f>
        <v>0</v>
      </c>
      <c r="N427" s="7" t="n">
        <f aca="false">IF(C427&lt;(E427+F427),0,(C427-E427-F427)/(1-V$20/100))</f>
        <v>0</v>
      </c>
      <c r="O427" s="7" t="n">
        <f aca="false">L427+M427</f>
        <v>2.57838456638288</v>
      </c>
      <c r="P427" s="49" t="n">
        <f aca="false">IF(N427=0,I427*(1-G427/100)+J427*(1-H427/100),-N427)</f>
        <v>33.3607348893752</v>
      </c>
      <c r="Q427" s="54" t="n">
        <f aca="false">IF(P426&gt;0,Q426+P426*(1-V$24/100),Q426+P426)</f>
        <v>1009.35183249418</v>
      </c>
      <c r="R427" s="55" t="n">
        <f aca="false">R$4+Q427/V$32</f>
        <v>49.8161387062837</v>
      </c>
    </row>
    <row r="428" customFormat="false" ht="12.8" hidden="false" customHeight="false" outlineLevel="0" collapsed="false">
      <c r="A428" s="1" t="n">
        <v>424</v>
      </c>
      <c r="B428" s="44" t="n">
        <v>43969</v>
      </c>
      <c r="C428" s="45" t="n">
        <f aca="false">V$30-V$30*SIN(2*PI()/365*A428)</f>
        <v>2.42957347039616</v>
      </c>
      <c r="D428" s="3" t="n">
        <f aca="false">IF((E428+F428)&gt;C428,C428,E428+F428)</f>
        <v>2.42957347039616</v>
      </c>
      <c r="E428" s="46" t="n">
        <f aca="false">(V$27+V$28*SIN(2*PI()/365*A428))*V$29/100*V$9*V$10/100</f>
        <v>0</v>
      </c>
      <c r="F428" s="46" t="n">
        <f aca="false">(V$27+V$28*SIN(2*PI()/365*A428))*V$29/100*V$11*(1-V$18/100)*(1-V$20/100)</f>
        <v>33.0862751681245</v>
      </c>
      <c r="G428" s="46" t="n">
        <f aca="false">IF(C428&gt;E428,100,C428/E428*100)</f>
        <v>100</v>
      </c>
      <c r="H428" s="46" t="n">
        <f aca="false">L428/F428*100</f>
        <v>7.34314593604306</v>
      </c>
      <c r="I428" s="47" t="n">
        <f aca="false">(V$27+V$28*SIN(2*PI()/365*A428))*V$29/100*V$9*V$10/100*(1-V$19/100)</f>
        <v>0</v>
      </c>
      <c r="J428" s="47" t="n">
        <f aca="false">(V$27+V$28*SIN(2*PI()/365*A428))*V$29/100*V$11*(1-V$18/100)</f>
        <v>36.3585441407962</v>
      </c>
      <c r="K428" s="48" t="n">
        <f aca="false">IF(E428/C428*100&lt;100,E428/C428*100,100)</f>
        <v>0</v>
      </c>
      <c r="L428" s="7" t="n">
        <f aca="false">IF(((C428-E428)&gt;0)*AND(F428&gt;(C428-E428)),(C428-E428),IF(C428&lt;E428,0,F428))</f>
        <v>2.42957347039616</v>
      </c>
      <c r="M428" s="7" t="n">
        <f aca="false">IF(C428&lt;(E428+F428),0,C428-E428-F428)</f>
        <v>0</v>
      </c>
      <c r="N428" s="7" t="n">
        <f aca="false">IF(C428&lt;(E428+F428),0,(C428-E428-F428)/(1-V$20/100))</f>
        <v>0</v>
      </c>
      <c r="O428" s="7" t="n">
        <f aca="false">L428+M428</f>
        <v>2.42957347039616</v>
      </c>
      <c r="P428" s="49" t="n">
        <f aca="false">IF(N428=0,I428*(1-G428/100)+J428*(1-H428/100),-N428)</f>
        <v>33.6886831843169</v>
      </c>
      <c r="Q428" s="54" t="n">
        <f aca="false">IF(P427&gt;0,Q427+P427*(1-V$24/100),Q427+P427)</f>
        <v>1035.039598359</v>
      </c>
      <c r="R428" s="55" t="n">
        <f aca="false">R$4+Q428/V$32</f>
        <v>50.0659571191165</v>
      </c>
    </row>
    <row r="429" customFormat="false" ht="12.8" hidden="false" customHeight="false" outlineLevel="0" collapsed="false">
      <c r="A429" s="1" t="n">
        <v>425</v>
      </c>
      <c r="B429" s="44" t="n">
        <v>43970</v>
      </c>
      <c r="C429" s="45" t="n">
        <f aca="false">V$30-V$30*SIN(2*PI()/365*A429)</f>
        <v>2.28483616096549</v>
      </c>
      <c r="D429" s="3" t="n">
        <f aca="false">IF((E429+F429)&gt;C429,C429,E429+F429)</f>
        <v>2.28483616096549</v>
      </c>
      <c r="E429" s="46" t="n">
        <f aca="false">(V$27+V$28*SIN(2*PI()/365*A429))*V$29/100*V$9*V$10/100</f>
        <v>0</v>
      </c>
      <c r="F429" s="46" t="n">
        <f aca="false">(V$27+V$28*SIN(2*PI()/365*A429))*V$29/100*V$11*(1-V$18/100)*(1-V$20/100)</f>
        <v>33.2318010390706</v>
      </c>
      <c r="G429" s="46" t="n">
        <f aca="false">IF(C429&gt;E429,100,C429/E429*100)</f>
        <v>100</v>
      </c>
      <c r="H429" s="46" t="n">
        <f aca="false">L429/F429*100</f>
        <v>6.8754508919911</v>
      </c>
      <c r="I429" s="47" t="n">
        <f aca="false">(V$27+V$28*SIN(2*PI()/365*A429))*V$29/100*V$9*V$10/100*(1-V$19/100)</f>
        <v>0</v>
      </c>
      <c r="J429" s="47" t="n">
        <f aca="false">(V$27+V$28*SIN(2*PI()/365*A429))*V$29/100*V$11*(1-V$18/100)</f>
        <v>36.5184626802973</v>
      </c>
      <c r="K429" s="48" t="n">
        <f aca="false">IF(E429/C429*100&lt;100,E429/C429*100,100)</f>
        <v>0</v>
      </c>
      <c r="L429" s="7" t="n">
        <f aca="false">IF(((C429-E429)&gt;0)*AND(F429&gt;(C429-E429)),(C429-E429),IF(C429&lt;E429,0,F429))</f>
        <v>2.28483616096549</v>
      </c>
      <c r="M429" s="7" t="n">
        <f aca="false">IF(C429&lt;(E429+F429),0,C429-E429-F429)</f>
        <v>0</v>
      </c>
      <c r="N429" s="7" t="n">
        <f aca="false">IF(C429&lt;(E429+F429),0,(C429-E429-F429)/(1-V$20/100))</f>
        <v>0</v>
      </c>
      <c r="O429" s="7" t="n">
        <f aca="false">L429+M429</f>
        <v>2.28483616096549</v>
      </c>
      <c r="P429" s="49" t="n">
        <f aca="false">IF(N429=0,I429*(1-G429/100)+J429*(1-H429/100),-N429)</f>
        <v>34.0076537122034</v>
      </c>
      <c r="Q429" s="54" t="n">
        <f aca="false">IF(P428&gt;0,Q428+P428*(1-V$24/100),Q428+P428)</f>
        <v>1060.97988441092</v>
      </c>
      <c r="R429" s="55" t="n">
        <f aca="false">R$4+Q429/V$32</f>
        <v>50.3182313388375</v>
      </c>
    </row>
    <row r="430" customFormat="false" ht="12.8" hidden="false" customHeight="false" outlineLevel="0" collapsed="false">
      <c r="A430" s="1" t="n">
        <v>426</v>
      </c>
      <c r="B430" s="44" t="n">
        <v>43971</v>
      </c>
      <c r="C430" s="45" t="n">
        <f aca="false">V$30-V$30*SIN(2*PI()/365*A430)</f>
        <v>2.14421552687933</v>
      </c>
      <c r="D430" s="3" t="n">
        <f aca="false">IF((E430+F430)&gt;C430,C430,E430+F430)</f>
        <v>2.14421552687933</v>
      </c>
      <c r="E430" s="46" t="n">
        <f aca="false">(V$27+V$28*SIN(2*PI()/365*A430))*V$29/100*V$9*V$10/100</f>
        <v>0</v>
      </c>
      <c r="F430" s="46" t="n">
        <f aca="false">(V$27+V$28*SIN(2*PI()/365*A430))*V$29/100*V$11*(1-V$18/100)*(1-V$20/100)</f>
        <v>33.373187806096</v>
      </c>
      <c r="G430" s="46" t="n">
        <f aca="false">IF(C430&gt;E430,100,C430/E430*100)</f>
        <v>100</v>
      </c>
      <c r="H430" s="46" t="n">
        <f aca="false">L430/F430*100</f>
        <v>6.42496467325084</v>
      </c>
      <c r="I430" s="47" t="n">
        <f aca="false">(V$27+V$28*SIN(2*PI()/365*A430))*V$29/100*V$9*V$10/100*(1-V$19/100)</f>
        <v>0</v>
      </c>
      <c r="J430" s="47" t="n">
        <f aca="false">(V$27+V$28*SIN(2*PI()/365*A430))*V$29/100*V$11*(1-V$18/100)</f>
        <v>36.6738327539517</v>
      </c>
      <c r="K430" s="48" t="n">
        <f aca="false">IF(E430/C430*100&lt;100,E430/C430*100,100)</f>
        <v>0</v>
      </c>
      <c r="L430" s="7" t="n">
        <f aca="false">IF(((C430-E430)&gt;0)*AND(F430&gt;(C430-E430)),(C430-E430),IF(C430&lt;E430,0,F430))</f>
        <v>2.14421552687933</v>
      </c>
      <c r="M430" s="7" t="n">
        <f aca="false">IF(C430&lt;(E430+F430),0,C430-E430-F430)</f>
        <v>0</v>
      </c>
      <c r="N430" s="7" t="n">
        <f aca="false">IF(C430&lt;(E430+F430),0,(C430-E430-F430)/(1-V$20/100))</f>
        <v>0</v>
      </c>
      <c r="O430" s="7" t="n">
        <f aca="false">L430+M430</f>
        <v>2.14421552687933</v>
      </c>
      <c r="P430" s="49" t="n">
        <f aca="false">IF(N430=0,I430*(1-G430/100)+J430*(1-H430/100),-N430)</f>
        <v>34.3175519551832</v>
      </c>
      <c r="Q430" s="54" t="n">
        <f aca="false">IF(P429&gt;0,Q429+P429*(1-V$24/100),Q429+P429)</f>
        <v>1087.16577776932</v>
      </c>
      <c r="R430" s="55" t="n">
        <f aca="false">R$4+Q430/V$32</f>
        <v>50.5728941363665</v>
      </c>
    </row>
    <row r="431" customFormat="false" ht="12.8" hidden="false" customHeight="false" outlineLevel="0" collapsed="false">
      <c r="A431" s="1" t="n">
        <v>427</v>
      </c>
      <c r="B431" s="44" t="n">
        <v>43972</v>
      </c>
      <c r="C431" s="45" t="n">
        <f aca="false">V$30-V$30*SIN(2*PI()/365*A431)</f>
        <v>2.00775323706639</v>
      </c>
      <c r="D431" s="3" t="n">
        <f aca="false">IF((E431+F431)&gt;C431,C431,E431+F431)</f>
        <v>2.00775323706639</v>
      </c>
      <c r="E431" s="46" t="n">
        <f aca="false">(V$27+V$28*SIN(2*PI()/365*A431))*V$29/100*V$9*V$10/100</f>
        <v>0</v>
      </c>
      <c r="F431" s="46" t="n">
        <f aca="false">(V$27+V$28*SIN(2*PI()/365*A431))*V$29/100*V$11*(1-V$18/100)*(1-V$20/100)</f>
        <v>33.5103935732505</v>
      </c>
      <c r="G431" s="46" t="n">
        <f aca="false">IF(C431&gt;E431,100,C431/E431*100)</f>
        <v>100</v>
      </c>
      <c r="H431" s="46" t="n">
        <f aca="false">L431/F431*100</f>
        <v>5.99143436700508</v>
      </c>
      <c r="I431" s="47" t="n">
        <f aca="false">(V$27+V$28*SIN(2*PI()/365*A431))*V$29/100*V$9*V$10/100*(1-V$19/100)</f>
        <v>0</v>
      </c>
      <c r="J431" s="47" t="n">
        <f aca="false">(V$27+V$28*SIN(2*PI()/365*A431))*V$29/100*V$11*(1-V$18/100)</f>
        <v>36.8246083222533</v>
      </c>
      <c r="K431" s="48" t="n">
        <f aca="false">IF(E431/C431*100&lt;100,E431/C431*100,100)</f>
        <v>0</v>
      </c>
      <c r="L431" s="7" t="n">
        <f aca="false">IF(((C431-E431)&gt;0)*AND(F431&gt;(C431-E431)),(C431-E431),IF(C431&lt;E431,0,F431))</f>
        <v>2.00775323706639</v>
      </c>
      <c r="M431" s="7" t="n">
        <f aca="false">IF(C431&lt;(E431+F431),0,C431-E431-F431)</f>
        <v>0</v>
      </c>
      <c r="N431" s="7" t="n">
        <f aca="false">IF(C431&lt;(E431+F431),0,(C431-E431-F431)/(1-V$20/100))</f>
        <v>0</v>
      </c>
      <c r="O431" s="7" t="n">
        <f aca="false">L431+M431</f>
        <v>2.00775323706639</v>
      </c>
      <c r="P431" s="49" t="n">
        <f aca="false">IF(N431=0,I431*(1-G431/100)+J431*(1-H431/100),-N431)</f>
        <v>34.6182860837188</v>
      </c>
      <c r="Q431" s="54" t="n">
        <f aca="false">IF(P430&gt;0,Q430+P430*(1-V$24/100),Q430+P430)</f>
        <v>1113.59029277481</v>
      </c>
      <c r="R431" s="55" t="n">
        <f aca="false">R$4+Q431/V$32</f>
        <v>50.8298775748363</v>
      </c>
    </row>
    <row r="432" customFormat="false" ht="12.8" hidden="false" customHeight="false" outlineLevel="0" collapsed="false">
      <c r="A432" s="1" t="n">
        <v>428</v>
      </c>
      <c r="B432" s="44" t="n">
        <v>43973</v>
      </c>
      <c r="C432" s="45" t="n">
        <f aca="false">V$30-V$30*SIN(2*PI()/365*A432)</f>
        <v>1.87548972824827</v>
      </c>
      <c r="D432" s="3" t="n">
        <f aca="false">IF((E432+F432)&gt;C432,C432,E432+F432)</f>
        <v>1.87548972824827</v>
      </c>
      <c r="E432" s="46" t="n">
        <f aca="false">(V$27+V$28*SIN(2*PI()/365*A432))*V$29/100*V$9*V$10/100</f>
        <v>0</v>
      </c>
      <c r="F432" s="46" t="n">
        <f aca="false">(V$27+V$28*SIN(2*PI()/365*A432))*V$29/100*V$11*(1-V$18/100)*(1-V$20/100)</f>
        <v>33.643377683504</v>
      </c>
      <c r="G432" s="46" t="n">
        <f aca="false">IF(C432&gt;E432,100,C432/E432*100)</f>
        <v>100</v>
      </c>
      <c r="H432" s="46" t="n">
        <f aca="false">L432/F432*100</f>
        <v>5.57461782194317</v>
      </c>
      <c r="I432" s="47" t="n">
        <f aca="false">(V$27+V$28*SIN(2*PI()/365*A432))*V$29/100*V$9*V$10/100*(1-V$19/100)</f>
        <v>0</v>
      </c>
      <c r="J432" s="47" t="n">
        <f aca="false">(V$27+V$28*SIN(2*PI()/365*A432))*V$29/100*V$11*(1-V$18/100)</f>
        <v>36.9707447071473</v>
      </c>
      <c r="K432" s="48" t="n">
        <f aca="false">IF(E432/C432*100&lt;100,E432/C432*100,100)</f>
        <v>0</v>
      </c>
      <c r="L432" s="7" t="n">
        <f aca="false">IF(((C432-E432)&gt;0)*AND(F432&gt;(C432-E432)),(C432-E432),IF(C432&lt;E432,0,F432))</f>
        <v>1.87548972824827</v>
      </c>
      <c r="M432" s="7" t="n">
        <f aca="false">IF(C432&lt;(E432+F432),0,C432-E432-F432)</f>
        <v>0</v>
      </c>
      <c r="N432" s="7" t="n">
        <f aca="false">IF(C432&lt;(E432+F432),0,(C432-E432-F432)/(1-V$20/100))</f>
        <v>0</v>
      </c>
      <c r="O432" s="7" t="n">
        <f aca="false">L432+M432</f>
        <v>1.87548972824827</v>
      </c>
      <c r="P432" s="49" t="n">
        <f aca="false">IF(N432=0,I432*(1-G432/100)+J432*(1-H432/100),-N432)</f>
        <v>34.9097669837976</v>
      </c>
      <c r="Q432" s="54" t="n">
        <f aca="false">IF(P431&gt;0,Q431+P431*(1-V$24/100),Q431+P431)</f>
        <v>1140.24637305928</v>
      </c>
      <c r="R432" s="55" t="n">
        <f aca="false">R$4+Q432/V$32</f>
        <v>51.0891130297238</v>
      </c>
    </row>
    <row r="433" customFormat="false" ht="12.8" hidden="false" customHeight="false" outlineLevel="0" collapsed="false">
      <c r="A433" s="1" t="n">
        <v>429</v>
      </c>
      <c r="B433" s="44" t="n">
        <v>43974</v>
      </c>
      <c r="C433" s="45" t="n">
        <f aca="false">V$30-V$30*SIN(2*PI()/365*A433)</f>
        <v>1.74746419295708</v>
      </c>
      <c r="D433" s="3" t="n">
        <f aca="false">IF((E433+F433)&gt;C433,C433,E433+F433)</f>
        <v>1.74746419295708</v>
      </c>
      <c r="E433" s="46" t="n">
        <f aca="false">(V$27+V$28*SIN(2*PI()/365*A433))*V$29/100*V$9*V$10/100</f>
        <v>0</v>
      </c>
      <c r="F433" s="46" t="n">
        <f aca="false">(V$27+V$28*SIN(2*PI()/365*A433))*V$29/100*V$11*(1-V$18/100)*(1-V$20/100)</f>
        <v>33.7721007307948</v>
      </c>
      <c r="G433" s="46" t="n">
        <f aca="false">IF(C433&gt;E433,100,C433/E433*100)</f>
        <v>100</v>
      </c>
      <c r="H433" s="46" t="n">
        <f aca="false">L433/F433*100</f>
        <v>5.17428337338716</v>
      </c>
      <c r="I433" s="47" t="n">
        <f aca="false">(V$27+V$28*SIN(2*PI()/365*A433))*V$29/100*V$9*V$10/100*(1-V$19/100)</f>
        <v>0</v>
      </c>
      <c r="J433" s="47" t="n">
        <f aca="false">(V$27+V$28*SIN(2*PI()/365*A433))*V$29/100*V$11*(1-V$18/100)</f>
        <v>37.112198605269</v>
      </c>
      <c r="K433" s="48" t="n">
        <f aca="false">IF(E433/C433*100&lt;100,E433/C433*100,100)</f>
        <v>0</v>
      </c>
      <c r="L433" s="7" t="n">
        <f aca="false">IF(((C433-E433)&gt;0)*AND(F433&gt;(C433-E433)),(C433-E433),IF(C433&lt;E433,0,F433))</f>
        <v>1.74746419295708</v>
      </c>
      <c r="M433" s="7" t="n">
        <f aca="false">IF(C433&lt;(E433+F433),0,C433-E433-F433)</f>
        <v>0</v>
      </c>
      <c r="N433" s="7" t="n">
        <f aca="false">IF(C433&lt;(E433+F433),0,(C433-E433-F433)/(1-V$20/100))</f>
        <v>0</v>
      </c>
      <c r="O433" s="7" t="n">
        <f aca="false">L433+M433</f>
        <v>1.74746419295708</v>
      </c>
      <c r="P433" s="49" t="n">
        <f aca="false">IF(N433=0,I433*(1-G433/100)+J433*(1-H433/100),-N433)</f>
        <v>35.1919082833381</v>
      </c>
      <c r="Q433" s="54" t="n">
        <f aca="false">IF(P432&gt;0,Q432+P432*(1-V$24/100),Q432+P432)</f>
        <v>1167.1268936368</v>
      </c>
      <c r="R433" s="55" t="n">
        <f aca="false">R$4+Q433/V$32</f>
        <v>51.3505312091846</v>
      </c>
    </row>
    <row r="434" customFormat="false" ht="12.8" hidden="false" customHeight="false" outlineLevel="0" collapsed="false">
      <c r="A434" s="1" t="n">
        <v>430</v>
      </c>
      <c r="B434" s="44" t="n">
        <v>43975</v>
      </c>
      <c r="C434" s="45" t="n">
        <f aca="false">V$30-V$30*SIN(2*PI()/365*A434)</f>
        <v>1.62371456792196</v>
      </c>
      <c r="D434" s="3" t="n">
        <f aca="false">IF((E434+F434)&gt;C434,C434,E434+F434)</f>
        <v>1.62371456792196</v>
      </c>
      <c r="E434" s="46" t="n">
        <f aca="false">(V$27+V$28*SIN(2*PI()/365*A434))*V$29/100*V$9*V$10/100</f>
        <v>0</v>
      </c>
      <c r="F434" s="46" t="n">
        <f aca="false">(V$27+V$28*SIN(2*PI()/365*A434))*V$29/100*V$11*(1-V$18/100)*(1-V$20/100)</f>
        <v>33.8965245717057</v>
      </c>
      <c r="G434" s="46" t="n">
        <f aca="false">IF(C434&gt;E434,100,C434/E434*100)</f>
        <v>100</v>
      </c>
      <c r="H434" s="46" t="n">
        <f aca="false">L434/F434*100</f>
        <v>4.79020958177323</v>
      </c>
      <c r="I434" s="47" t="n">
        <f aca="false">(V$27+V$28*SIN(2*PI()/365*A434))*V$29/100*V$9*V$10/100*(1-V$19/100)</f>
        <v>0</v>
      </c>
      <c r="J434" s="47" t="n">
        <f aca="false">(V$27+V$28*SIN(2*PI()/365*A434))*V$29/100*V$11*(1-V$18/100)</f>
        <v>37.2489281007755</v>
      </c>
      <c r="K434" s="48" t="n">
        <f aca="false">IF(E434/C434*100&lt;100,E434/C434*100,100)</f>
        <v>0</v>
      </c>
      <c r="L434" s="7" t="n">
        <f aca="false">IF(((C434-E434)&gt;0)*AND(F434&gt;(C434-E434)),(C434-E434),IF(C434&lt;E434,0,F434))</f>
        <v>1.62371456792196</v>
      </c>
      <c r="M434" s="7" t="n">
        <f aca="false">IF(C434&lt;(E434+F434),0,C434-E434-F434)</f>
        <v>0</v>
      </c>
      <c r="N434" s="7" t="n">
        <f aca="false">IF(C434&lt;(E434+F434),0,(C434-E434-F434)/(1-V$20/100))</f>
        <v>0</v>
      </c>
      <c r="O434" s="7" t="n">
        <f aca="false">L434+M434</f>
        <v>1.62371456792196</v>
      </c>
      <c r="P434" s="49" t="n">
        <f aca="false">IF(N434=0,I434*(1-G434/100)+J434*(1-H434/100),-N434)</f>
        <v>35.4646263777843</v>
      </c>
      <c r="Q434" s="54" t="n">
        <f aca="false">IF(P433&gt;0,Q433+P433*(1-V$24/100),Q433+P433)</f>
        <v>1194.22466301497</v>
      </c>
      <c r="R434" s="55" t="n">
        <f aca="false">R$4+Q434/V$32</f>
        <v>51.6140621745861</v>
      </c>
    </row>
    <row r="435" customFormat="false" ht="12.8" hidden="false" customHeight="false" outlineLevel="0" collapsed="false">
      <c r="A435" s="1" t="n">
        <v>431</v>
      </c>
      <c r="B435" s="44" t="n">
        <v>43976</v>
      </c>
      <c r="C435" s="45" t="n">
        <f aca="false">V$30-V$30*SIN(2*PI()/365*A435)</f>
        <v>1.50427752282755</v>
      </c>
      <c r="D435" s="3" t="n">
        <f aca="false">IF((E435+F435)&gt;C435,C435,E435+F435)</f>
        <v>1.50427752282755</v>
      </c>
      <c r="E435" s="46" t="n">
        <f aca="false">(V$27+V$28*SIN(2*PI()/365*A435))*V$29/100*V$9*V$10/100</f>
        <v>0</v>
      </c>
      <c r="F435" s="46" t="n">
        <f aca="false">(V$27+V$28*SIN(2*PI()/365*A435))*V$29/100*V$11*(1-V$18/100)*(1-V$20/100)</f>
        <v>34.0166123367674</v>
      </c>
      <c r="G435" s="46" t="n">
        <f aca="false">IF(C435&gt;E435,100,C435/E435*100)</f>
        <v>100</v>
      </c>
      <c r="H435" s="46" t="n">
        <f aca="false">L435/F435*100</f>
        <v>4.42218498401626</v>
      </c>
      <c r="I435" s="47" t="n">
        <f aca="false">(V$27+V$28*SIN(2*PI()/365*A435))*V$29/100*V$9*V$10/100*(1-V$19/100)</f>
        <v>0</v>
      </c>
      <c r="J435" s="47" t="n">
        <f aca="false">(V$27+V$28*SIN(2*PI()/365*A435))*V$29/100*V$11*(1-V$18/100)</f>
        <v>37.3808926777664</v>
      </c>
      <c r="K435" s="48" t="n">
        <f aca="false">IF(E435/C435*100&lt;100,E435/C435*100,100)</f>
        <v>0</v>
      </c>
      <c r="L435" s="7" t="n">
        <f aca="false">IF(((C435-E435)&gt;0)*AND(F435&gt;(C435-E435)),(C435-E435),IF(C435&lt;E435,0,F435))</f>
        <v>1.50427752282755</v>
      </c>
      <c r="M435" s="7" t="n">
        <f aca="false">IF(C435&lt;(E435+F435),0,C435-E435-F435)</f>
        <v>0</v>
      </c>
      <c r="N435" s="7" t="n">
        <f aca="false">IF(C435&lt;(E435+F435),0,(C435-E435-F435)/(1-V$20/100))</f>
        <v>0</v>
      </c>
      <c r="O435" s="7" t="n">
        <f aca="false">L435+M435</f>
        <v>1.50427752282755</v>
      </c>
      <c r="P435" s="49" t="n">
        <f aca="false">IF(N435=0,I435*(1-G435/100)+J435*(1-H435/100),-N435)</f>
        <v>35.727840454879</v>
      </c>
      <c r="Q435" s="54" t="n">
        <f aca="false">IF(P434&gt;0,Q434+P434*(1-V$24/100),Q434+P434)</f>
        <v>1221.53242532586</v>
      </c>
      <c r="R435" s="55" t="n">
        <f aca="false">R$4+Q435/V$32</f>
        <v>51.8796353612316</v>
      </c>
    </row>
    <row r="436" customFormat="false" ht="12.8" hidden="false" customHeight="false" outlineLevel="0" collapsed="false">
      <c r="A436" s="1" t="n">
        <v>432</v>
      </c>
      <c r="B436" s="44" t="n">
        <v>43977</v>
      </c>
      <c r="C436" s="45" t="n">
        <f aca="false">V$30-V$30*SIN(2*PI()/365*A436)</f>
        <v>1.38918844944796</v>
      </c>
      <c r="D436" s="3" t="n">
        <f aca="false">IF((E436+F436)&gt;C436,C436,E436+F436)</f>
        <v>1.38918844944796</v>
      </c>
      <c r="E436" s="46" t="n">
        <f aca="false">(V$27+V$28*SIN(2*PI()/365*A436))*V$29/100*V$9*V$10/100</f>
        <v>0</v>
      </c>
      <c r="F436" s="46" t="n">
        <f aca="false">(V$27+V$28*SIN(2*PI()/365*A436))*V$29/100*V$11*(1-V$18/100)*(1-V$20/100)</f>
        <v>34.1323284413835</v>
      </c>
      <c r="G436" s="46" t="n">
        <f aca="false">IF(C436&gt;E436,100,C436/E436*100)</f>
        <v>100</v>
      </c>
      <c r="H436" s="46" t="n">
        <f aca="false">L436/F436*100</f>
        <v>4.07000785731233</v>
      </c>
      <c r="I436" s="47" t="n">
        <f aca="false">(V$27+V$28*SIN(2*PI()/365*A436))*V$29/100*V$9*V$10/100*(1-V$19/100)</f>
        <v>0</v>
      </c>
      <c r="J436" s="47" t="n">
        <f aca="false">(V$27+V$28*SIN(2*PI()/365*A436))*V$29/100*V$11*(1-V$18/100)</f>
        <v>37.5080532322896</v>
      </c>
      <c r="K436" s="48" t="n">
        <f aca="false">IF(E436/C436*100&lt;100,E436/C436*100,100)</f>
        <v>0</v>
      </c>
      <c r="L436" s="7" t="n">
        <f aca="false">IF(((C436-E436)&gt;0)*AND(F436&gt;(C436-E436)),(C436-E436),IF(C436&lt;E436,0,F436))</f>
        <v>1.38918844944796</v>
      </c>
      <c r="M436" s="7" t="n">
        <f aca="false">IF(C436&lt;(E436+F436),0,C436-E436-F436)</f>
        <v>0</v>
      </c>
      <c r="N436" s="7" t="n">
        <f aca="false">IF(C436&lt;(E436+F436),0,(C436-E436-F436)/(1-V$20/100))</f>
        <v>0</v>
      </c>
      <c r="O436" s="7" t="n">
        <f aca="false">L436+M436</f>
        <v>1.38918844944796</v>
      </c>
      <c r="P436" s="49" t="n">
        <f aca="false">IF(N436=0,I436*(1-G436/100)+J436*(1-H436/100),-N436)</f>
        <v>35.9814725186105</v>
      </c>
      <c r="Q436" s="54" t="n">
        <f aca="false">IF(P435&gt;0,Q435+P435*(1-V$24/100),Q435+P435)</f>
        <v>1249.04286247612</v>
      </c>
      <c r="R436" s="55" t="n">
        <f aca="false">R$4+Q436/V$32</f>
        <v>52.1471795992701</v>
      </c>
    </row>
    <row r="437" customFormat="false" ht="12.8" hidden="false" customHeight="false" outlineLevel="0" collapsed="false">
      <c r="A437" s="1" t="n">
        <v>433</v>
      </c>
      <c r="B437" s="44" t="n">
        <v>43978</v>
      </c>
      <c r="C437" s="45" t="n">
        <f aca="false">V$30-V$30*SIN(2*PI()/365*A437)</f>
        <v>1.27848145115947</v>
      </c>
      <c r="D437" s="3" t="n">
        <f aca="false">IF((E437+F437)&gt;C437,C437,E437+F437)</f>
        <v>1.27848145115947</v>
      </c>
      <c r="E437" s="46" t="n">
        <f aca="false">(V$27+V$28*SIN(2*PI()/365*A437))*V$29/100*V$9*V$10/100</f>
        <v>0</v>
      </c>
      <c r="F437" s="46" t="n">
        <f aca="false">(V$27+V$28*SIN(2*PI()/365*A437))*V$29/100*V$11*(1-V$18/100)*(1-V$20/100)</f>
        <v>34.2436385963748</v>
      </c>
      <c r="G437" s="46" t="n">
        <f aca="false">IF(C437&gt;E437,100,C437/E437*100)</f>
        <v>100</v>
      </c>
      <c r="H437" s="46" t="n">
        <f aca="false">L437/F437*100</f>
        <v>3.73348599495737</v>
      </c>
      <c r="I437" s="47" t="n">
        <f aca="false">(V$27+V$28*SIN(2*PI()/365*A437))*V$29/100*V$9*V$10/100*(1-V$19/100)</f>
        <v>0</v>
      </c>
      <c r="J437" s="47" t="n">
        <f aca="false">(V$27+V$28*SIN(2*PI()/365*A437))*V$29/100*V$11*(1-V$18/100)</f>
        <v>37.6303720839284</v>
      </c>
      <c r="K437" s="48" t="n">
        <f aca="false">IF(E437/C437*100&lt;100,E437/C437*100,100)</f>
        <v>0</v>
      </c>
      <c r="L437" s="7" t="n">
        <f aca="false">IF(((C437-E437)&gt;0)*AND(F437&gt;(C437-E437)),(C437-E437),IF(C437&lt;E437,0,F437))</f>
        <v>1.27848145115947</v>
      </c>
      <c r="M437" s="7" t="n">
        <f aca="false">IF(C437&lt;(E437+F437),0,C437-E437-F437)</f>
        <v>0</v>
      </c>
      <c r="N437" s="7" t="n">
        <f aca="false">IF(C437&lt;(E437+F437),0,(C437-E437-F437)/(1-V$20/100))</f>
        <v>0</v>
      </c>
      <c r="O437" s="7" t="n">
        <f aca="false">L437+M437</f>
        <v>1.27848145115947</v>
      </c>
      <c r="P437" s="49" t="n">
        <f aca="false">IF(N437=0,I437*(1-G437/100)+J437*(1-H437/100),-N437)</f>
        <v>36.2254474123246</v>
      </c>
      <c r="Q437" s="54" t="n">
        <f aca="false">IF(P436&gt;0,Q436+P436*(1-V$24/100),Q436+P436)</f>
        <v>1276.74859631545</v>
      </c>
      <c r="R437" s="55" t="n">
        <f aca="false">R$4+Q437/V$32</f>
        <v>52.4166231347856</v>
      </c>
    </row>
    <row r="438" customFormat="false" ht="12.8" hidden="false" customHeight="false" outlineLevel="0" collapsed="false">
      <c r="A438" s="1" t="n">
        <v>434</v>
      </c>
      <c r="B438" s="44" t="n">
        <v>43979</v>
      </c>
      <c r="C438" s="45" t="n">
        <f aca="false">V$30-V$30*SIN(2*PI()/365*A438)</f>
        <v>1.17218933283492</v>
      </c>
      <c r="D438" s="3" t="n">
        <f aca="false">IF((E438+F438)&gt;C438,C438,E438+F438)</f>
        <v>1.17218933283492</v>
      </c>
      <c r="E438" s="46" t="n">
        <f aca="false">(V$27+V$28*SIN(2*PI()/365*A438))*V$29/100*V$9*V$10/100</f>
        <v>0</v>
      </c>
      <c r="F438" s="46" t="n">
        <f aca="false">(V$27+V$28*SIN(2*PI()/365*A438))*V$29/100*V$11*(1-V$18/100)*(1-V$20/100)</f>
        <v>34.3505098181401</v>
      </c>
      <c r="G438" s="46" t="n">
        <f aca="false">IF(C438&gt;E438,100,C438/E438*100)</f>
        <v>100</v>
      </c>
      <c r="H438" s="46" t="n">
        <f aca="false">L438/F438*100</f>
        <v>3.41243649378356</v>
      </c>
      <c r="I438" s="47" t="n">
        <f aca="false">(V$27+V$28*SIN(2*PI()/365*A438))*V$29/100*V$9*V$10/100*(1-V$19/100)</f>
        <v>0</v>
      </c>
      <c r="J438" s="47" t="n">
        <f aca="false">(V$27+V$28*SIN(2*PI()/365*A438))*V$29/100*V$11*(1-V$18/100)</f>
        <v>37.7478129869671</v>
      </c>
      <c r="K438" s="48" t="n">
        <f aca="false">IF(E438/C438*100&lt;100,E438/C438*100,100)</f>
        <v>0</v>
      </c>
      <c r="L438" s="7" t="n">
        <f aca="false">IF(((C438-E438)&gt;0)*AND(F438&gt;(C438-E438)),(C438-E438),IF(C438&lt;E438,0,F438))</f>
        <v>1.17218933283492</v>
      </c>
      <c r="M438" s="7" t="n">
        <f aca="false">IF(C438&lt;(E438+F438),0,C438-E438-F438)</f>
        <v>0</v>
      </c>
      <c r="N438" s="7" t="n">
        <f aca="false">IF(C438&lt;(E438+F438),0,(C438-E438-F438)/(1-V$20/100))</f>
        <v>0</v>
      </c>
      <c r="O438" s="7" t="n">
        <f aca="false">L438+M438</f>
        <v>1.17218933283492</v>
      </c>
      <c r="P438" s="49" t="n">
        <f aca="false">IF(N438=0,I438*(1-G438/100)+J438*(1-H438/100),-N438)</f>
        <v>36.4596928409947</v>
      </c>
      <c r="Q438" s="54" t="n">
        <f aca="false">IF(P437&gt;0,Q437+P437*(1-V$24/100),Q437+P437)</f>
        <v>1304.64219082294</v>
      </c>
      <c r="R438" s="55" t="n">
        <f aca="false">R$4+Q438/V$32</f>
        <v>52.6878936510592</v>
      </c>
    </row>
    <row r="439" customFormat="false" ht="12.8" hidden="false" customHeight="false" outlineLevel="0" collapsed="false">
      <c r="A439" s="1" t="n">
        <v>435</v>
      </c>
      <c r="B439" s="44" t="n">
        <v>43980</v>
      </c>
      <c r="C439" s="45" t="n">
        <f aca="false">V$30-V$30*SIN(2*PI()/365*A439)</f>
        <v>1.07034359112293</v>
      </c>
      <c r="D439" s="3" t="n">
        <f aca="false">IF((E439+F439)&gt;C439,C439,E439+F439)</f>
        <v>1.07034359112293</v>
      </c>
      <c r="E439" s="46" t="n">
        <f aca="false">(V$27+V$28*SIN(2*PI()/365*A439))*V$29/100*V$9*V$10/100</f>
        <v>0</v>
      </c>
      <c r="F439" s="46" t="n">
        <f aca="false">(V$27+V$28*SIN(2*PI()/365*A439))*V$29/100*V$11*(1-V$18/100)*(1-V$20/100)</f>
        <v>34.4529104384299</v>
      </c>
      <c r="G439" s="46" t="n">
        <f aca="false">IF(C439&gt;E439,100,C439/E439*100)</f>
        <v>100</v>
      </c>
      <c r="H439" s="46" t="n">
        <f aca="false">L439/F439*100</f>
        <v>3.10668555283805</v>
      </c>
      <c r="I439" s="47" t="n">
        <f aca="false">(V$27+V$28*SIN(2*PI()/365*A439))*V$29/100*V$9*V$10/100*(1-V$19/100)</f>
        <v>0</v>
      </c>
      <c r="J439" s="47" t="n">
        <f aca="false">(V$27+V$28*SIN(2*PI()/365*A439))*V$29/100*V$11*(1-V$18/100)</f>
        <v>37.8603411411318</v>
      </c>
      <c r="K439" s="48" t="n">
        <f aca="false">IF(E439/C439*100&lt;100,E439/C439*100,100)</f>
        <v>0</v>
      </c>
      <c r="L439" s="7" t="n">
        <f aca="false">IF(((C439-E439)&gt;0)*AND(F439&gt;(C439-E439)),(C439-E439),IF(C439&lt;E439,0,F439))</f>
        <v>1.07034359112293</v>
      </c>
      <c r="M439" s="7" t="n">
        <f aca="false">IF(C439&lt;(E439+F439),0,C439-E439-F439)</f>
        <v>0</v>
      </c>
      <c r="N439" s="7" t="n">
        <f aca="false">IF(C439&lt;(E439+F439),0,(C439-E439-F439)/(1-V$20/100))</f>
        <v>0</v>
      </c>
      <c r="O439" s="7" t="n">
        <f aca="false">L439+M439</f>
        <v>1.07034359112293</v>
      </c>
      <c r="P439" s="49" t="n">
        <f aca="false">IF(N439=0,I439*(1-G439/100)+J439*(1-H439/100),-N439)</f>
        <v>36.684139392645</v>
      </c>
      <c r="Q439" s="54" t="n">
        <f aca="false">IF(P438&gt;0,Q438+P438*(1-V$24/100),Q438+P438)</f>
        <v>1332.71615431051</v>
      </c>
      <c r="R439" s="55" t="n">
        <f aca="false">R$4+Q439/V$32</f>
        <v>52.9609182899981</v>
      </c>
    </row>
    <row r="440" customFormat="false" ht="12.8" hidden="false" customHeight="false" outlineLevel="0" collapsed="false">
      <c r="A440" s="1" t="n">
        <v>436</v>
      </c>
      <c r="B440" s="44" t="n">
        <v>43981</v>
      </c>
      <c r="C440" s="45" t="n">
        <f aca="false">V$30-V$30*SIN(2*PI()/365*A440)</f>
        <v>0.972974405114808</v>
      </c>
      <c r="D440" s="3" t="n">
        <f aca="false">IF((E440+F440)&gt;C440,C440,E440+F440)</f>
        <v>0.972974405114808</v>
      </c>
      <c r="E440" s="46" t="n">
        <f aca="false">(V$27+V$28*SIN(2*PI()/365*A440))*V$29/100*V$9*V$10/100</f>
        <v>0</v>
      </c>
      <c r="F440" s="46" t="n">
        <f aca="false">(V$27+V$28*SIN(2*PI()/365*A440))*V$29/100*V$11*(1-V$18/100)*(1-V$20/100)</f>
        <v>34.5508101137304</v>
      </c>
      <c r="G440" s="46" t="n">
        <f aca="false">IF(C440&gt;E440,100,C440/E440*100)</f>
        <v>100</v>
      </c>
      <c r="H440" s="46" t="n">
        <f aca="false">L440/F440*100</f>
        <v>2.81606828294932</v>
      </c>
      <c r="I440" s="47" t="n">
        <f aca="false">(V$27+V$28*SIN(2*PI()/365*A440))*V$29/100*V$9*V$10/100*(1-V$19/100)</f>
        <v>0</v>
      </c>
      <c r="J440" s="47" t="n">
        <f aca="false">(V$27+V$28*SIN(2*PI()/365*A440))*V$29/100*V$11*(1-V$18/100)</f>
        <v>37.9679232019016</v>
      </c>
      <c r="K440" s="48" t="n">
        <f aca="false">IF(E440/C440*100&lt;100,E440/C440*100,100)</f>
        <v>0</v>
      </c>
      <c r="L440" s="7" t="n">
        <f aca="false">IF(((C440-E440)&gt;0)*AND(F440&gt;(C440-E440)),(C440-E440),IF(C440&lt;E440,0,F440))</f>
        <v>0.972974405114808</v>
      </c>
      <c r="M440" s="7" t="n">
        <f aca="false">IF(C440&lt;(E440+F440),0,C440-E440-F440)</f>
        <v>0</v>
      </c>
      <c r="N440" s="7" t="n">
        <f aca="false">IF(C440&lt;(E440+F440),0,(C440-E440-F440)/(1-V$20/100))</f>
        <v>0</v>
      </c>
      <c r="O440" s="7" t="n">
        <f aca="false">L440+M440</f>
        <v>0.972974405114808</v>
      </c>
      <c r="P440" s="49" t="n">
        <f aca="false">IF(N440=0,I440*(1-G440/100)+J440*(1-H440/100),-N440)</f>
        <v>36.8987205589183</v>
      </c>
      <c r="Q440" s="54" t="n">
        <f aca="false">IF(P439&gt;0,Q439+P439*(1-V$24/100),Q439+P439)</f>
        <v>1360.96294164284</v>
      </c>
      <c r="R440" s="55" t="n">
        <f aca="false">R$4+Q440/V$32</f>
        <v>53.2356236737254</v>
      </c>
    </row>
    <row r="441" customFormat="false" ht="12.8" hidden="false" customHeight="false" outlineLevel="0" collapsed="false">
      <c r="A441" s="1" t="n">
        <v>437</v>
      </c>
      <c r="B441" s="44" t="n">
        <v>43982</v>
      </c>
      <c r="C441" s="45" t="n">
        <f aca="false">V$30-V$30*SIN(2*PI()/365*A441)</f>
        <v>0.880110627401741</v>
      </c>
      <c r="D441" s="3" t="n">
        <f aca="false">IF((E441+F441)&gt;C441,C441,E441+F441)</f>
        <v>0.880110627401741</v>
      </c>
      <c r="E441" s="46" t="n">
        <f aca="false">(V$27+V$28*SIN(2*PI()/365*A441))*V$29/100*V$9*V$10/100</f>
        <v>0</v>
      </c>
      <c r="F441" s="46" t="n">
        <f aca="false">(V$27+V$28*SIN(2*PI()/365*A441))*V$29/100*V$11*(1-V$18/100)*(1-V$20/100)</f>
        <v>34.6441798342551</v>
      </c>
      <c r="G441" s="46" t="n">
        <f aca="false">IF(C441&gt;E441,100,C441/E441*100)</f>
        <v>100</v>
      </c>
      <c r="H441" s="46" t="n">
        <f aca="false">L441/F441*100</f>
        <v>2.54042852684743</v>
      </c>
      <c r="I441" s="47" t="n">
        <f aca="false">(V$27+V$28*SIN(2*PI()/365*A441))*V$29/100*V$9*V$10/100*(1-V$19/100)</f>
        <v>0</v>
      </c>
      <c r="J441" s="47" t="n">
        <f aca="false">(V$27+V$28*SIN(2*PI()/365*A441))*V$29/100*V$11*(1-V$18/100)</f>
        <v>38.0705272903902</v>
      </c>
      <c r="K441" s="48" t="n">
        <f aca="false">IF(E441/C441*100&lt;100,E441/C441*100,100)</f>
        <v>0</v>
      </c>
      <c r="L441" s="7" t="n">
        <f aca="false">IF(((C441-E441)&gt;0)*AND(F441&gt;(C441-E441)),(C441-E441),IF(C441&lt;E441,0,F441))</f>
        <v>0.880110627401741</v>
      </c>
      <c r="M441" s="7" t="n">
        <f aca="false">IF(C441&lt;(E441+F441),0,C441-E441-F441)</f>
        <v>0</v>
      </c>
      <c r="N441" s="7" t="n">
        <f aca="false">IF(C441&lt;(E441+F441),0,(C441-E441-F441)/(1-V$20/100))</f>
        <v>0</v>
      </c>
      <c r="O441" s="7" t="n">
        <f aca="false">L441+M441</f>
        <v>0.880110627401741</v>
      </c>
      <c r="P441" s="49" t="n">
        <f aca="false">IF(N441=0,I441*(1-G441/100)+J441*(1-H441/100),-N441)</f>
        <v>37.1033727547839</v>
      </c>
      <c r="Q441" s="54" t="n">
        <f aca="false">IF(P440&gt;0,Q440+P440*(1-V$24/100),Q440+P440)</f>
        <v>1389.37495647321</v>
      </c>
      <c r="R441" s="55" t="n">
        <f aca="false">R$4+Q441/V$32</f>
        <v>53.5119359263228</v>
      </c>
    </row>
    <row r="442" customFormat="false" ht="12.8" hidden="false" customHeight="false" outlineLevel="0" collapsed="false">
      <c r="A442" s="1" t="n">
        <v>438</v>
      </c>
      <c r="B442" s="44" t="n">
        <v>43983</v>
      </c>
      <c r="C442" s="45" t="n">
        <f aca="false">V$30-V$30*SIN(2*PI()/365*A442)</f>
        <v>0.791779775525244</v>
      </c>
      <c r="D442" s="3" t="n">
        <f aca="false">IF((E442+F442)&gt;C442,C442,E442+F442)</f>
        <v>0.791779775525244</v>
      </c>
      <c r="E442" s="46" t="n">
        <f aca="false">(V$27+V$28*SIN(2*PI()/365*A442))*V$29/100*V$9*V$10/100</f>
        <v>0</v>
      </c>
      <c r="F442" s="46" t="n">
        <f aca="false">(V$27+V$28*SIN(2*PI()/365*A442))*V$29/100*V$11*(1-V$18/100)*(1-V$20/100)</f>
        <v>34.7329919325405</v>
      </c>
      <c r="G442" s="46" t="n">
        <f aca="false">IF(C442&gt;E442,100,C442/E442*100)</f>
        <v>100</v>
      </c>
      <c r="H442" s="46" t="n">
        <f aca="false">L442/F442*100</f>
        <v>2.27961868952454</v>
      </c>
      <c r="I442" s="47" t="n">
        <f aca="false">(V$27+V$28*SIN(2*PI()/365*A442))*V$29/100*V$9*V$10/100*(1-V$19/100)</f>
        <v>0</v>
      </c>
      <c r="J442" s="47" t="n">
        <f aca="false">(V$27+V$28*SIN(2*PI()/365*A442))*V$29/100*V$11*(1-V$18/100)</f>
        <v>38.1681230027918</v>
      </c>
      <c r="K442" s="48" t="n">
        <f aca="false">IF(E442/C442*100&lt;100,E442/C442*100,100)</f>
        <v>0</v>
      </c>
      <c r="L442" s="7" t="n">
        <f aca="false">IF(((C442-E442)&gt;0)*AND(F442&gt;(C442-E442)),(C442-E442),IF(C442&lt;E442,0,F442))</f>
        <v>0.791779775525244</v>
      </c>
      <c r="M442" s="7" t="n">
        <f aca="false">IF(C442&lt;(E442+F442),0,C442-E442-F442)</f>
        <v>0</v>
      </c>
      <c r="N442" s="7" t="n">
        <f aca="false">IF(C442&lt;(E442+F442),0,(C442-E442-F442)/(1-V$20/100))</f>
        <v>0</v>
      </c>
      <c r="O442" s="7" t="n">
        <f aca="false">L442+M442</f>
        <v>0.791779775525244</v>
      </c>
      <c r="P442" s="49" t="n">
        <f aca="false">IF(N442=0,I442*(1-G442/100)+J442*(1-H442/100),-N442)</f>
        <v>37.2980353373794</v>
      </c>
      <c r="Q442" s="54" t="n">
        <f aca="false">IF(P441&gt;0,Q441+P441*(1-V$24/100),Q441+P441)</f>
        <v>1417.94455349439</v>
      </c>
      <c r="R442" s="55" t="n">
        <f aca="false">R$4+Q442/V$32</f>
        <v>53.7897806957226</v>
      </c>
    </row>
    <row r="443" customFormat="false" ht="12.8" hidden="false" customHeight="false" outlineLevel="0" collapsed="false">
      <c r="A443" s="1" t="n">
        <v>439</v>
      </c>
      <c r="B443" s="44" t="n">
        <v>43984</v>
      </c>
      <c r="C443" s="45" t="n">
        <f aca="false">V$30-V$30*SIN(2*PI()/365*A443)</f>
        <v>0.708008023823057</v>
      </c>
      <c r="D443" s="3" t="n">
        <f aca="false">IF((E443+F443)&gt;C443,C443,E443+F443)</f>
        <v>0.708008023823057</v>
      </c>
      <c r="E443" s="46" t="n">
        <f aca="false">(V$27+V$28*SIN(2*PI()/365*A443))*V$29/100*V$9*V$10/100</f>
        <v>0</v>
      </c>
      <c r="F443" s="46" t="n">
        <f aca="false">(V$27+V$28*SIN(2*PI()/365*A443))*V$29/100*V$11*(1-V$18/100)*(1-V$20/100)</f>
        <v>34.8172200916454</v>
      </c>
      <c r="G443" s="46" t="n">
        <f aca="false">IF(C443&gt;E443,100,C443/E443*100)</f>
        <v>100</v>
      </c>
      <c r="H443" s="46" t="n">
        <f aca="false">L443/F443*100</f>
        <v>2.0334995785403</v>
      </c>
      <c r="I443" s="47" t="n">
        <f aca="false">(V$27+V$28*SIN(2*PI()/365*A443))*V$29/100*V$9*V$10/100*(1-V$19/100)</f>
        <v>0</v>
      </c>
      <c r="J443" s="47" t="n">
        <f aca="false">(V$27+V$28*SIN(2*PI()/365*A443))*V$29/100*V$11*(1-V$18/100)</f>
        <v>38.2606814193905</v>
      </c>
      <c r="K443" s="48" t="n">
        <f aca="false">IF(E443/C443*100&lt;100,E443/C443*100,100)</f>
        <v>0</v>
      </c>
      <c r="L443" s="7" t="n">
        <f aca="false">IF(((C443-E443)&gt;0)*AND(F443&gt;(C443-E443)),(C443-E443),IF(C443&lt;E443,0,F443))</f>
        <v>0.708008023823057</v>
      </c>
      <c r="M443" s="7" t="n">
        <f aca="false">IF(C443&lt;(E443+F443),0,C443-E443-F443)</f>
        <v>0</v>
      </c>
      <c r="N443" s="7" t="n">
        <f aca="false">IF(C443&lt;(E443+F443),0,(C443-E443-F443)/(1-V$20/100))</f>
        <v>0</v>
      </c>
      <c r="O443" s="7" t="n">
        <f aca="false">L443+M443</f>
        <v>0.708008023823057</v>
      </c>
      <c r="P443" s="49" t="n">
        <f aca="false">IF(N443=0,I443*(1-G443/100)+J443*(1-H443/100),-N443)</f>
        <v>37.4826506239805</v>
      </c>
      <c r="Q443" s="54" t="n">
        <f aca="false">IF(P442&gt;0,Q442+P442*(1-V$24/100),Q442+P442)</f>
        <v>1446.66404070418</v>
      </c>
      <c r="R443" s="55" t="n">
        <f aca="false">R$4+Q443/V$32</f>
        <v>54.0690831757388</v>
      </c>
    </row>
    <row r="444" customFormat="false" ht="12.8" hidden="false" customHeight="false" outlineLevel="0" collapsed="false">
      <c r="A444" s="1" t="n">
        <v>440</v>
      </c>
      <c r="B444" s="44" t="n">
        <v>43985</v>
      </c>
      <c r="C444" s="45" t="n">
        <f aca="false">V$30-V$30*SIN(2*PI()/365*A444)</f>
        <v>0.628820195673153</v>
      </c>
      <c r="D444" s="3" t="n">
        <f aca="false">IF((E444+F444)&gt;C444,C444,E444+F444)</f>
        <v>0.628820195673153</v>
      </c>
      <c r="E444" s="46" t="n">
        <f aca="false">(V$27+V$28*SIN(2*PI()/365*A444))*V$29/100*V$9*V$10/100</f>
        <v>0</v>
      </c>
      <c r="F444" s="46" t="n">
        <f aca="false">(V$27+V$28*SIN(2*PI()/365*A444))*V$29/100*V$11*(1-V$18/100)*(1-V$20/100)</f>
        <v>34.8968393529482</v>
      </c>
      <c r="G444" s="46" t="n">
        <f aca="false">IF(C444&gt;E444,100,C444/E444*100)</f>
        <v>100</v>
      </c>
      <c r="H444" s="46" t="n">
        <f aca="false">L444/F444*100</f>
        <v>1.80194025399618</v>
      </c>
      <c r="I444" s="47" t="n">
        <f aca="false">(V$27+V$28*SIN(2*PI()/365*A444))*V$29/100*V$9*V$10/100*(1-V$19/100)</f>
        <v>0</v>
      </c>
      <c r="J444" s="47" t="n">
        <f aca="false">(V$27+V$28*SIN(2*PI()/365*A444))*V$29/100*V$11*(1-V$18/100)</f>
        <v>38.3481751131299</v>
      </c>
      <c r="K444" s="48" t="n">
        <f aca="false">IF(E444/C444*100&lt;100,E444/C444*100,100)</f>
        <v>0</v>
      </c>
      <c r="L444" s="7" t="n">
        <f aca="false">IF(((C444-E444)&gt;0)*AND(F444&gt;(C444-E444)),(C444-E444),IF(C444&lt;E444,0,F444))</f>
        <v>0.628820195673153</v>
      </c>
      <c r="M444" s="7" t="n">
        <f aca="false">IF(C444&lt;(E444+F444),0,C444-E444-F444)</f>
        <v>0</v>
      </c>
      <c r="N444" s="7" t="n">
        <f aca="false">IF(C444&lt;(E444+F444),0,(C444-E444-F444)/(1-V$20/100))</f>
        <v>0</v>
      </c>
      <c r="O444" s="7" t="n">
        <f aca="false">L444+M444</f>
        <v>0.628820195673153</v>
      </c>
      <c r="P444" s="49" t="n">
        <f aca="false">IF(N444=0,I444*(1-G444/100)+J444*(1-H444/100),-N444)</f>
        <v>37.6571639090935</v>
      </c>
      <c r="Q444" s="54" t="n">
        <f aca="false">IF(P443&gt;0,Q443+P443*(1-V$24/100),Q443+P443)</f>
        <v>1475.52568168464</v>
      </c>
      <c r="R444" s="55" t="n">
        <f aca="false">R$4+Q444/V$32</f>
        <v>54.3497681282347</v>
      </c>
    </row>
    <row r="445" customFormat="false" ht="12.8" hidden="false" customHeight="false" outlineLevel="0" collapsed="false">
      <c r="A445" s="1" t="n">
        <v>441</v>
      </c>
      <c r="B445" s="44" t="n">
        <v>43986</v>
      </c>
      <c r="C445" s="45" t="n">
        <f aca="false">V$30-V$30*SIN(2*PI()/365*A445)</f>
        <v>0.554239756138033</v>
      </c>
      <c r="D445" s="3" t="n">
        <f aca="false">IF((E445+F445)&gt;C445,C445,E445+F445)</f>
        <v>0.554239756138033</v>
      </c>
      <c r="E445" s="46" t="n">
        <f aca="false">(V$27+V$28*SIN(2*PI()/365*A445))*V$29/100*V$9*V$10/100</f>
        <v>0</v>
      </c>
      <c r="F445" s="46" t="n">
        <f aca="false">(V$27+V$28*SIN(2*PI()/365*A445))*V$29/100*V$11*(1-V$18/100)*(1-V$20/100)</f>
        <v>34.9718261235437</v>
      </c>
      <c r="G445" s="46" t="n">
        <f aca="false">IF(C445&gt;E445,100,C445/E445*100)</f>
        <v>100</v>
      </c>
      <c r="H445" s="46" t="n">
        <f aca="false">L445/F445*100</f>
        <v>1.58481788791952</v>
      </c>
      <c r="I445" s="47" t="n">
        <f aca="false">(V$27+V$28*SIN(2*PI()/365*A445))*V$29/100*V$9*V$10/100*(1-V$19/100)</f>
        <v>0</v>
      </c>
      <c r="J445" s="47" t="n">
        <f aca="false">(V$27+V$28*SIN(2*PI()/365*A445))*V$29/100*V$11*(1-V$18/100)</f>
        <v>38.4305781577403</v>
      </c>
      <c r="K445" s="48" t="n">
        <f aca="false">IF(E445/C445*100&lt;100,E445/C445*100,100)</f>
        <v>0</v>
      </c>
      <c r="L445" s="7" t="n">
        <f aca="false">IF(((C445-E445)&gt;0)*AND(F445&gt;(C445-E445)),(C445-E445),IF(C445&lt;E445,0,F445))</f>
        <v>0.554239756138033</v>
      </c>
      <c r="M445" s="7" t="n">
        <f aca="false">IF(C445&lt;(E445+F445),0,C445-E445-F445)</f>
        <v>0</v>
      </c>
      <c r="N445" s="7" t="n">
        <f aca="false">IF(C445&lt;(E445+F445),0,(C445-E445-F445)/(1-V$20/100))</f>
        <v>0</v>
      </c>
      <c r="O445" s="7" t="n">
        <f aca="false">L445+M445</f>
        <v>0.554239756138033</v>
      </c>
      <c r="P445" s="49" t="n">
        <f aca="false">IF(N445=0,I445*(1-G445/100)+J445*(1-H445/100),-N445)</f>
        <v>37.8215234806656</v>
      </c>
      <c r="Q445" s="54" t="n">
        <f aca="false">IF(P444&gt;0,Q444+P444*(1-V$24/100),Q444+P444)</f>
        <v>1504.52169789464</v>
      </c>
      <c r="R445" s="55" t="n">
        <f aca="false">R$4+Q445/V$32</f>
        <v>54.6317599054168</v>
      </c>
    </row>
    <row r="446" customFormat="false" ht="12.8" hidden="false" customHeight="false" outlineLevel="0" collapsed="false">
      <c r="A446" s="1" t="n">
        <v>442</v>
      </c>
      <c r="B446" s="44" t="n">
        <v>43987</v>
      </c>
      <c r="C446" s="45" t="n">
        <f aca="false">V$30-V$30*SIN(2*PI()/365*A446)</f>
        <v>0.484288805011499</v>
      </c>
      <c r="D446" s="3" t="n">
        <f aca="false">IF((E446+F446)&gt;C446,C446,E446+F446)</f>
        <v>0.484288805011499</v>
      </c>
      <c r="E446" s="46" t="n">
        <f aca="false">(V$27+V$28*SIN(2*PI()/365*A446))*V$29/100*V$9*V$10/100</f>
        <v>0</v>
      </c>
      <c r="F446" s="46" t="n">
        <f aca="false">(V$27+V$28*SIN(2*PI()/365*A446))*V$29/100*V$11*(1-V$18/100)*(1-V$20/100)</f>
        <v>35.0421581832333</v>
      </c>
      <c r="G446" s="46" t="n">
        <f aca="false">IF(C446&gt;E446,100,C446/E446*100)</f>
        <v>100</v>
      </c>
      <c r="H446" s="46" t="n">
        <f aca="false">L446/F446*100</f>
        <v>1.38201763281583</v>
      </c>
      <c r="I446" s="47" t="n">
        <f aca="false">(V$27+V$28*SIN(2*PI()/365*A446))*V$29/100*V$9*V$10/100*(1-V$19/100)</f>
        <v>0</v>
      </c>
      <c r="J446" s="47" t="n">
        <f aca="false">(V$27+V$28*SIN(2*PI()/365*A446))*V$29/100*V$11*(1-V$18/100)</f>
        <v>38.5078661354212</v>
      </c>
      <c r="K446" s="48" t="n">
        <f aca="false">IF(E446/C446*100&lt;100,E446/C446*100,100)</f>
        <v>0</v>
      </c>
      <c r="L446" s="7" t="n">
        <f aca="false">IF(((C446-E446)&gt;0)*AND(F446&gt;(C446-E446)),(C446-E446),IF(C446&lt;E446,0,F446))</f>
        <v>0.484288805011499</v>
      </c>
      <c r="M446" s="7" t="n">
        <f aca="false">IF(C446&lt;(E446+F446),0,C446-E446-F446)</f>
        <v>0</v>
      </c>
      <c r="N446" s="7" t="n">
        <f aca="false">IF(C446&lt;(E446+F446),0,(C446-E446-F446)/(1-V$20/100))</f>
        <v>0</v>
      </c>
      <c r="O446" s="7" t="n">
        <f aca="false">L446+M446</f>
        <v>0.484288805011499</v>
      </c>
      <c r="P446" s="49" t="n">
        <f aca="false">IF(N446=0,I446*(1-G446/100)+J446*(1-H446/100),-N446)</f>
        <v>37.9756806354086</v>
      </c>
      <c r="Q446" s="54" t="n">
        <f aca="false">IF(P445&gt;0,Q445+P445*(1-V$24/100),Q445+P445)</f>
        <v>1533.64427097476</v>
      </c>
      <c r="R446" s="55" t="n">
        <f aca="false">R$4+Q446/V$32</f>
        <v>54.9149824722514</v>
      </c>
    </row>
    <row r="447" customFormat="false" ht="12.8" hidden="false" customHeight="false" outlineLevel="0" collapsed="false">
      <c r="A447" s="1" t="n">
        <v>443</v>
      </c>
      <c r="B447" s="44" t="n">
        <v>43988</v>
      </c>
      <c r="C447" s="45" t="n">
        <f aca="false">V$30-V$30*SIN(2*PI()/365*A447)</f>
        <v>0.418988070270043</v>
      </c>
      <c r="D447" s="3" t="n">
        <f aca="false">IF((E447+F447)&gt;C447,C447,E447+F447)</f>
        <v>0.418988070270043</v>
      </c>
      <c r="E447" s="46" t="n">
        <f aca="false">(V$27+V$28*SIN(2*PI()/365*A447))*V$29/100*V$9*V$10/100</f>
        <v>0</v>
      </c>
      <c r="F447" s="46" t="n">
        <f aca="false">(V$27+V$28*SIN(2*PI()/365*A447))*V$29/100*V$11*(1-V$18/100)*(1-V$20/100)</f>
        <v>35.1078146911098</v>
      </c>
      <c r="G447" s="46" t="n">
        <f aca="false">IF(C447&gt;E447,100,C447/E447*100)</f>
        <v>100</v>
      </c>
      <c r="H447" s="46" t="n">
        <f aca="false">L447/F447*100</f>
        <v>1.19343249916418</v>
      </c>
      <c r="I447" s="47" t="n">
        <f aca="false">(V$27+V$28*SIN(2*PI()/365*A447))*V$29/100*V$9*V$10/100*(1-V$19/100)</f>
        <v>0</v>
      </c>
      <c r="J447" s="47" t="n">
        <f aca="false">(V$27+V$28*SIN(2*PI()/365*A447))*V$29/100*V$11*(1-V$18/100)</f>
        <v>38.5800161440767</v>
      </c>
      <c r="K447" s="48" t="n">
        <f aca="false">IF(E447/C447*100&lt;100,E447/C447*100,100)</f>
        <v>0</v>
      </c>
      <c r="L447" s="7" t="n">
        <f aca="false">IF(((C447-E447)&gt;0)*AND(F447&gt;(C447-E447)),(C447-E447),IF(C447&lt;E447,0,F447))</f>
        <v>0.418988070270043</v>
      </c>
      <c r="M447" s="7" t="n">
        <f aca="false">IF(C447&lt;(E447+F447),0,C447-E447-F447)</f>
        <v>0</v>
      </c>
      <c r="N447" s="7" t="n">
        <f aca="false">IF(C447&lt;(E447+F447),0,(C447-E447-F447)/(1-V$20/100))</f>
        <v>0</v>
      </c>
      <c r="O447" s="7" t="n">
        <f aca="false">L447+M447</f>
        <v>0.418988070270043</v>
      </c>
      <c r="P447" s="49" t="n">
        <f aca="false">IF(N447=0,I447*(1-G447/100)+J447*(1-H447/100),-N447)</f>
        <v>38.1195896932305</v>
      </c>
      <c r="Q447" s="54" t="n">
        <f aca="false">IF(P446&gt;0,Q446+P446*(1-V$24/100),Q446+P446)</f>
        <v>1562.88554506402</v>
      </c>
      <c r="R447" s="55" t="n">
        <f aca="false">R$4+Q447/V$32</f>
        <v>55.1993594289954</v>
      </c>
    </row>
    <row r="448" customFormat="false" ht="12.8" hidden="false" customHeight="false" outlineLevel="0" collapsed="false">
      <c r="A448" s="1" t="n">
        <v>444</v>
      </c>
      <c r="B448" s="44" t="n">
        <v>43989</v>
      </c>
      <c r="C448" s="45" t="n">
        <f aca="false">V$30-V$30*SIN(2*PI()/365*A448)</f>
        <v>0.358356901930668</v>
      </c>
      <c r="D448" s="3" t="n">
        <f aca="false">IF((E448+F448)&gt;C448,C448,E448+F448)</f>
        <v>0.358356901930668</v>
      </c>
      <c r="E448" s="46" t="n">
        <f aca="false">(V$27+V$28*SIN(2*PI()/365*A448))*V$29/100*V$9*V$10/100</f>
        <v>0</v>
      </c>
      <c r="F448" s="46" t="n">
        <f aca="false">(V$27+V$28*SIN(2*PI()/365*A448))*V$29/100*V$11*(1-V$18/100)*(1-V$20/100)</f>
        <v>35.168776191733</v>
      </c>
      <c r="G448" s="46" t="n">
        <f aca="false">IF(C448&gt;E448,100,C448/E448*100)</f>
        <v>100</v>
      </c>
      <c r="H448" s="46" t="n">
        <f aca="false">L448/F448*100</f>
        <v>1.01896324164645</v>
      </c>
      <c r="I448" s="47" t="n">
        <f aca="false">(V$27+V$28*SIN(2*PI()/365*A448))*V$29/100*V$9*V$10/100*(1-V$19/100)</f>
        <v>0</v>
      </c>
      <c r="J448" s="47" t="n">
        <f aca="false">(V$27+V$28*SIN(2*PI()/365*A448))*V$29/100*V$11*(1-V$18/100)</f>
        <v>38.6470068041023</v>
      </c>
      <c r="K448" s="48" t="n">
        <f aca="false">IF(E448/C448*100&lt;100,E448/C448*100,100)</f>
        <v>0</v>
      </c>
      <c r="L448" s="7" t="n">
        <f aca="false">IF(((C448-E448)&gt;0)*AND(F448&gt;(C448-E448)),(C448-E448),IF(C448&lt;E448,0,F448))</f>
        <v>0.358356901930668</v>
      </c>
      <c r="M448" s="7" t="n">
        <f aca="false">IF(C448&lt;(E448+F448),0,C448-E448-F448)</f>
        <v>0</v>
      </c>
      <c r="N448" s="7" t="n">
        <f aca="false">IF(C448&lt;(E448+F448),0,(C448-E448-F448)/(1-V$20/100))</f>
        <v>0</v>
      </c>
      <c r="O448" s="7" t="n">
        <f aca="false">L448+M448</f>
        <v>0.358356901930668</v>
      </c>
      <c r="P448" s="49" t="n">
        <f aca="false">IF(N448=0,I448*(1-G448/100)+J448*(1-H448/100),-N448)</f>
        <v>38.2532080107718</v>
      </c>
      <c r="Q448" s="54" t="n">
        <f aca="false">IF(P447&gt;0,Q447+P447*(1-V$24/100),Q447+P447)</f>
        <v>1592.23762912781</v>
      </c>
      <c r="R448" s="55" t="n">
        <f aca="false">R$4+Q448/V$32</f>
        <v>55.4848140338349</v>
      </c>
    </row>
    <row r="449" customFormat="false" ht="12.8" hidden="false" customHeight="false" outlineLevel="0" collapsed="false">
      <c r="A449" s="1" t="n">
        <v>445</v>
      </c>
      <c r="B449" s="44" t="n">
        <v>43990</v>
      </c>
      <c r="C449" s="45" t="n">
        <f aca="false">V$30-V$30*SIN(2*PI()/365*A449)</f>
        <v>0.302413266317085</v>
      </c>
      <c r="D449" s="3" t="n">
        <f aca="false">IF((E449+F449)&gt;C449,C449,E449+F449)</f>
        <v>0.302413266317085</v>
      </c>
      <c r="E449" s="46" t="n">
        <f aca="false">(V$27+V$28*SIN(2*PI()/365*A449))*V$29/100*V$9*V$10/100</f>
        <v>0</v>
      </c>
      <c r="F449" s="46" t="n">
        <f aca="false">(V$27+V$28*SIN(2*PI()/365*A449))*V$29/100*V$11*(1-V$18/100)*(1-V$20/100)</f>
        <v>35.2250246208947</v>
      </c>
      <c r="G449" s="46" t="n">
        <f aca="false">IF(C449&gt;E449,100,C449/E449*100)</f>
        <v>100</v>
      </c>
      <c r="H449" s="46" t="n">
        <f aca="false">L449/F449*100</f>
        <v>0.85851825391685</v>
      </c>
      <c r="I449" s="47" t="n">
        <f aca="false">(V$27+V$28*SIN(2*PI()/365*A449))*V$29/100*V$9*V$10/100*(1-V$19/100)</f>
        <v>0</v>
      </c>
      <c r="J449" s="47" t="n">
        <f aca="false">(V$27+V$28*SIN(2*PI()/365*A449))*V$29/100*V$11*(1-V$18/100)</f>
        <v>38.7088182647194</v>
      </c>
      <c r="K449" s="48" t="n">
        <f aca="false">IF(E449/C449*100&lt;100,E449/C449*100,100)</f>
        <v>0</v>
      </c>
      <c r="L449" s="7" t="n">
        <f aca="false">IF(((C449-E449)&gt;0)*AND(F449&gt;(C449-E449)),(C449-E449),IF(C449&lt;E449,0,F449))</f>
        <v>0.302413266317085</v>
      </c>
      <c r="M449" s="7" t="n">
        <f aca="false">IF(C449&lt;(E449+F449),0,C449-E449-F449)</f>
        <v>0</v>
      </c>
      <c r="N449" s="7" t="n">
        <f aca="false">IF(C449&lt;(E449+F449),0,(C449-E449-F449)/(1-V$20/100))</f>
        <v>0</v>
      </c>
      <c r="O449" s="7" t="n">
        <f aca="false">L449+M449</f>
        <v>0.302413266317085</v>
      </c>
      <c r="P449" s="49" t="n">
        <f aca="false">IF(N449=0,I449*(1-G449/100)+J449*(1-H449/100),-N449)</f>
        <v>38.3764959940413</v>
      </c>
      <c r="Q449" s="54" t="n">
        <f aca="false">IF(P448&gt;0,Q448+P448*(1-V$24/100),Q448+P448)</f>
        <v>1621.6925992961</v>
      </c>
      <c r="R449" s="55" t="n">
        <f aca="false">R$4+Q449/V$32</f>
        <v>55.7712692256256</v>
      </c>
    </row>
    <row r="450" customFormat="false" ht="12.8" hidden="false" customHeight="false" outlineLevel="0" collapsed="false">
      <c r="A450" s="1" t="n">
        <v>446</v>
      </c>
      <c r="B450" s="44" t="n">
        <v>43991</v>
      </c>
      <c r="C450" s="45" t="n">
        <f aca="false">V$30-V$30*SIN(2*PI()/365*A450)</f>
        <v>0.251173740735887</v>
      </c>
      <c r="D450" s="3" t="n">
        <f aca="false">IF((E450+F450)&gt;C450,C450,E450+F450)</f>
        <v>0.251173740735887</v>
      </c>
      <c r="E450" s="46" t="n">
        <f aca="false">(V$27+V$28*SIN(2*PI()/365*A450))*V$29/100*V$9*V$10/100</f>
        <v>0</v>
      </c>
      <c r="F450" s="46" t="n">
        <f aca="false">(V$27+V$28*SIN(2*PI()/365*A450))*V$29/100*V$11*(1-V$18/100)*(1-V$20/100)</f>
        <v>35.2765433109711</v>
      </c>
      <c r="G450" s="46" t="n">
        <f aca="false">IF(C450&gt;E450,100,C450/E450*100)</f>
        <v>100</v>
      </c>
      <c r="H450" s="46" t="n">
        <f aca="false">L450/F450*100</f>
        <v>0.712013471733129</v>
      </c>
      <c r="I450" s="47" t="n">
        <f aca="false">(V$27+V$28*SIN(2*PI()/365*A450))*V$29/100*V$9*V$10/100*(1-V$19/100)</f>
        <v>0</v>
      </c>
      <c r="J450" s="47" t="n">
        <f aca="false">(V$27+V$28*SIN(2*PI()/365*A450))*V$29/100*V$11*(1-V$18/100)</f>
        <v>38.7654322098584</v>
      </c>
      <c r="K450" s="48" t="n">
        <f aca="false">IF(E450/C450*100&lt;100,E450/C450*100,100)</f>
        <v>0</v>
      </c>
      <c r="L450" s="7" t="n">
        <f aca="false">IF(((C450-E450)&gt;0)*AND(F450&gt;(C450-E450)),(C450-E450),IF(C450&lt;E450,0,F450))</f>
        <v>0.251173740735887</v>
      </c>
      <c r="M450" s="7" t="n">
        <f aca="false">IF(C450&lt;(E450+F450),0,C450-E450-F450)</f>
        <v>0</v>
      </c>
      <c r="N450" s="7" t="n">
        <f aca="false">IF(C450&lt;(E450+F450),0,(C450-E450-F450)/(1-V$20/100))</f>
        <v>0</v>
      </c>
      <c r="O450" s="7" t="n">
        <f aca="false">L450+M450</f>
        <v>0.251173740735887</v>
      </c>
      <c r="P450" s="49" t="n">
        <f aca="false">IF(N450=0,I450*(1-G450/100)+J450*(1-H450/100),-N450)</f>
        <v>38.4894171101486</v>
      </c>
      <c r="Q450" s="54" t="n">
        <f aca="false">IF(P449&gt;0,Q449+P449*(1-V$24/100),Q449+P449)</f>
        <v>1651.24250121151</v>
      </c>
      <c r="R450" s="55" t="n">
        <f aca="false">R$4+Q450/V$32</f>
        <v>56.0586476467278</v>
      </c>
    </row>
    <row r="451" customFormat="false" ht="12.8" hidden="false" customHeight="false" outlineLevel="0" collapsed="false">
      <c r="A451" s="1" t="n">
        <v>447</v>
      </c>
      <c r="B451" s="44" t="n">
        <v>43992</v>
      </c>
      <c r="C451" s="45" t="n">
        <f aca="false">V$30-V$30*SIN(2*PI()/365*A451)</f>
        <v>0.204653508564345</v>
      </c>
      <c r="D451" s="3" t="n">
        <f aca="false">IF((E451+F451)&gt;C451,C451,E451+F451)</f>
        <v>0.204653508564345</v>
      </c>
      <c r="E451" s="46" t="n">
        <f aca="false">(V$27+V$28*SIN(2*PI()/365*A451))*V$29/100*V$9*V$10/100</f>
        <v>0</v>
      </c>
      <c r="F451" s="46" t="n">
        <f aca="false">(V$27+V$28*SIN(2*PI()/365*A451))*V$29/100*V$11*(1-V$18/100)*(1-V$20/100)</f>
        <v>35.3233169958628</v>
      </c>
      <c r="G451" s="46" t="n">
        <f aca="false">IF(C451&gt;E451,100,C451/E451*100)</f>
        <v>100</v>
      </c>
      <c r="H451" s="46" t="n">
        <f aca="false">L451/F451*100</f>
        <v>0.579372284285518</v>
      </c>
      <c r="I451" s="47" t="n">
        <f aca="false">(V$27+V$28*SIN(2*PI()/365*A451))*V$29/100*V$9*V$10/100*(1-V$19/100)</f>
        <v>0</v>
      </c>
      <c r="J451" s="47" t="n">
        <f aca="false">(V$27+V$28*SIN(2*PI()/365*A451))*V$29/100*V$11*(1-V$18/100)</f>
        <v>38.8168318635855</v>
      </c>
      <c r="K451" s="48" t="n">
        <f aca="false">IF(E451/C451*100&lt;100,E451/C451*100,100)</f>
        <v>0</v>
      </c>
      <c r="L451" s="7" t="n">
        <f aca="false">IF(((C451-E451)&gt;0)*AND(F451&gt;(C451-E451)),(C451-E451),IF(C451&lt;E451,0,F451))</f>
        <v>0.204653508564345</v>
      </c>
      <c r="M451" s="7" t="n">
        <f aca="false">IF(C451&lt;(E451+F451),0,C451-E451-F451)</f>
        <v>0</v>
      </c>
      <c r="N451" s="7" t="n">
        <f aca="false">IF(C451&lt;(E451+F451),0,(C451-E451-F451)/(1-V$20/100))</f>
        <v>0</v>
      </c>
      <c r="O451" s="7" t="n">
        <f aca="false">L451+M451</f>
        <v>0.204653508564345</v>
      </c>
      <c r="P451" s="49" t="n">
        <f aca="false">IF(N451=0,I451*(1-G451/100)+J451*(1-H451/100),-N451)</f>
        <v>38.5919378981301</v>
      </c>
      <c r="Q451" s="54" t="n">
        <f aca="false">IF(P450&gt;0,Q450+P450*(1-V$24/100),Q450+P450)</f>
        <v>1680.87935238633</v>
      </c>
      <c r="R451" s="55" t="n">
        <f aca="false">R$4+Q451/V$32</f>
        <v>56.3468716659289</v>
      </c>
    </row>
    <row r="452" customFormat="false" ht="12.8" hidden="false" customHeight="false" outlineLevel="0" collapsed="false">
      <c r="A452" s="1" t="n">
        <v>448</v>
      </c>
      <c r="B452" s="44" t="n">
        <v>43993</v>
      </c>
      <c r="C452" s="45" t="n">
        <f aca="false">V$30-V$30*SIN(2*PI()/365*A452)</f>
        <v>0.162866354751237</v>
      </c>
      <c r="D452" s="3" t="n">
        <f aca="false">IF((E452+F452)&gt;C452,C452,E452+F452)</f>
        <v>0.162866354751237</v>
      </c>
      <c r="E452" s="46" t="n">
        <f aca="false">(V$27+V$28*SIN(2*PI()/365*A452))*V$29/100*V$9*V$10/100</f>
        <v>0</v>
      </c>
      <c r="F452" s="46" t="n">
        <f aca="false">(V$27+V$28*SIN(2*PI()/365*A452))*V$29/100*V$11*(1-V$18/100)*(1-V$20/100)</f>
        <v>35.3653318155173</v>
      </c>
      <c r="G452" s="46" t="n">
        <f aca="false">IF(C452&gt;E452,100,C452/E452*100)</f>
        <v>100</v>
      </c>
      <c r="H452" s="46" t="n">
        <f aca="false">L452/F452*100</f>
        <v>0.46052545357365</v>
      </c>
      <c r="I452" s="47" t="n">
        <f aca="false">(V$27+V$28*SIN(2*PI()/365*A452))*V$29/100*V$9*V$10/100*(1-V$19/100)</f>
        <v>0</v>
      </c>
      <c r="J452" s="47" t="n">
        <f aca="false">(V$27+V$28*SIN(2*PI()/365*A452))*V$29/100*V$11*(1-V$18/100)</f>
        <v>38.8630019950739</v>
      </c>
      <c r="K452" s="48" t="n">
        <f aca="false">IF(E452/C452*100&lt;100,E452/C452*100,100)</f>
        <v>0</v>
      </c>
      <c r="L452" s="7" t="n">
        <f aca="false">IF(((C452-E452)&gt;0)*AND(F452&gt;(C452-E452)),(C452-E452),IF(C452&lt;E452,0,F452))</f>
        <v>0.162866354751237</v>
      </c>
      <c r="M452" s="7" t="n">
        <f aca="false">IF(C452&lt;(E452+F452),0,C452-E452-F452)</f>
        <v>0</v>
      </c>
      <c r="N452" s="7" t="n">
        <f aca="false">IF(C452&lt;(E452+F452),0,(C452-E452-F452)/(1-V$20/100))</f>
        <v>0</v>
      </c>
      <c r="O452" s="7" t="n">
        <f aca="false">L452+M452</f>
        <v>0.162866354751237</v>
      </c>
      <c r="P452" s="49" t="n">
        <f aca="false">IF(N452=0,I452*(1-G452/100)+J452*(1-H452/100),-N452)</f>
        <v>38.6840279788638</v>
      </c>
      <c r="Q452" s="54" t="n">
        <f aca="false">IF(P451&gt;0,Q451+P451*(1-V$24/100),Q451+P451)</f>
        <v>1710.59514456789</v>
      </c>
      <c r="R452" s="55" t="n">
        <f aca="false">R$4+Q452/V$32</f>
        <v>56.6358634014474</v>
      </c>
    </row>
    <row r="453" customFormat="false" ht="12.8" hidden="false" customHeight="false" outlineLevel="0" collapsed="false">
      <c r="A453" s="1" t="n">
        <v>449</v>
      </c>
      <c r="B453" s="44" t="n">
        <v>43994</v>
      </c>
      <c r="C453" s="45" t="n">
        <f aca="false">V$30-V$30*SIN(2*PI()/365*A453)</f>
        <v>0.125824661732082</v>
      </c>
      <c r="D453" s="3" t="n">
        <f aca="false">IF((E453+F453)&gt;C453,C453,E453+F453)</f>
        <v>0.125824661732082</v>
      </c>
      <c r="E453" s="46" t="n">
        <f aca="false">(V$27+V$28*SIN(2*PI()/365*A453))*V$29/100*V$9*V$10/100</f>
        <v>0</v>
      </c>
      <c r="F453" s="46" t="n">
        <f aca="false">(V$27+V$28*SIN(2*PI()/365*A453))*V$29/100*V$11*(1-V$18/100)*(1-V$20/100)</f>
        <v>35.4025753200368</v>
      </c>
      <c r="G453" s="46" t="n">
        <f aca="false">IF(C453&gt;E453,100,C453/E453*100)</f>
        <v>100</v>
      </c>
      <c r="H453" s="46" t="n">
        <f aca="false">L453/F453*100</f>
        <v>0.355411041695798</v>
      </c>
      <c r="I453" s="47" t="n">
        <f aca="false">(V$27+V$28*SIN(2*PI()/365*A453))*V$29/100*V$9*V$10/100*(1-V$19/100)</f>
        <v>0</v>
      </c>
      <c r="J453" s="47" t="n">
        <f aca="false">(V$27+V$28*SIN(2*PI()/365*A453))*V$29/100*V$11*(1-V$18/100)</f>
        <v>38.9039289231174</v>
      </c>
      <c r="K453" s="48" t="n">
        <f aca="false">IF(E453/C453*100&lt;100,E453/C453*100,100)</f>
        <v>0</v>
      </c>
      <c r="L453" s="7" t="n">
        <f aca="false">IF(((C453-E453)&gt;0)*AND(F453&gt;(C453-E453)),(C453-E453),IF(C453&lt;E453,0,F453))</f>
        <v>0.125824661732082</v>
      </c>
      <c r="M453" s="7" t="n">
        <f aca="false">IF(C453&lt;(E453+F453),0,C453-E453-F453)</f>
        <v>0</v>
      </c>
      <c r="N453" s="7" t="n">
        <f aca="false">IF(C453&lt;(E453+F453),0,(C453-E453-F453)/(1-V$20/100))</f>
        <v>0</v>
      </c>
      <c r="O453" s="7" t="n">
        <f aca="false">L453+M453</f>
        <v>0.125824661732082</v>
      </c>
      <c r="P453" s="49" t="n">
        <f aca="false">IF(N453=0,I453*(1-G453/100)+J453*(1-H453/100),-N453)</f>
        <v>38.7656600640711</v>
      </c>
      <c r="Q453" s="54" t="n">
        <f aca="false">IF(P452&gt;0,Q452+P452*(1-V$24/100),Q452+P452)</f>
        <v>1740.38184611161</v>
      </c>
      <c r="R453" s="55" t="n">
        <f aca="false">R$4+Q453/V$32</f>
        <v>56.9255447440109</v>
      </c>
    </row>
    <row r="454" customFormat="false" ht="12.8" hidden="false" customHeight="false" outlineLevel="0" collapsed="false">
      <c r="A454" s="1" t="n">
        <v>450</v>
      </c>
      <c r="B454" s="44" t="n">
        <v>43995</v>
      </c>
      <c r="C454" s="45" t="n">
        <f aca="false">V$30-V$30*SIN(2*PI()/365*A454)</f>
        <v>0.0935394057599446</v>
      </c>
      <c r="D454" s="3" t="n">
        <f aca="false">IF((E454+F454)&gt;C454,C454,E454+F454)</f>
        <v>0.0935394057599446</v>
      </c>
      <c r="E454" s="46" t="n">
        <f aca="false">(V$27+V$28*SIN(2*PI()/365*A454))*V$29/100*V$9*V$10/100</f>
        <v>0</v>
      </c>
      <c r="F454" s="46" t="n">
        <f aca="false">(V$27+V$28*SIN(2*PI()/365*A454))*V$29/100*V$11*(1-V$18/100)*(1-V$20/100)</f>
        <v>35.4350364733672</v>
      </c>
      <c r="G454" s="46" t="n">
        <f aca="false">IF(C454&gt;E454,100,C454/E454*100)</f>
        <v>100</v>
      </c>
      <c r="H454" s="46" t="n">
        <f aca="false">L454/F454*100</f>
        <v>0.263974345928071</v>
      </c>
      <c r="I454" s="47" t="n">
        <f aca="false">(V$27+V$28*SIN(2*PI()/365*A454))*V$29/100*V$9*V$10/100*(1-V$19/100)</f>
        <v>0</v>
      </c>
      <c r="J454" s="47" t="n">
        <f aca="false">(V$27+V$28*SIN(2*PI()/365*A454))*V$29/100*V$11*(1-V$18/100)</f>
        <v>38.9396005201837</v>
      </c>
      <c r="K454" s="48" t="n">
        <f aca="false">IF(E454/C454*100&lt;100,E454/C454*100,100)</f>
        <v>0</v>
      </c>
      <c r="L454" s="7" t="n">
        <f aca="false">IF(((C454-E454)&gt;0)*AND(F454&gt;(C454-E454)),(C454-E454),IF(C454&lt;E454,0,F454))</f>
        <v>0.0935394057599446</v>
      </c>
      <c r="M454" s="7" t="n">
        <f aca="false">IF(C454&lt;(E454+F454),0,C454-E454-F454)</f>
        <v>0</v>
      </c>
      <c r="N454" s="7" t="n">
        <f aca="false">IF(C454&lt;(E454+F454),0,(C454-E454-F454)/(1-V$20/100))</f>
        <v>0</v>
      </c>
      <c r="O454" s="7" t="n">
        <f aca="false">L454+M454</f>
        <v>0.0935394057599446</v>
      </c>
      <c r="P454" s="49" t="n">
        <f aca="false">IF(N454=0,I454*(1-G454/100)+J454*(1-H454/100),-N454)</f>
        <v>38.8368099644036</v>
      </c>
      <c r="Q454" s="54" t="n">
        <f aca="false">IF(P453&gt;0,Q453+P453*(1-V$24/100),Q453+P453)</f>
        <v>1770.23140436095</v>
      </c>
      <c r="R454" s="55" t="n">
        <f aca="false">R$4+Q454/V$32</f>
        <v>57.2158373800016</v>
      </c>
    </row>
    <row r="455" customFormat="false" ht="12.8" hidden="false" customHeight="false" outlineLevel="0" collapsed="false">
      <c r="A455" s="1" t="n">
        <v>451</v>
      </c>
      <c r="B455" s="44" t="n">
        <v>43996</v>
      </c>
      <c r="C455" s="45" t="n">
        <f aca="false">V$30-V$30*SIN(2*PI()/365*A455)</f>
        <v>0.0660201536529428</v>
      </c>
      <c r="D455" s="3" t="n">
        <f aca="false">IF((E455+F455)&gt;C455,C455,E455+F455)</f>
        <v>0.0660201536529428</v>
      </c>
      <c r="E455" s="46" t="n">
        <f aca="false">(V$27+V$28*SIN(2*PI()/365*A455))*V$29/100*V$9*V$10/100</f>
        <v>0</v>
      </c>
      <c r="F455" s="46" t="n">
        <f aca="false">(V$27+V$28*SIN(2*PI()/365*A455))*V$29/100*V$11*(1-V$18/100)*(1-V$20/100)</f>
        <v>35.4627056565682</v>
      </c>
      <c r="G455" s="46" t="n">
        <f aca="false">IF(C455&gt;E455,100,C455/E455*100)</f>
        <v>100</v>
      </c>
      <c r="H455" s="46" t="n">
        <f aca="false">L455/F455*100</f>
        <v>0.186167841484805</v>
      </c>
      <c r="I455" s="47" t="n">
        <f aca="false">(V$27+V$28*SIN(2*PI()/365*A455))*V$29/100*V$9*V$10/100*(1-V$19/100)</f>
        <v>0</v>
      </c>
      <c r="J455" s="47" t="n">
        <f aca="false">(V$27+V$28*SIN(2*PI()/365*A455))*V$29/100*V$11*(1-V$18/100)</f>
        <v>38.970006216009</v>
      </c>
      <c r="K455" s="48" t="n">
        <f aca="false">IF(E455/C455*100&lt;100,E455/C455*100,100)</f>
        <v>0</v>
      </c>
      <c r="L455" s="7" t="n">
        <f aca="false">IF(((C455-E455)&gt;0)*AND(F455&gt;(C455-E455)),(C455-E455),IF(C455&lt;E455,0,F455))</f>
        <v>0.0660201536529428</v>
      </c>
      <c r="M455" s="7" t="n">
        <f aca="false">IF(C455&lt;(E455+F455),0,C455-E455-F455)</f>
        <v>0</v>
      </c>
      <c r="N455" s="7" t="n">
        <f aca="false">IF(C455&lt;(E455+F455),0,(C455-E455-F455)/(1-V$20/100))</f>
        <v>0</v>
      </c>
      <c r="O455" s="7" t="n">
        <f aca="false">L455+M455</f>
        <v>0.0660201536529428</v>
      </c>
      <c r="P455" s="49" t="n">
        <f aca="false">IF(N455=0,I455*(1-G455/100)+J455*(1-H455/100),-N455)</f>
        <v>38.8974565966102</v>
      </c>
      <c r="Q455" s="54" t="n">
        <f aca="false">IF(P454&gt;0,Q454+P454*(1-V$24/100),Q454+P454)</f>
        <v>1800.13574803354</v>
      </c>
      <c r="R455" s="55" t="n">
        <f aca="false">R$4+Q455/V$32</f>
        <v>57.5066628146622</v>
      </c>
    </row>
    <row r="456" customFormat="false" ht="12.8" hidden="false" customHeight="false" outlineLevel="0" collapsed="false">
      <c r="A456" s="1" t="n">
        <v>452</v>
      </c>
      <c r="B456" s="44" t="n">
        <v>43997</v>
      </c>
      <c r="C456" s="45" t="n">
        <f aca="false">V$30-V$30*SIN(2*PI()/365*A456)</f>
        <v>0.0432750599593881</v>
      </c>
      <c r="D456" s="3" t="n">
        <f aca="false">IF((E456+F456)&gt;C456,C456,E456+F456)</f>
        <v>0.0432750599593881</v>
      </c>
      <c r="E456" s="46" t="n">
        <f aca="false">(V$27+V$28*SIN(2*PI()/365*A456))*V$29/100*V$9*V$10/100</f>
        <v>0</v>
      </c>
      <c r="F456" s="46" t="n">
        <f aca="false">(V$27+V$28*SIN(2*PI()/365*A456))*V$29/100*V$11*(1-V$18/100)*(1-V$20/100)</f>
        <v>35.4855746706636</v>
      </c>
      <c r="G456" s="46" t="n">
        <f aca="false">IF(C456&gt;E456,100,C456/E456*100)</f>
        <v>100</v>
      </c>
      <c r="H456" s="46" t="n">
        <f aca="false">L456/F456*100</f>
        <v>0.121951131864194</v>
      </c>
      <c r="I456" s="47" t="n">
        <f aca="false">(V$27+V$28*SIN(2*PI()/365*A456))*V$29/100*V$9*V$10/100*(1-V$19/100)</f>
        <v>0</v>
      </c>
      <c r="J456" s="47" t="n">
        <f aca="false">(V$27+V$28*SIN(2*PI()/365*A456))*V$29/100*V$11*(1-V$18/100)</f>
        <v>38.9951370007292</v>
      </c>
      <c r="K456" s="48" t="n">
        <f aca="false">IF(E456/C456*100&lt;100,E456/C456*100,100)</f>
        <v>0</v>
      </c>
      <c r="L456" s="7" t="n">
        <f aca="false">IF(((C456-E456)&gt;0)*AND(F456&gt;(C456-E456)),(C456-E456),IF(C456&lt;E456,0,F456))</f>
        <v>0.0432750599593881</v>
      </c>
      <c r="M456" s="7" t="n">
        <f aca="false">IF(C456&lt;(E456+F456),0,C456-E456-F456)</f>
        <v>0</v>
      </c>
      <c r="N456" s="7" t="n">
        <f aca="false">IF(C456&lt;(E456+F456),0,(C456-E456-F456)/(1-V$20/100))</f>
        <v>0</v>
      </c>
      <c r="O456" s="7" t="n">
        <f aca="false">L456+M456</f>
        <v>0.0432750599593881</v>
      </c>
      <c r="P456" s="49" t="n">
        <f aca="false">IF(N456=0,I456*(1-G456/100)+J456*(1-H456/100),-N456)</f>
        <v>38.9475819897849</v>
      </c>
      <c r="Q456" s="54" t="n">
        <f aca="false">IF(P455&gt;0,Q455+P455*(1-V$24/100),Q455+P455)</f>
        <v>1830.08678961293</v>
      </c>
      <c r="R456" s="55" t="n">
        <f aca="false">R$4+Q456/V$32</f>
        <v>57.7979423953555</v>
      </c>
    </row>
    <row r="457" customFormat="false" ht="12.8" hidden="false" customHeight="false" outlineLevel="0" collapsed="false">
      <c r="A457" s="1" t="n">
        <v>453</v>
      </c>
      <c r="B457" s="44" t="n">
        <v>43998</v>
      </c>
      <c r="C457" s="45" t="n">
        <f aca="false">V$30-V$30*SIN(2*PI()/365*A457)</f>
        <v>0.0253108645414244</v>
      </c>
      <c r="D457" s="3" t="n">
        <f aca="false">IF((E457+F457)&gt;C457,C457,E457+F457)</f>
        <v>0.0253108645414244</v>
      </c>
      <c r="E457" s="46" t="n">
        <f aca="false">(V$27+V$28*SIN(2*PI()/365*A457))*V$29/100*V$9*V$10/100</f>
        <v>0</v>
      </c>
      <c r="F457" s="46" t="n">
        <f aca="false">(V$27+V$28*SIN(2*PI()/365*A457))*V$29/100*V$11*(1-V$18/100)*(1-V$20/100)</f>
        <v>35.503636739071</v>
      </c>
      <c r="G457" s="46" t="n">
        <f aca="false">IF(C457&gt;E457,100,C457/E457*100)</f>
        <v>100</v>
      </c>
      <c r="H457" s="46" t="n">
        <f aca="false">L457/F457*100</f>
        <v>0.0712909066962436</v>
      </c>
      <c r="I457" s="47" t="n">
        <f aca="false">(V$27+V$28*SIN(2*PI()/365*A457))*V$29/100*V$9*V$10/100*(1-V$19/100)</f>
        <v>0</v>
      </c>
      <c r="J457" s="47" t="n">
        <f aca="false">(V$27+V$28*SIN(2*PI()/365*A457))*V$29/100*V$11*(1-V$18/100)</f>
        <v>39.0149854275506</v>
      </c>
      <c r="K457" s="48" t="n">
        <f aca="false">IF(E457/C457*100&lt;100,E457/C457*100,100)</f>
        <v>0</v>
      </c>
      <c r="L457" s="7" t="n">
        <f aca="false">IF(((C457-E457)&gt;0)*AND(F457&gt;(C457-E457)),(C457-E457),IF(C457&lt;E457,0,F457))</f>
        <v>0.0253108645414244</v>
      </c>
      <c r="M457" s="7" t="n">
        <f aca="false">IF(C457&lt;(E457+F457),0,C457-E457-F457)</f>
        <v>0</v>
      </c>
      <c r="N457" s="7" t="n">
        <f aca="false">IF(C457&lt;(E457+F457),0,(C457-E457-F457)/(1-V$20/100))</f>
        <v>0</v>
      </c>
      <c r="O457" s="7" t="n">
        <f aca="false">L457+M457</f>
        <v>0.0253108645414244</v>
      </c>
      <c r="P457" s="49" t="n">
        <f aca="false">IF(N457=0,I457*(1-G457/100)+J457*(1-H457/100),-N457)</f>
        <v>38.9871712906919</v>
      </c>
      <c r="Q457" s="54" t="n">
        <f aca="false">IF(P456&gt;0,Q456+P456*(1-V$24/100),Q456+P456)</f>
        <v>1860.07642774506</v>
      </c>
      <c r="R457" s="55" t="n">
        <f aca="false">R$4+Q457/V$32</f>
        <v>58.0895973348713</v>
      </c>
    </row>
    <row r="458" customFormat="false" ht="12.8" hidden="false" customHeight="false" outlineLevel="0" collapsed="false">
      <c r="A458" s="1" t="n">
        <v>454</v>
      </c>
      <c r="B458" s="44" t="n">
        <v>43999</v>
      </c>
      <c r="C458" s="45" t="n">
        <f aca="false">V$30-V$30*SIN(2*PI()/365*A458)</f>
        <v>0.0121328905778526</v>
      </c>
      <c r="D458" s="3" t="n">
        <f aca="false">IF((E458+F458)&gt;C458,C458,E458+F458)</f>
        <v>0.0121328905778526</v>
      </c>
      <c r="E458" s="46" t="n">
        <f aca="false">(V$27+V$28*SIN(2*PI()/365*A458))*V$29/100*V$9*V$10/100</f>
        <v>0</v>
      </c>
      <c r="F458" s="46" t="n">
        <f aca="false">(V$27+V$28*SIN(2*PI()/365*A458))*V$29/100*V$11*(1-V$18/100)*(1-V$20/100)</f>
        <v>35.5168865096098</v>
      </c>
      <c r="G458" s="46" t="n">
        <f aca="false">IF(C458&gt;E458,100,C458/E458*100)</f>
        <v>100</v>
      </c>
      <c r="H458" s="46" t="n">
        <f aca="false">L458/F458*100</f>
        <v>0.0341609070225506</v>
      </c>
      <c r="I458" s="47" t="n">
        <f aca="false">(V$27+V$28*SIN(2*PI()/365*A458))*V$29/100*V$9*V$10/100*(1-V$19/100)</f>
        <v>0</v>
      </c>
      <c r="J458" s="47" t="n">
        <f aca="false">(V$27+V$28*SIN(2*PI()/365*A458))*V$29/100*V$11*(1-V$18/100)</f>
        <v>39.0295456149558</v>
      </c>
      <c r="K458" s="48" t="n">
        <f aca="false">IF(E458/C458*100&lt;100,E458/C458*100,100)</f>
        <v>0</v>
      </c>
      <c r="L458" s="7" t="n">
        <f aca="false">IF(((C458-E458)&gt;0)*AND(F458&gt;(C458-E458)),(C458-E458),IF(C458&lt;E458,0,F458))</f>
        <v>0.0121328905778526</v>
      </c>
      <c r="M458" s="7" t="n">
        <f aca="false">IF(C458&lt;(E458+F458),0,C458-E458-F458)</f>
        <v>0</v>
      </c>
      <c r="N458" s="7" t="n">
        <f aca="false">IF(C458&lt;(E458+F458),0,(C458-E458-F458)/(1-V$20/100))</f>
        <v>0</v>
      </c>
      <c r="O458" s="7" t="n">
        <f aca="false">L458+M458</f>
        <v>0.0121328905778526</v>
      </c>
      <c r="P458" s="49" t="n">
        <f aca="false">IF(N458=0,I458*(1-G458/100)+J458*(1-H458/100),-N458)</f>
        <v>39.016212768167</v>
      </c>
      <c r="Q458" s="54" t="n">
        <f aca="false">IF(P457&gt;0,Q457+P457*(1-V$24/100),Q457+P457)</f>
        <v>1890.0965496389</v>
      </c>
      <c r="R458" s="55" t="n">
        <f aca="false">R$4+Q458/V$32</f>
        <v>58.3815487347724</v>
      </c>
    </row>
    <row r="459" customFormat="false" ht="12.8" hidden="false" customHeight="false" outlineLevel="0" collapsed="false">
      <c r="A459" s="1" t="n">
        <v>455</v>
      </c>
      <c r="B459" s="44" t="n">
        <v>44000</v>
      </c>
      <c r="C459" s="45" t="n">
        <f aca="false">V$30-V$30*SIN(2*PI()/365*A459)</f>
        <v>0.00374504298676115</v>
      </c>
      <c r="D459" s="3" t="n">
        <f aca="false">IF((E459+F459)&gt;C459,C459,E459+F459)</f>
        <v>0.00374504298676115</v>
      </c>
      <c r="E459" s="46" t="n">
        <f aca="false">(V$27+V$28*SIN(2*PI()/365*A459))*V$29/100*V$9*V$10/100</f>
        <v>0</v>
      </c>
      <c r="F459" s="46" t="n">
        <f aca="false">(V$27+V$28*SIN(2*PI()/365*A459))*V$29/100*V$11*(1-V$18/100)*(1-V$20/100)</f>
        <v>35.5253200560869</v>
      </c>
      <c r="G459" s="46" t="n">
        <f aca="false">IF(C459&gt;E459,100,C459/E459*100)</f>
        <v>100</v>
      </c>
      <c r="H459" s="46" t="n">
        <f aca="false">L459/F459*100</f>
        <v>0.0105418979501058</v>
      </c>
      <c r="I459" s="47" t="n">
        <f aca="false">(V$27+V$28*SIN(2*PI()/365*A459))*V$29/100*V$9*V$10/100*(1-V$19/100)</f>
        <v>0</v>
      </c>
      <c r="J459" s="47" t="n">
        <f aca="false">(V$27+V$28*SIN(2*PI()/365*A459))*V$29/100*V$11*(1-V$18/100)</f>
        <v>39.0388132484471</v>
      </c>
      <c r="K459" s="48" t="n">
        <f aca="false">IF(E459/C459*100&lt;100,E459/C459*100,100)</f>
        <v>0</v>
      </c>
      <c r="L459" s="7" t="n">
        <f aca="false">IF(((C459-E459)&gt;0)*AND(F459&gt;(C459-E459)),(C459-E459),IF(C459&lt;E459,0,F459))</f>
        <v>0.00374504298676115</v>
      </c>
      <c r="M459" s="7" t="n">
        <f aca="false">IF(C459&lt;(E459+F459),0,C459-E459-F459)</f>
        <v>0</v>
      </c>
      <c r="N459" s="7" t="n">
        <f aca="false">IF(C459&lt;(E459+F459),0,(C459-E459-F459)/(1-V$20/100))</f>
        <v>0</v>
      </c>
      <c r="O459" s="7" t="n">
        <f aca="false">L459+M459</f>
        <v>0.00374504298676115</v>
      </c>
      <c r="P459" s="49" t="n">
        <f aca="false">IF(N459=0,I459*(1-G459/100)+J459*(1-H459/100),-N459)</f>
        <v>39.0346978165936</v>
      </c>
      <c r="Q459" s="54" t="n">
        <f aca="false">IF(P458&gt;0,Q458+P458*(1-V$24/100),Q458+P458)</f>
        <v>1920.13903347038</v>
      </c>
      <c r="R459" s="55" t="n">
        <f aca="false">R$4+Q459/V$32</f>
        <v>58.6737176087739</v>
      </c>
    </row>
    <row r="460" customFormat="false" ht="12.8" hidden="false" customHeight="false" outlineLevel="0" collapsed="false">
      <c r="A460" s="1" t="n">
        <v>456</v>
      </c>
      <c r="B460" s="44" t="n">
        <v>44001</v>
      </c>
      <c r="C460" s="45" t="n">
        <f aca="false">V$30-V$30*SIN(2*PI()/365*A460)</f>
        <v>0.000149807268417845</v>
      </c>
      <c r="D460" s="3" t="n">
        <f aca="false">IF((E460+F460)&gt;C460,C460,E460+F460)</f>
        <v>0.000149807268417845</v>
      </c>
      <c r="E460" s="46" t="n">
        <f aca="false">(V$27+V$28*SIN(2*PI()/365*A460))*V$29/100*V$9*V$10/100</f>
        <v>0</v>
      </c>
      <c r="F460" s="46" t="n">
        <f aca="false">(V$27+V$28*SIN(2*PI()/365*A460))*V$29/100*V$11*(1-V$18/100)*(1-V$20/100)</f>
        <v>35.5289348794605</v>
      </c>
      <c r="G460" s="46" t="n">
        <f aca="false">IF(C460&gt;E460,100,C460/E460*100)</f>
        <v>100</v>
      </c>
      <c r="H460" s="46" t="n">
        <f aca="false">L460/F460*100</f>
        <v>0.000421648633504208</v>
      </c>
      <c r="I460" s="47" t="n">
        <f aca="false">(V$27+V$28*SIN(2*PI()/365*A460))*V$29/100*V$9*V$10/100*(1-V$19/100)</f>
        <v>0</v>
      </c>
      <c r="J460" s="47" t="n">
        <f aca="false">(V$27+V$28*SIN(2*PI()/365*A460))*V$29/100*V$11*(1-V$18/100)</f>
        <v>39.0427855818248</v>
      </c>
      <c r="K460" s="48" t="n">
        <f aca="false">IF(E460/C460*100&lt;100,E460/C460*100,100)</f>
        <v>0</v>
      </c>
      <c r="L460" s="7" t="n">
        <f aca="false">IF(((C460-E460)&gt;0)*AND(F460&gt;(C460-E460)),(C460-E460),IF(C460&lt;E460,0,F460))</f>
        <v>0.000149807268417845</v>
      </c>
      <c r="M460" s="7" t="n">
        <f aca="false">IF(C460&lt;(E460+F460),0,C460-E460-F460)</f>
        <v>0</v>
      </c>
      <c r="N460" s="7" t="n">
        <f aca="false">IF(C460&lt;(E460+F460),0,(C460-E460-F460)/(1-V$20/100))</f>
        <v>0</v>
      </c>
      <c r="O460" s="7" t="n">
        <f aca="false">L460+M460</f>
        <v>0.000149807268417845</v>
      </c>
      <c r="P460" s="49" t="n">
        <f aca="false">IF(N460=0,I460*(1-G460/100)+J460*(1-H460/100),-N460)</f>
        <v>39.0426209584529</v>
      </c>
      <c r="Q460" s="54" t="n">
        <f aca="false">IF(P459&gt;0,Q459+P459*(1-V$24/100),Q459+P459)</f>
        <v>1950.19575078916</v>
      </c>
      <c r="R460" s="55" t="n">
        <f aca="false">R$4+Q460/V$32</f>
        <v>58.9660249061487</v>
      </c>
    </row>
    <row r="461" customFormat="false" ht="12.8" hidden="false" customHeight="false" outlineLevel="0" collapsed="false">
      <c r="A461" s="1" t="n">
        <v>457</v>
      </c>
      <c r="B461" s="44" t="n">
        <v>44002</v>
      </c>
      <c r="C461" s="45" t="n">
        <f aca="false">V$30-V$30*SIN(2*PI()/365*A461)</f>
        <v>0.00134824876875328</v>
      </c>
      <c r="D461" s="3" t="n">
        <f aca="false">IF((E461+F461)&gt;C461,C461,E461+F461)</f>
        <v>0.00134824876875328</v>
      </c>
      <c r="E461" s="46" t="n">
        <f aca="false">(V$27+V$28*SIN(2*PI()/365*A461))*V$29/100*V$9*V$10/100</f>
        <v>0</v>
      </c>
      <c r="F461" s="46" t="n">
        <f aca="false">(V$27+V$28*SIN(2*PI()/365*A461))*V$29/100*V$11*(1-V$18/100)*(1-V$20/100)</f>
        <v>35.5277299085805</v>
      </c>
      <c r="G461" s="46" t="n">
        <f aca="false">IF(C461&gt;E461,100,C461/E461*100)</f>
        <v>100</v>
      </c>
      <c r="H461" s="46" t="n">
        <f aca="false">L461/F461*100</f>
        <v>0.0037949195521993</v>
      </c>
      <c r="I461" s="47" t="n">
        <f aca="false">(V$27+V$28*SIN(2*PI()/365*A461))*V$29/100*V$9*V$10/100*(1-V$19/100)</f>
        <v>0</v>
      </c>
      <c r="J461" s="47" t="n">
        <f aca="false">(V$27+V$28*SIN(2*PI()/365*A461))*V$29/100*V$11*(1-V$18/100)</f>
        <v>39.0414614380006</v>
      </c>
      <c r="K461" s="48" t="n">
        <f aca="false">IF(E461/C461*100&lt;100,E461/C461*100,100)</f>
        <v>0</v>
      </c>
      <c r="L461" s="7" t="n">
        <f aca="false">IF(((C461-E461)&gt;0)*AND(F461&gt;(C461-E461)),(C461-E461),IF(C461&lt;E461,0,F461))</f>
        <v>0.00134824876875328</v>
      </c>
      <c r="M461" s="7" t="n">
        <f aca="false">IF(C461&lt;(E461+F461),0,C461-E461-F461)</f>
        <v>0</v>
      </c>
      <c r="N461" s="7" t="n">
        <f aca="false">IF(C461&lt;(E461+F461),0,(C461-E461-F461)/(1-V$20/100))</f>
        <v>0</v>
      </c>
      <c r="O461" s="7" t="n">
        <f aca="false">L461+M461</f>
        <v>0.00134824876875328</v>
      </c>
      <c r="P461" s="49" t="n">
        <f aca="false">IF(N461=0,I461*(1-G461/100)+J461*(1-H461/100),-N461)</f>
        <v>39.039979845947</v>
      </c>
      <c r="Q461" s="54" t="n">
        <f aca="false">IF(P460&gt;0,Q460+P460*(1-V$24/100),Q460+P460)</f>
        <v>1980.25856892717</v>
      </c>
      <c r="R461" s="55" t="n">
        <f aca="false">R$4+Q461/V$32</f>
        <v>59.2583915351519</v>
      </c>
    </row>
    <row r="462" customFormat="false" ht="12.8" hidden="false" customHeight="false" outlineLevel="0" collapsed="false">
      <c r="A462" s="1" t="n">
        <v>458</v>
      </c>
      <c r="B462" s="44" t="n">
        <v>44003</v>
      </c>
      <c r="C462" s="45" t="n">
        <f aca="false">V$30-V$30*SIN(2*PI()/365*A462)</f>
        <v>0.00734001236369153</v>
      </c>
      <c r="D462" s="3" t="n">
        <f aca="false">IF((E462+F462)&gt;C462,C462,E462+F462)</f>
        <v>0.00734001236369153</v>
      </c>
      <c r="E462" s="46" t="n">
        <f aca="false">(V$27+V$28*SIN(2*PI()/365*A462))*V$29/100*V$9*V$10/100</f>
        <v>0</v>
      </c>
      <c r="F462" s="46" t="n">
        <f aca="false">(V$27+V$28*SIN(2*PI()/365*A462))*V$29/100*V$11*(1-V$18/100)*(1-V$20/100)</f>
        <v>35.5217055005058</v>
      </c>
      <c r="G462" s="46" t="n">
        <f aca="false">IF(C462&gt;E462,100,C462/E462*100)</f>
        <v>100</v>
      </c>
      <c r="H462" s="46" t="n">
        <f aca="false">L462/F462*100</f>
        <v>0.020663457061731</v>
      </c>
      <c r="I462" s="47" t="n">
        <f aca="false">(V$27+V$28*SIN(2*PI()/365*A462))*V$29/100*V$9*V$10/100*(1-V$19/100)</f>
        <v>0</v>
      </c>
      <c r="J462" s="47" t="n">
        <f aca="false">(V$27+V$28*SIN(2*PI()/365*A462))*V$29/100*V$11*(1-V$18/100)</f>
        <v>39.034841209347</v>
      </c>
      <c r="K462" s="48" t="n">
        <f aca="false">IF(E462/C462*100&lt;100,E462/C462*100,100)</f>
        <v>0</v>
      </c>
      <c r="L462" s="7" t="n">
        <f aca="false">IF(((C462-E462)&gt;0)*AND(F462&gt;(C462-E462)),(C462-E462),IF(C462&lt;E462,0,F462))</f>
        <v>0.00734001236369153</v>
      </c>
      <c r="M462" s="7" t="n">
        <f aca="false">IF(C462&lt;(E462+F462),0,C462-E462-F462)</f>
        <v>0</v>
      </c>
      <c r="N462" s="7" t="n">
        <f aca="false">IF(C462&lt;(E462+F462),0,(C462-E462-F462)/(1-V$20/100))</f>
        <v>0</v>
      </c>
      <c r="O462" s="7" t="n">
        <f aca="false">L462+M462</f>
        <v>0.00734001236369153</v>
      </c>
      <c r="P462" s="49" t="n">
        <f aca="false">IF(N462=0,I462*(1-G462/100)+J462*(1-H462/100),-N462)</f>
        <v>39.0267752616946</v>
      </c>
      <c r="Q462" s="54" t="n">
        <f aca="false">IF(P461&gt;0,Q461+P461*(1-V$24/100),Q461+P461)</f>
        <v>2010.31935340855</v>
      </c>
      <c r="R462" s="55" t="n">
        <f aca="false">R$4+Q462/V$32</f>
        <v>59.5507383864572</v>
      </c>
    </row>
    <row r="463" customFormat="false" ht="12.8" hidden="false" customHeight="false" outlineLevel="0" collapsed="false">
      <c r="A463" s="1" t="n">
        <v>459</v>
      </c>
      <c r="B463" s="44" t="n">
        <v>44004</v>
      </c>
      <c r="C463" s="45" t="n">
        <f aca="false">V$30-V$30*SIN(2*PI()/365*A463)</f>
        <v>0.0181233225643602</v>
      </c>
      <c r="D463" s="3" t="n">
        <f aca="false">IF((E463+F463)&gt;C463,C463,E463+F463)</f>
        <v>0.0181233225643602</v>
      </c>
      <c r="E463" s="46" t="n">
        <f aca="false">(V$27+V$28*SIN(2*PI()/365*A463))*V$29/100*V$9*V$10/100</f>
        <v>0</v>
      </c>
      <c r="F463" s="46" t="n">
        <f aca="false">(V$27+V$28*SIN(2*PI()/365*A463))*V$29/100*V$11*(1-V$18/100)*(1-V$20/100)</f>
        <v>35.5108634403983</v>
      </c>
      <c r="G463" s="46" t="n">
        <f aca="false">IF(C463&gt;E463,100,C463/E463*100)</f>
        <v>100</v>
      </c>
      <c r="H463" s="46" t="n">
        <f aca="false">L463/F463*100</f>
        <v>0.0510359952096871</v>
      </c>
      <c r="I463" s="47" t="n">
        <f aca="false">(V$27+V$28*SIN(2*PI()/365*A463))*V$29/100*V$9*V$10/100*(1-V$19/100)</f>
        <v>0</v>
      </c>
      <c r="J463" s="47" t="n">
        <f aca="false">(V$27+V$28*SIN(2*PI()/365*A463))*V$29/100*V$11*(1-V$18/100)</f>
        <v>39.0229268575806</v>
      </c>
      <c r="K463" s="48" t="n">
        <f aca="false">IF(E463/C463*100&lt;100,E463/C463*100,100)</f>
        <v>0</v>
      </c>
      <c r="L463" s="7" t="n">
        <f aca="false">IF(((C463-E463)&gt;0)*AND(F463&gt;(C463-E463)),(C463-E463),IF(C463&lt;E463,0,F463))</f>
        <v>0.0181233225643602</v>
      </c>
      <c r="M463" s="7" t="n">
        <f aca="false">IF(C463&lt;(E463+F463),0,C463-E463-F463)</f>
        <v>0</v>
      </c>
      <c r="N463" s="7" t="n">
        <f aca="false">IF(C463&lt;(E463+F463),0,(C463-E463-F463)/(1-V$20/100))</f>
        <v>0</v>
      </c>
      <c r="O463" s="7" t="n">
        <f aca="false">L463+M463</f>
        <v>0.0181233225643602</v>
      </c>
      <c r="P463" s="49" t="n">
        <f aca="false">IF(N463=0,I463*(1-G463/100)+J463*(1-H463/100),-N463)</f>
        <v>39.0030111184989</v>
      </c>
      <c r="Q463" s="54" t="n">
        <f aca="false">IF(P462&gt;0,Q462+P462*(1-V$24/100),Q462+P462)</f>
        <v>2040.36997036005</v>
      </c>
      <c r="R463" s="55" t="n">
        <f aca="false">R$4+Q463/V$32</f>
        <v>59.842986356599</v>
      </c>
    </row>
    <row r="464" customFormat="false" ht="12.8" hidden="false" customHeight="false" outlineLevel="0" collapsed="false">
      <c r="A464" s="1" t="n">
        <v>460</v>
      </c>
      <c r="B464" s="44" t="n">
        <v>44005</v>
      </c>
      <c r="C464" s="45" t="n">
        <f aca="false">V$30-V$30*SIN(2*PI()/365*A464)</f>
        <v>0.0336949840432332</v>
      </c>
      <c r="D464" s="3" t="n">
        <f aca="false">IF((E464+F464)&gt;C464,C464,E464+F464)</f>
        <v>0.0336949840432332</v>
      </c>
      <c r="E464" s="46" t="n">
        <f aca="false">(V$27+V$28*SIN(2*PI()/365*A464))*V$29/100*V$9*V$10/100</f>
        <v>0</v>
      </c>
      <c r="F464" s="46" t="n">
        <f aca="false">(V$27+V$28*SIN(2*PI()/365*A464))*V$29/100*V$11*(1-V$18/100)*(1-V$20/100)</f>
        <v>35.4952069409947</v>
      </c>
      <c r="G464" s="46" t="n">
        <f aca="false">IF(C464&gt;E464,100,C464/E464*100)</f>
        <v>100</v>
      </c>
      <c r="H464" s="46" t="n">
        <f aca="false">L464/F464*100</f>
        <v>0.0949282648196585</v>
      </c>
      <c r="I464" s="47" t="n">
        <f aca="false">(V$27+V$28*SIN(2*PI()/365*A464))*V$29/100*V$9*V$10/100*(1-V$19/100)</f>
        <v>0</v>
      </c>
      <c r="J464" s="47" t="n">
        <f aca="false">(V$27+V$28*SIN(2*PI()/365*A464))*V$29/100*V$11*(1-V$18/100)</f>
        <v>39.005721913181</v>
      </c>
      <c r="K464" s="48" t="n">
        <f aca="false">IF(E464/C464*100&lt;100,E464/C464*100,100)</f>
        <v>0</v>
      </c>
      <c r="L464" s="7" t="n">
        <f aca="false">IF(((C464-E464)&gt;0)*AND(F464&gt;(C464-E464)),(C464-E464),IF(C464&lt;E464,0,F464))</f>
        <v>0.0336949840432332</v>
      </c>
      <c r="M464" s="7" t="n">
        <f aca="false">IF(C464&lt;(E464+F464),0,C464-E464-F464)</f>
        <v>0</v>
      </c>
      <c r="N464" s="7" t="n">
        <f aca="false">IF(C464&lt;(E464+F464),0,(C464-E464-F464)/(1-V$20/100))</f>
        <v>0</v>
      </c>
      <c r="O464" s="7" t="n">
        <f aca="false">L464+M464</f>
        <v>0.0336949840432332</v>
      </c>
      <c r="P464" s="49" t="n">
        <f aca="false">IF(N464=0,I464*(1-G464/100)+J464*(1-H464/100),-N464)</f>
        <v>38.9686944581884</v>
      </c>
      <c r="Q464" s="54" t="n">
        <f aca="false">IF(P463&gt;0,Q463+P463*(1-V$24/100),Q463+P463)</f>
        <v>2070.4022889213</v>
      </c>
      <c r="R464" s="55" t="n">
        <f aca="false">R$4+Q464/V$32</f>
        <v>60.1350563714124</v>
      </c>
    </row>
    <row r="465" customFormat="false" ht="12.8" hidden="false" customHeight="false" outlineLevel="0" collapsed="false">
      <c r="A465" s="1" t="n">
        <v>461</v>
      </c>
      <c r="B465" s="44" t="n">
        <v>44006</v>
      </c>
      <c r="C465" s="45" t="n">
        <f aca="false">V$30-V$30*SIN(2*PI()/365*A465)</f>
        <v>0.0540503825809395</v>
      </c>
      <c r="D465" s="3" t="n">
        <f aca="false">IF((E465+F465)&gt;C465,C465,E465+F465)</f>
        <v>0.0540503825809395</v>
      </c>
      <c r="E465" s="46" t="n">
        <f aca="false">(V$27+V$28*SIN(2*PI()/365*A465))*V$29/100*V$9*V$10/100</f>
        <v>0</v>
      </c>
      <c r="F465" s="46" t="n">
        <f aca="false">(V$27+V$28*SIN(2*PI()/365*A465))*V$29/100*V$11*(1-V$18/100)*(1-V$20/100)</f>
        <v>35.4747406416535</v>
      </c>
      <c r="G465" s="46" t="n">
        <f aca="false">IF(C465&gt;E465,100,C465/E465*100)</f>
        <v>100</v>
      </c>
      <c r="H465" s="46" t="n">
        <f aca="false">L465/F465*100</f>
        <v>0.152363009857992</v>
      </c>
      <c r="I465" s="47" t="n">
        <f aca="false">(V$27+V$28*SIN(2*PI()/365*A465))*V$29/100*V$9*V$10/100*(1-V$19/100)</f>
        <v>0</v>
      </c>
      <c r="J465" s="47" t="n">
        <f aca="false">(V$27+V$28*SIN(2*PI()/365*A465))*V$29/100*V$11*(1-V$18/100)</f>
        <v>38.9832314743444</v>
      </c>
      <c r="K465" s="48" t="n">
        <f aca="false">IF(E465/C465*100&lt;100,E465/C465*100,100)</f>
        <v>0</v>
      </c>
      <c r="L465" s="7" t="n">
        <f aca="false">IF(((C465-E465)&gt;0)*AND(F465&gt;(C465-E465)),(C465-E465),IF(C465&lt;E465,0,F465))</f>
        <v>0.0540503825809395</v>
      </c>
      <c r="M465" s="7" t="n">
        <f aca="false">IF(C465&lt;(E465+F465),0,C465-E465-F465)</f>
        <v>0</v>
      </c>
      <c r="N465" s="7" t="n">
        <f aca="false">IF(C465&lt;(E465+F465),0,(C465-E465-F465)/(1-V$20/100))</f>
        <v>0</v>
      </c>
      <c r="O465" s="7" t="n">
        <f aca="false">L465+M465</f>
        <v>0.0540503825809395</v>
      </c>
      <c r="P465" s="49" t="n">
        <f aca="false">IF(N465=0,I465*(1-G465/100)+J465*(1-H465/100),-N465)</f>
        <v>38.9238354495302</v>
      </c>
      <c r="Q465" s="54" t="n">
        <f aca="false">IF(P464&gt;0,Q464+P464*(1-V$24/100),Q464+P464)</f>
        <v>2100.4081836541</v>
      </c>
      <c r="R465" s="55" t="n">
        <f aca="false">R$4+Q465/V$32</f>
        <v>60.4268694094643</v>
      </c>
    </row>
    <row r="466" customFormat="false" ht="12.8" hidden="false" customHeight="false" outlineLevel="0" collapsed="false">
      <c r="A466" s="1" t="n">
        <v>462</v>
      </c>
      <c r="B466" s="44" t="n">
        <v>44007</v>
      </c>
      <c r="C466" s="45" t="n">
        <f aca="false">V$30-V$30*SIN(2*PI()/365*A466)</f>
        <v>0.0791834864335925</v>
      </c>
      <c r="D466" s="3" t="n">
        <f aca="false">IF((E466+F466)&gt;C466,C466,E466+F466)</f>
        <v>0.0791834864335925</v>
      </c>
      <c r="E466" s="46" t="n">
        <f aca="false">(V$27+V$28*SIN(2*PI()/365*A466))*V$29/100*V$9*V$10/100</f>
        <v>0</v>
      </c>
      <c r="F466" s="46" t="n">
        <f aca="false">(V$27+V$28*SIN(2*PI()/365*A466))*V$29/100*V$11*(1-V$18/100)*(1-V$20/100)</f>
        <v>35.4494706069808</v>
      </c>
      <c r="G466" s="46" t="n">
        <f aca="false">IF(C466&gt;E466,100,C466/E466*100)</f>
        <v>100</v>
      </c>
      <c r="H466" s="46" t="n">
        <f aca="false">L466/F466*100</f>
        <v>0.223370011110968</v>
      </c>
      <c r="I466" s="47" t="n">
        <f aca="false">(V$27+V$28*SIN(2*PI()/365*A466))*V$29/100*V$9*V$10/100*(1-V$19/100)</f>
        <v>0</v>
      </c>
      <c r="J466" s="47" t="n">
        <f aca="false">(V$27+V$28*SIN(2*PI()/365*A466))*V$29/100*V$11*(1-V$18/100)</f>
        <v>38.9554622054734</v>
      </c>
      <c r="K466" s="48" t="n">
        <f aca="false">IF(E466/C466*100&lt;100,E466/C466*100,100)</f>
        <v>0</v>
      </c>
      <c r="L466" s="7" t="n">
        <f aca="false">IF(((C466-E466)&gt;0)*AND(F466&gt;(C466-E466)),(C466-E466),IF(C466&lt;E466,0,F466))</f>
        <v>0.0791834864335925</v>
      </c>
      <c r="M466" s="7" t="n">
        <f aca="false">IF(C466&lt;(E466+F466),0,C466-E466-F466)</f>
        <v>0</v>
      </c>
      <c r="N466" s="7" t="n">
        <f aca="false">IF(C466&lt;(E466+F466),0,(C466-E466-F466)/(1-V$20/100))</f>
        <v>0</v>
      </c>
      <c r="O466" s="7" t="n">
        <f aca="false">L466+M466</f>
        <v>0.0791834864335925</v>
      </c>
      <c r="P466" s="49" t="n">
        <f aca="false">IF(N466=0,I466*(1-G466/100)+J466*(1-H466/100),-N466)</f>
        <v>38.8684473852167</v>
      </c>
      <c r="Q466" s="54" t="n">
        <f aca="false">IF(P465&gt;0,Q465+P465*(1-V$24/100),Q465+P465)</f>
        <v>2130.37953695024</v>
      </c>
      <c r="R466" s="55" t="n">
        <f aca="false">R$4+Q466/V$32</f>
        <v>60.7183465254694</v>
      </c>
    </row>
    <row r="467" customFormat="false" ht="12.8" hidden="false" customHeight="false" outlineLevel="0" collapsed="false">
      <c r="A467" s="1" t="n">
        <v>463</v>
      </c>
      <c r="B467" s="44" t="n">
        <v>44008</v>
      </c>
      <c r="C467" s="45" t="n">
        <f aca="false">V$30-V$30*SIN(2*PI()/365*A467)</f>
        <v>0.109086848120107</v>
      </c>
      <c r="D467" s="3" t="n">
        <f aca="false">IF((E467+F467)&gt;C467,C467,E467+F467)</f>
        <v>0.109086848120107</v>
      </c>
      <c r="E467" s="46" t="n">
        <f aca="false">(V$27+V$28*SIN(2*PI()/365*A467))*V$29/100*V$9*V$10/100</f>
        <v>0</v>
      </c>
      <c r="F467" s="46" t="n">
        <f aca="false">(V$27+V$28*SIN(2*PI()/365*A467))*V$29/100*V$11*(1-V$18/100)*(1-V$20/100)</f>
        <v>35.4194043250335</v>
      </c>
      <c r="G467" s="46" t="n">
        <f aca="false">IF(C467&gt;E467,100,C467/E467*100)</f>
        <v>100</v>
      </c>
      <c r="H467" s="46" t="n">
        <f aca="false">L467/F467*100</f>
        <v>0.307986117211484</v>
      </c>
      <c r="I467" s="47" t="n">
        <f aca="false">(V$27+V$28*SIN(2*PI()/365*A467))*V$29/100*V$9*V$10/100*(1-V$19/100)</f>
        <v>0</v>
      </c>
      <c r="J467" s="47" t="n">
        <f aca="false">(V$27+V$28*SIN(2*PI()/365*A467))*V$29/100*V$11*(1-V$18/100)</f>
        <v>38.9224223352016</v>
      </c>
      <c r="K467" s="48" t="n">
        <f aca="false">IF(E467/C467*100&lt;100,E467/C467*100,100)</f>
        <v>0</v>
      </c>
      <c r="L467" s="7" t="n">
        <f aca="false">IF(((C467-E467)&gt;0)*AND(F467&gt;(C467-E467)),(C467-E467),IF(C467&lt;E467,0,F467))</f>
        <v>0.109086848120107</v>
      </c>
      <c r="M467" s="7" t="n">
        <f aca="false">IF(C467&lt;(E467+F467),0,C467-E467-F467)</f>
        <v>0</v>
      </c>
      <c r="N467" s="7" t="n">
        <f aca="false">IF(C467&lt;(E467+F467),0,(C467-E467-F467)/(1-V$20/100))</f>
        <v>0</v>
      </c>
      <c r="O467" s="7" t="n">
        <f aca="false">L467+M467</f>
        <v>0.109086848120107</v>
      </c>
      <c r="P467" s="49" t="n">
        <f aca="false">IF(N467=0,I467*(1-G467/100)+J467*(1-H467/100),-N467)</f>
        <v>38.8025466779268</v>
      </c>
      <c r="Q467" s="54" t="n">
        <f aca="false">IF(P466&gt;0,Q466+P466*(1-V$24/100),Q466+P466)</f>
        <v>2160.30824143686</v>
      </c>
      <c r="R467" s="55" t="n">
        <f aca="false">R$4+Q467/V$32</f>
        <v>61.0094088736836</v>
      </c>
    </row>
    <row r="468" customFormat="false" ht="12.8" hidden="false" customHeight="false" outlineLevel="0" collapsed="false">
      <c r="A468" s="1" t="n">
        <v>464</v>
      </c>
      <c r="B468" s="44" t="n">
        <v>44009</v>
      </c>
      <c r="C468" s="45" t="n">
        <f aca="false">V$30-V$30*SIN(2*PI()/365*A468)</f>
        <v>0.143751606629042</v>
      </c>
      <c r="D468" s="3" t="n">
        <f aca="false">IF((E468+F468)&gt;C468,C468,E468+F468)</f>
        <v>0.143751606629042</v>
      </c>
      <c r="E468" s="46" t="n">
        <f aca="false">(V$27+V$28*SIN(2*PI()/365*A468))*V$29/100*V$9*V$10/100</f>
        <v>0</v>
      </c>
      <c r="F468" s="46" t="n">
        <f aca="false">(V$27+V$28*SIN(2*PI()/365*A468))*V$29/100*V$11*(1-V$18/100)*(1-V$20/100)</f>
        <v>35.3845507050996</v>
      </c>
      <c r="G468" s="46" t="n">
        <f aca="false">IF(C468&gt;E468,100,C468/E468*100)</f>
        <v>100</v>
      </c>
      <c r="H468" s="46" t="n">
        <f aca="false">L468/F468*100</f>
        <v>0.406255283067151</v>
      </c>
      <c r="I468" s="47" t="n">
        <f aca="false">(V$27+V$28*SIN(2*PI()/365*A468))*V$29/100*V$9*V$10/100*(1-V$19/100)</f>
        <v>0</v>
      </c>
      <c r="J468" s="47" t="n">
        <f aca="false">(V$27+V$28*SIN(2*PI()/365*A468))*V$29/100*V$11*(1-V$18/100)</f>
        <v>38.8841216539556</v>
      </c>
      <c r="K468" s="48" t="n">
        <f aca="false">IF(E468/C468*100&lt;100,E468/C468*100,100)</f>
        <v>0</v>
      </c>
      <c r="L468" s="7" t="n">
        <f aca="false">IF(((C468-E468)&gt;0)*AND(F468&gt;(C468-E468)),(C468-E468),IF(C468&lt;E468,0,F468))</f>
        <v>0.143751606629042</v>
      </c>
      <c r="M468" s="7" t="n">
        <f aca="false">IF(C468&lt;(E468+F468),0,C468-E468-F468)</f>
        <v>0</v>
      </c>
      <c r="N468" s="7" t="n">
        <f aca="false">IF(C468&lt;(E468+F468),0,(C468-E468-F468)/(1-V$20/100))</f>
        <v>0</v>
      </c>
      <c r="O468" s="7" t="n">
        <f aca="false">L468+M468</f>
        <v>0.143751606629042</v>
      </c>
      <c r="P468" s="49" t="n">
        <f aca="false">IF(N468=0,I468*(1-G468/100)+J468*(1-H468/100),-N468)</f>
        <v>38.7261528554622</v>
      </c>
      <c r="Q468" s="54" t="n">
        <f aca="false">IF(P467&gt;0,Q467+P467*(1-V$24/100),Q467+P467)</f>
        <v>2190.18620237886</v>
      </c>
      <c r="R468" s="55" t="n">
        <f aca="false">R$4+Q468/V$32</f>
        <v>61.2999777312671</v>
      </c>
    </row>
    <row r="469" customFormat="false" ht="12.8" hidden="false" customHeight="false" outlineLevel="0" collapsed="false">
      <c r="A469" s="1" t="n">
        <v>465</v>
      </c>
      <c r="B469" s="44" t="n">
        <v>44010</v>
      </c>
      <c r="C469" s="45" t="n">
        <f aca="false">V$30-V$30*SIN(2*PI()/365*A469)</f>
        <v>0.18316749004433</v>
      </c>
      <c r="D469" s="3" t="n">
        <f aca="false">IF((E469+F469)&gt;C469,C469,E469+F469)</f>
        <v>0.18316749004433</v>
      </c>
      <c r="E469" s="46" t="n">
        <f aca="false">(V$27+V$28*SIN(2*PI()/365*A469))*V$29/100*V$9*V$10/100</f>
        <v>0</v>
      </c>
      <c r="F469" s="46" t="n">
        <f aca="false">(V$27+V$28*SIN(2*PI()/365*A469))*V$29/100*V$11*(1-V$18/100)*(1-V$20/100)</f>
        <v>35.3449200750591</v>
      </c>
      <c r="G469" s="46" t="n">
        <f aca="false">IF(C469&gt;E469,100,C469/E469*100)</f>
        <v>100</v>
      </c>
      <c r="H469" s="46" t="n">
        <f aca="false">L469/F469*100</f>
        <v>0.518228615753981</v>
      </c>
      <c r="I469" s="47" t="n">
        <f aca="false">(V$27+V$28*SIN(2*PI()/365*A469))*V$29/100*V$9*V$10/100*(1-V$19/100)</f>
        <v>0</v>
      </c>
      <c r="J469" s="47" t="n">
        <f aca="false">(V$27+V$28*SIN(2*PI()/365*A469))*V$29/100*V$11*(1-V$18/100)</f>
        <v>38.8405715110539</v>
      </c>
      <c r="K469" s="48" t="n">
        <f aca="false">IF(E469/C469*100&lt;100,E469/C469*100,100)</f>
        <v>0</v>
      </c>
      <c r="L469" s="7" t="n">
        <f aca="false">IF(((C469-E469)&gt;0)*AND(F469&gt;(C469-E469)),(C469-E469),IF(C469&lt;E469,0,F469))</f>
        <v>0.18316749004433</v>
      </c>
      <c r="M469" s="7" t="n">
        <f aca="false">IF(C469&lt;(E469+F469),0,C469-E469-F469)</f>
        <v>0</v>
      </c>
      <c r="N469" s="7" t="n">
        <f aca="false">IF(C469&lt;(E469+F469),0,(C469-E469-F469)/(1-V$20/100))</f>
        <v>0</v>
      </c>
      <c r="O469" s="7" t="n">
        <f aca="false">L469+M469</f>
        <v>0.18316749004433</v>
      </c>
      <c r="P469" s="49" t="n">
        <f aca="false">IF(N469=0,I469*(1-G469/100)+J469*(1-H469/100),-N469)</f>
        <v>38.6392885549612</v>
      </c>
      <c r="Q469" s="54" t="n">
        <f aca="false">IF(P468&gt;0,Q468+P468*(1-V$24/100),Q468+P468)</f>
        <v>2220.00534007757</v>
      </c>
      <c r="R469" s="55" t="n">
        <f aca="false">R$4+Q469/V$32</f>
        <v>61.5899745216122</v>
      </c>
    </row>
    <row r="470" customFormat="false" ht="12.8" hidden="false" customHeight="false" outlineLevel="0" collapsed="false">
      <c r="A470" s="1" t="n">
        <v>466</v>
      </c>
      <c r="B470" s="44" t="n">
        <v>44011</v>
      </c>
      <c r="C470" s="45" t="n">
        <f aca="false">V$30-V$30*SIN(2*PI()/365*A470)</f>
        <v>0.227322818589043</v>
      </c>
      <c r="D470" s="3" t="n">
        <f aca="false">IF((E470+F470)&gt;C470,C470,E470+F470)</f>
        <v>0.227322818589043</v>
      </c>
      <c r="E470" s="46" t="n">
        <f aca="false">(V$27+V$28*SIN(2*PI()/365*A470))*V$29/100*V$9*V$10/100</f>
        <v>0</v>
      </c>
      <c r="F470" s="46" t="n">
        <f aca="false">(V$27+V$28*SIN(2*PI()/365*A470))*V$29/100*V$11*(1-V$18/100)*(1-V$20/100)</f>
        <v>35.3005241783227</v>
      </c>
      <c r="G470" s="46" t="n">
        <f aca="false">IF(C470&gt;E470,100,C470/E470*100)</f>
        <v>100</v>
      </c>
      <c r="H470" s="46" t="n">
        <f aca="false">L470/F470*100</f>
        <v>0.64396442795214</v>
      </c>
      <c r="I470" s="47" t="n">
        <f aca="false">(V$27+V$28*SIN(2*PI()/365*A470))*V$29/100*V$9*V$10/100*(1-V$19/100)</f>
        <v>0</v>
      </c>
      <c r="J470" s="47" t="n">
        <f aca="false">(V$27+V$28*SIN(2*PI()/365*A470))*V$29/100*V$11*(1-V$18/100)</f>
        <v>38.7917848113437</v>
      </c>
      <c r="K470" s="48" t="n">
        <f aca="false">IF(E470/C470*100&lt;100,E470/C470*100,100)</f>
        <v>0</v>
      </c>
      <c r="L470" s="7" t="n">
        <f aca="false">IF(((C470-E470)&gt;0)*AND(F470&gt;(C470-E470)),(C470-E470),IF(C470&lt;E470,0,F470))</f>
        <v>0.227322818589043</v>
      </c>
      <c r="M470" s="7" t="n">
        <f aca="false">IF(C470&lt;(E470+F470),0,C470-E470-F470)</f>
        <v>0</v>
      </c>
      <c r="N470" s="7" t="n">
        <f aca="false">IF(C470&lt;(E470+F470),0,(C470-E470-F470)/(1-V$20/100))</f>
        <v>0</v>
      </c>
      <c r="O470" s="7" t="n">
        <f aca="false">L470+M470</f>
        <v>0.227322818589043</v>
      </c>
      <c r="P470" s="49" t="n">
        <f aca="false">IF(N470=0,I470*(1-G470/100)+J470*(1-H470/100),-N470)</f>
        <v>38.5419795161909</v>
      </c>
      <c r="Q470" s="54" t="n">
        <f aca="false">IF(P469&gt;0,Q469+P469*(1-V$24/100),Q469+P469)</f>
        <v>2249.75759226489</v>
      </c>
      <c r="R470" s="55" t="n">
        <f aca="false">R$4+Q470/V$32</f>
        <v>61.8793208376271</v>
      </c>
    </row>
    <row r="471" customFormat="false" ht="12.8" hidden="false" customHeight="false" outlineLevel="0" collapsed="false">
      <c r="A471" s="1" t="n">
        <v>467</v>
      </c>
      <c r="B471" s="44" t="n">
        <v>44012</v>
      </c>
      <c r="C471" s="45" t="n">
        <f aca="false">V$30-V$30*SIN(2*PI()/365*A471)</f>
        <v>0.276204508086389</v>
      </c>
      <c r="D471" s="3" t="n">
        <f aca="false">IF((E471+F471)&gt;C471,C471,E471+F471)</f>
        <v>0.276204508086389</v>
      </c>
      <c r="E471" s="46" t="n">
        <f aca="false">(V$27+V$28*SIN(2*PI()/365*A471))*V$29/100*V$9*V$10/100</f>
        <v>0</v>
      </c>
      <c r="F471" s="46" t="n">
        <f aca="false">(V$27+V$28*SIN(2*PI()/365*A471))*V$29/100*V$11*(1-V$18/100)*(1-V$20/100)</f>
        <v>35.251376170353</v>
      </c>
      <c r="G471" s="46" t="n">
        <f aca="false">IF(C471&gt;E471,100,C471/E471*100)</f>
        <v>100</v>
      </c>
      <c r="H471" s="46" t="n">
        <f aca="false">L471/F471*100</f>
        <v>0.783528299013419</v>
      </c>
      <c r="I471" s="47" t="n">
        <f aca="false">(V$27+V$28*SIN(2*PI()/365*A471))*V$29/100*V$9*V$10/100*(1-V$19/100)</f>
        <v>0</v>
      </c>
      <c r="J471" s="47" t="n">
        <f aca="false">(V$27+V$28*SIN(2*PI()/365*A471))*V$29/100*V$11*(1-V$18/100)</f>
        <v>38.737776011377</v>
      </c>
      <c r="K471" s="48" t="n">
        <f aca="false">IF(E471/C471*100&lt;100,E471/C471*100,100)</f>
        <v>0</v>
      </c>
      <c r="L471" s="7" t="n">
        <f aca="false">IF(((C471-E471)&gt;0)*AND(F471&gt;(C471-E471)),(C471-E471),IF(C471&lt;E471,0,F471))</f>
        <v>0.276204508086389</v>
      </c>
      <c r="M471" s="7" t="n">
        <f aca="false">IF(C471&lt;(E471+F471),0,C471-E471-F471)</f>
        <v>0</v>
      </c>
      <c r="N471" s="7" t="n">
        <f aca="false">IF(C471&lt;(E471+F471),0,(C471-E471-F471)/(1-V$20/100))</f>
        <v>0</v>
      </c>
      <c r="O471" s="7" t="n">
        <f aca="false">L471+M471</f>
        <v>0.276204508086389</v>
      </c>
      <c r="P471" s="49" t="n">
        <f aca="false">IF(N471=0,I471*(1-G471/100)+J471*(1-H471/100),-N471)</f>
        <v>38.4342545739194</v>
      </c>
      <c r="Q471" s="54" t="n">
        <f aca="false">IF(P470&gt;0,Q470+P470*(1-V$24/100),Q470+P470)</f>
        <v>2279.43491649236</v>
      </c>
      <c r="R471" s="55" t="n">
        <f aca="false">R$4+Q471/V$32</f>
        <v>62.1679384649695</v>
      </c>
    </row>
    <row r="472" customFormat="false" ht="12.8" hidden="false" customHeight="false" outlineLevel="0" collapsed="false">
      <c r="A472" s="1" t="n">
        <v>468</v>
      </c>
      <c r="B472" s="44" t="n">
        <v>44013</v>
      </c>
      <c r="C472" s="45" t="n">
        <f aca="false">V$30-V$30*SIN(2*PI()/365*A472)</f>
        <v>0.329798073836821</v>
      </c>
      <c r="D472" s="3" t="n">
        <f aca="false">IF((E472+F472)&gt;C472,C472,E472+F472)</f>
        <v>0.329798073836821</v>
      </c>
      <c r="E472" s="46" t="n">
        <f aca="false">(V$27+V$28*SIN(2*PI()/365*A472))*V$29/100*V$9*V$10/100</f>
        <v>0</v>
      </c>
      <c r="F472" s="46" t="n">
        <f aca="false">(V$27+V$28*SIN(2*PI()/365*A472))*V$29/100*V$11*(1-V$18/100)*(1-V$20/100)</f>
        <v>35.1974906147654</v>
      </c>
      <c r="G472" s="46" t="n">
        <f aca="false">IF(C472&gt;E472,100,C472/E472*100)</f>
        <v>100</v>
      </c>
      <c r="H472" s="46" t="n">
        <f aca="false">L472/F472*100</f>
        <v>0.936993143762558</v>
      </c>
      <c r="I472" s="47" t="n">
        <f aca="false">(V$27+V$28*SIN(2*PI()/365*A472))*V$29/100*V$9*V$10/100*(1-V$19/100)</f>
        <v>0</v>
      </c>
      <c r="J472" s="47" t="n">
        <f aca="false">(V$27+V$28*SIN(2*PI()/365*A472))*V$29/100*V$11*(1-V$18/100)</f>
        <v>38.6785611151268</v>
      </c>
      <c r="K472" s="48" t="n">
        <f aca="false">IF(E472/C472*100&lt;100,E472/C472*100,100)</f>
        <v>0</v>
      </c>
      <c r="L472" s="7" t="n">
        <f aca="false">IF(((C472-E472)&gt;0)*AND(F472&gt;(C472-E472)),(C472-E472),IF(C472&lt;E472,0,F472))</f>
        <v>0.329798073836821</v>
      </c>
      <c r="M472" s="7" t="n">
        <f aca="false">IF(C472&lt;(E472+F472),0,C472-E472-F472)</f>
        <v>0</v>
      </c>
      <c r="N472" s="7" t="n">
        <f aca="false">IF(C472&lt;(E472+F472),0,(C472-E472-F472)/(1-V$20/100))</f>
        <v>0</v>
      </c>
      <c r="O472" s="7" t="n">
        <f aca="false">L472+M472</f>
        <v>0.329798073836821</v>
      </c>
      <c r="P472" s="49" t="n">
        <f aca="false">IF(N472=0,I472*(1-G472/100)+J472*(1-H472/100),-N472)</f>
        <v>38.316145649372</v>
      </c>
      <c r="Q472" s="54" t="n">
        <f aca="false">IF(P471&gt;0,Q471+P471*(1-V$24/100),Q471+P471)</f>
        <v>2309.02929251427</v>
      </c>
      <c r="R472" s="55" t="n">
        <f aca="false">R$4+Q472/V$32</f>
        <v>62.4557494052233</v>
      </c>
    </row>
    <row r="473" customFormat="false" ht="12.8" hidden="false" customHeight="false" outlineLevel="0" collapsed="false">
      <c r="A473" s="1" t="n">
        <v>469</v>
      </c>
      <c r="B473" s="44" t="n">
        <v>44014</v>
      </c>
      <c r="C473" s="45" t="n">
        <f aca="false">V$30-V$30*SIN(2*PI()/365*A473)</f>
        <v>0.38808763491015</v>
      </c>
      <c r="D473" s="3" t="n">
        <f aca="false">IF((E473+F473)&gt;C473,C473,E473+F473)</f>
        <v>0.38808763491015</v>
      </c>
      <c r="E473" s="46" t="n">
        <f aca="false">(V$27+V$28*SIN(2*PI()/365*A473))*V$29/100*V$9*V$10/100</f>
        <v>0</v>
      </c>
      <c r="F473" s="46" t="n">
        <f aca="false">(V$27+V$28*SIN(2*PI()/365*A473))*V$29/100*V$11*(1-V$18/100)*(1-V$20/100)</f>
        <v>35.1388834790129</v>
      </c>
      <c r="G473" s="46" t="n">
        <f aca="false">IF(C473&gt;E473,100,C473/E473*100)</f>
        <v>100</v>
      </c>
      <c r="H473" s="46" t="n">
        <f aca="false">L473/F473*100</f>
        <v>1.10443928914799</v>
      </c>
      <c r="I473" s="47" t="n">
        <f aca="false">(V$27+V$28*SIN(2*PI()/365*A473))*V$29/100*V$9*V$10/100*(1-V$19/100)</f>
        <v>0</v>
      </c>
      <c r="J473" s="47" t="n">
        <f aca="false">(V$27+V$28*SIN(2*PI()/365*A473))*V$29/100*V$11*(1-V$18/100)</f>
        <v>38.6141576692449</v>
      </c>
      <c r="K473" s="48" t="n">
        <f aca="false">IF(E473/C473*100&lt;100,E473/C473*100,100)</f>
        <v>0</v>
      </c>
      <c r="L473" s="7" t="n">
        <f aca="false">IF(((C473-E473)&gt;0)*AND(F473&gt;(C473-E473)),(C473-E473),IF(C473&lt;E473,0,F473))</f>
        <v>0.38808763491015</v>
      </c>
      <c r="M473" s="7" t="n">
        <f aca="false">IF(C473&lt;(E473+F473),0,C473-E473-F473)</f>
        <v>0</v>
      </c>
      <c r="N473" s="7" t="n">
        <f aca="false">IF(C473&lt;(E473+F473),0,(C473-E473-F473)/(1-V$20/100))</f>
        <v>0</v>
      </c>
      <c r="O473" s="7" t="n">
        <f aca="false">L473+M473</f>
        <v>0.38808763491015</v>
      </c>
      <c r="P473" s="49" t="n">
        <f aca="false">IF(N473=0,I473*(1-G473/100)+J473*(1-H473/100),-N473)</f>
        <v>38.1876877407722</v>
      </c>
      <c r="Q473" s="54" t="n">
        <f aca="false">IF(P472&gt;0,Q472+P472*(1-V$24/100),Q472+P472)</f>
        <v>2338.53272466429</v>
      </c>
      <c r="R473" s="55" t="n">
        <f aca="false">R$4+Q473/V$32</f>
        <v>62.7426758990112</v>
      </c>
    </row>
    <row r="474" customFormat="false" ht="12.8" hidden="false" customHeight="false" outlineLevel="0" collapsed="false">
      <c r="A474" s="1" t="n">
        <v>470</v>
      </c>
      <c r="B474" s="44" t="n">
        <v>44015</v>
      </c>
      <c r="C474" s="45" t="n">
        <f aca="false">V$30-V$30*SIN(2*PI()/365*A474)</f>
        <v>0.451055918851448</v>
      </c>
      <c r="D474" s="3" t="n">
        <f aca="false">IF((E474+F474)&gt;C474,C474,E474+F474)</f>
        <v>0.451055918851448</v>
      </c>
      <c r="E474" s="46" t="n">
        <f aca="false">(V$27+V$28*SIN(2*PI()/365*A474))*V$29/100*V$9*V$10/100</f>
        <v>0</v>
      </c>
      <c r="F474" s="46" t="n">
        <f aca="false">(V$27+V$28*SIN(2*PI()/365*A474))*V$29/100*V$11*(1-V$18/100)*(1-V$20/100)</f>
        <v>35.0755721296547</v>
      </c>
      <c r="G474" s="46" t="n">
        <f aca="false">IF(C474&gt;E474,100,C474/E474*100)</f>
        <v>100</v>
      </c>
      <c r="H474" s="46" t="n">
        <f aca="false">L474/F474*100</f>
        <v>1.2859545588712</v>
      </c>
      <c r="I474" s="47" t="n">
        <f aca="false">(V$27+V$28*SIN(2*PI()/365*A474))*V$29/100*V$9*V$10/100*(1-V$19/100)</f>
        <v>0</v>
      </c>
      <c r="J474" s="47" t="n">
        <f aca="false">(V$27+V$28*SIN(2*PI()/365*A474))*V$29/100*V$11*(1-V$18/100)</f>
        <v>38.5445847578623</v>
      </c>
      <c r="K474" s="48" t="n">
        <f aca="false">IF(E474/C474*100&lt;100,E474/C474*100,100)</f>
        <v>0</v>
      </c>
      <c r="L474" s="7" t="n">
        <f aca="false">IF(((C474-E474)&gt;0)*AND(F474&gt;(C474-E474)),(C474-E474),IF(C474&lt;E474,0,F474))</f>
        <v>0.451055918851448</v>
      </c>
      <c r="M474" s="7" t="n">
        <f aca="false">IF(C474&lt;(E474+F474),0,C474-E474-F474)</f>
        <v>0</v>
      </c>
      <c r="N474" s="7" t="n">
        <f aca="false">IF(C474&lt;(E474+F474),0,(C474-E474-F474)/(1-V$20/100))</f>
        <v>0</v>
      </c>
      <c r="O474" s="7" t="n">
        <f aca="false">L474+M474</f>
        <v>0.451055918851448</v>
      </c>
      <c r="P474" s="49" t="n">
        <f aca="false">IF(N474=0,I474*(1-G474/100)+J474*(1-H474/100),-N474)</f>
        <v>38.0489189129706</v>
      </c>
      <c r="Q474" s="54" t="n">
        <f aca="false">IF(P473&gt;0,Q473+P473*(1-V$24/100),Q473+P473)</f>
        <v>2367.93724422468</v>
      </c>
      <c r="R474" s="55" t="n">
        <f aca="false">R$4+Q474/V$32</f>
        <v>63.0286404490366</v>
      </c>
    </row>
    <row r="475" customFormat="false" ht="12.8" hidden="false" customHeight="false" outlineLevel="0" collapsed="false">
      <c r="A475" s="1" t="n">
        <v>471</v>
      </c>
      <c r="B475" s="44" t="n">
        <v>44016</v>
      </c>
      <c r="C475" s="45" t="n">
        <f aca="false">V$30-V$30*SIN(2*PI()/365*A475)</f>
        <v>0.51868426679922</v>
      </c>
      <c r="D475" s="3" t="n">
        <f aca="false">IF((E475+F475)&gt;C475,C475,E475+F475)</f>
        <v>0.51868426679922</v>
      </c>
      <c r="E475" s="46" t="n">
        <f aca="false">(V$27+V$28*SIN(2*PI()/365*A475))*V$29/100*V$9*V$10/100</f>
        <v>0</v>
      </c>
      <c r="F475" s="46" t="n">
        <f aca="false">(V$27+V$28*SIN(2*PI()/365*A475))*V$29/100*V$11*(1-V$18/100)*(1-V$20/100)</f>
        <v>35.0075753272099</v>
      </c>
      <c r="G475" s="46" t="n">
        <f aca="false">IF(C475&gt;E475,100,C475/E475*100)</f>
        <v>100</v>
      </c>
      <c r="H475" s="46" t="n">
        <f aca="false">L475/F475*100</f>
        <v>1.48163436613694</v>
      </c>
      <c r="I475" s="47" t="n">
        <f aca="false">(V$27+V$28*SIN(2*PI()/365*A475))*V$29/100*V$9*V$10/100*(1-V$19/100)</f>
        <v>0</v>
      </c>
      <c r="J475" s="47" t="n">
        <f aca="false">(V$27+V$28*SIN(2*PI()/365*A475))*V$29/100*V$11*(1-V$18/100)</f>
        <v>38.469862996934</v>
      </c>
      <c r="K475" s="48" t="n">
        <f aca="false">IF(E475/C475*100&lt;100,E475/C475*100,100)</f>
        <v>0</v>
      </c>
      <c r="L475" s="7" t="n">
        <f aca="false">IF(((C475-E475)&gt;0)*AND(F475&gt;(C475-E475)),(C475-E475),IF(C475&lt;E475,0,F475))</f>
        <v>0.51868426679922</v>
      </c>
      <c r="M475" s="7" t="n">
        <f aca="false">IF(C475&lt;(E475+F475),0,C475-E475-F475)</f>
        <v>0</v>
      </c>
      <c r="N475" s="7" t="n">
        <f aca="false">IF(C475&lt;(E475+F475),0,(C475-E475-F475)/(1-V$20/100))</f>
        <v>0</v>
      </c>
      <c r="O475" s="7" t="n">
        <f aca="false">L475+M475</f>
        <v>0.51868426679922</v>
      </c>
      <c r="P475" s="49" t="n">
        <f aca="false">IF(N475=0,I475*(1-G475/100)+J475*(1-H475/100),-N475)</f>
        <v>37.8998802861656</v>
      </c>
      <c r="Q475" s="54" t="n">
        <f aca="false">IF(P474&gt;0,Q474+P474*(1-V$24/100),Q474+P474)</f>
        <v>2397.23491178767</v>
      </c>
      <c r="R475" s="55" t="n">
        <f aca="false">R$4+Q475/V$32</f>
        <v>63.3135658430473</v>
      </c>
    </row>
    <row r="476" customFormat="false" ht="12.8" hidden="false" customHeight="false" outlineLevel="0" collapsed="false">
      <c r="A476" s="1" t="n">
        <v>472</v>
      </c>
      <c r="B476" s="44" t="n">
        <v>44017</v>
      </c>
      <c r="C476" s="45" t="n">
        <f aca="false">V$30-V$30*SIN(2*PI()/365*A476)</f>
        <v>0.590952639014418</v>
      </c>
      <c r="D476" s="3" t="n">
        <f aca="false">IF((E476+F476)&gt;C476,C476,E476+F476)</f>
        <v>0.590952639014418</v>
      </c>
      <c r="E476" s="46" t="n">
        <f aca="false">(V$27+V$28*SIN(2*PI()/365*A476))*V$29/100*V$9*V$10/100</f>
        <v>0</v>
      </c>
      <c r="F476" s="46" t="n">
        <f aca="false">(V$27+V$28*SIN(2*PI()/365*A476))*V$29/100*V$11*(1-V$18/100)*(1-V$20/100)</f>
        <v>34.9349132205988</v>
      </c>
      <c r="G476" s="46" t="n">
        <f aca="false">IF(C476&gt;E476,100,C476/E476*100)</f>
        <v>100</v>
      </c>
      <c r="H476" s="46" t="n">
        <f aca="false">L476/F476*100</f>
        <v>1.69158181468152</v>
      </c>
      <c r="I476" s="47" t="n">
        <f aca="false">(V$27+V$28*SIN(2*PI()/365*A476))*V$29/100*V$9*V$10/100*(1-V$19/100)</f>
        <v>0</v>
      </c>
      <c r="J476" s="47" t="n">
        <f aca="false">(V$27+V$28*SIN(2*PI()/365*A476))*V$29/100*V$11*(1-V$18/100)</f>
        <v>38.3900145281305</v>
      </c>
      <c r="K476" s="48" t="n">
        <f aca="false">IF(E476/C476*100&lt;100,E476/C476*100,100)</f>
        <v>0</v>
      </c>
      <c r="L476" s="7" t="n">
        <f aca="false">IF(((C476-E476)&gt;0)*AND(F476&gt;(C476-E476)),(C476-E476),IF(C476&lt;E476,0,F476))</f>
        <v>0.590952639014418</v>
      </c>
      <c r="M476" s="7" t="n">
        <f aca="false">IF(C476&lt;(E476+F476),0,C476-E476-F476)</f>
        <v>0</v>
      </c>
      <c r="N476" s="7" t="n">
        <f aca="false">IF(C476&lt;(E476+F476),0,(C476-E476-F476)/(1-V$20/100))</f>
        <v>0</v>
      </c>
      <c r="O476" s="7" t="n">
        <f aca="false">L476+M476</f>
        <v>0.590952639014418</v>
      </c>
      <c r="P476" s="49" t="n">
        <f aca="false">IF(N476=0,I476*(1-G476/100)+J476*(1-H476/100),-N476)</f>
        <v>37.7406160237191</v>
      </c>
      <c r="Q476" s="54" t="n">
        <f aca="false">IF(P475&gt;0,Q475+P475*(1-V$24/100),Q475+P475)</f>
        <v>2426.41781960802</v>
      </c>
      <c r="R476" s="55" t="n">
        <f aca="false">R$4+Q476/V$32</f>
        <v>63.5973751767158</v>
      </c>
    </row>
    <row r="477" customFormat="false" ht="12.8" hidden="false" customHeight="false" outlineLevel="0" collapsed="false">
      <c r="A477" s="1" t="n">
        <v>473</v>
      </c>
      <c r="B477" s="44" t="n">
        <v>44018</v>
      </c>
      <c r="C477" s="45" t="n">
        <f aca="false">V$30-V$30*SIN(2*PI()/365*A477)</f>
        <v>0.667839620818683</v>
      </c>
      <c r="D477" s="3" t="n">
        <f aca="false">IF((E477+F477)&gt;C477,C477,E477+F477)</f>
        <v>0.667839620818683</v>
      </c>
      <c r="E477" s="46" t="n">
        <f aca="false">(V$27+V$28*SIN(2*PI()/365*A477))*V$29/100*V$9*V$10/100</f>
        <v>0</v>
      </c>
      <c r="F477" s="46" t="n">
        <f aca="false">(V$27+V$28*SIN(2*PI()/365*A477))*V$29/100*V$11*(1-V$18/100)*(1-V$20/100)</f>
        <v>34.8576073411715</v>
      </c>
      <c r="G477" s="46" t="n">
        <f aca="false">IF(C477&gt;E477,100,C477/E477*100)</f>
        <v>100</v>
      </c>
      <c r="H477" s="46" t="n">
        <f aca="false">L477/F477*100</f>
        <v>1.91590780825015</v>
      </c>
      <c r="I477" s="47" t="n">
        <f aca="false">(V$27+V$28*SIN(2*PI()/365*A477))*V$29/100*V$9*V$10/100*(1-V$19/100)</f>
        <v>0</v>
      </c>
      <c r="J477" s="47" t="n">
        <f aca="false">(V$27+V$28*SIN(2*PI()/365*A477))*V$29/100*V$11*(1-V$18/100)</f>
        <v>38.3050630122764</v>
      </c>
      <c r="K477" s="48" t="n">
        <f aca="false">IF(E477/C477*100&lt;100,E477/C477*100,100)</f>
        <v>0</v>
      </c>
      <c r="L477" s="7" t="n">
        <f aca="false">IF(((C477-E477)&gt;0)*AND(F477&gt;(C477-E477)),(C477-E477),IF(C477&lt;E477,0,F477))</f>
        <v>0.667839620818683</v>
      </c>
      <c r="M477" s="7" t="n">
        <f aca="false">IF(C477&lt;(E477+F477),0,C477-E477-F477)</f>
        <v>0</v>
      </c>
      <c r="N477" s="7" t="n">
        <f aca="false">IF(C477&lt;(E477+F477),0,(C477-E477-F477)/(1-V$20/100))</f>
        <v>0</v>
      </c>
      <c r="O477" s="7" t="n">
        <f aca="false">L477+M477</f>
        <v>0.667839620818683</v>
      </c>
      <c r="P477" s="49" t="n">
        <f aca="false">IF(N477=0,I477*(1-G477/100)+J477*(1-H477/100),-N477)</f>
        <v>37.571173319069</v>
      </c>
      <c r="Q477" s="54" t="n">
        <f aca="false">IF(P476&gt;0,Q476+P476*(1-V$24/100),Q476+P476)</f>
        <v>2455.47809394628</v>
      </c>
      <c r="R477" s="55" t="n">
        <f aca="false">R$4+Q477/V$32</f>
        <v>63.8799918764271</v>
      </c>
    </row>
    <row r="478" customFormat="false" ht="12.8" hidden="false" customHeight="false" outlineLevel="0" collapsed="false">
      <c r="A478" s="1" t="n">
        <v>474</v>
      </c>
      <c r="B478" s="44" t="n">
        <v>44019</v>
      </c>
      <c r="C478" s="45" t="n">
        <f aca="false">V$30-V$30*SIN(2*PI()/365*A478)</f>
        <v>0.749322428939953</v>
      </c>
      <c r="D478" s="3" t="n">
        <f aca="false">IF((E478+F478)&gt;C478,C478,E478+F478)</f>
        <v>0.749322428939953</v>
      </c>
      <c r="E478" s="46" t="n">
        <f aca="false">(V$27+V$28*SIN(2*PI()/365*A478))*V$29/100*V$9*V$10/100</f>
        <v>0</v>
      </c>
      <c r="F478" s="46" t="n">
        <f aca="false">(V$27+V$28*SIN(2*PI()/365*A478))*V$29/100*V$11*(1-V$18/100)*(1-V$20/100)</f>
        <v>34.7756805963286</v>
      </c>
      <c r="G478" s="46" t="n">
        <f aca="false">IF(C478&gt;E478,100,C478/E478*100)</f>
        <v>100</v>
      </c>
      <c r="H478" s="46" t="n">
        <f aca="false">L478/F478*100</f>
        <v>2.1547311687095</v>
      </c>
      <c r="I478" s="47" t="n">
        <f aca="false">(V$27+V$28*SIN(2*PI()/365*A478))*V$29/100*V$9*V$10/100*(1-V$19/100)</f>
        <v>0</v>
      </c>
      <c r="J478" s="47" t="n">
        <f aca="false">(V$27+V$28*SIN(2*PI()/365*A478))*V$29/100*V$11*(1-V$18/100)</f>
        <v>38.2150336223391</v>
      </c>
      <c r="K478" s="48" t="n">
        <f aca="false">IF(E478/C478*100&lt;100,E478/C478*100,100)</f>
        <v>0</v>
      </c>
      <c r="L478" s="7" t="n">
        <f aca="false">IF(((C478-E478)&gt;0)*AND(F478&gt;(C478-E478)),(C478-E478),IF(C478&lt;E478,0,F478))</f>
        <v>0.749322428939953</v>
      </c>
      <c r="M478" s="7" t="n">
        <f aca="false">IF(C478&lt;(E478+F478),0,C478-E478-F478)</f>
        <v>0</v>
      </c>
      <c r="N478" s="7" t="n">
        <f aca="false">IF(C478&lt;(E478+F478),0,(C478-E478-F478)/(1-V$20/100))</f>
        <v>0</v>
      </c>
      <c r="O478" s="7" t="n">
        <f aca="false">L478+M478</f>
        <v>0.749322428939953</v>
      </c>
      <c r="P478" s="49" t="n">
        <f aca="false">IF(N478=0,I478*(1-G478/100)+J478*(1-H478/100),-N478)</f>
        <v>37.3916023817458</v>
      </c>
      <c r="Q478" s="54" t="n">
        <f aca="false">IF(P477&gt;0,Q477+P477*(1-V$24/100),Q477+P477)</f>
        <v>2484.40789740197</v>
      </c>
      <c r="R478" s="55" t="n">
        <f aca="false">R$4+Q478/V$32</f>
        <v>64.1613397219695</v>
      </c>
    </row>
    <row r="479" customFormat="false" ht="12.8" hidden="false" customHeight="false" outlineLevel="0" collapsed="false">
      <c r="A479" s="1" t="n">
        <v>475</v>
      </c>
      <c r="B479" s="44" t="n">
        <v>44020</v>
      </c>
      <c r="C479" s="45" t="n">
        <f aca="false">V$30-V$30*SIN(2*PI()/365*A479)</f>
        <v>0.835376918263627</v>
      </c>
      <c r="D479" s="3" t="n">
        <f aca="false">IF((E479+F479)&gt;C479,C479,E479+F479)</f>
        <v>0.835376918263627</v>
      </c>
      <c r="E479" s="46" t="n">
        <f aca="false">(V$27+V$28*SIN(2*PI()/365*A479))*V$29/100*V$9*V$10/100</f>
        <v>0</v>
      </c>
      <c r="F479" s="46" t="n">
        <f aca="false">(V$27+V$28*SIN(2*PI()/365*A479))*V$29/100*V$11*(1-V$18/100)*(1-V$20/100)</f>
        <v>34.6891572627327</v>
      </c>
      <c r="G479" s="46" t="n">
        <f aca="false">IF(C479&gt;E479,100,C479/E479*100)</f>
        <v>100</v>
      </c>
      <c r="H479" s="46" t="n">
        <f aca="false">L479/F479*100</f>
        <v>2.40817876299661</v>
      </c>
      <c r="I479" s="47" t="n">
        <f aca="false">(V$27+V$28*SIN(2*PI()/365*A479))*V$29/100*V$9*V$10/100*(1-V$19/100)</f>
        <v>0</v>
      </c>
      <c r="J479" s="47" t="n">
        <f aca="false">(V$27+V$28*SIN(2*PI()/365*A479))*V$29/100*V$11*(1-V$18/100)</f>
        <v>38.11995303597</v>
      </c>
      <c r="K479" s="48" t="n">
        <f aca="false">IF(E479/C479*100&lt;100,E479/C479*100,100)</f>
        <v>0</v>
      </c>
      <c r="L479" s="7" t="n">
        <f aca="false">IF(((C479-E479)&gt;0)*AND(F479&gt;(C479-E479)),(C479-E479),IF(C479&lt;E479,0,F479))</f>
        <v>0.835376918263627</v>
      </c>
      <c r="M479" s="7" t="n">
        <f aca="false">IF(C479&lt;(E479+F479),0,C479-E479-F479)</f>
        <v>0</v>
      </c>
      <c r="N479" s="7" t="n">
        <f aca="false">IF(C479&lt;(E479+F479),0,(C479-E479-F479)/(1-V$20/100))</f>
        <v>0</v>
      </c>
      <c r="O479" s="7" t="n">
        <f aca="false">L479+M479</f>
        <v>0.835376918263627</v>
      </c>
      <c r="P479" s="49" t="n">
        <f aca="false">IF(N479=0,I479*(1-G479/100)+J479*(1-H479/100),-N479)</f>
        <v>37.2019564224935</v>
      </c>
      <c r="Q479" s="54" t="n">
        <f aca="false">IF(P478&gt;0,Q478+P478*(1-V$24/100),Q478+P478)</f>
        <v>2513.19943123591</v>
      </c>
      <c r="R479" s="55" t="n">
        <f aca="false">R$4+Q479/V$32</f>
        <v>64.4413428691202</v>
      </c>
    </row>
    <row r="480" customFormat="false" ht="12.8" hidden="false" customHeight="false" outlineLevel="0" collapsed="false">
      <c r="A480" s="1" t="n">
        <v>476</v>
      </c>
      <c r="B480" s="44" t="n">
        <v>44021</v>
      </c>
      <c r="C480" s="45" t="n">
        <f aca="false">V$30-V$30*SIN(2*PI()/365*A480)</f>
        <v>0.925977588987317</v>
      </c>
      <c r="D480" s="3" t="n">
        <f aca="false">IF((E480+F480)&gt;C480,C480,E480+F480)</f>
        <v>0.925977588987317</v>
      </c>
      <c r="E480" s="46" t="n">
        <f aca="false">(V$27+V$28*SIN(2*PI()/365*A480))*V$29/100*V$9*V$10/100</f>
        <v>0</v>
      </c>
      <c r="F480" s="46" t="n">
        <f aca="false">(V$27+V$28*SIN(2*PI()/365*A480))*V$29/100*V$11*(1-V$18/100)*(1-V$20/100)</f>
        <v>34.5980629791149</v>
      </c>
      <c r="G480" s="46" t="n">
        <f aca="false">IF(C480&gt;E480,100,C480/E480*100)</f>
        <v>100</v>
      </c>
      <c r="H480" s="46" t="n">
        <f aca="false">L480/F480*100</f>
        <v>2.67638563912171</v>
      </c>
      <c r="I480" s="47" t="n">
        <f aca="false">(V$27+V$28*SIN(2*PI()/365*A480))*V$29/100*V$9*V$10/100*(1-V$19/100)</f>
        <v>0</v>
      </c>
      <c r="J480" s="47" t="n">
        <f aca="false">(V$27+V$28*SIN(2*PI()/365*A480))*V$29/100*V$11*(1-V$18/100)</f>
        <v>38.0198494275988</v>
      </c>
      <c r="K480" s="48" t="n">
        <f aca="false">IF(E480/C480*100&lt;100,E480/C480*100,100)</f>
        <v>0</v>
      </c>
      <c r="L480" s="7" t="n">
        <f aca="false">IF(((C480-E480)&gt;0)*AND(F480&gt;(C480-E480)),(C480-E480),IF(C480&lt;E480,0,F480))</f>
        <v>0.925977588987317</v>
      </c>
      <c r="M480" s="7" t="n">
        <f aca="false">IF(C480&lt;(E480+F480),0,C480-E480-F480)</f>
        <v>0</v>
      </c>
      <c r="N480" s="7" t="n">
        <f aca="false">IF(C480&lt;(E480+F480),0,(C480-E480-F480)/(1-V$20/100))</f>
        <v>0</v>
      </c>
      <c r="O480" s="7" t="n">
        <f aca="false">L480+M480</f>
        <v>0.925977588987317</v>
      </c>
      <c r="P480" s="49" t="n">
        <f aca="false">IF(N480=0,I480*(1-G480/100)+J480*(1-H480/100),-N480)</f>
        <v>37.0022916375029</v>
      </c>
      <c r="Q480" s="54" t="n">
        <f aca="false">IF(P479&gt;0,Q479+P479*(1-V$24/100),Q479+P479)</f>
        <v>2541.84493768123</v>
      </c>
      <c r="R480" s="55" t="n">
        <f aca="false">R$4+Q480/V$32</f>
        <v>64.7199258721194</v>
      </c>
    </row>
    <row r="481" customFormat="false" ht="12.8" hidden="false" customHeight="false" outlineLevel="0" collapsed="false">
      <c r="A481" s="1" t="n">
        <v>477</v>
      </c>
      <c r="B481" s="44" t="n">
        <v>44022</v>
      </c>
      <c r="C481" s="45" t="n">
        <f aca="false">V$30-V$30*SIN(2*PI()/365*A481)</f>
        <v>1.02109759417696</v>
      </c>
      <c r="D481" s="3" t="n">
        <f aca="false">IF((E481+F481)&gt;C481,C481,E481+F481)</f>
        <v>1.02109759417696</v>
      </c>
      <c r="E481" s="46" t="n">
        <f aca="false">(V$27+V$28*SIN(2*PI()/365*A481))*V$29/100*V$9*V$10/100</f>
        <v>0</v>
      </c>
      <c r="F481" s="46" t="n">
        <f aca="false">(V$27+V$28*SIN(2*PI()/365*A481))*V$29/100*V$11*(1-V$18/100)*(1-V$20/100)</f>
        <v>34.5024247386774</v>
      </c>
      <c r="G481" s="46" t="n">
        <f aca="false">IF(C481&gt;E481,100,C481/E481*100)</f>
        <v>100</v>
      </c>
      <c r="H481" s="46" t="n">
        <f aca="false">L481/F481*100</f>
        <v>2.95949517145764</v>
      </c>
      <c r="I481" s="47" t="n">
        <f aca="false">(V$27+V$28*SIN(2*PI()/365*A481))*V$29/100*V$9*V$10/100*(1-V$19/100)</f>
        <v>0</v>
      </c>
      <c r="J481" s="47" t="n">
        <f aca="false">(V$27+V$28*SIN(2*PI()/365*A481))*V$29/100*V$11*(1-V$18/100)</f>
        <v>37.9147524600851</v>
      </c>
      <c r="K481" s="48" t="n">
        <f aca="false">IF(E481/C481*100&lt;100,E481/C481*100,100)</f>
        <v>0</v>
      </c>
      <c r="L481" s="7" t="n">
        <f aca="false">IF(((C481-E481)&gt;0)*AND(F481&gt;(C481-E481)),(C481-E481),IF(C481&lt;E481,0,F481))</f>
        <v>1.02109759417696</v>
      </c>
      <c r="M481" s="7" t="n">
        <f aca="false">IF(C481&lt;(E481+F481),0,C481-E481-F481)</f>
        <v>0</v>
      </c>
      <c r="N481" s="7" t="n">
        <f aca="false">IF(C481&lt;(E481+F481),0,(C481-E481-F481)/(1-V$20/100))</f>
        <v>0</v>
      </c>
      <c r="O481" s="7" t="n">
        <f aca="false">L481+M481</f>
        <v>1.02109759417696</v>
      </c>
      <c r="P481" s="49" t="n">
        <f aca="false">IF(N481=0,I481*(1-G481/100)+J481*(1-H481/100),-N481)</f>
        <v>36.7926671917587</v>
      </c>
      <c r="Q481" s="54" t="n">
        <f aca="false">IF(P480&gt;0,Q480+P480*(1-V$24/100),Q480+P480)</f>
        <v>2570.33670224211</v>
      </c>
      <c r="R481" s="55" t="n">
        <f aca="false">R$4+Q481/V$32</f>
        <v>64.9970137060269</v>
      </c>
    </row>
    <row r="482" customFormat="false" ht="12.8" hidden="false" customHeight="false" outlineLevel="0" collapsed="false">
      <c r="A482" s="1" t="n">
        <v>478</v>
      </c>
      <c r="B482" s="44" t="n">
        <v>44023</v>
      </c>
      <c r="C482" s="45" t="n">
        <f aca="false">V$30-V$30*SIN(2*PI()/365*A482)</f>
        <v>1.12070874772218</v>
      </c>
      <c r="D482" s="3" t="n">
        <f aca="false">IF((E482+F482)&gt;C482,C482,E482+F482)</f>
        <v>1.12070874772218</v>
      </c>
      <c r="E482" s="46" t="n">
        <f aca="false">(V$27+V$28*SIN(2*PI()/365*A482))*V$29/100*V$9*V$10/100</f>
        <v>0</v>
      </c>
      <c r="F482" s="46" t="n">
        <f aca="false">(V$27+V$28*SIN(2*PI()/365*A482))*V$29/100*V$11*(1-V$18/100)*(1-V$20/100)</f>
        <v>34.4022708810948</v>
      </c>
      <c r="G482" s="46" t="n">
        <f aca="false">IF(C482&gt;E482,100,C482/E482*100)</f>
        <v>100</v>
      </c>
      <c r="H482" s="46" t="n">
        <f aca="false">L482/F482*100</f>
        <v>3.25765921556663</v>
      </c>
      <c r="I482" s="47" t="n">
        <f aca="false">(V$27+V$28*SIN(2*PI()/365*A482))*V$29/100*V$9*V$10/100*(1-V$19/100)</f>
        <v>0</v>
      </c>
      <c r="J482" s="47" t="n">
        <f aca="false">(V$27+V$28*SIN(2*PI()/365*A482))*V$29/100*V$11*(1-V$18/100)</f>
        <v>37.8046932759284</v>
      </c>
      <c r="K482" s="48" t="n">
        <f aca="false">IF(E482/C482*100&lt;100,E482/C482*100,100)</f>
        <v>0</v>
      </c>
      <c r="L482" s="7" t="n">
        <f aca="false">IF(((C482-E482)&gt;0)*AND(F482&gt;(C482-E482)),(C482-E482),IF(C482&lt;E482,0,F482))</f>
        <v>1.12070874772218</v>
      </c>
      <c r="M482" s="7" t="n">
        <f aca="false">IF(C482&lt;(E482+F482),0,C482-E482-F482)</f>
        <v>0</v>
      </c>
      <c r="N482" s="7" t="n">
        <f aca="false">IF(C482&lt;(E482+F482),0,(C482-E482-F482)/(1-V$20/100))</f>
        <v>0</v>
      </c>
      <c r="O482" s="7" t="n">
        <f aca="false">L482+M482</f>
        <v>1.12070874772218</v>
      </c>
      <c r="P482" s="49" t="n">
        <f aca="false">IF(N482=0,I482*(1-G482/100)+J482*(1-H482/100),-N482)</f>
        <v>36.5731452015084</v>
      </c>
      <c r="Q482" s="54" t="n">
        <f aca="false">IF(P481&gt;0,Q481+P481*(1-V$24/100),Q481+P481)</f>
        <v>2598.66705597976</v>
      </c>
      <c r="R482" s="55" t="n">
        <f aca="false">R$4+Q482/V$32</f>
        <v>65.2725317889531</v>
      </c>
    </row>
    <row r="483" customFormat="false" ht="12.8" hidden="false" customHeight="false" outlineLevel="0" collapsed="false">
      <c r="A483" s="1" t="n">
        <v>479</v>
      </c>
      <c r="B483" s="44" t="n">
        <v>44024</v>
      </c>
      <c r="C483" s="45" t="n">
        <f aca="false">V$30-V$30*SIN(2*PI()/365*A483)</f>
        <v>1.22478153268837</v>
      </c>
      <c r="D483" s="3" t="n">
        <f aca="false">IF((E483+F483)&gt;C483,C483,E483+F483)</f>
        <v>1.22478153268837</v>
      </c>
      <c r="E483" s="46" t="n">
        <f aca="false">(V$27+V$28*SIN(2*PI()/365*A483))*V$29/100*V$9*V$10/100</f>
        <v>0</v>
      </c>
      <c r="F483" s="46" t="n">
        <f aca="false">(V$27+V$28*SIN(2*PI()/365*A483))*V$29/100*V$11*(1-V$18/100)*(1-V$20/100)</f>
        <v>34.2976310841167</v>
      </c>
      <c r="G483" s="46" t="n">
        <f aca="false">IF(C483&gt;E483,100,C483/E483*100)</f>
        <v>100</v>
      </c>
      <c r="H483" s="46" t="n">
        <f aca="false">L483/F483*100</f>
        <v>3.57103827283153</v>
      </c>
      <c r="I483" s="47" t="n">
        <f aca="false">(V$27+V$28*SIN(2*PI()/365*A483))*V$29/100*V$9*V$10/100*(1-V$19/100)</f>
        <v>0</v>
      </c>
      <c r="J483" s="47" t="n">
        <f aca="false">(V$27+V$28*SIN(2*PI()/365*A483))*V$29/100*V$11*(1-V$18/100)</f>
        <v>37.6897044880404</v>
      </c>
      <c r="K483" s="48" t="n">
        <f aca="false">IF(E483/C483*100&lt;100,E483/C483*100,100)</f>
        <v>0</v>
      </c>
      <c r="L483" s="7" t="n">
        <f aca="false">IF(((C483-E483)&gt;0)*AND(F483&gt;(C483-E483)),(C483-E483),IF(C483&lt;E483,0,F483))</f>
        <v>1.22478153268837</v>
      </c>
      <c r="M483" s="7" t="n">
        <f aca="false">IF(C483&lt;(E483+F483),0,C483-E483-F483)</f>
        <v>0</v>
      </c>
      <c r="N483" s="7" t="n">
        <f aca="false">IF(C483&lt;(E483+F483),0,(C483-E483-F483)/(1-V$20/100))</f>
        <v>0</v>
      </c>
      <c r="O483" s="7" t="n">
        <f aca="false">L483+M483</f>
        <v>1.22478153268837</v>
      </c>
      <c r="P483" s="49" t="n">
        <f aca="false">IF(N483=0,I483*(1-G483/100)+J483*(1-H483/100),-N483)</f>
        <v>36.3437907158554</v>
      </c>
      <c r="Q483" s="54" t="n">
        <f aca="false">IF(P482&gt;0,Q482+P482*(1-V$24/100),Q482+P482)</f>
        <v>2626.82837778492</v>
      </c>
      <c r="R483" s="55" t="n">
        <f aca="false">R$4+Q483/V$32</f>
        <v>65.5464060041598</v>
      </c>
    </row>
    <row r="484" customFormat="false" ht="12.8" hidden="false" customHeight="false" outlineLevel="0" collapsed="false">
      <c r="A484" s="1" t="n">
        <v>480</v>
      </c>
      <c r="B484" s="44" t="n">
        <v>44025</v>
      </c>
      <c r="C484" s="45" t="n">
        <f aca="false">V$30-V$30*SIN(2*PI()/365*A484)</f>
        <v>1.33328511006329</v>
      </c>
      <c r="D484" s="3" t="n">
        <f aca="false">IF((E484+F484)&gt;C484,C484,E484+F484)</f>
        <v>1.33328511006329</v>
      </c>
      <c r="E484" s="46" t="n">
        <f aca="false">(V$27+V$28*SIN(2*PI()/365*A484))*V$29/100*V$9*V$10/100</f>
        <v>0</v>
      </c>
      <c r="F484" s="46" t="n">
        <f aca="false">(V$27+V$28*SIN(2*PI()/365*A484))*V$29/100*V$11*(1-V$18/100)*(1-V$20/100)</f>
        <v>34.1885363547733</v>
      </c>
      <c r="G484" s="46" t="n">
        <f aca="false">IF(C484&gt;E484,100,C484/E484*100)</f>
        <v>100</v>
      </c>
      <c r="H484" s="46" t="n">
        <f aca="false">L484/F484*100</f>
        <v>3.89980166517757</v>
      </c>
      <c r="I484" s="47" t="n">
        <f aca="false">(V$27+V$28*SIN(2*PI()/365*A484))*V$29/100*V$9*V$10/100*(1-V$19/100)</f>
        <v>0</v>
      </c>
      <c r="J484" s="47" t="n">
        <f aca="false">(V$27+V$28*SIN(2*PI()/365*A484))*V$29/100*V$11*(1-V$18/100)</f>
        <v>37.5698201700805</v>
      </c>
      <c r="K484" s="48" t="n">
        <f aca="false">IF(E484/C484*100&lt;100,E484/C484*100,100)</f>
        <v>0</v>
      </c>
      <c r="L484" s="7" t="n">
        <f aca="false">IF(((C484-E484)&gt;0)*AND(F484&gt;(C484-E484)),(C484-E484),IF(C484&lt;E484,0,F484))</f>
        <v>1.33328511006329</v>
      </c>
      <c r="M484" s="7" t="n">
        <f aca="false">IF(C484&lt;(E484+F484),0,C484-E484-F484)</f>
        <v>0</v>
      </c>
      <c r="N484" s="7" t="n">
        <f aca="false">IF(C484&lt;(E484+F484),0,(C484-E484-F484)/(1-V$20/100))</f>
        <v>0</v>
      </c>
      <c r="O484" s="7" t="n">
        <f aca="false">L484+M484</f>
        <v>1.33328511006329</v>
      </c>
      <c r="P484" s="49" t="n">
        <f aca="false">IF(N484=0,I484*(1-G484/100)+J484*(1-H484/100),-N484)</f>
        <v>36.1046716974835</v>
      </c>
      <c r="Q484" s="54" t="n">
        <f aca="false">IF(P483&gt;0,Q483+P483*(1-V$24/100),Q483+P483)</f>
        <v>2654.81309663613</v>
      </c>
      <c r="R484" s="55" t="n">
        <f aca="false">R$4+Q484/V$32</f>
        <v>65.818562722022</v>
      </c>
    </row>
    <row r="485" customFormat="false" ht="12.8" hidden="false" customHeight="false" outlineLevel="0" collapsed="false">
      <c r="A485" s="1" t="n">
        <v>481</v>
      </c>
      <c r="B485" s="44" t="n">
        <v>44026</v>
      </c>
      <c r="C485" s="45" t="n">
        <f aca="false">V$30-V$30*SIN(2*PI()/365*A485)</f>
        <v>1.44618732789526</v>
      </c>
      <c r="D485" s="3" t="n">
        <f aca="false">IF((E485+F485)&gt;C485,C485,E485+F485)</f>
        <v>1.44618732789526</v>
      </c>
      <c r="E485" s="46" t="n">
        <f aca="false">(V$27+V$28*SIN(2*PI()/365*A485))*V$29/100*V$9*V$10/100</f>
        <v>0</v>
      </c>
      <c r="F485" s="46" t="n">
        <f aca="false">(V$27+V$28*SIN(2*PI()/365*A485))*V$29/100*V$11*(1-V$18/100)*(1-V$20/100)</f>
        <v>34.0750190201872</v>
      </c>
      <c r="G485" s="46" t="n">
        <f aca="false">IF(C485&gt;E485,100,C485/E485*100)</f>
        <v>100</v>
      </c>
      <c r="H485" s="46" t="n">
        <f aca="false">L485/F485*100</f>
        <v>4.24412772018848</v>
      </c>
      <c r="I485" s="47" t="n">
        <f aca="false">(V$27+V$28*SIN(2*PI()/365*A485))*V$29/100*V$9*V$10/100*(1-V$19/100)</f>
        <v>0</v>
      </c>
      <c r="J485" s="47" t="n">
        <f aca="false">(V$27+V$28*SIN(2*PI()/365*A485))*V$29/100*V$11*(1-V$18/100)</f>
        <v>37.4450758463595</v>
      </c>
      <c r="K485" s="48" t="n">
        <f aca="false">IF(E485/C485*100&lt;100,E485/C485*100,100)</f>
        <v>0</v>
      </c>
      <c r="L485" s="7" t="n">
        <f aca="false">IF(((C485-E485)&gt;0)*AND(F485&gt;(C485-E485)),(C485-E485),IF(C485&lt;E485,0,F485))</f>
        <v>1.44618732789526</v>
      </c>
      <c r="M485" s="7" t="n">
        <f aca="false">IF(C485&lt;(E485+F485),0,C485-E485-F485)</f>
        <v>0</v>
      </c>
      <c r="N485" s="7" t="n">
        <f aca="false">IF(C485&lt;(E485+F485),0,(C485-E485-F485)/(1-V$20/100))</f>
        <v>0</v>
      </c>
      <c r="O485" s="7" t="n">
        <f aca="false">L485+M485</f>
        <v>1.44618732789526</v>
      </c>
      <c r="P485" s="49" t="n">
        <f aca="false">IF(N485=0,I485*(1-G485/100)+J485*(1-H485/100),-N485)</f>
        <v>35.8558590025186</v>
      </c>
      <c r="Q485" s="54" t="n">
        <f aca="false">IF(P484&gt;0,Q484+P484*(1-V$24/100),Q484+P484)</f>
        <v>2682.61369384319</v>
      </c>
      <c r="R485" s="55" t="n">
        <f aca="false">R$4+Q485/V$32</f>
        <v>66.0889288218464</v>
      </c>
    </row>
    <row r="486" customFormat="false" ht="12.8" hidden="false" customHeight="false" outlineLevel="0" collapsed="false">
      <c r="A486" s="1" t="n">
        <v>482</v>
      </c>
      <c r="B486" s="44" t="n">
        <v>44027</v>
      </c>
      <c r="C486" s="45" t="n">
        <f aca="false">V$30-V$30*SIN(2*PI()/365*A486)</f>
        <v>1.56345473082049</v>
      </c>
      <c r="D486" s="3" t="n">
        <f aca="false">IF((E486+F486)&gt;C486,C486,E486+F486)</f>
        <v>1.56345473082049</v>
      </c>
      <c r="E486" s="46" t="n">
        <f aca="false">(V$27+V$28*SIN(2*PI()/365*A486))*V$29/100*V$9*V$10/100</f>
        <v>0</v>
      </c>
      <c r="F486" s="46" t="n">
        <f aca="false">(V$27+V$28*SIN(2*PI()/365*A486))*V$29/100*V$11*(1-V$18/100)*(1-V$20/100)</f>
        <v>33.9571127179946</v>
      </c>
      <c r="G486" s="46" t="n">
        <f aca="false">IF(C486&gt;E486,100,C486/E486*100)</f>
        <v>100</v>
      </c>
      <c r="H486" s="46" t="n">
        <f aca="false">L486/F486*100</f>
        <v>4.60420396694087</v>
      </c>
      <c r="I486" s="47" t="n">
        <f aca="false">(V$27+V$28*SIN(2*PI()/365*A486))*V$29/100*V$9*V$10/100*(1-V$19/100)</f>
        <v>0</v>
      </c>
      <c r="J486" s="47" t="n">
        <f aca="false">(V$27+V$28*SIN(2*PI()/365*A486))*V$29/100*V$11*(1-V$18/100)</f>
        <v>37.3155084813128</v>
      </c>
      <c r="K486" s="48" t="n">
        <f aca="false">IF(E486/C486*100&lt;100,E486/C486*100,100)</f>
        <v>0</v>
      </c>
      <c r="L486" s="7" t="n">
        <f aca="false">IF(((C486-E486)&gt;0)*AND(F486&gt;(C486-E486)),(C486-E486),IF(C486&lt;E486,0,F486))</f>
        <v>1.56345473082049</v>
      </c>
      <c r="M486" s="7" t="n">
        <f aca="false">IF(C486&lt;(E486+F486),0,C486-E486-F486)</f>
        <v>0</v>
      </c>
      <c r="N486" s="7" t="n">
        <f aca="false">IF(C486&lt;(E486+F486),0,(C486-E486-F486)/(1-V$20/100))</f>
        <v>0</v>
      </c>
      <c r="O486" s="7" t="n">
        <f aca="false">L486+M486</f>
        <v>1.56345473082049</v>
      </c>
      <c r="P486" s="49" t="n">
        <f aca="false">IF(N486=0,I486*(1-G486/100)+J486*(1-H486/100),-N486)</f>
        <v>35.597426359532</v>
      </c>
      <c r="Q486" s="54" t="n">
        <f aca="false">IF(P485&gt;0,Q485+P485*(1-V$24/100),Q485+P485)</f>
        <v>2710.22270527513</v>
      </c>
      <c r="R486" s="55" t="n">
        <f aca="false">R$4+Q486/V$32</f>
        <v>66.3574317135384</v>
      </c>
    </row>
    <row r="487" customFormat="false" ht="12.8" hidden="false" customHeight="false" outlineLevel="0" collapsed="false">
      <c r="A487" s="1" t="n">
        <v>483</v>
      </c>
      <c r="B487" s="44" t="n">
        <v>44028</v>
      </c>
      <c r="C487" s="45" t="n">
        <f aca="false">V$30-V$30*SIN(2*PI()/365*A487)</f>
        <v>1.68505256997668</v>
      </c>
      <c r="D487" s="3" t="n">
        <f aca="false">IF((E487+F487)&gt;C487,C487,E487+F487)</f>
        <v>1.68505256997668</v>
      </c>
      <c r="E487" s="46" t="n">
        <f aca="false">(V$27+V$28*SIN(2*PI()/365*A487))*V$29/100*V$9*V$10/100</f>
        <v>0</v>
      </c>
      <c r="F487" s="46" t="n">
        <f aca="false">(V$27+V$28*SIN(2*PI()/365*A487))*V$29/100*V$11*(1-V$18/100)*(1-V$20/100)</f>
        <v>33.8348523863776</v>
      </c>
      <c r="G487" s="46" t="n">
        <f aca="false">IF(C487&gt;E487,100,C487/E487*100)</f>
        <v>100</v>
      </c>
      <c r="H487" s="46" t="n">
        <f aca="false">L487/F487*100</f>
        <v>4.98022734290132</v>
      </c>
      <c r="I487" s="47" t="n">
        <f aca="false">(V$27+V$28*SIN(2*PI()/365*A487))*V$29/100*V$9*V$10/100*(1-V$19/100)</f>
        <v>0</v>
      </c>
      <c r="J487" s="47" t="n">
        <f aca="false">(V$27+V$28*SIN(2*PI()/365*A487))*V$29/100*V$11*(1-V$18/100)</f>
        <v>37.1811564685468</v>
      </c>
      <c r="K487" s="48" t="n">
        <f aca="false">IF(E487/C487*100&lt;100,E487/C487*100,100)</f>
        <v>0</v>
      </c>
      <c r="L487" s="7" t="n">
        <f aca="false">IF(((C487-E487)&gt;0)*AND(F487&gt;(C487-E487)),(C487-E487),IF(C487&lt;E487,0,F487))</f>
        <v>1.68505256997668</v>
      </c>
      <c r="M487" s="7" t="n">
        <f aca="false">IF(C487&lt;(E487+F487),0,C487-E487-F487)</f>
        <v>0</v>
      </c>
      <c r="N487" s="7" t="n">
        <f aca="false">IF(C487&lt;(E487+F487),0,(C487-E487-F487)/(1-V$20/100))</f>
        <v>0</v>
      </c>
      <c r="O487" s="7" t="n">
        <f aca="false">L487+M487</f>
        <v>1.68505256997668</v>
      </c>
      <c r="P487" s="49" t="n">
        <f aca="false">IF(N487=0,I487*(1-G487/100)+J487*(1-H487/100),-N487)</f>
        <v>35.3294503476933</v>
      </c>
      <c r="Q487" s="54" t="n">
        <f aca="false">IF(P486&gt;0,Q486+P486*(1-V$24/100),Q486+P486)</f>
        <v>2737.63272357197</v>
      </c>
      <c r="R487" s="55" t="n">
        <f aca="false">R$4+Q487/V$32</f>
        <v>66.6239993591121</v>
      </c>
    </row>
    <row r="488" customFormat="false" ht="12.8" hidden="false" customHeight="false" outlineLevel="0" collapsed="false">
      <c r="A488" s="1" t="n">
        <v>484</v>
      </c>
      <c r="B488" s="44" t="n">
        <v>44029</v>
      </c>
      <c r="C488" s="45" t="n">
        <f aca="false">V$30-V$30*SIN(2*PI()/365*A488)</f>
        <v>1.81094481329978</v>
      </c>
      <c r="D488" s="3" t="n">
        <f aca="false">IF((E488+F488)&gt;C488,C488,E488+F488)</f>
        <v>1.81094481329978</v>
      </c>
      <c r="E488" s="46" t="n">
        <f aca="false">(V$27+V$28*SIN(2*PI()/365*A488))*V$29/100*V$9*V$10/100</f>
        <v>0</v>
      </c>
      <c r="F488" s="46" t="n">
        <f aca="false">(V$27+V$28*SIN(2*PI()/365*A488))*V$29/100*V$11*(1-V$18/100)*(1-V$20/100)</f>
        <v>33.7082742537109</v>
      </c>
      <c r="G488" s="46" t="n">
        <f aca="false">IF(C488&gt;E488,100,C488/E488*100)</f>
        <v>100</v>
      </c>
      <c r="H488" s="46" t="n">
        <f aca="false">L488/F488*100</f>
        <v>5.37240441225026</v>
      </c>
      <c r="I488" s="47" t="n">
        <f aca="false">(V$27+V$28*SIN(2*PI()/365*A488))*V$29/100*V$9*V$10/100*(1-V$19/100)</f>
        <v>0</v>
      </c>
      <c r="J488" s="47" t="n">
        <f aca="false">(V$27+V$28*SIN(2*PI()/365*A488))*V$29/100*V$11*(1-V$18/100)</f>
        <v>37.0420596194625</v>
      </c>
      <c r="K488" s="48" t="n">
        <f aca="false">IF(E488/C488*100&lt;100,E488/C488*100,100)</f>
        <v>0</v>
      </c>
      <c r="L488" s="7" t="n">
        <f aca="false">IF(((C488-E488)&gt;0)*AND(F488&gt;(C488-E488)),(C488-E488),IF(C488&lt;E488,0,F488))</f>
        <v>1.81094481329978</v>
      </c>
      <c r="M488" s="7" t="n">
        <f aca="false">IF(C488&lt;(E488+F488),0,C488-E488-F488)</f>
        <v>0</v>
      </c>
      <c r="N488" s="7" t="n">
        <f aca="false">IF(C488&lt;(E488+F488),0,(C488-E488-F488)/(1-V$20/100))</f>
        <v>0</v>
      </c>
      <c r="O488" s="7" t="n">
        <f aca="false">L488+M488</f>
        <v>1.81094481329978</v>
      </c>
      <c r="P488" s="49" t="n">
        <f aca="false">IF(N488=0,I488*(1-G488/100)+J488*(1-H488/100),-N488)</f>
        <v>35.0520103740781</v>
      </c>
      <c r="Q488" s="54" t="n">
        <f aca="false">IF(P487&gt;0,Q487+P487*(1-V$24/100),Q487+P487)</f>
        <v>2764.8364003397</v>
      </c>
      <c r="R488" s="55" t="n">
        <f aca="false">R$4+Q488/V$32</f>
        <v>66.8885602940371</v>
      </c>
    </row>
    <row r="489" customFormat="false" ht="12.8" hidden="false" customHeight="false" outlineLevel="0" collapsed="false">
      <c r="A489" s="1" t="n">
        <v>485</v>
      </c>
      <c r="B489" s="44" t="n">
        <v>44030</v>
      </c>
      <c r="C489" s="45" t="n">
        <f aca="false">V$30-V$30*SIN(2*PI()/365*A489)</f>
        <v>1.94109415620111</v>
      </c>
      <c r="D489" s="3" t="n">
        <f aca="false">IF((E489+F489)&gt;C489,C489,E489+F489)</f>
        <v>1.94109415620111</v>
      </c>
      <c r="E489" s="46" t="n">
        <f aca="false">(V$27+V$28*SIN(2*PI()/365*A489))*V$29/100*V$9*V$10/100</f>
        <v>0</v>
      </c>
      <c r="F489" s="46" t="n">
        <f aca="false">(V$27+V$28*SIN(2*PI()/365*A489))*V$29/100*V$11*(1-V$18/100)*(1-V$20/100)</f>
        <v>33.577415827827</v>
      </c>
      <c r="G489" s="46" t="n">
        <f aca="false">IF(C489&gt;E489,100,C489/E489*100)</f>
        <v>100</v>
      </c>
      <c r="H489" s="46" t="n">
        <f aca="false">L489/F489*100</f>
        <v>5.78095159602023</v>
      </c>
      <c r="I489" s="47" t="n">
        <f aca="false">(V$27+V$28*SIN(2*PI()/365*A489))*V$29/100*V$9*V$10/100*(1-V$19/100)</f>
        <v>0</v>
      </c>
      <c r="J489" s="47" t="n">
        <f aca="false">(V$27+V$28*SIN(2*PI()/365*A489))*V$29/100*V$11*(1-V$18/100)</f>
        <v>36.8982591514582</v>
      </c>
      <c r="K489" s="48" t="n">
        <f aca="false">IF(E489/C489*100&lt;100,E489/C489*100,100)</f>
        <v>0</v>
      </c>
      <c r="L489" s="7" t="n">
        <f aca="false">IF(((C489-E489)&gt;0)*AND(F489&gt;(C489-E489)),(C489-E489),IF(C489&lt;E489,0,F489))</f>
        <v>1.94109415620111</v>
      </c>
      <c r="M489" s="7" t="n">
        <f aca="false">IF(C489&lt;(E489+F489),0,C489-E489-F489)</f>
        <v>0</v>
      </c>
      <c r="N489" s="7" t="n">
        <f aca="false">IF(C489&lt;(E489+F489),0,(C489-E489-F489)/(1-V$20/100))</f>
        <v>0</v>
      </c>
      <c r="O489" s="7" t="n">
        <f aca="false">L489+M489</f>
        <v>1.94109415620111</v>
      </c>
      <c r="P489" s="49" t="n">
        <f aca="false">IF(N489=0,I489*(1-G489/100)+J489*(1-H489/100),-N489)</f>
        <v>34.7651886501383</v>
      </c>
      <c r="Q489" s="54" t="n">
        <f aca="false">IF(P488&gt;0,Q488+P488*(1-V$24/100),Q488+P488)</f>
        <v>2791.82644832774</v>
      </c>
      <c r="R489" s="55" t="n">
        <f aca="false">R$4+Q489/V$32</f>
        <v>67.1510436484143</v>
      </c>
    </row>
    <row r="490" customFormat="false" ht="12.8" hidden="false" customHeight="false" outlineLevel="0" collapsed="false">
      <c r="A490" s="1" t="n">
        <v>486</v>
      </c>
      <c r="B490" s="44" t="n">
        <v>44031</v>
      </c>
      <c r="C490" s="45" t="n">
        <f aca="false">V$30-V$30*SIN(2*PI()/365*A490)</f>
        <v>2.07546203262153</v>
      </c>
      <c r="D490" s="3" t="n">
        <f aca="false">IF((E490+F490)&gt;C490,C490,E490+F490)</f>
        <v>2.07546203262153</v>
      </c>
      <c r="E490" s="46" t="n">
        <f aca="false">(V$27+V$28*SIN(2*PI()/365*A490))*V$29/100*V$9*V$10/100</f>
        <v>0</v>
      </c>
      <c r="F490" s="46" t="n">
        <f aca="false">(V$27+V$28*SIN(2*PI()/365*A490))*V$29/100*V$11*(1-V$18/100)*(1-V$20/100)</f>
        <v>33.4423158849017</v>
      </c>
      <c r="G490" s="46" t="n">
        <f aca="false">IF(C490&gt;E490,100,C490/E490*100)</f>
        <v>100</v>
      </c>
      <c r="H490" s="46" t="n">
        <f aca="false">L490/F490*100</f>
        <v>6.20609541445825</v>
      </c>
      <c r="I490" s="47" t="n">
        <f aca="false">(V$27+V$28*SIN(2*PI()/365*A490))*V$29/100*V$9*V$10/100*(1-V$19/100)</f>
        <v>0</v>
      </c>
      <c r="J490" s="47" t="n">
        <f aca="false">(V$27+V$28*SIN(2*PI()/365*A490))*V$29/100*V$11*(1-V$18/100)</f>
        <v>36.7497976757161</v>
      </c>
      <c r="K490" s="48" t="n">
        <f aca="false">IF(E490/C490*100&lt;100,E490/C490*100,100)</f>
        <v>0</v>
      </c>
      <c r="L490" s="7" t="n">
        <f aca="false">IF(((C490-E490)&gt;0)*AND(F490&gt;(C490-E490)),(C490-E490),IF(C490&lt;E490,0,F490))</f>
        <v>2.07546203262153</v>
      </c>
      <c r="M490" s="7" t="n">
        <f aca="false">IF(C490&lt;(E490+F490),0,C490-E490-F490)</f>
        <v>0</v>
      </c>
      <c r="N490" s="7" t="n">
        <f aca="false">IF(C490&lt;(E490+F490),0,(C490-E490-F490)/(1-V$20/100))</f>
        <v>0</v>
      </c>
      <c r="O490" s="7" t="n">
        <f aca="false">L490+M490</f>
        <v>2.07546203262153</v>
      </c>
      <c r="P490" s="49" t="n">
        <f aca="false">IF(N490=0,I490*(1-G490/100)+J490*(1-H490/100),-N490)</f>
        <v>34.4690701673408</v>
      </c>
      <c r="Q490" s="54" t="n">
        <f aca="false">IF(P489&gt;0,Q489+P489*(1-V$24/100),Q489+P489)</f>
        <v>2818.59564358834</v>
      </c>
      <c r="R490" s="55" t="n">
        <f aca="false">R$4+Q490/V$32</f>
        <v>67.4113791679768</v>
      </c>
    </row>
    <row r="491" customFormat="false" ht="12.8" hidden="false" customHeight="false" outlineLevel="0" collapsed="false">
      <c r="A491" s="1" t="n">
        <v>487</v>
      </c>
      <c r="B491" s="44" t="n">
        <v>44032</v>
      </c>
      <c r="C491" s="45" t="n">
        <f aca="false">V$30-V$30*SIN(2*PI()/365*A491)</f>
        <v>2.21400862645934</v>
      </c>
      <c r="D491" s="3" t="n">
        <f aca="false">IF((E491+F491)&gt;C491,C491,E491+F491)</f>
        <v>2.21400862645934</v>
      </c>
      <c r="E491" s="46" t="n">
        <f aca="false">(V$27+V$28*SIN(2*PI()/365*A491))*V$29/100*V$9*V$10/100</f>
        <v>0</v>
      </c>
      <c r="F491" s="46" t="n">
        <f aca="false">(V$27+V$28*SIN(2*PI()/365*A491))*V$29/100*V$11*(1-V$18/100)*(1-V$20/100)</f>
        <v>33.3030144579638</v>
      </c>
      <c r="G491" s="46" t="n">
        <f aca="false">IF(C491&gt;E491,100,C491/E491*100)</f>
        <v>100</v>
      </c>
      <c r="H491" s="46" t="n">
        <f aca="false">L491/F491*100</f>
        <v>6.64807274204545</v>
      </c>
      <c r="I491" s="47" t="n">
        <f aca="false">(V$27+V$28*SIN(2*PI()/365*A491))*V$29/100*V$9*V$10/100*(1-V$19/100)</f>
        <v>0</v>
      </c>
      <c r="J491" s="47" t="n">
        <f aca="false">(V$27+V$28*SIN(2*PI()/365*A491))*V$29/100*V$11*(1-V$18/100)</f>
        <v>36.5967191845756</v>
      </c>
      <c r="K491" s="48" t="n">
        <f aca="false">IF(E491/C491*100&lt;100,E491/C491*100,100)</f>
        <v>0</v>
      </c>
      <c r="L491" s="7" t="n">
        <f aca="false">IF(((C491-E491)&gt;0)*AND(F491&gt;(C491-E491)),(C491-E491),IF(C491&lt;E491,0,F491))</f>
        <v>2.21400862645934</v>
      </c>
      <c r="M491" s="7" t="n">
        <f aca="false">IF(C491&lt;(E491+F491),0,C491-E491-F491)</f>
        <v>0</v>
      </c>
      <c r="N491" s="7" t="n">
        <f aca="false">IF(C491&lt;(E491+F491),0,(C491-E491-F491)/(1-V$20/100))</f>
        <v>0</v>
      </c>
      <c r="O491" s="7" t="n">
        <f aca="false">L491+M491</f>
        <v>2.21400862645934</v>
      </c>
      <c r="P491" s="49" t="n">
        <f aca="false">IF(N491=0,I491*(1-G491/100)+J491*(1-H491/100),-N491)</f>
        <v>34.1637426719829</v>
      </c>
      <c r="Q491" s="54" t="n">
        <f aca="false">IF(P490&gt;0,Q490+P490*(1-V$24/100),Q490+P490)</f>
        <v>2845.1368276172</v>
      </c>
      <c r="R491" s="55" t="n">
        <f aca="false">R$4+Q491/V$32</f>
        <v>67.6694972349073</v>
      </c>
    </row>
    <row r="492" customFormat="false" ht="12.8" hidden="false" customHeight="false" outlineLevel="0" collapsed="false">
      <c r="A492" s="1" t="n">
        <v>488</v>
      </c>
      <c r="B492" s="44" t="n">
        <v>44033</v>
      </c>
      <c r="C492" s="45" t="n">
        <f aca="false">V$30-V$30*SIN(2*PI()/365*A492)</f>
        <v>2.35669288336874</v>
      </c>
      <c r="D492" s="3" t="n">
        <f aca="false">IF((E492+F492)&gt;C492,C492,E492+F492)</f>
        <v>2.35669288336874</v>
      </c>
      <c r="E492" s="46" t="n">
        <f aca="false">(V$27+V$28*SIN(2*PI()/365*A492))*V$29/100*V$9*V$10/100</f>
        <v>0</v>
      </c>
      <c r="F492" s="46" t="n">
        <f aca="false">(V$27+V$28*SIN(2*PI()/365*A492))*V$29/100*V$11*(1-V$18/100)*(1-V$20/100)</f>
        <v>33.1595528250324</v>
      </c>
      <c r="G492" s="46" t="n">
        <f aca="false">IF(C492&gt;E492,100,C492/E492*100)</f>
        <v>100</v>
      </c>
      <c r="H492" s="46" t="n">
        <f aca="false">L492/F492*100</f>
        <v>7.10713107563278</v>
      </c>
      <c r="I492" s="47" t="n">
        <f aca="false">(V$27+V$28*SIN(2*PI()/365*A492))*V$29/100*V$9*V$10/100*(1-V$19/100)</f>
        <v>0</v>
      </c>
      <c r="J492" s="47" t="n">
        <f aca="false">(V$27+V$28*SIN(2*PI()/365*A492))*V$29/100*V$11*(1-V$18/100)</f>
        <v>36.4390690384971</v>
      </c>
      <c r="K492" s="48" t="n">
        <f aca="false">IF(E492/C492*100&lt;100,E492/C492*100,100)</f>
        <v>0</v>
      </c>
      <c r="L492" s="7" t="n">
        <f aca="false">IF(((C492-E492)&gt;0)*AND(F492&gt;(C492-E492)),(C492-E492),IF(C492&lt;E492,0,F492))</f>
        <v>2.35669288336874</v>
      </c>
      <c r="M492" s="7" t="n">
        <f aca="false">IF(C492&lt;(E492+F492),0,C492-E492-F492)</f>
        <v>0</v>
      </c>
      <c r="N492" s="7" t="n">
        <f aca="false">IF(C492&lt;(E492+F492),0,(C492-E492-F492)/(1-V$20/100))</f>
        <v>0</v>
      </c>
      <c r="O492" s="7" t="n">
        <f aca="false">L492+M492</f>
        <v>2.35669288336874</v>
      </c>
      <c r="P492" s="49" t="n">
        <f aca="false">IF(N492=0,I492*(1-G492/100)+J492*(1-H492/100),-N492)</f>
        <v>33.8492966391908</v>
      </c>
      <c r="Q492" s="54" t="n">
        <f aca="false">IF(P491&gt;0,Q491+P491*(1-V$24/100),Q491+P491)</f>
        <v>2871.44290947462</v>
      </c>
      <c r="R492" s="55" t="n">
        <f aca="false">R$4+Q492/V$32</f>
        <v>67.9253288884679</v>
      </c>
    </row>
    <row r="493" customFormat="false" ht="12.8" hidden="false" customHeight="false" outlineLevel="0" collapsed="false">
      <c r="A493" s="1" t="n">
        <v>489</v>
      </c>
      <c r="B493" s="44" t="n">
        <v>44034</v>
      </c>
      <c r="C493" s="45" t="n">
        <f aca="false">V$30-V$30*SIN(2*PI()/365*A493)</f>
        <v>2.503472522925</v>
      </c>
      <c r="D493" s="3" t="n">
        <f aca="false">IF((E493+F493)&gt;C493,C493,E493+F493)</f>
        <v>2.503472522925</v>
      </c>
      <c r="E493" s="46" t="n">
        <f aca="false">(V$27+V$28*SIN(2*PI()/365*A493))*V$29/100*V$9*V$10/100</f>
        <v>0</v>
      </c>
      <c r="F493" s="46" t="n">
        <f aca="false">(V$27+V$28*SIN(2*PI()/365*A493))*V$29/100*V$11*(1-V$18/100)*(1-V$20/100)</f>
        <v>33.0119734968855</v>
      </c>
      <c r="G493" s="46" t="n">
        <f aca="false">IF(C493&gt;E493,100,C493/E493*100)</f>
        <v>100</v>
      </c>
      <c r="H493" s="46" t="n">
        <f aca="false">L493/F493*100</f>
        <v>7.58352881617691</v>
      </c>
      <c r="I493" s="47" t="n">
        <f aca="false">(V$27+V$28*SIN(2*PI()/365*A493))*V$29/100*V$9*V$10/100*(1-V$19/100)</f>
        <v>0</v>
      </c>
      <c r="J493" s="47" t="n">
        <f aca="false">(V$27+V$28*SIN(2*PI()/365*A493))*V$29/100*V$11*(1-V$18/100)</f>
        <v>36.2768939526214</v>
      </c>
      <c r="K493" s="48" t="n">
        <f aca="false">IF(E493/C493*100&lt;100,E493/C493*100,100)</f>
        <v>0</v>
      </c>
      <c r="L493" s="7" t="n">
        <f aca="false">IF(((C493-E493)&gt;0)*AND(F493&gt;(C493-E493)),(C493-E493),IF(C493&lt;E493,0,F493))</f>
        <v>2.503472522925</v>
      </c>
      <c r="M493" s="7" t="n">
        <f aca="false">IF(C493&lt;(E493+F493),0,C493-E493-F493)</f>
        <v>0</v>
      </c>
      <c r="N493" s="7" t="n">
        <f aca="false">IF(C493&lt;(E493+F493),0,(C493-E493-F493)/(1-V$20/100))</f>
        <v>0</v>
      </c>
      <c r="O493" s="7" t="n">
        <f aca="false">L493+M493</f>
        <v>2.503472522925</v>
      </c>
      <c r="P493" s="49" t="n">
        <f aca="false">IF(N493=0,I493*(1-G493/100)+J493*(1-H493/100),-N493)</f>
        <v>33.5258252461104</v>
      </c>
      <c r="Q493" s="54" t="n">
        <f aca="false">IF(P492&gt;0,Q492+P492*(1-V$24/100),Q492+P492)</f>
        <v>2897.5068678868</v>
      </c>
      <c r="R493" s="55" t="n">
        <f aca="false">R$4+Q493/V$32</f>
        <v>68.1788058454339</v>
      </c>
    </row>
    <row r="494" customFormat="false" ht="12.8" hidden="false" customHeight="false" outlineLevel="0" collapsed="false">
      <c r="A494" s="1" t="n">
        <v>490</v>
      </c>
      <c r="B494" s="44" t="n">
        <v>44035</v>
      </c>
      <c r="C494" s="45" t="n">
        <f aca="false">V$30-V$30*SIN(2*PI()/365*A494)</f>
        <v>2.65430405115315</v>
      </c>
      <c r="D494" s="3" t="n">
        <f aca="false">IF((E494+F494)&gt;C494,C494,E494+F494)</f>
        <v>2.65430405115315</v>
      </c>
      <c r="E494" s="46" t="n">
        <f aca="false">(V$27+V$28*SIN(2*PI()/365*A494))*V$29/100*V$9*V$10/100</f>
        <v>0</v>
      </c>
      <c r="F494" s="46" t="n">
        <f aca="false">(V$27+V$28*SIN(2*PI()/365*A494))*V$29/100*V$11*(1-V$18/100)*(1-V$20/100)</f>
        <v>32.8603202044631</v>
      </c>
      <c r="G494" s="46" t="n">
        <f aca="false">IF(C494&gt;E494,100,C494/E494*100)</f>
        <v>100</v>
      </c>
      <c r="H494" s="46" t="n">
        <f aca="false">L494/F494*100</f>
        <v>8.07753556458844</v>
      </c>
      <c r="I494" s="47" t="n">
        <f aca="false">(V$27+V$28*SIN(2*PI()/365*A494))*V$29/100*V$9*V$10/100*(1-V$19/100)</f>
        <v>0</v>
      </c>
      <c r="J494" s="47" t="n">
        <f aca="false">(V$27+V$28*SIN(2*PI()/365*A494))*V$29/100*V$11*(1-V$18/100)</f>
        <v>36.1102419829265</v>
      </c>
      <c r="K494" s="48" t="n">
        <f aca="false">IF(E494/C494*100&lt;100,E494/C494*100,100)</f>
        <v>0</v>
      </c>
      <c r="L494" s="7" t="n">
        <f aca="false">IF(((C494-E494)&gt;0)*AND(F494&gt;(C494-E494)),(C494-E494),IF(C494&lt;E494,0,F494))</f>
        <v>2.65430405115315</v>
      </c>
      <c r="M494" s="7" t="n">
        <f aca="false">IF(C494&lt;(E494+F494),0,C494-E494-F494)</f>
        <v>0</v>
      </c>
      <c r="N494" s="7" t="n">
        <f aca="false">IF(C494&lt;(E494+F494),0,(C494-E494-F494)/(1-V$20/100))</f>
        <v>0</v>
      </c>
      <c r="O494" s="7" t="n">
        <f aca="false">L494+M494</f>
        <v>2.65430405115315</v>
      </c>
      <c r="P494" s="49" t="n">
        <f aca="false">IF(N494=0,I494*(1-G494/100)+J494*(1-H494/100),-N494)</f>
        <v>33.1934243442967</v>
      </c>
      <c r="Q494" s="54" t="n">
        <f aca="false">IF(P493&gt;0,Q493+P493*(1-V$24/100),Q493+P493)</f>
        <v>2923.32175332631</v>
      </c>
      <c r="R494" s="55" t="n">
        <f aca="false">R$4+Q494/V$32</f>
        <v>68.4298605203285</v>
      </c>
    </row>
    <row r="495" customFormat="false" ht="12.8" hidden="false" customHeight="false" outlineLevel="0" collapsed="false">
      <c r="A495" s="1" t="n">
        <v>491</v>
      </c>
      <c r="B495" s="44" t="n">
        <v>44036</v>
      </c>
      <c r="C495" s="45" t="n">
        <f aca="false">V$30-V$30*SIN(2*PI()/365*A495)</f>
        <v>2.8091427734162</v>
      </c>
      <c r="D495" s="3" t="n">
        <f aca="false">IF((E495+F495)&gt;C495,C495,E495+F495)</f>
        <v>2.8091427734162</v>
      </c>
      <c r="E495" s="46" t="n">
        <f aca="false">(V$27+V$28*SIN(2*PI()/365*A495))*V$29/100*V$9*V$10/100</f>
        <v>0</v>
      </c>
      <c r="F495" s="46" t="n">
        <f aca="false">(V$27+V$28*SIN(2*PI()/365*A495))*V$29/100*V$11*(1-V$18/100)*(1-V$20/100)</f>
        <v>32.7046378859087</v>
      </c>
      <c r="G495" s="46" t="n">
        <f aca="false">IF(C495&gt;E495,100,C495/E495*100)</f>
        <v>100</v>
      </c>
      <c r="H495" s="46" t="n">
        <f aca="false">L495/F495*100</f>
        <v>8.58943243223177</v>
      </c>
      <c r="I495" s="47" t="n">
        <f aca="false">(V$27+V$28*SIN(2*PI()/365*A495))*V$29/100*V$9*V$10/100*(1-V$19/100)</f>
        <v>0</v>
      </c>
      <c r="J495" s="47" t="n">
        <f aca="false">(V$27+V$28*SIN(2*PI()/365*A495))*V$29/100*V$11*(1-V$18/100)</f>
        <v>35.9391625119876</v>
      </c>
      <c r="K495" s="48" t="n">
        <f aca="false">IF(E495/C495*100&lt;100,E495/C495*100,100)</f>
        <v>0</v>
      </c>
      <c r="L495" s="7" t="n">
        <f aca="false">IF(((C495-E495)&gt;0)*AND(F495&gt;(C495-E495)),(C495-E495),IF(C495&lt;E495,0,F495))</f>
        <v>2.8091427734162</v>
      </c>
      <c r="M495" s="7" t="n">
        <f aca="false">IF(C495&lt;(E495+F495),0,C495-E495-F495)</f>
        <v>0</v>
      </c>
      <c r="N495" s="7" t="n">
        <f aca="false">IF(C495&lt;(E495+F495),0,(C495-E495-F495)/(1-V$20/100))</f>
        <v>0</v>
      </c>
      <c r="O495" s="7" t="n">
        <f aca="false">L495+M495</f>
        <v>2.8091427734162</v>
      </c>
      <c r="P495" s="49" t="n">
        <f aca="false">IF(N495=0,I495*(1-G495/100)+J495*(1-H495/100),-N495)</f>
        <v>32.8521924313104</v>
      </c>
      <c r="Q495" s="54" t="n">
        <f aca="false">IF(P494&gt;0,Q494+P494*(1-V$24/100),Q494+P494)</f>
        <v>2948.88069007141</v>
      </c>
      <c r="R495" s="55" t="n">
        <f aca="false">R$4+Q495/V$32</f>
        <v>68.6784260454488</v>
      </c>
    </row>
    <row r="496" customFormat="false" ht="12.8" hidden="false" customHeight="false" outlineLevel="0" collapsed="false">
      <c r="A496" s="1" t="n">
        <v>492</v>
      </c>
      <c r="B496" s="44" t="n">
        <v>44037</v>
      </c>
      <c r="C496" s="45" t="n">
        <f aca="false">V$30-V$30*SIN(2*PI()/365*A496)</f>
        <v>2.96794280765901</v>
      </c>
      <c r="D496" s="3" t="n">
        <f aca="false">IF((E496+F496)&gt;C496,C496,E496+F496)</f>
        <v>2.96794280765901</v>
      </c>
      <c r="E496" s="46" t="n">
        <f aca="false">(V$27+V$28*SIN(2*PI()/365*A496))*V$29/100*V$9*V$10/100</f>
        <v>0</v>
      </c>
      <c r="F496" s="46" t="n">
        <f aca="false">(V$27+V$28*SIN(2*PI()/365*A496))*V$29/100*V$11*(1-V$18/100)*(1-V$20/100)</f>
        <v>32.5449726732532</v>
      </c>
      <c r="G496" s="46" t="n">
        <f aca="false">IF(C496&gt;E496,100,C496/E496*100)</f>
        <v>100</v>
      </c>
      <c r="H496" s="46" t="n">
        <f aca="false">L496/F496*100</f>
        <v>9.1195123666464</v>
      </c>
      <c r="I496" s="47" t="n">
        <f aca="false">(V$27+V$28*SIN(2*PI()/365*A496))*V$29/100*V$9*V$10/100*(1-V$19/100)</f>
        <v>0</v>
      </c>
      <c r="J496" s="47" t="n">
        <f aca="false">(V$27+V$28*SIN(2*PI()/365*A496))*V$29/100*V$11*(1-V$18/100)</f>
        <v>35.7637062343441</v>
      </c>
      <c r="K496" s="48" t="n">
        <f aca="false">IF(E496/C496*100&lt;100,E496/C496*100,100)</f>
        <v>0</v>
      </c>
      <c r="L496" s="7" t="n">
        <f aca="false">IF(((C496-E496)&gt;0)*AND(F496&gt;(C496-E496)),(C496-E496),IF(C496&lt;E496,0,F496))</f>
        <v>2.96794280765901</v>
      </c>
      <c r="M496" s="7" t="n">
        <f aca="false">IF(C496&lt;(E496+F496),0,C496-E496-F496)</f>
        <v>0</v>
      </c>
      <c r="N496" s="7" t="n">
        <f aca="false">IF(C496&lt;(E496+F496),0,(C496-E496-F496)/(1-V$20/100))</f>
        <v>0</v>
      </c>
      <c r="O496" s="7" t="n">
        <f aca="false">L496+M496</f>
        <v>2.96794280765901</v>
      </c>
      <c r="P496" s="49" t="n">
        <f aca="false">IF(N496=0,I496*(1-G496/100)+J496*(1-H496/100),-N496)</f>
        <v>32.502230621532</v>
      </c>
      <c r="Q496" s="54" t="n">
        <f aca="false">IF(P495&gt;0,Q495+P495*(1-V$24/100),Q495+P495)</f>
        <v>2974.17687824352</v>
      </c>
      <c r="R496" s="55" t="n">
        <f aca="false">R$4+Q496/V$32</f>
        <v>68.9244362906812</v>
      </c>
    </row>
    <row r="497" customFormat="false" ht="12.8" hidden="false" customHeight="false" outlineLevel="0" collapsed="false">
      <c r="A497" s="1" t="n">
        <v>493</v>
      </c>
      <c r="B497" s="44" t="n">
        <v>44038</v>
      </c>
      <c r="C497" s="45" t="n">
        <f aca="false">V$30-V$30*SIN(2*PI()/365*A497)</f>
        <v>3.13065709800427</v>
      </c>
      <c r="D497" s="3" t="n">
        <f aca="false">IF((E497+F497)&gt;C497,C497,E497+F497)</f>
        <v>3.13065709800427</v>
      </c>
      <c r="E497" s="46" t="n">
        <f aca="false">(V$27+V$28*SIN(2*PI()/365*A497))*V$29/100*V$9*V$10/100</f>
        <v>0</v>
      </c>
      <c r="F497" s="46" t="n">
        <f aca="false">(V$27+V$28*SIN(2*PI()/365*A497))*V$29/100*V$11*(1-V$18/100)*(1-V$20/100)</f>
        <v>32.3813718787449</v>
      </c>
      <c r="G497" s="46" t="n">
        <f aca="false">IF(C497&gt;E497,100,C497/E497*100)</f>
        <v>100</v>
      </c>
      <c r="H497" s="46" t="n">
        <f aca="false">L497/F497*100</f>
        <v>9.66808049309127</v>
      </c>
      <c r="I497" s="47" t="n">
        <f aca="false">(V$27+V$28*SIN(2*PI()/365*A497))*V$29/100*V$9*V$10/100*(1-V$19/100)</f>
        <v>0</v>
      </c>
      <c r="J497" s="47" t="n">
        <f aca="false">(V$27+V$28*SIN(2*PI()/365*A497))*V$29/100*V$11*(1-V$18/100)</f>
        <v>35.5839251414779</v>
      </c>
      <c r="K497" s="48" t="n">
        <f aca="false">IF(E497/C497*100&lt;100,E497/C497*100,100)</f>
        <v>0</v>
      </c>
      <c r="L497" s="7" t="n">
        <f aca="false">IF(((C497-E497)&gt;0)*AND(F497&gt;(C497-E497)),(C497-E497),IF(C497&lt;E497,0,F497))</f>
        <v>3.13065709800427</v>
      </c>
      <c r="M497" s="7" t="n">
        <f aca="false">IF(C497&lt;(E497+F497),0,C497-E497-F497)</f>
        <v>0</v>
      </c>
      <c r="N497" s="7" t="n">
        <f aca="false">IF(C497&lt;(E497+F497),0,(C497-E497-F497)/(1-V$20/100))</f>
        <v>0</v>
      </c>
      <c r="O497" s="7" t="n">
        <f aca="false">L497+M497</f>
        <v>3.13065709800427</v>
      </c>
      <c r="P497" s="49" t="n">
        <f aca="false">IF(N497=0,I497*(1-G497/100)+J497*(1-H497/100),-N497)</f>
        <v>32.1436426161984</v>
      </c>
      <c r="Q497" s="54" t="n">
        <f aca="false">IF(P496&gt;0,Q496+P496*(1-V$24/100),Q496+P496)</f>
        <v>2999.2035958221</v>
      </c>
      <c r="R497" s="55" t="n">
        <f aca="false">R$4+Q497/V$32</f>
        <v>69.1678258830965</v>
      </c>
    </row>
    <row r="498" customFormat="false" ht="12.8" hidden="false" customHeight="false" outlineLevel="0" collapsed="false">
      <c r="A498" s="1" t="n">
        <v>494</v>
      </c>
      <c r="B498" s="44" t="n">
        <v>44039</v>
      </c>
      <c r="C498" s="45" t="n">
        <f aca="false">V$30-V$30*SIN(2*PI()/365*A498)</f>
        <v>3.2972374286961</v>
      </c>
      <c r="D498" s="3" t="n">
        <f aca="false">IF((E498+F498)&gt;C498,C498,E498+F498)</f>
        <v>3.2972374286961</v>
      </c>
      <c r="E498" s="46" t="n">
        <f aca="false">(V$27+V$28*SIN(2*PI()/365*A498))*V$29/100*V$9*V$10/100</f>
        <v>0</v>
      </c>
      <c r="F498" s="46" t="n">
        <f aca="false">(V$27+V$28*SIN(2*PI()/365*A498))*V$29/100*V$11*(1-V$18/100)*(1-V$20/100)</f>
        <v>32.21388398083</v>
      </c>
      <c r="G498" s="46" t="n">
        <f aca="false">IF(C498&gt;E498,100,C498/E498*100)</f>
        <v>100</v>
      </c>
      <c r="H498" s="46" t="n">
        <f aca="false">L498/F498*100</f>
        <v>10.2354544725443</v>
      </c>
      <c r="I498" s="47" t="n">
        <f aca="false">(V$27+V$28*SIN(2*PI()/365*A498))*V$29/100*V$9*V$10/100*(1-V$19/100)</f>
        <v>0</v>
      </c>
      <c r="J498" s="47" t="n">
        <f aca="false">(V$27+V$28*SIN(2*PI()/365*A498))*V$29/100*V$11*(1-V$18/100)</f>
        <v>35.3998725064065</v>
      </c>
      <c r="K498" s="48" t="n">
        <f aca="false">IF(E498/C498*100&lt;100,E498/C498*100,100)</f>
        <v>0</v>
      </c>
      <c r="L498" s="7" t="n">
        <f aca="false">IF(((C498-E498)&gt;0)*AND(F498&gt;(C498-E498)),(C498-E498),IF(C498&lt;E498,0,F498))</f>
        <v>3.2972374286961</v>
      </c>
      <c r="M498" s="7" t="n">
        <f aca="false">IF(C498&lt;(E498+F498),0,C498-E498-F498)</f>
        <v>0</v>
      </c>
      <c r="N498" s="7" t="n">
        <f aca="false">IF(C498&lt;(E498+F498),0,(C498-E498-F498)/(1-V$20/100))</f>
        <v>0</v>
      </c>
      <c r="O498" s="7" t="n">
        <f aca="false">L498+M498</f>
        <v>3.2972374286961</v>
      </c>
      <c r="P498" s="49" t="n">
        <f aca="false">IF(N498=0,I498*(1-G498/100)+J498*(1-H498/100),-N498)</f>
        <v>31.7765346726746</v>
      </c>
      <c r="Q498" s="54" t="n">
        <f aca="false">IF(P497&gt;0,Q497+P497*(1-V$24/100),Q497+P497)</f>
        <v>3023.95420063658</v>
      </c>
      <c r="R498" s="55" t="n">
        <f aca="false">R$4+Q498/V$32</f>
        <v>69.4085302263213</v>
      </c>
    </row>
    <row r="499" customFormat="false" ht="12.8" hidden="false" customHeight="false" outlineLevel="0" collapsed="false">
      <c r="A499" s="1" t="n">
        <v>495</v>
      </c>
      <c r="B499" s="44" t="n">
        <v>44040</v>
      </c>
      <c r="C499" s="45" t="n">
        <f aca="false">V$30-V$30*SIN(2*PI()/365*A499)</f>
        <v>3.46763443838739</v>
      </c>
      <c r="D499" s="3" t="n">
        <f aca="false">IF((E499+F499)&gt;C499,C499,E499+F499)</f>
        <v>3.46763443838739</v>
      </c>
      <c r="E499" s="46" t="n">
        <f aca="false">(V$27+V$28*SIN(2*PI()/365*A499))*V$29/100*V$9*V$10/100</f>
        <v>0</v>
      </c>
      <c r="F499" s="46" t="n">
        <f aca="false">(V$27+V$28*SIN(2*PI()/365*A499))*V$29/100*V$11*(1-V$18/100)*(1-V$20/100)</f>
        <v>32.0425586097874</v>
      </c>
      <c r="G499" s="46" t="n">
        <f aca="false">IF(C499&gt;E499,100,C499/E499*100)</f>
        <v>100</v>
      </c>
      <c r="H499" s="46" t="n">
        <f aca="false">L499/F499*100</f>
        <v>10.8219648768254</v>
      </c>
      <c r="I499" s="47" t="n">
        <f aca="false">(V$27+V$28*SIN(2*PI()/365*A499))*V$29/100*V$9*V$10/100*(1-V$19/100)</f>
        <v>0</v>
      </c>
      <c r="J499" s="47" t="n">
        <f aca="false">(V$27+V$28*SIN(2*PI()/365*A499))*V$29/100*V$11*(1-V$18/100)</f>
        <v>35.2116028678982</v>
      </c>
      <c r="K499" s="48" t="n">
        <f aca="false">IF(E499/C499*100&lt;100,E499/C499*100,100)</f>
        <v>0</v>
      </c>
      <c r="L499" s="7" t="n">
        <f aca="false">IF(((C499-E499)&gt;0)*AND(F499&gt;(C499-E499)),(C499-E499),IF(C499&lt;E499,0,F499))</f>
        <v>3.46763443838739</v>
      </c>
      <c r="M499" s="7" t="n">
        <f aca="false">IF(C499&lt;(E499+F499),0,C499-E499-F499)</f>
        <v>0</v>
      </c>
      <c r="N499" s="7" t="n">
        <f aca="false">IF(C499&lt;(E499+F499),0,(C499-E499-F499)/(1-V$20/100))</f>
        <v>0</v>
      </c>
      <c r="O499" s="7" t="n">
        <f aca="false">L499+M499</f>
        <v>3.46763443838739</v>
      </c>
      <c r="P499" s="49" t="n">
        <f aca="false">IF(N499=0,I499*(1-G499/100)+J499*(1-H499/100),-N499)</f>
        <v>31.401015572967</v>
      </c>
      <c r="Q499" s="54" t="n">
        <f aca="false">IF(P498&gt;0,Q498+P498*(1-V$24/100),Q498+P498)</f>
        <v>3048.42213233453</v>
      </c>
      <c r="R499" s="55" t="n">
        <f aca="false">R$4+Q499/V$32</f>
        <v>69.6464855196797</v>
      </c>
    </row>
    <row r="500" customFormat="false" ht="12.8" hidden="false" customHeight="false" outlineLevel="0" collapsed="false">
      <c r="A500" s="1" t="n">
        <v>496</v>
      </c>
      <c r="B500" s="44" t="n">
        <v>44041</v>
      </c>
      <c r="C500" s="45" t="n">
        <f aca="false">V$30-V$30*SIN(2*PI()/365*A500)</f>
        <v>3.64179763476671</v>
      </c>
      <c r="D500" s="3" t="n">
        <f aca="false">IF((E500+F500)&gt;C500,C500,E500+F500)</f>
        <v>3.64179763476671</v>
      </c>
      <c r="E500" s="46" t="n">
        <f aca="false">(V$27+V$28*SIN(2*PI()/365*A500))*V$29/100*V$9*V$10/100</f>
        <v>0</v>
      </c>
      <c r="F500" s="46" t="n">
        <f aca="false">(V$27+V$28*SIN(2*PI()/365*A500))*V$29/100*V$11*(1-V$18/100)*(1-V$20/100)</f>
        <v>31.867446533022</v>
      </c>
      <c r="G500" s="46" t="n">
        <f aca="false">IF(C500&gt;E500,100,C500/E500*100)</f>
        <v>100</v>
      </c>
      <c r="H500" s="46" t="n">
        <f aca="false">L500/F500*100</f>
        <v>11.4279555815461</v>
      </c>
      <c r="I500" s="47" t="n">
        <f aca="false">(V$27+V$28*SIN(2*PI()/365*A500))*V$29/100*V$9*V$10/100*(1-V$19/100)</f>
        <v>0</v>
      </c>
      <c r="J500" s="47" t="n">
        <f aca="false">(V$27+V$28*SIN(2*PI()/365*A500))*V$29/100*V$11*(1-V$18/100)</f>
        <v>35.0191720143099</v>
      </c>
      <c r="K500" s="48" t="n">
        <f aca="false">IF(E500/C500*100&lt;100,E500/C500*100,100)</f>
        <v>0</v>
      </c>
      <c r="L500" s="7" t="n">
        <f aca="false">IF(((C500-E500)&gt;0)*AND(F500&gt;(C500-E500)),(C500-E500),IF(C500&lt;E500,0,F500))</f>
        <v>3.64179763476671</v>
      </c>
      <c r="M500" s="7" t="n">
        <f aca="false">IF(C500&lt;(E500+F500),0,C500-E500-F500)</f>
        <v>0</v>
      </c>
      <c r="N500" s="7" t="n">
        <f aca="false">IF(C500&lt;(E500+F500),0,(C500-E500-F500)/(1-V$20/100))</f>
        <v>0</v>
      </c>
      <c r="O500" s="7" t="n">
        <f aca="false">L500+M500</f>
        <v>3.64179763476671</v>
      </c>
      <c r="P500" s="49" t="n">
        <f aca="false">IF(N500=0,I500*(1-G500/100)+J500*(1-H500/100),-N500)</f>
        <v>31.0171965914893</v>
      </c>
      <c r="Q500" s="54" t="n">
        <f aca="false">IF(P499&gt;0,Q499+P499*(1-V$24/100),Q499+P499)</f>
        <v>3072.60091432572</v>
      </c>
      <c r="R500" s="55" t="n">
        <f aca="false">R$4+Q500/V$32</f>
        <v>69.8816287770987</v>
      </c>
    </row>
    <row r="501" customFormat="false" ht="12.8" hidden="false" customHeight="false" outlineLevel="0" collapsed="false">
      <c r="A501" s="1" t="n">
        <v>497</v>
      </c>
      <c r="B501" s="44" t="n">
        <v>44042</v>
      </c>
      <c r="C501" s="45" t="n">
        <f aca="false">V$30-V$30*SIN(2*PI()/365*A501)</f>
        <v>3.81967540952023</v>
      </c>
      <c r="D501" s="3" t="n">
        <f aca="false">IF((E501+F501)&gt;C501,C501,E501+F501)</f>
        <v>3.81967540952023</v>
      </c>
      <c r="E501" s="46" t="n">
        <f aca="false">(V$27+V$28*SIN(2*PI()/365*A501))*V$29/100*V$9*V$10/100</f>
        <v>0</v>
      </c>
      <c r="F501" s="46" t="n">
        <f aca="false">(V$27+V$28*SIN(2*PI()/365*A501))*V$29/100*V$11*(1-V$18/100)*(1-V$20/100)</f>
        <v>31.6885996400214</v>
      </c>
      <c r="G501" s="46" t="n">
        <f aca="false">IF(C501&gt;E501,100,C501/E501*100)</f>
        <v>100</v>
      </c>
      <c r="H501" s="46" t="n">
        <f aca="false">L501/F501*100</f>
        <v>12.0537841776263</v>
      </c>
      <c r="I501" s="47" t="n">
        <f aca="false">(V$27+V$28*SIN(2*PI()/365*A501))*V$29/100*V$9*V$10/100*(1-V$19/100)</f>
        <v>0</v>
      </c>
      <c r="J501" s="47" t="n">
        <f aca="false">(V$27+V$28*SIN(2*PI()/365*A501))*V$29/100*V$11*(1-V$18/100)</f>
        <v>34.8226369670565</v>
      </c>
      <c r="K501" s="48" t="n">
        <f aca="false">IF(E501/C501*100&lt;100,E501/C501*100,100)</f>
        <v>0</v>
      </c>
      <c r="L501" s="7" t="n">
        <f aca="false">IF(((C501-E501)&gt;0)*AND(F501&gt;(C501-E501)),(C501-E501),IF(C501&lt;E501,0,F501))</f>
        <v>3.81967540952023</v>
      </c>
      <c r="M501" s="7" t="n">
        <f aca="false">IF(C501&lt;(E501+F501),0,C501-E501-F501)</f>
        <v>0</v>
      </c>
      <c r="N501" s="7" t="n">
        <f aca="false">IF(C501&lt;(E501+F501),0,(C501-E501-F501)/(1-V$20/100))</f>
        <v>0</v>
      </c>
      <c r="O501" s="7" t="n">
        <f aca="false">L501+M501</f>
        <v>3.81967540952023</v>
      </c>
      <c r="P501" s="49" t="n">
        <f aca="false">IF(N501=0,I501*(1-G501/100)+J501*(1-H501/100),-N501)</f>
        <v>30.6251914620892</v>
      </c>
      <c r="Q501" s="54" t="n">
        <f aca="false">IF(P500&gt;0,Q500+P500*(1-V$24/100),Q500+P500)</f>
        <v>3096.48415570117</v>
      </c>
      <c r="R501" s="55" t="n">
        <f aca="false">R$4+Q501/V$32</f>
        <v>70.1138978457719</v>
      </c>
    </row>
    <row r="502" customFormat="false" ht="12.8" hidden="false" customHeight="false" outlineLevel="0" collapsed="false">
      <c r="A502" s="1" t="n">
        <v>498</v>
      </c>
      <c r="B502" s="44" t="n">
        <v>44043</v>
      </c>
      <c r="C502" s="45" t="n">
        <f aca="false">V$30-V$30*SIN(2*PI()/365*A502)</f>
        <v>4.00121505362438</v>
      </c>
      <c r="D502" s="3" t="n">
        <f aca="false">IF((E502+F502)&gt;C502,C502,E502+F502)</f>
        <v>4.00121505362438</v>
      </c>
      <c r="E502" s="46" t="n">
        <f aca="false">(V$27+V$28*SIN(2*PI()/365*A502))*V$29/100*V$9*V$10/100</f>
        <v>0</v>
      </c>
      <c r="F502" s="46" t="n">
        <f aca="false">(V$27+V$28*SIN(2*PI()/365*A502))*V$29/100*V$11*(1-V$18/100)*(1-V$20/100)</f>
        <v>31.5060709269798</v>
      </c>
      <c r="G502" s="46" t="n">
        <f aca="false">IF(C502&gt;E502,100,C502/E502*100)</f>
        <v>100</v>
      </c>
      <c r="H502" s="46" t="n">
        <f aca="false">L502/F502*100</f>
        <v>12.699822402158</v>
      </c>
      <c r="I502" s="47" t="n">
        <f aca="false">(V$27+V$28*SIN(2*PI()/365*A502))*V$29/100*V$9*V$10/100*(1-V$19/100)</f>
        <v>0</v>
      </c>
      <c r="J502" s="47" t="n">
        <f aca="false">(V$27+V$28*SIN(2*PI()/365*A502))*V$29/100*V$11*(1-V$18/100)</f>
        <v>34.6220559637141</v>
      </c>
      <c r="K502" s="48" t="n">
        <f aca="false">IF(E502/C502*100&lt;100,E502/C502*100,100)</f>
        <v>0</v>
      </c>
      <c r="L502" s="7" t="n">
        <f aca="false">IF(((C502-E502)&gt;0)*AND(F502&gt;(C502-E502)),(C502-E502),IF(C502&lt;E502,0,F502))</f>
        <v>4.00121505362438</v>
      </c>
      <c r="M502" s="7" t="n">
        <f aca="false">IF(C502&lt;(E502+F502),0,C502-E502-F502)</f>
        <v>0</v>
      </c>
      <c r="N502" s="7" t="n">
        <f aca="false">IF(C502&lt;(E502+F502),0,(C502-E502-F502)/(1-V$20/100))</f>
        <v>0</v>
      </c>
      <c r="O502" s="7" t="n">
        <f aca="false">L502+M502</f>
        <v>4.00121505362438</v>
      </c>
      <c r="P502" s="49" t="n">
        <f aca="false">IF(N502=0,I502*(1-G502/100)+J502*(1-H502/100),-N502)</f>
        <v>30.2251163443466</v>
      </c>
      <c r="Q502" s="54" t="n">
        <f aca="false">IF(P501&gt;0,Q501+P501*(1-V$24/100),Q501+P501)</f>
        <v>3120.06555312697</v>
      </c>
      <c r="R502" s="55" t="n">
        <f aca="false">R$4+Q502/V$32</f>
        <v>70.3432314245774</v>
      </c>
    </row>
    <row r="503" customFormat="false" ht="12.8" hidden="false" customHeight="false" outlineLevel="0" collapsed="false">
      <c r="A503" s="1" t="n">
        <v>499</v>
      </c>
      <c r="B503" s="44" t="n">
        <v>44044</v>
      </c>
      <c r="C503" s="45" t="n">
        <f aca="false">V$30-V$30*SIN(2*PI()/365*A503)</f>
        <v>4.18636277296465</v>
      </c>
      <c r="D503" s="3" t="n">
        <f aca="false">IF((E503+F503)&gt;C503,C503,E503+F503)</f>
        <v>4.18636277296465</v>
      </c>
      <c r="E503" s="46" t="n">
        <f aca="false">(V$27+V$28*SIN(2*PI()/365*A503))*V$29/100*V$9*V$10/100</f>
        <v>0</v>
      </c>
      <c r="F503" s="46" t="n">
        <f aca="false">(V$27+V$28*SIN(2*PI()/365*A503))*V$29/100*V$11*(1-V$18/100)*(1-V$20/100)</f>
        <v>31.3199144810942</v>
      </c>
      <c r="G503" s="46" t="n">
        <f aca="false">IF(C503&gt;E503,100,C503/E503*100)</f>
        <v>100</v>
      </c>
      <c r="H503" s="46" t="n">
        <f aca="false">L503/F503*100</f>
        <v>13.3664565894383</v>
      </c>
      <c r="I503" s="47" t="n">
        <f aca="false">(V$27+V$28*SIN(2*PI()/365*A503))*V$29/100*V$9*V$10/100*(1-V$19/100)</f>
        <v>0</v>
      </c>
      <c r="J503" s="47" t="n">
        <f aca="false">(V$27+V$28*SIN(2*PI()/365*A503))*V$29/100*V$11*(1-V$18/100)</f>
        <v>34.4174884407629</v>
      </c>
      <c r="K503" s="48" t="n">
        <f aca="false">IF(E503/C503*100&lt;100,E503/C503*100,100)</f>
        <v>0</v>
      </c>
      <c r="L503" s="7" t="n">
        <f aca="false">IF(((C503-E503)&gt;0)*AND(F503&gt;(C503-E503)),(C503-E503),IF(C503&lt;E503,0,F503))</f>
        <v>4.18636277296465</v>
      </c>
      <c r="M503" s="7" t="n">
        <f aca="false">IF(C503&lt;(E503+F503),0,C503-E503-F503)</f>
        <v>0</v>
      </c>
      <c r="N503" s="7" t="n">
        <f aca="false">IF(C503&lt;(E503+F503),0,(C503-E503-F503)/(1-V$20/100))</f>
        <v>0</v>
      </c>
      <c r="O503" s="7" t="n">
        <f aca="false">L503+M503</f>
        <v>4.18636277296465</v>
      </c>
      <c r="P503" s="49" t="n">
        <f aca="false">IF(N503=0,I503*(1-G503/100)+J503*(1-H503/100),-N503)</f>
        <v>29.8170897891534</v>
      </c>
      <c r="Q503" s="54" t="n">
        <f aca="false">IF(P502&gt;0,Q502+P502*(1-V$24/100),Q502+P502)</f>
        <v>3143.33889271212</v>
      </c>
      <c r="R503" s="55" t="n">
        <f aca="false">R$4+Q503/V$32</f>
        <v>70.569569082242</v>
      </c>
    </row>
    <row r="504" customFormat="false" ht="12.8" hidden="false" customHeight="false" outlineLevel="0" collapsed="false">
      <c r="A504" s="1" t="n">
        <v>500</v>
      </c>
      <c r="B504" s="44" t="n">
        <v>44045</v>
      </c>
      <c r="C504" s="45" t="n">
        <f aca="false">V$30-V$30*SIN(2*PI()/365*A504)</f>
        <v>4.37506370427598</v>
      </c>
      <c r="D504" s="3" t="n">
        <f aca="false">IF((E504+F504)&gt;C504,C504,E504+F504)</f>
        <v>4.37506370427598</v>
      </c>
      <c r="E504" s="46" t="n">
        <f aca="false">(V$27+V$28*SIN(2*PI()/365*A504))*V$29/100*V$9*V$10/100</f>
        <v>0</v>
      </c>
      <c r="F504" s="46" t="n">
        <f aca="false">(V$27+V$28*SIN(2*PI()/365*A504))*V$29/100*V$11*(1-V$18/100)*(1-V$20/100)</f>
        <v>31.1301854645371</v>
      </c>
      <c r="G504" s="46" t="n">
        <f aca="false">IF(C504&gt;E504,100,C504/E504*100)</f>
        <v>100</v>
      </c>
      <c r="H504" s="46" t="n">
        <f aca="false">L504/F504*100</f>
        <v>14.0540881430339</v>
      </c>
      <c r="I504" s="47" t="n">
        <f aca="false">(V$27+V$28*SIN(2*PI()/365*A504))*V$29/100*V$9*V$10/100*(1-V$19/100)</f>
        <v>0</v>
      </c>
      <c r="J504" s="47" t="n">
        <f aca="false">(V$27+V$28*SIN(2*PI()/365*A504))*V$29/100*V$11*(1-V$18/100)</f>
        <v>34.2089950159748</v>
      </c>
      <c r="K504" s="48" t="n">
        <f aca="false">IF(E504/C504*100&lt;100,E504/C504*100,100)</f>
        <v>0</v>
      </c>
      <c r="L504" s="7" t="n">
        <f aca="false">IF(((C504-E504)&gt;0)*AND(F504&gt;(C504-E504)),(C504-E504),IF(C504&lt;E504,0,F504))</f>
        <v>4.37506370427598</v>
      </c>
      <c r="M504" s="7" t="n">
        <f aca="false">IF(C504&lt;(E504+F504),0,C504-E504-F504)</f>
        <v>0</v>
      </c>
      <c r="N504" s="7" t="n">
        <f aca="false">IF(C504&lt;(E504+F504),0,(C504-E504-F504)/(1-V$20/100))</f>
        <v>0</v>
      </c>
      <c r="O504" s="7" t="n">
        <f aca="false">L504+M504</f>
        <v>4.37506370427598</v>
      </c>
      <c r="P504" s="49" t="n">
        <f aca="false">IF(N504=0,I504*(1-G504/100)+J504*(1-H504/100),-N504)</f>
        <v>29.4012327035837</v>
      </c>
      <c r="Q504" s="54" t="n">
        <f aca="false">IF(P503&gt;0,Q503+P503*(1-V$24/100),Q503+P503)</f>
        <v>3166.29805184977</v>
      </c>
      <c r="R504" s="55" t="n">
        <f aca="false">R$4+Q504/V$32</f>
        <v>70.7928512752489</v>
      </c>
    </row>
    <row r="505" customFormat="false" ht="12.8" hidden="false" customHeight="false" outlineLevel="0" collapsed="false">
      <c r="A505" s="1" t="n">
        <v>501</v>
      </c>
      <c r="B505" s="44" t="n">
        <v>44046</v>
      </c>
      <c r="C505" s="45" t="n">
        <f aca="false">V$30-V$30*SIN(2*PI()/365*A505)</f>
        <v>4.56726193139996</v>
      </c>
      <c r="D505" s="3" t="n">
        <f aca="false">IF((E505+F505)&gt;C505,C505,E505+F505)</f>
        <v>4.56726193139996</v>
      </c>
      <c r="E505" s="46" t="n">
        <f aca="false">(V$27+V$28*SIN(2*PI()/365*A505))*V$29/100*V$9*V$10/100</f>
        <v>0</v>
      </c>
      <c r="F505" s="46" t="n">
        <f aca="false">(V$27+V$28*SIN(2*PI()/365*A505))*V$29/100*V$11*(1-V$18/100)*(1-V$20/100)</f>
        <v>30.9369400981108</v>
      </c>
      <c r="G505" s="46" t="n">
        <f aca="false">IF(C505&gt;E505,100,C505/E505*100)</f>
        <v>100</v>
      </c>
      <c r="H505" s="46" t="n">
        <f aca="false">L505/F505*100</f>
        <v>14.7631340297901</v>
      </c>
      <c r="I505" s="47" t="n">
        <f aca="false">(V$27+V$28*SIN(2*PI()/365*A505))*V$29/100*V$9*V$10/100*(1-V$19/100)</f>
        <v>0</v>
      </c>
      <c r="J505" s="47" t="n">
        <f aca="false">(V$27+V$28*SIN(2*PI()/365*A505))*V$29/100*V$11*(1-V$18/100)</f>
        <v>33.9966374704514</v>
      </c>
      <c r="K505" s="48" t="n">
        <f aca="false">IF(E505/C505*100&lt;100,E505/C505*100,100)</f>
        <v>0</v>
      </c>
      <c r="L505" s="7" t="n">
        <f aca="false">IF(((C505-E505)&gt;0)*AND(F505&gt;(C505-E505)),(C505-E505),IF(C505&lt;E505,0,F505))</f>
        <v>4.56726193139996</v>
      </c>
      <c r="M505" s="7" t="n">
        <f aca="false">IF(C505&lt;(E505+F505),0,C505-E505-F505)</f>
        <v>0</v>
      </c>
      <c r="N505" s="7" t="n">
        <f aca="false">IF(C505&lt;(E505+F505),0,(C505-E505-F505)/(1-V$20/100))</f>
        <v>0</v>
      </c>
      <c r="O505" s="7" t="n">
        <f aca="false">L505+M505</f>
        <v>4.56726193139996</v>
      </c>
      <c r="P505" s="49" t="n">
        <f aca="false">IF(N505=0,I505*(1-G505/100)+J505*(1-H505/100),-N505)</f>
        <v>28.9776683150668</v>
      </c>
      <c r="Q505" s="54" t="n">
        <f aca="false">IF(P504&gt;0,Q504+P504*(1-V$24/100),Q504+P504)</f>
        <v>3188.93700103153</v>
      </c>
      <c r="R505" s="55" t="n">
        <f aca="false">R$4+Q505/V$32</f>
        <v>71.0130193654811</v>
      </c>
    </row>
    <row r="506" customFormat="false" ht="12.8" hidden="false" customHeight="false" outlineLevel="0" collapsed="false">
      <c r="A506" s="1" t="n">
        <v>502</v>
      </c>
      <c r="B506" s="44" t="n">
        <v>44047</v>
      </c>
      <c r="C506" s="45" t="n">
        <f aca="false">V$30-V$30*SIN(2*PI()/365*A506)</f>
        <v>4.76290050185386</v>
      </c>
      <c r="D506" s="3" t="n">
        <f aca="false">IF((E506+F506)&gt;C506,C506,E506+F506)</f>
        <v>4.76290050185386</v>
      </c>
      <c r="E506" s="46" t="n">
        <f aca="false">(V$27+V$28*SIN(2*PI()/365*A506))*V$29/100*V$9*V$10/100</f>
        <v>0</v>
      </c>
      <c r="F506" s="46" t="n">
        <f aca="false">(V$27+V$28*SIN(2*PI()/365*A506))*V$29/100*V$11*(1-V$18/100)*(1-V$20/100)</f>
        <v>30.7402356445879</v>
      </c>
      <c r="G506" s="46" t="n">
        <f aca="false">IF(C506&gt;E506,100,C506/E506*100)</f>
        <v>100</v>
      </c>
      <c r="H506" s="46" t="n">
        <f aca="false">L506/F506*100</f>
        <v>15.4940272967375</v>
      </c>
      <c r="I506" s="47" t="n">
        <f aca="false">(V$27+V$28*SIN(2*PI()/365*A506))*V$29/100*V$9*V$10/100*(1-V$19/100)</f>
        <v>0</v>
      </c>
      <c r="J506" s="47" t="n">
        <f aca="false">(V$27+V$28*SIN(2*PI()/365*A506))*V$29/100*V$11*(1-V$18/100)</f>
        <v>33.7804787303163</v>
      </c>
      <c r="K506" s="48" t="n">
        <f aca="false">IF(E506/C506*100&lt;100,E506/C506*100,100)</f>
        <v>0</v>
      </c>
      <c r="L506" s="7" t="n">
        <f aca="false">IF(((C506-E506)&gt;0)*AND(F506&gt;(C506-E506)),(C506-E506),IF(C506&lt;E506,0,F506))</f>
        <v>4.76290050185386</v>
      </c>
      <c r="M506" s="7" t="n">
        <f aca="false">IF(C506&lt;(E506+F506),0,C506-E506-F506)</f>
        <v>0</v>
      </c>
      <c r="N506" s="7" t="n">
        <f aca="false">IF(C506&lt;(E506+F506),0,(C506-E506-F506)/(1-V$20/100))</f>
        <v>0</v>
      </c>
      <c r="O506" s="7" t="n">
        <f aca="false">L506+M506</f>
        <v>4.76290050185386</v>
      </c>
      <c r="P506" s="49" t="n">
        <f aca="false">IF(N506=0,I506*(1-G506/100)+J506*(1-H506/100),-N506)</f>
        <v>28.5465221348725</v>
      </c>
      <c r="Q506" s="54" t="n">
        <f aca="false">IF(P505&gt;0,Q505+P505*(1-V$24/100),Q505+P505)</f>
        <v>3211.24980563413</v>
      </c>
      <c r="R506" s="55" t="n">
        <f aca="false">R$4+Q506/V$32</f>
        <v>71.2300156375978</v>
      </c>
    </row>
    <row r="507" customFormat="false" ht="12.8" hidden="false" customHeight="false" outlineLevel="0" collapsed="false">
      <c r="A507" s="1" t="n">
        <v>503</v>
      </c>
      <c r="B507" s="44" t="n">
        <v>44048</v>
      </c>
      <c r="C507" s="45" t="n">
        <f aca="false">V$30-V$30*SIN(2*PI()/365*A507)</f>
        <v>4.96192144370706</v>
      </c>
      <c r="D507" s="3" t="n">
        <f aca="false">IF((E507+F507)&gt;C507,C507,E507+F507)</f>
        <v>4.96192144370706</v>
      </c>
      <c r="E507" s="46" t="n">
        <f aca="false">(V$27+V$28*SIN(2*PI()/365*A507))*V$29/100*V$9*V$10/100</f>
        <v>0</v>
      </c>
      <c r="F507" s="46" t="n">
        <f aca="false">(V$27+V$28*SIN(2*PI()/365*A507))*V$29/100*V$11*(1-V$18/100)*(1-V$20/100)</f>
        <v>30.5401303917432</v>
      </c>
      <c r="G507" s="46" t="n">
        <f aca="false">IF(C507&gt;E507,100,C507/E507*100)</f>
        <v>100</v>
      </c>
      <c r="H507" s="46" t="n">
        <f aca="false">L507/F507*100</f>
        <v>16.2472176119083</v>
      </c>
      <c r="I507" s="47" t="n">
        <f aca="false">(V$27+V$28*SIN(2*PI()/365*A507))*V$29/100*V$9*V$10/100*(1-V$19/100)</f>
        <v>0</v>
      </c>
      <c r="J507" s="47" t="n">
        <f aca="false">(V$27+V$28*SIN(2*PI()/365*A507))*V$29/100*V$11*(1-V$18/100)</f>
        <v>33.5605828480695</v>
      </c>
      <c r="K507" s="48" t="n">
        <f aca="false">IF(E507/C507*100&lt;100,E507/C507*100,100)</f>
        <v>0</v>
      </c>
      <c r="L507" s="7" t="n">
        <f aca="false">IF(((C507-E507)&gt;0)*AND(F507&gt;(C507-E507)),(C507-E507),IF(C507&lt;E507,0,F507))</f>
        <v>4.96192144370706</v>
      </c>
      <c r="M507" s="7" t="n">
        <f aca="false">IF(C507&lt;(E507+F507),0,C507-E507-F507)</f>
        <v>0</v>
      </c>
      <c r="N507" s="7" t="n">
        <f aca="false">IF(C507&lt;(E507+F507),0,(C507-E507-F507)/(1-V$20/100))</f>
        <v>0</v>
      </c>
      <c r="O507" s="7" t="n">
        <f aca="false">L507+M507</f>
        <v>4.96192144370706</v>
      </c>
      <c r="P507" s="49" t="n">
        <f aca="false">IF(N507=0,I507*(1-G507/100)+J507*(1-H507/100),-N507)</f>
        <v>28.1079219209189</v>
      </c>
      <c r="Q507" s="54" t="n">
        <f aca="false">IF(P506&gt;0,Q506+P506*(1-V$24/100),Q506+P506)</f>
        <v>3233.23062767798</v>
      </c>
      <c r="R507" s="55" t="n">
        <f aca="false">R$4+Q507/V$32</f>
        <v>71.443783316136</v>
      </c>
    </row>
    <row r="508" customFormat="false" ht="12.8" hidden="false" customHeight="false" outlineLevel="0" collapsed="false">
      <c r="A508" s="1" t="n">
        <v>504</v>
      </c>
      <c r="B508" s="44" t="n">
        <v>44049</v>
      </c>
      <c r="C508" s="45" t="n">
        <f aca="false">V$30-V$30*SIN(2*PI()/365*A508)</f>
        <v>5.16426578275929</v>
      </c>
      <c r="D508" s="3" t="n">
        <f aca="false">IF((E508+F508)&gt;C508,C508,E508+F508)</f>
        <v>5.16426578275929</v>
      </c>
      <c r="E508" s="46" t="n">
        <f aca="false">(V$27+V$28*SIN(2*PI()/365*A508))*V$29/100*V$9*V$10/100</f>
        <v>0</v>
      </c>
      <c r="F508" s="46" t="n">
        <f aca="false">(V$27+V$28*SIN(2*PI()/365*A508))*V$29/100*V$11*(1-V$18/100)*(1-V$20/100)</f>
        <v>30.3366836350818</v>
      </c>
      <c r="G508" s="46" t="n">
        <f aca="false">IF(C508&gt;E508,100,C508/E508*100)</f>
        <v>100</v>
      </c>
      <c r="H508" s="46" t="n">
        <f aca="false">L508/F508*100</f>
        <v>17.0231718301181</v>
      </c>
      <c r="I508" s="47" t="n">
        <f aca="false">(V$27+V$28*SIN(2*PI()/365*A508))*V$29/100*V$9*V$10/100*(1-V$19/100)</f>
        <v>0</v>
      </c>
      <c r="J508" s="47" t="n">
        <f aca="false">(V$27+V$28*SIN(2*PI()/365*A508))*V$29/100*V$11*(1-V$18/100)</f>
        <v>33.3370149836064</v>
      </c>
      <c r="K508" s="48" t="n">
        <f aca="false">IF(E508/C508*100&lt;100,E508/C508*100,100)</f>
        <v>0</v>
      </c>
      <c r="L508" s="7" t="n">
        <f aca="false">IF(((C508-E508)&gt;0)*AND(F508&gt;(C508-E508)),(C508-E508),IF(C508&lt;E508,0,F508))</f>
        <v>5.16426578275929</v>
      </c>
      <c r="M508" s="7" t="n">
        <f aca="false">IF(C508&lt;(E508+F508),0,C508-E508-F508)</f>
        <v>0</v>
      </c>
      <c r="N508" s="7" t="n">
        <f aca="false">IF(C508&lt;(E508+F508),0,(C508-E508-F508)/(1-V$20/100))</f>
        <v>0</v>
      </c>
      <c r="O508" s="7" t="n">
        <f aca="false">L508+M508</f>
        <v>5.16426578275929</v>
      </c>
      <c r="P508" s="49" t="n">
        <f aca="false">IF(N508=0,I508*(1-G508/100)+J508*(1-H508/100),-N508)</f>
        <v>27.6619976399149</v>
      </c>
      <c r="Q508" s="54" t="n">
        <f aca="false">IF(P507&gt;0,Q507+P507*(1-V$24/100),Q507+P507)</f>
        <v>3254.87372755709</v>
      </c>
      <c r="R508" s="55" t="n">
        <f aca="false">R$4+Q508/V$32</f>
        <v>71.6542665823349</v>
      </c>
    </row>
    <row r="509" customFormat="false" ht="12.8" hidden="false" customHeight="false" outlineLevel="0" collapsed="false">
      <c r="A509" s="1" t="n">
        <v>505</v>
      </c>
      <c r="B509" s="44" t="n">
        <v>44050</v>
      </c>
      <c r="C509" s="45" t="n">
        <f aca="false">V$30-V$30*SIN(2*PI()/365*A509)</f>
        <v>5.36987356001588</v>
      </c>
      <c r="D509" s="3" t="n">
        <f aca="false">IF((E509+F509)&gt;C509,C509,E509+F509)</f>
        <v>5.36987356001588</v>
      </c>
      <c r="E509" s="46" t="n">
        <f aca="false">(V$27+V$28*SIN(2*PI()/365*A509))*V$29/100*V$9*V$10/100</f>
        <v>0</v>
      </c>
      <c r="F509" s="46" t="n">
        <f aca="false">(V$27+V$28*SIN(2*PI()/365*A509))*V$29/100*V$11*(1-V$18/100)*(1-V$20/100)</f>
        <v>30.1299556602685</v>
      </c>
      <c r="G509" s="46" t="n">
        <f aca="false">IF(C509&gt;E509,100,C509/E509*100)</f>
        <v>100</v>
      </c>
      <c r="H509" s="46" t="n">
        <f aca="false">L509/F509*100</f>
        <v>17.8223745848288</v>
      </c>
      <c r="I509" s="47" t="n">
        <f aca="false">(V$27+V$28*SIN(2*PI()/365*A509))*V$29/100*V$9*V$10/100*(1-V$19/100)</f>
        <v>0</v>
      </c>
      <c r="J509" s="47" t="n">
        <f aca="false">(V$27+V$28*SIN(2*PI()/365*A509))*V$29/100*V$11*(1-V$18/100)</f>
        <v>33.1098413849104</v>
      </c>
      <c r="K509" s="48" t="n">
        <f aca="false">IF(E509/C509*100&lt;100,E509/C509*100,100)</f>
        <v>0</v>
      </c>
      <c r="L509" s="7" t="n">
        <f aca="false">IF(((C509-E509)&gt;0)*AND(F509&gt;(C509-E509)),(C509-E509),IF(C509&lt;E509,0,F509))</f>
        <v>5.36987356001588</v>
      </c>
      <c r="M509" s="7" t="n">
        <f aca="false">IF(C509&lt;(E509+F509),0,C509-E509-F509)</f>
        <v>0</v>
      </c>
      <c r="N509" s="7" t="n">
        <f aca="false">IF(C509&lt;(E509+F509),0,(C509-E509-F509)/(1-V$20/100))</f>
        <v>0</v>
      </c>
      <c r="O509" s="7" t="n">
        <f aca="false">L509+M509</f>
        <v>5.36987356001588</v>
      </c>
      <c r="P509" s="49" t="n">
        <f aca="false">IF(N509=0,I509*(1-G509/100)+J509*(1-H509/100),-N509)</f>
        <v>27.208881428849</v>
      </c>
      <c r="Q509" s="54" t="n">
        <f aca="false">IF(P508&gt;0,Q508+P508*(1-V$24/100),Q508+P508)</f>
        <v>3276.17346573982</v>
      </c>
      <c r="R509" s="55" t="n">
        <f aca="false">R$4+Q509/V$32</f>
        <v>71.861410590676</v>
      </c>
    </row>
    <row r="510" customFormat="false" ht="12.8" hidden="false" customHeight="false" outlineLevel="0" collapsed="false">
      <c r="A510" s="1" t="n">
        <v>506</v>
      </c>
      <c r="B510" s="44" t="n">
        <v>44051</v>
      </c>
      <c r="C510" s="45" t="n">
        <f aca="false">V$30-V$30*SIN(2*PI()/365*A510)</f>
        <v>5.57868384945509</v>
      </c>
      <c r="D510" s="3" t="n">
        <f aca="false">IF((E510+F510)&gt;C510,C510,E510+F510)</f>
        <v>5.57868384945509</v>
      </c>
      <c r="E510" s="46" t="n">
        <f aca="false">(V$27+V$28*SIN(2*PI()/365*A510))*V$29/100*V$9*V$10/100</f>
        <v>0</v>
      </c>
      <c r="F510" s="46" t="n">
        <f aca="false">(V$27+V$28*SIN(2*PI()/365*A510))*V$29/100*V$11*(1-V$18/100)*(1-V$20/100)</f>
        <v>29.9200077252636</v>
      </c>
      <c r="G510" s="46" t="n">
        <f aca="false">IF(C510&gt;E510,100,C510/E510*100)</f>
        <v>100</v>
      </c>
      <c r="H510" s="46" t="n">
        <f aca="false">L510/F510*100</f>
        <v>18.645328907267</v>
      </c>
      <c r="I510" s="47" t="n">
        <f aca="false">(V$27+V$28*SIN(2*PI()/365*A510))*V$29/100*V$9*V$10/100*(1-V$19/100)</f>
        <v>0</v>
      </c>
      <c r="J510" s="47" t="n">
        <f aca="false">(V$27+V$28*SIN(2*PI()/365*A510))*V$29/100*V$11*(1-V$18/100)</f>
        <v>32.8791293684216</v>
      </c>
      <c r="K510" s="48" t="n">
        <f aca="false">IF(E510/C510*100&lt;100,E510/C510*100,100)</f>
        <v>0</v>
      </c>
      <c r="L510" s="7" t="n">
        <f aca="false">IF(((C510-E510)&gt;0)*AND(F510&gt;(C510-E510)),(C510-E510),IF(C510&lt;E510,0,F510))</f>
        <v>5.57868384945509</v>
      </c>
      <c r="M510" s="7" t="n">
        <f aca="false">IF(C510&lt;(E510+F510),0,C510-E510-F510)</f>
        <v>0</v>
      </c>
      <c r="N510" s="7" t="n">
        <f aca="false">IF(C510&lt;(E510+F510),0,(C510-E510-F510)/(1-V$20/100))</f>
        <v>0</v>
      </c>
      <c r="O510" s="7" t="n">
        <f aca="false">L510+M510</f>
        <v>5.57868384945509</v>
      </c>
      <c r="P510" s="49" t="n">
        <f aca="false">IF(N510=0,I510*(1-G510/100)+J510*(1-H510/100),-N510)</f>
        <v>26.7487075558336</v>
      </c>
      <c r="Q510" s="54" t="n">
        <f aca="false">IF(P509&gt;0,Q509+P509*(1-V$24/100),Q509+P509)</f>
        <v>3297.12430444004</v>
      </c>
      <c r="R510" s="55" t="n">
        <f aca="false">R$4+Q510/V$32</f>
        <v>72.0651614851348</v>
      </c>
    </row>
    <row r="511" customFormat="false" ht="12.8" hidden="false" customHeight="false" outlineLevel="0" collapsed="false">
      <c r="A511" s="1" t="n">
        <v>507</v>
      </c>
      <c r="B511" s="44" t="n">
        <v>44052</v>
      </c>
      <c r="C511" s="45" t="n">
        <f aca="false">V$30-V$30*SIN(2*PI()/365*A511)</f>
        <v>5.79063477608166</v>
      </c>
      <c r="D511" s="3" t="n">
        <f aca="false">IF((E511+F511)&gt;C511,C511,E511+F511)</f>
        <v>5.79063477608166</v>
      </c>
      <c r="E511" s="46" t="n">
        <f aca="false">(V$27+V$28*SIN(2*PI()/365*A511))*V$29/100*V$9*V$10/100</f>
        <v>0</v>
      </c>
      <c r="F511" s="46" t="n">
        <f aca="false">(V$27+V$28*SIN(2*PI()/365*A511))*V$29/100*V$11*(1-V$18/100)*(1-V$20/100)</f>
        <v>29.7069020421715</v>
      </c>
      <c r="G511" s="46" t="n">
        <f aca="false">IF(C511&gt;E511,100,C511/E511*100)</f>
        <v>100</v>
      </c>
      <c r="H511" s="46" t="n">
        <f aca="false">L511/F511*100</f>
        <v>19.4925568740266</v>
      </c>
      <c r="I511" s="47" t="n">
        <f aca="false">(V$27+V$28*SIN(2*PI()/365*A511))*V$29/100*V$9*V$10/100*(1-V$19/100)</f>
        <v>0</v>
      </c>
      <c r="J511" s="47" t="n">
        <f aca="false">(V$27+V$28*SIN(2*PI()/365*A511))*V$29/100*V$11*(1-V$18/100)</f>
        <v>32.6449472990896</v>
      </c>
      <c r="K511" s="48" t="n">
        <f aca="false">IF(E511/C511*100&lt;100,E511/C511*100,100)</f>
        <v>0</v>
      </c>
      <c r="L511" s="7" t="n">
        <f aca="false">IF(((C511-E511)&gt;0)*AND(F511&gt;(C511-E511)),(C511-E511),IF(C511&lt;E511,0,F511))</f>
        <v>5.79063477608166</v>
      </c>
      <c r="M511" s="7" t="n">
        <f aca="false">IF(C511&lt;(E511+F511),0,C511-E511-F511)</f>
        <v>0</v>
      </c>
      <c r="N511" s="7" t="n">
        <f aca="false">IF(C511&lt;(E511+F511),0,(C511-E511-F511)/(1-V$20/100))</f>
        <v>0</v>
      </c>
      <c r="O511" s="7" t="n">
        <f aca="false">L511+M511</f>
        <v>5.79063477608166</v>
      </c>
      <c r="P511" s="49" t="n">
        <f aca="false">IF(N511=0,I511*(1-G511/100)+J511*(1-H511/100),-N511)</f>
        <v>26.2816123803185</v>
      </c>
      <c r="Q511" s="54" t="n">
        <f aca="false">IF(P510&gt;0,Q510+P510*(1-V$24/100),Q510+P510)</f>
        <v>3317.72080925803</v>
      </c>
      <c r="R511" s="55" t="n">
        <f aca="false">R$4+Q511/V$32</f>
        <v>72.2654664151396</v>
      </c>
    </row>
    <row r="512" customFormat="false" ht="12.8" hidden="false" customHeight="false" outlineLevel="0" collapsed="false">
      <c r="A512" s="1" t="n">
        <v>508</v>
      </c>
      <c r="B512" s="44" t="n">
        <v>44053</v>
      </c>
      <c r="C512" s="45" t="n">
        <f aca="false">V$30-V$30*SIN(2*PI()/365*A512)</f>
        <v>6.00566353426177</v>
      </c>
      <c r="D512" s="3" t="n">
        <f aca="false">IF((E512+F512)&gt;C512,C512,E512+F512)</f>
        <v>6.00566353426177</v>
      </c>
      <c r="E512" s="46" t="n">
        <f aca="false">(V$27+V$28*SIN(2*PI()/365*A512))*V$29/100*V$9*V$10/100</f>
        <v>0</v>
      </c>
      <c r="F512" s="46" t="n">
        <f aca="false">(V$27+V$28*SIN(2*PI()/365*A512))*V$29/100*V$11*(1-V$18/100)*(1-V$20/100)</f>
        <v>29.4907017588051</v>
      </c>
      <c r="G512" s="46" t="n">
        <f aca="false">IF(C512&gt;E512,100,C512/E512*100)</f>
        <v>100</v>
      </c>
      <c r="H512" s="46" t="n">
        <f aca="false">L512/F512*100</f>
        <v>20.3646002844562</v>
      </c>
      <c r="I512" s="47" t="n">
        <f aca="false">(V$27+V$28*SIN(2*PI()/365*A512))*V$29/100*V$9*V$10/100*(1-V$19/100)</f>
        <v>0</v>
      </c>
      <c r="J512" s="47" t="n">
        <f aca="false">(V$27+V$28*SIN(2*PI()/365*A512))*V$29/100*V$11*(1-V$18/100)</f>
        <v>32.4073645701155</v>
      </c>
      <c r="K512" s="48" t="n">
        <f aca="false">IF(E512/C512*100&lt;100,E512/C512*100,100)</f>
        <v>0</v>
      </c>
      <c r="L512" s="7" t="n">
        <f aca="false">IF(((C512-E512)&gt;0)*AND(F512&gt;(C512-E512)),(C512-E512),IF(C512&lt;E512,0,F512))</f>
        <v>6.00566353426177</v>
      </c>
      <c r="M512" s="7" t="n">
        <f aca="false">IF(C512&lt;(E512+F512),0,C512-E512-F512)</f>
        <v>0</v>
      </c>
      <c r="N512" s="7" t="n">
        <f aca="false">IF(C512&lt;(E512+F512),0,(C512-E512-F512)/(1-V$20/100))</f>
        <v>0</v>
      </c>
      <c r="O512" s="7" t="n">
        <f aca="false">L512+M512</f>
        <v>6.00566353426177</v>
      </c>
      <c r="P512" s="49" t="n">
        <f aca="false">IF(N512=0,I512*(1-G512/100)+J512*(1-H512/100),-N512)</f>
        <v>25.807734312685</v>
      </c>
      <c r="Q512" s="54" t="n">
        <f aca="false">IF(P511&gt;0,Q511+P511*(1-V$24/100),Q511+P511)</f>
        <v>3337.95765079087</v>
      </c>
      <c r="R512" s="55" t="n">
        <f aca="false">R$4+Q512/V$32</f>
        <v>72.4622735512327</v>
      </c>
    </row>
    <row r="513" customFormat="false" ht="12.8" hidden="false" customHeight="false" outlineLevel="0" collapsed="false">
      <c r="A513" s="1" t="n">
        <v>509</v>
      </c>
      <c r="B513" s="44" t="n">
        <v>44054</v>
      </c>
      <c r="C513" s="45" t="n">
        <f aca="false">V$30-V$30*SIN(2*PI()/365*A513)</f>
        <v>6.22370640633362</v>
      </c>
      <c r="D513" s="3" t="n">
        <f aca="false">IF((E513+F513)&gt;C513,C513,E513+F513)</f>
        <v>6.22370640633362</v>
      </c>
      <c r="E513" s="46" t="n">
        <f aca="false">(V$27+V$28*SIN(2*PI()/365*A513))*V$29/100*V$9*V$10/100</f>
        <v>0</v>
      </c>
      <c r="F513" s="46" t="n">
        <f aca="false">(V$27+V$28*SIN(2*PI()/365*A513))*V$29/100*V$11*(1-V$18/100)*(1-V$20/100)</f>
        <v>29.2714709399746</v>
      </c>
      <c r="G513" s="46" t="n">
        <f aca="false">IF(C513&gt;E513,100,C513/E513*100)</f>
        <v>100</v>
      </c>
      <c r="H513" s="46" t="n">
        <f aca="false">L513/F513*100</f>
        <v>21.26202136919</v>
      </c>
      <c r="I513" s="47" t="n">
        <f aca="false">(V$27+V$28*SIN(2*PI()/365*A513))*V$29/100*V$9*V$10/100*(1-V$19/100)</f>
        <v>0</v>
      </c>
      <c r="J513" s="47" t="n">
        <f aca="false">(V$27+V$28*SIN(2*PI()/365*A513))*V$29/100*V$11*(1-V$18/100)</f>
        <v>32.1664515823896</v>
      </c>
      <c r="K513" s="48" t="n">
        <f aca="false">IF(E513/C513*100&lt;100,E513/C513*100,100)</f>
        <v>0</v>
      </c>
      <c r="L513" s="7" t="n">
        <f aca="false">IF(((C513-E513)&gt;0)*AND(F513&gt;(C513-E513)),(C513-E513),IF(C513&lt;E513,0,F513))</f>
        <v>6.22370640633362</v>
      </c>
      <c r="M513" s="7" t="n">
        <f aca="false">IF(C513&lt;(E513+F513),0,C513-E513-F513)</f>
        <v>0</v>
      </c>
      <c r="N513" s="7" t="n">
        <f aca="false">IF(C513&lt;(E513+F513),0,(C513-E513-F513)/(1-V$20/100))</f>
        <v>0</v>
      </c>
      <c r="O513" s="7" t="n">
        <f aca="false">L513+M513</f>
        <v>6.22370640633362</v>
      </c>
      <c r="P513" s="49" t="n">
        <f aca="false">IF(N513=0,I513*(1-G513/100)+J513*(1-H513/100),-N513)</f>
        <v>25.3272137732318</v>
      </c>
      <c r="Q513" s="54" t="n">
        <f aca="false">IF(P512&gt;0,Q512+P512*(1-V$24/100),Q512+P512)</f>
        <v>3357.82960621164</v>
      </c>
      <c r="R513" s="55" t="n">
        <f aca="false">R$4+Q513/V$32</f>
        <v>72.6555321004279</v>
      </c>
    </row>
    <row r="514" customFormat="false" ht="12.8" hidden="false" customHeight="false" outlineLevel="0" collapsed="false">
      <c r="A514" s="1" t="n">
        <v>510</v>
      </c>
      <c r="B514" s="44" t="n">
        <v>44055</v>
      </c>
      <c r="C514" s="45" t="n">
        <f aca="false">V$30-V$30*SIN(2*PI()/365*A514)</f>
        <v>6.44469878148851</v>
      </c>
      <c r="D514" s="3" t="n">
        <f aca="false">IF((E514+F514)&gt;C514,C514,E514+F514)</f>
        <v>6.44469878148851</v>
      </c>
      <c r="E514" s="46" t="n">
        <f aca="false">(V$27+V$28*SIN(2*PI()/365*A514))*V$29/100*V$9*V$10/100</f>
        <v>0</v>
      </c>
      <c r="F514" s="46" t="n">
        <f aca="false">(V$27+V$28*SIN(2*PI()/365*A514))*V$29/100*V$11*(1-V$18/100)*(1-V$20/100)</f>
        <v>29.0492745485027</v>
      </c>
      <c r="G514" s="46" t="n">
        <f aca="false">IF(C514&gt;E514,100,C514/E514*100)</f>
        <v>100</v>
      </c>
      <c r="H514" s="46" t="n">
        <f aca="false">L514/F514*100</f>
        <v>22.1854035312585</v>
      </c>
      <c r="I514" s="47" t="n">
        <f aca="false">(V$27+V$28*SIN(2*PI()/365*A514))*V$29/100*V$9*V$10/100*(1-V$19/100)</f>
        <v>0</v>
      </c>
      <c r="J514" s="47" t="n">
        <f aca="false">(V$27+V$28*SIN(2*PI()/365*A514))*V$29/100*V$11*(1-V$18/100)</f>
        <v>31.9222797236293</v>
      </c>
      <c r="K514" s="48" t="n">
        <f aca="false">IF(E514/C514*100&lt;100,E514/C514*100,100)</f>
        <v>0</v>
      </c>
      <c r="L514" s="7" t="n">
        <f aca="false">IF(((C514-E514)&gt;0)*AND(F514&gt;(C514-E514)),(C514-E514),IF(C514&lt;E514,0,F514))</f>
        <v>6.44469878148851</v>
      </c>
      <c r="M514" s="7" t="n">
        <f aca="false">IF(C514&lt;(E514+F514),0,C514-E514-F514)</f>
        <v>0</v>
      </c>
      <c r="N514" s="7" t="n">
        <f aca="false">IF(C514&lt;(E514+F514),0,(C514-E514-F514)/(1-V$20/100))</f>
        <v>0</v>
      </c>
      <c r="O514" s="7" t="n">
        <f aca="false">L514+M514</f>
        <v>6.44469878148851</v>
      </c>
      <c r="P514" s="49" t="n">
        <f aca="false">IF(N514=0,I514*(1-G514/100)+J514*(1-H514/100),-N514)</f>
        <v>24.8401931505651</v>
      </c>
      <c r="Q514" s="54" t="n">
        <f aca="false">IF(P513&gt;0,Q513+P513*(1-V$24/100),Q513+P513)</f>
        <v>3377.33156081703</v>
      </c>
      <c r="R514" s="55" t="n">
        <f aca="false">R$4+Q514/V$32</f>
        <v>72.845192321262</v>
      </c>
    </row>
    <row r="515" customFormat="false" ht="12.8" hidden="false" customHeight="false" outlineLevel="0" collapsed="false">
      <c r="A515" s="1" t="n">
        <v>511</v>
      </c>
      <c r="B515" s="44" t="n">
        <v>44056</v>
      </c>
      <c r="C515" s="45" t="n">
        <f aca="false">V$30-V$30*SIN(2*PI()/365*A515)</f>
        <v>6.66857517491628</v>
      </c>
      <c r="D515" s="3" t="n">
        <f aca="false">IF((E515+F515)&gt;C515,C515,E515+F515)</f>
        <v>6.66857517491628</v>
      </c>
      <c r="E515" s="46" t="n">
        <f aca="false">(V$27+V$28*SIN(2*PI()/365*A515))*V$29/100*V$9*V$10/100</f>
        <v>0</v>
      </c>
      <c r="F515" s="46" t="n">
        <f aca="false">(V$27+V$28*SIN(2*PI()/365*A515))*V$29/100*V$11*(1-V$18/100)*(1-V$20/100)</f>
        <v>28.8241784259758</v>
      </c>
      <c r="G515" s="46" t="n">
        <f aca="false">IF(C515&gt;E515,100,C515/E515*100)</f>
        <v>100</v>
      </c>
      <c r="H515" s="46" t="n">
        <f aca="false">L515/F515*100</f>
        <v>23.1353521212826</v>
      </c>
      <c r="I515" s="47" t="n">
        <f aca="false">(V$27+V$28*SIN(2*PI()/365*A515))*V$29/100*V$9*V$10/100*(1-V$19/100)</f>
        <v>0</v>
      </c>
      <c r="J515" s="47" t="n">
        <f aca="false">(V$27+V$28*SIN(2*PI()/365*A515))*V$29/100*V$11*(1-V$18/100)</f>
        <v>31.6749213472261</v>
      </c>
      <c r="K515" s="48" t="n">
        <f aca="false">IF(E515/C515*100&lt;100,E515/C515*100,100)</f>
        <v>0</v>
      </c>
      <c r="L515" s="7" t="n">
        <f aca="false">IF(((C515-E515)&gt;0)*AND(F515&gt;(C515-E515)),(C515-E515),IF(C515&lt;E515,0,F515))</f>
        <v>6.66857517491628</v>
      </c>
      <c r="M515" s="7" t="n">
        <f aca="false">IF(C515&lt;(E515+F515),0,C515-E515-F515)</f>
        <v>0</v>
      </c>
      <c r="N515" s="7" t="n">
        <f aca="false">IF(C515&lt;(E515+F515),0,(C515-E515-F515)/(1-V$20/100))</f>
        <v>0</v>
      </c>
      <c r="O515" s="7" t="n">
        <f aca="false">L515+M515</f>
        <v>6.66857517491628</v>
      </c>
      <c r="P515" s="49" t="n">
        <f aca="false">IF(N515=0,I515*(1-G515/100)+J515*(1-H515/100),-N515)</f>
        <v>24.346816759406</v>
      </c>
      <c r="Q515" s="54" t="n">
        <f aca="false">IF(P514&gt;0,Q514+P514*(1-V$24/100),Q514+P514)</f>
        <v>3396.45850954297</v>
      </c>
      <c r="R515" s="55" t="n">
        <f aca="false">R$4+Q515/V$32</f>
        <v>73.0312055385341</v>
      </c>
    </row>
    <row r="516" customFormat="false" ht="12.8" hidden="false" customHeight="false" outlineLevel="0" collapsed="false">
      <c r="A516" s="1" t="n">
        <v>512</v>
      </c>
      <c r="B516" s="44" t="n">
        <v>44057</v>
      </c>
      <c r="C516" s="45" t="n">
        <f aca="false">V$30-V$30*SIN(2*PI()/365*A516)</f>
        <v>6.89526924720986</v>
      </c>
      <c r="D516" s="3" t="n">
        <f aca="false">IF((E516+F516)&gt;C516,C516,E516+F516)</f>
        <v>6.89526924720986</v>
      </c>
      <c r="E516" s="46" t="n">
        <f aca="false">(V$27+V$28*SIN(2*PI()/365*A516))*V$29/100*V$9*V$10/100</f>
        <v>0</v>
      </c>
      <c r="F516" s="46" t="n">
        <f aca="false">(V$27+V$28*SIN(2*PI()/365*A516))*V$29/100*V$11*(1-V$18/100)*(1-V$20/100)</f>
        <v>28.5962492732329</v>
      </c>
      <c r="G516" s="46" t="n">
        <f aca="false">IF(C516&gt;E516,100,C516/E516*100)</f>
        <v>100</v>
      </c>
      <c r="H516" s="46" t="n">
        <f aca="false">L516/F516*100</f>
        <v>24.1124952483334</v>
      </c>
      <c r="I516" s="47" t="n">
        <f aca="false">(V$27+V$28*SIN(2*PI()/365*A516))*V$29/100*V$9*V$10/100*(1-V$19/100)</f>
        <v>0</v>
      </c>
      <c r="J516" s="47" t="n">
        <f aca="false">(V$27+V$28*SIN(2*PI()/365*A516))*V$29/100*V$11*(1-V$18/100)</f>
        <v>31.4244497508054</v>
      </c>
      <c r="K516" s="48" t="n">
        <f aca="false">IF(E516/C516*100&lt;100,E516/C516*100,100)</f>
        <v>0</v>
      </c>
      <c r="L516" s="7" t="n">
        <f aca="false">IF(((C516-E516)&gt;0)*AND(F516&gt;(C516-E516)),(C516-E516),IF(C516&lt;E516,0,F516))</f>
        <v>6.89526924720986</v>
      </c>
      <c r="M516" s="7" t="n">
        <f aca="false">IF(C516&lt;(E516+F516),0,C516-E516-F516)</f>
        <v>0</v>
      </c>
      <c r="N516" s="7" t="n">
        <f aca="false">IF(C516&lt;(E516+F516),0,(C516-E516-F516)/(1-V$20/100))</f>
        <v>0</v>
      </c>
      <c r="O516" s="7" t="n">
        <f aca="false">L516+M516</f>
        <v>6.89526924720986</v>
      </c>
      <c r="P516" s="49" t="n">
        <f aca="false">IF(N516=0,I516*(1-G516/100)+J516*(1-H516/100),-N516)</f>
        <v>23.8472307978275</v>
      </c>
      <c r="Q516" s="54" t="n">
        <f aca="false">IF(P515&gt;0,Q515+P515*(1-V$24/100),Q515+P515)</f>
        <v>3415.20555844771</v>
      </c>
      <c r="R516" s="55" t="n">
        <f aca="false">R$4+Q516/V$32</f>
        <v>73.2135241577293</v>
      </c>
    </row>
    <row r="517" customFormat="false" ht="12.8" hidden="false" customHeight="false" outlineLevel="0" collapsed="false">
      <c r="A517" s="1" t="n">
        <v>513</v>
      </c>
      <c r="B517" s="44" t="n">
        <v>44058</v>
      </c>
      <c r="C517" s="45" t="n">
        <f aca="false">V$30-V$30*SIN(2*PI()/365*A517)</f>
        <v>7.12471382402321</v>
      </c>
      <c r="D517" s="3" t="n">
        <f aca="false">IF((E517+F517)&gt;C517,C517,E517+F517)</f>
        <v>7.12471382402321</v>
      </c>
      <c r="E517" s="46" t="n">
        <f aca="false">(V$27+V$28*SIN(2*PI()/365*A517))*V$29/100*V$9*V$10/100</f>
        <v>0</v>
      </c>
      <c r="F517" s="46" t="n">
        <f aca="false">(V$27+V$28*SIN(2*PI()/365*A517))*V$29/100*V$11*(1-V$18/100)*(1-V$20/100)</f>
        <v>28.3655546306011</v>
      </c>
      <c r="G517" s="46" t="n">
        <f aca="false">IF(C517&gt;E517,100,C517/E517*100)</f>
        <v>100</v>
      </c>
      <c r="H517" s="46" t="n">
        <f aca="false">L517/F517*100</f>
        <v>25.1174846281235</v>
      </c>
      <c r="I517" s="47" t="n">
        <f aca="false">(V$27+V$28*SIN(2*PI()/365*A517))*V$29/100*V$9*V$10/100*(1-V$19/100)</f>
        <v>0</v>
      </c>
      <c r="J517" s="47" t="n">
        <f aca="false">(V$27+V$28*SIN(2*PI()/365*A517))*V$29/100*V$11*(1-V$18/100)</f>
        <v>31.1709391545067</v>
      </c>
      <c r="K517" s="48" t="n">
        <f aca="false">IF(E517/C517*100&lt;100,E517/C517*100,100)</f>
        <v>0</v>
      </c>
      <c r="L517" s="7" t="n">
        <f aca="false">IF(((C517-E517)&gt;0)*AND(F517&gt;(C517-E517)),(C517-E517),IF(C517&lt;E517,0,F517))</f>
        <v>7.12471382402321</v>
      </c>
      <c r="M517" s="7" t="n">
        <f aca="false">IF(C517&lt;(E517+F517),0,C517-E517-F517)</f>
        <v>0</v>
      </c>
      <c r="N517" s="7" t="n">
        <f aca="false">IF(C517&lt;(E517+F517),0,(C517-E517-F517)/(1-V$20/100))</f>
        <v>0</v>
      </c>
      <c r="O517" s="7" t="n">
        <f aca="false">L517+M517</f>
        <v>7.12471382402321</v>
      </c>
      <c r="P517" s="49" t="n">
        <f aca="false">IF(N517=0,I517*(1-G517/100)+J517*(1-H517/100),-N517)</f>
        <v>23.3415833039317</v>
      </c>
      <c r="Q517" s="54" t="n">
        <f aca="false">IF(P516&gt;0,Q516+P516*(1-V$24/100),Q516+P516)</f>
        <v>3433.56792616204</v>
      </c>
      <c r="R517" s="55" t="n">
        <f aca="false">R$4+Q517/V$32</f>
        <v>73.3921016791216</v>
      </c>
    </row>
    <row r="518" customFormat="false" ht="12.8" hidden="false" customHeight="false" outlineLevel="0" collapsed="false">
      <c r="A518" s="1" t="n">
        <v>514</v>
      </c>
      <c r="B518" s="44" t="n">
        <v>44059</v>
      </c>
      <c r="C518" s="45" t="n">
        <f aca="false">V$30-V$30*SIN(2*PI()/365*A518)</f>
        <v>7.35684091597641</v>
      </c>
      <c r="D518" s="3" t="n">
        <f aca="false">IF((E518+F518)&gt;C518,C518,E518+F518)</f>
        <v>7.35684091597641</v>
      </c>
      <c r="E518" s="46" t="n">
        <f aca="false">(V$27+V$28*SIN(2*PI()/365*A518))*V$29/100*V$9*V$10/100</f>
        <v>0</v>
      </c>
      <c r="F518" s="46" t="n">
        <f aca="false">(V$27+V$28*SIN(2*PI()/365*A518))*V$29/100*V$11*(1-V$18/100)*(1-V$20/100)</f>
        <v>28.1321628578818</v>
      </c>
      <c r="G518" s="46" t="n">
        <f aca="false">IF(C518&gt;E518,100,C518/E518*100)</f>
        <v>100</v>
      </c>
      <c r="H518" s="46" t="n">
        <f aca="false">L518/F518*100</f>
        <v>26.1509964702741</v>
      </c>
      <c r="I518" s="47" t="n">
        <f aca="false">(V$27+V$28*SIN(2*PI()/365*A518))*V$29/100*V$9*V$10/100*(1-V$19/100)</f>
        <v>0</v>
      </c>
      <c r="J518" s="47" t="n">
        <f aca="false">(V$27+V$28*SIN(2*PI()/365*A518))*V$29/100*V$11*(1-V$18/100)</f>
        <v>30.9144646789909</v>
      </c>
      <c r="K518" s="48" t="n">
        <f aca="false">IF(E518/C518*100&lt;100,E518/C518*100,100)</f>
        <v>0</v>
      </c>
      <c r="L518" s="7" t="n">
        <f aca="false">IF(((C518-E518)&gt;0)*AND(F518&gt;(C518-E518)),(C518-E518),IF(C518&lt;E518,0,F518))</f>
        <v>7.35684091597641</v>
      </c>
      <c r="M518" s="7" t="n">
        <f aca="false">IF(C518&lt;(E518+F518),0,C518-E518-F518)</f>
        <v>0</v>
      </c>
      <c r="N518" s="7" t="n">
        <f aca="false">IF(C518&lt;(E518+F518),0,(C518-E518-F518)/(1-V$20/100))</f>
        <v>0</v>
      </c>
      <c r="O518" s="7" t="n">
        <f aca="false">L518+M518</f>
        <v>7.35684091597641</v>
      </c>
      <c r="P518" s="49" t="n">
        <f aca="false">IF(N518=0,I518*(1-G518/100)+J518*(1-H518/100),-N518)</f>
        <v>22.8300241119839</v>
      </c>
      <c r="Q518" s="54" t="n">
        <f aca="false">IF(P517&gt;0,Q517+P517*(1-V$24/100),Q517+P517)</f>
        <v>3451.54094530606</v>
      </c>
      <c r="R518" s="55" t="n">
        <f aca="false">R$4+Q518/V$32</f>
        <v>73.5668927115533</v>
      </c>
    </row>
    <row r="519" customFormat="false" ht="12.8" hidden="false" customHeight="false" outlineLevel="0" collapsed="false">
      <c r="A519" s="1" t="n">
        <v>515</v>
      </c>
      <c r="B519" s="44" t="n">
        <v>44060</v>
      </c>
      <c r="C519" s="45" t="n">
        <f aca="false">V$30-V$30*SIN(2*PI()/365*A519)</f>
        <v>7.59158173880237</v>
      </c>
      <c r="D519" s="3" t="n">
        <f aca="false">IF((E519+F519)&gt;C519,C519,E519+F519)</f>
        <v>7.59158173880237</v>
      </c>
      <c r="E519" s="46" t="n">
        <f aca="false">(V$27+V$28*SIN(2*PI()/365*A519))*V$29/100*V$9*V$10/100</f>
        <v>0</v>
      </c>
      <c r="F519" s="46" t="n">
        <f aca="false">(V$27+V$28*SIN(2*PI()/365*A519))*V$29/100*V$11*(1-V$18/100)*(1-V$20/100)</f>
        <v>27.8961431140942</v>
      </c>
      <c r="G519" s="46" t="n">
        <f aca="false">IF(C519&gt;E519,100,C519/E519*100)</f>
        <v>100</v>
      </c>
      <c r="H519" s="46" t="n">
        <f aca="false">L519/F519*100</f>
        <v>27.2137324064946</v>
      </c>
      <c r="I519" s="47" t="n">
        <f aca="false">(V$27+V$28*SIN(2*PI()/365*A519))*V$29/100*V$9*V$10/100*(1-V$19/100)</f>
        <v>0</v>
      </c>
      <c r="J519" s="47" t="n">
        <f aca="false">(V$27+V$28*SIN(2*PI()/365*A519))*V$29/100*V$11*(1-V$18/100)</f>
        <v>30.6551023231805</v>
      </c>
      <c r="K519" s="48" t="n">
        <f aca="false">IF(E519/C519*100&lt;100,E519/C519*100,100)</f>
        <v>0</v>
      </c>
      <c r="L519" s="7" t="n">
        <f aca="false">IF(((C519-E519)&gt;0)*AND(F519&gt;(C519-E519)),(C519-E519),IF(C519&lt;E519,0,F519))</f>
        <v>7.59158173880237</v>
      </c>
      <c r="M519" s="7" t="n">
        <f aca="false">IF(C519&lt;(E519+F519),0,C519-E519-F519)</f>
        <v>0</v>
      </c>
      <c r="N519" s="7" t="n">
        <f aca="false">IF(C519&lt;(E519+F519),0,(C519-E519-F519)/(1-V$20/100))</f>
        <v>0</v>
      </c>
      <c r="O519" s="7" t="n">
        <f aca="false">L519+M519</f>
        <v>7.59158173880237</v>
      </c>
      <c r="P519" s="49" t="n">
        <f aca="false">IF(N519=0,I519*(1-G519/100)+J519*(1-H519/100),-N519)</f>
        <v>22.312704808013</v>
      </c>
      <c r="Q519" s="54" t="n">
        <f aca="false">IF(P518&gt;0,Q518+P518*(1-V$24/100),Q518+P518)</f>
        <v>3469.12006387229</v>
      </c>
      <c r="R519" s="55" t="n">
        <f aca="false">R$4+Q519/V$32</f>
        <v>73.7378529858849</v>
      </c>
    </row>
    <row r="520" customFormat="false" ht="12.8" hidden="false" customHeight="false" outlineLevel="0" collapsed="false">
      <c r="A520" s="1" t="n">
        <v>516</v>
      </c>
      <c r="B520" s="44" t="n">
        <v>44061</v>
      </c>
      <c r="C520" s="45" t="n">
        <f aca="false">V$30-V$30*SIN(2*PI()/365*A520)</f>
        <v>7.82886673372917</v>
      </c>
      <c r="D520" s="3" t="n">
        <f aca="false">IF((E520+F520)&gt;C520,C520,E520+F520)</f>
        <v>7.82886673372917</v>
      </c>
      <c r="E520" s="46" t="n">
        <f aca="false">(V$27+V$28*SIN(2*PI()/365*A520))*V$29/100*V$9*V$10/100</f>
        <v>0</v>
      </c>
      <c r="F520" s="46" t="n">
        <f aca="false">(V$27+V$28*SIN(2*PI()/365*A520))*V$29/100*V$11*(1-V$18/100)*(1-V$20/100)</f>
        <v>27.6575653369822</v>
      </c>
      <c r="G520" s="46" t="n">
        <f aca="false">IF(C520&gt;E520,100,C520/E520*100)</f>
        <v>100</v>
      </c>
      <c r="H520" s="46" t="n">
        <f aca="false">L520/F520*100</f>
        <v>28.3064204616045</v>
      </c>
      <c r="I520" s="47" t="n">
        <f aca="false">(V$27+V$28*SIN(2*PI()/365*A520))*V$29/100*V$9*V$10/100*(1-V$19/100)</f>
        <v>0</v>
      </c>
      <c r="J520" s="47" t="n">
        <f aca="false">(V$27+V$28*SIN(2*PI()/365*A520))*V$29/100*V$11*(1-V$18/100)</f>
        <v>30.3929289417387</v>
      </c>
      <c r="K520" s="48" t="n">
        <f aca="false">IF(E520/C520*100&lt;100,E520/C520*100,100)</f>
        <v>0</v>
      </c>
      <c r="L520" s="7" t="n">
        <f aca="false">IF(((C520-E520)&gt;0)*AND(F520&gt;(C520-E520)),(C520-E520),IF(C520&lt;E520,0,F520))</f>
        <v>7.82886673372917</v>
      </c>
      <c r="M520" s="7" t="n">
        <f aca="false">IF(C520&lt;(E520+F520),0,C520-E520-F520)</f>
        <v>0</v>
      </c>
      <c r="N520" s="7" t="n">
        <f aca="false">IF(C520&lt;(E520+F520),0,(C520-E520-F520)/(1-V$20/100))</f>
        <v>0</v>
      </c>
      <c r="O520" s="7" t="n">
        <f aca="false">L520+M520</f>
        <v>7.82886673372917</v>
      </c>
      <c r="P520" s="49" t="n">
        <f aca="false">IF(N520=0,I520*(1-G520/100)+J520*(1-H520/100),-N520)</f>
        <v>21.7897786848935</v>
      </c>
      <c r="Q520" s="54" t="n">
        <f aca="false">IF(P519&gt;0,Q519+P519*(1-V$24/100),Q519+P519)</f>
        <v>3486.30084657446</v>
      </c>
      <c r="R520" s="55" t="n">
        <f aca="false">R$4+Q520/V$32</f>
        <v>73.9049393681133</v>
      </c>
    </row>
    <row r="521" customFormat="false" ht="12.8" hidden="false" customHeight="false" outlineLevel="0" collapsed="false">
      <c r="A521" s="1" t="n">
        <v>517</v>
      </c>
      <c r="B521" s="44" t="n">
        <v>44062</v>
      </c>
      <c r="C521" s="45" t="n">
        <f aca="false">V$30-V$30*SIN(2*PI()/365*A521)</f>
        <v>8.06862558809182</v>
      </c>
      <c r="D521" s="3" t="n">
        <f aca="false">IF((E521+F521)&gt;C521,C521,E521+F521)</f>
        <v>8.06862558809182</v>
      </c>
      <c r="E521" s="46" t="n">
        <f aca="false">(V$27+V$28*SIN(2*PI()/365*A521))*V$29/100*V$9*V$10/100</f>
        <v>0</v>
      </c>
      <c r="F521" s="46" t="n">
        <f aca="false">(V$27+V$28*SIN(2*PI()/365*A521))*V$29/100*V$11*(1-V$18/100)*(1-V$20/100)</f>
        <v>27.4165002222901</v>
      </c>
      <c r="G521" s="46" t="n">
        <f aca="false">IF(C521&gt;E521,100,C521/E521*100)</f>
        <v>100</v>
      </c>
      <c r="H521" s="46" t="n">
        <f aca="false">L521/F521*100</f>
        <v>29.429816069419</v>
      </c>
      <c r="I521" s="47" t="n">
        <f aca="false">(V$27+V$28*SIN(2*PI()/365*A521))*V$29/100*V$9*V$10/100*(1-V$19/100)</f>
        <v>0</v>
      </c>
      <c r="J521" s="47" t="n">
        <f aca="false">(V$27+V$28*SIN(2*PI()/365*A521))*V$29/100*V$11*(1-V$18/100)</f>
        <v>30.1280222222968</v>
      </c>
      <c r="K521" s="48" t="n">
        <f aca="false">IF(E521/C521*100&lt;100,E521/C521*100,100)</f>
        <v>0</v>
      </c>
      <c r="L521" s="7" t="n">
        <f aca="false">IF(((C521-E521)&gt;0)*AND(F521&gt;(C521-E521)),(C521-E521),IF(C521&lt;E521,0,F521))</f>
        <v>8.06862558809182</v>
      </c>
      <c r="M521" s="7" t="n">
        <f aca="false">IF(C521&lt;(E521+F521),0,C521-E521-F521)</f>
        <v>0</v>
      </c>
      <c r="N521" s="7" t="n">
        <f aca="false">IF(C521&lt;(E521+F521),0,(C521-E521-F521)/(1-V$20/100))</f>
        <v>0</v>
      </c>
      <c r="O521" s="7" t="n">
        <f aca="false">L521+M521</f>
        <v>8.06862558809182</v>
      </c>
      <c r="P521" s="49" t="n">
        <f aca="false">IF(N521=0,I521*(1-G521/100)+J521*(1-H521/100),-N521)</f>
        <v>21.2614006969212</v>
      </c>
      <c r="Q521" s="54" t="n">
        <f aca="false">IF(P520&gt;0,Q520+P520*(1-V$24/100),Q520+P520)</f>
        <v>3503.07897616183</v>
      </c>
      <c r="R521" s="55" t="n">
        <f aca="false">R$4+Q521/V$32</f>
        <v>74.0681098721531</v>
      </c>
    </row>
    <row r="522" customFormat="false" ht="12.8" hidden="false" customHeight="false" outlineLevel="0" collapsed="false">
      <c r="A522" s="1" t="n">
        <v>518</v>
      </c>
      <c r="B522" s="44" t="n">
        <v>44063</v>
      </c>
      <c r="C522" s="45" t="n">
        <f aca="false">V$30-V$30*SIN(2*PI()/365*A522)</f>
        <v>8.3107872561673</v>
      </c>
      <c r="D522" s="3" t="n">
        <f aca="false">IF((E522+F522)&gt;C522,C522,E522+F522)</f>
        <v>8.3107872561673</v>
      </c>
      <c r="E522" s="46" t="n">
        <f aca="false">(V$27+V$28*SIN(2*PI()/365*A522))*V$29/100*V$9*V$10/100</f>
        <v>0</v>
      </c>
      <c r="F522" s="46" t="n">
        <f aca="false">(V$27+V$28*SIN(2*PI()/365*A522))*V$29/100*V$11*(1-V$18/100)*(1-V$20/100)</f>
        <v>27.1730192028139</v>
      </c>
      <c r="G522" s="46" t="n">
        <f aca="false">IF(C522&gt;E522,100,C522/E522*100)</f>
        <v>100</v>
      </c>
      <c r="H522" s="46" t="n">
        <f aca="false">L522/F522*100</f>
        <v>30.5847031356261</v>
      </c>
      <c r="I522" s="47" t="n">
        <f aca="false">(V$27+V$28*SIN(2*PI()/365*A522))*V$29/100*V$9*V$10/100*(1-V$19/100)</f>
        <v>0</v>
      </c>
      <c r="J522" s="47" t="n">
        <f aca="false">(V$27+V$28*SIN(2*PI()/365*A522))*V$29/100*V$11*(1-V$18/100)</f>
        <v>29.8604606624329</v>
      </c>
      <c r="K522" s="48" t="n">
        <f aca="false">IF(E522/C522*100&lt;100,E522/C522*100,100)</f>
        <v>0</v>
      </c>
      <c r="L522" s="7" t="n">
        <f aca="false">IF(((C522-E522)&gt;0)*AND(F522&gt;(C522-E522)),(C522-E522),IF(C522&lt;E522,0,F522))</f>
        <v>8.3107872561673</v>
      </c>
      <c r="M522" s="7" t="n">
        <f aca="false">IF(C522&lt;(E522+F522),0,C522-E522-F522)</f>
        <v>0</v>
      </c>
      <c r="N522" s="7" t="n">
        <f aca="false">IF(C522&lt;(E522+F522),0,(C522-E522-F522)/(1-V$20/100))</f>
        <v>0</v>
      </c>
      <c r="O522" s="7" t="n">
        <f aca="false">L522+M522</f>
        <v>8.3107872561673</v>
      </c>
      <c r="P522" s="49" t="n">
        <f aca="false">IF(N522=0,I522*(1-G522/100)+J522*(1-H522/100),-N522)</f>
        <v>20.7277274138974</v>
      </c>
      <c r="Q522" s="54" t="n">
        <f aca="false">IF(P521&gt;0,Q521+P521*(1-V$24/100),Q521+P521)</f>
        <v>3519.45025469846</v>
      </c>
      <c r="R522" s="55" t="n">
        <f aca="false">R$4+Q522/V$32</f>
        <v>74.2273236722783</v>
      </c>
    </row>
    <row r="523" customFormat="false" ht="12.8" hidden="false" customHeight="false" outlineLevel="0" collapsed="false">
      <c r="A523" s="1" t="n">
        <v>519</v>
      </c>
      <c r="B523" s="44" t="n">
        <v>44064</v>
      </c>
      <c r="C523" s="45" t="n">
        <f aca="false">V$30-V$30*SIN(2*PI()/365*A523)</f>
        <v>8.5552799802271</v>
      </c>
      <c r="D523" s="3" t="n">
        <f aca="false">IF((E523+F523)&gt;C523,C523,E523+F523)</f>
        <v>8.5552799802271</v>
      </c>
      <c r="E523" s="46" t="n">
        <f aca="false">(V$27+V$28*SIN(2*PI()/365*A523))*V$29/100*V$9*V$10/100</f>
        <v>0</v>
      </c>
      <c r="F523" s="46" t="n">
        <f aca="false">(V$27+V$28*SIN(2*PI()/365*A523))*V$29/100*V$11*(1-V$18/100)*(1-V$20/100)</f>
        <v>26.9271944272345</v>
      </c>
      <c r="G523" s="46" t="n">
        <f aca="false">IF(C523&gt;E523,100,C523/E523*100)</f>
        <v>100</v>
      </c>
      <c r="H523" s="46" t="n">
        <f aca="false">L523/F523*100</f>
        <v>31.7718951498868</v>
      </c>
      <c r="I523" s="47" t="n">
        <f aca="false">(V$27+V$28*SIN(2*PI()/365*A523))*V$29/100*V$9*V$10/100*(1-V$19/100)</f>
        <v>0</v>
      </c>
      <c r="J523" s="47" t="n">
        <f aca="false">(V$27+V$28*SIN(2*PI()/365*A523))*V$29/100*V$11*(1-V$18/100)</f>
        <v>29.5903235464115</v>
      </c>
      <c r="K523" s="48" t="n">
        <f aca="false">IF(E523/C523*100&lt;100,E523/C523*100,100)</f>
        <v>0</v>
      </c>
      <c r="L523" s="7" t="n">
        <f aca="false">IF(((C523-E523)&gt;0)*AND(F523&gt;(C523-E523)),(C523-E523),IF(C523&lt;E523,0,F523))</f>
        <v>8.5552799802271</v>
      </c>
      <c r="M523" s="7" t="n">
        <f aca="false">IF(C523&lt;(E523+F523),0,C523-E523-F523)</f>
        <v>0</v>
      </c>
      <c r="N523" s="7" t="n">
        <f aca="false">IF(C523&lt;(E523+F523),0,(C523-E523-F523)/(1-V$20/100))</f>
        <v>0</v>
      </c>
      <c r="O523" s="7" t="n">
        <f aca="false">L523+M523</f>
        <v>8.5552799802271</v>
      </c>
      <c r="P523" s="49" t="n">
        <f aca="false">IF(N523=0,I523*(1-G523/100)+J523*(1-H523/100),-N523)</f>
        <v>20.1889169747334</v>
      </c>
      <c r="Q523" s="54" t="n">
        <f aca="false">IF(P522&gt;0,Q522+P522*(1-V$24/100),Q522+P522)</f>
        <v>3535.41060480716</v>
      </c>
      <c r="R523" s="55" t="n">
        <f aca="false">R$4+Q523/V$32</f>
        <v>74.3825411152196</v>
      </c>
    </row>
    <row r="524" customFormat="false" ht="12.8" hidden="false" customHeight="false" outlineLevel="0" collapsed="false">
      <c r="A524" s="1" t="n">
        <v>520</v>
      </c>
      <c r="B524" s="44" t="n">
        <v>44065</v>
      </c>
      <c r="C524" s="45" t="n">
        <f aca="false">V$30-V$30*SIN(2*PI()/365*A524)</f>
        <v>8.80203131180051</v>
      </c>
      <c r="D524" s="3" t="n">
        <f aca="false">IF((E524+F524)&gt;C524,C524,E524+F524)</f>
        <v>8.80203131180051</v>
      </c>
      <c r="E524" s="46" t="n">
        <f aca="false">(V$27+V$28*SIN(2*PI()/365*A524))*V$29/100*V$9*V$10/100</f>
        <v>0</v>
      </c>
      <c r="F524" s="46" t="n">
        <f aca="false">(V$27+V$28*SIN(2*PI()/365*A524))*V$29/100*V$11*(1-V$18/100)*(1-V$20/100)</f>
        <v>26.6790987387382</v>
      </c>
      <c r="G524" s="46" t="n">
        <f aca="false">IF(C524&gt;E524,100,C524/E524*100)</f>
        <v>100</v>
      </c>
      <c r="H524" s="46" t="n">
        <f aca="false">L524/F524*100</f>
        <v>32.9922363494982</v>
      </c>
      <c r="I524" s="47" t="n">
        <f aca="false">(V$27+V$28*SIN(2*PI()/365*A524))*V$29/100*V$9*V$10/100*(1-V$19/100)</f>
        <v>0</v>
      </c>
      <c r="J524" s="47" t="n">
        <f aca="false">(V$27+V$28*SIN(2*PI()/365*A524))*V$29/100*V$11*(1-V$18/100)</f>
        <v>29.3176909216903</v>
      </c>
      <c r="K524" s="48" t="n">
        <f aca="false">IF(E524/C524*100&lt;100,E524/C524*100,100)</f>
        <v>0</v>
      </c>
      <c r="L524" s="7" t="n">
        <f aca="false">IF(((C524-E524)&gt;0)*AND(F524&gt;(C524-E524)),(C524-E524),IF(C524&lt;E524,0,F524))</f>
        <v>8.80203131180051</v>
      </c>
      <c r="M524" s="7" t="n">
        <f aca="false">IF(C524&lt;(E524+F524),0,C524-E524-F524)</f>
        <v>0</v>
      </c>
      <c r="N524" s="7" t="n">
        <f aca="false">IF(C524&lt;(E524+F524),0,(C524-E524-F524)/(1-V$20/100))</f>
        <v>0</v>
      </c>
      <c r="O524" s="7" t="n">
        <f aca="false">L524+M524</f>
        <v>8.80203131180051</v>
      </c>
      <c r="P524" s="49" t="n">
        <f aca="false">IF(N524=0,I524*(1-G524/100)+J524*(1-H524/100),-N524)</f>
        <v>19.6451290405909</v>
      </c>
      <c r="Q524" s="54" t="n">
        <f aca="false">IF(P523&gt;0,Q523+P523*(1-V$24/100),Q523+P523)</f>
        <v>3550.9560708777</v>
      </c>
      <c r="R524" s="55" t="n">
        <f aca="false">R$4+Q524/V$32</f>
        <v>74.5337237319145</v>
      </c>
    </row>
    <row r="525" customFormat="false" ht="12.8" hidden="false" customHeight="false" outlineLevel="0" collapsed="false">
      <c r="A525" s="1" t="n">
        <v>521</v>
      </c>
      <c r="B525" s="44" t="n">
        <v>44066</v>
      </c>
      <c r="C525" s="45" t="n">
        <f aca="false">V$30-V$30*SIN(2*PI()/365*A525)</f>
        <v>9.05096813314267</v>
      </c>
      <c r="D525" s="3" t="n">
        <f aca="false">IF((E525+F525)&gt;C525,C525,E525+F525)</f>
        <v>9.05096813314267</v>
      </c>
      <c r="E525" s="46" t="n">
        <f aca="false">(V$27+V$28*SIN(2*PI()/365*A525))*V$29/100*V$9*V$10/100</f>
        <v>0</v>
      </c>
      <c r="F525" s="46" t="n">
        <f aca="false">(V$27+V$28*SIN(2*PI()/365*A525))*V$29/100*V$11*(1-V$18/100)*(1-V$20/100)</f>
        <v>26.4288056534318</v>
      </c>
      <c r="G525" s="46" t="n">
        <f aca="false">IF(C525&gt;E525,100,C525/E525*100)</f>
        <v>100</v>
      </c>
      <c r="H525" s="46" t="n">
        <f aca="false">L525/F525*100</f>
        <v>34.2466029370774</v>
      </c>
      <c r="I525" s="47" t="n">
        <f aca="false">(V$27+V$28*SIN(2*PI()/365*A525))*V$29/100*V$9*V$10/100*(1-V$19/100)</f>
        <v>0</v>
      </c>
      <c r="J525" s="47" t="n">
        <f aca="false">(V$27+V$28*SIN(2*PI()/365*A525))*V$29/100*V$11*(1-V$18/100)</f>
        <v>29.0426435751998</v>
      </c>
      <c r="K525" s="48" t="n">
        <f aca="false">IF(E525/C525*100&lt;100,E525/C525*100,100)</f>
        <v>0</v>
      </c>
      <c r="L525" s="7" t="n">
        <f aca="false">IF(((C525-E525)&gt;0)*AND(F525&gt;(C525-E525)),(C525-E525),IF(C525&lt;E525,0,F525))</f>
        <v>9.05096813314267</v>
      </c>
      <c r="M525" s="7" t="n">
        <f aca="false">IF(C525&lt;(E525+F525),0,C525-E525-F525)</f>
        <v>0</v>
      </c>
      <c r="N525" s="7" t="n">
        <f aca="false">IF(C525&lt;(E525+F525),0,(C525-E525-F525)/(1-V$20/100))</f>
        <v>0</v>
      </c>
      <c r="O525" s="7" t="n">
        <f aca="false">L525+M525</f>
        <v>9.05096813314267</v>
      </c>
      <c r="P525" s="49" t="n">
        <f aca="false">IF(N525=0,I525*(1-G525/100)+J525*(1-H525/100),-N525)</f>
        <v>19.0965247475705</v>
      </c>
      <c r="Q525" s="54" t="n">
        <f aca="false">IF(P524&gt;0,Q524+P524*(1-V$24/100),Q524+P524)</f>
        <v>3566.08282023896</v>
      </c>
      <c r="R525" s="55" t="n">
        <f aca="false">R$4+Q525/V$32</f>
        <v>74.6808342489068</v>
      </c>
    </row>
    <row r="526" customFormat="false" ht="12.8" hidden="false" customHeight="false" outlineLevel="0" collapsed="false">
      <c r="A526" s="1" t="n">
        <v>522</v>
      </c>
      <c r="B526" s="44" t="n">
        <v>44067</v>
      </c>
      <c r="C526" s="45" t="n">
        <f aca="false">V$30-V$30*SIN(2*PI()/365*A526)</f>
        <v>9.30201667890087</v>
      </c>
      <c r="D526" s="3" t="n">
        <f aca="false">IF((E526+F526)&gt;C526,C526,E526+F526)</f>
        <v>9.30201667890087</v>
      </c>
      <c r="E526" s="46" t="n">
        <f aca="false">(V$27+V$28*SIN(2*PI()/365*A526))*V$29/100*V$9*V$10/100</f>
        <v>0</v>
      </c>
      <c r="F526" s="46" t="n">
        <f aca="false">(V$27+V$28*SIN(2*PI()/365*A526))*V$29/100*V$11*(1-V$18/100)*(1-V$20/100)</f>
        <v>26.1763893385584</v>
      </c>
      <c r="G526" s="46" t="n">
        <f aca="false">IF(C526&gt;E526,100,C526/E526*100)</f>
        <v>100</v>
      </c>
      <c r="H526" s="46" t="n">
        <f aca="false">L526/F526*100</f>
        <v>35.5359043548408</v>
      </c>
      <c r="I526" s="47" t="n">
        <f aca="false">(V$27+V$28*SIN(2*PI()/365*A526))*V$29/100*V$9*V$10/100*(1-V$19/100)</f>
        <v>0</v>
      </c>
      <c r="J526" s="47" t="n">
        <f aca="false">(V$27+V$28*SIN(2*PI()/365*A526))*V$29/100*V$11*(1-V$18/100)</f>
        <v>28.7652630094048</v>
      </c>
      <c r="K526" s="48" t="n">
        <f aca="false">IF(E526/C526*100&lt;100,E526/C526*100,100)</f>
        <v>0</v>
      </c>
      <c r="L526" s="7" t="n">
        <f aca="false">IF(((C526-E526)&gt;0)*AND(F526&gt;(C526-E526)),(C526-E526),IF(C526&lt;E526,0,F526))</f>
        <v>9.30201667890087</v>
      </c>
      <c r="M526" s="7" t="n">
        <f aca="false">IF(C526&lt;(E526+F526),0,C526-E526-F526)</f>
        <v>0</v>
      </c>
      <c r="N526" s="7" t="n">
        <f aca="false">IF(C526&lt;(E526+F526),0,(C526-E526-F526)/(1-V$20/100))</f>
        <v>0</v>
      </c>
      <c r="O526" s="7" t="n">
        <f aca="false">L526+M526</f>
        <v>9.30201667890087</v>
      </c>
      <c r="P526" s="49" t="n">
        <f aca="false">IF(N526=0,I526*(1-G526/100)+J526*(1-H526/100),-N526)</f>
        <v>18.5432666589643</v>
      </c>
      <c r="Q526" s="54" t="n">
        <f aca="false">IF(P525&gt;0,Q525+P525*(1-V$24/100),Q525+P525)</f>
        <v>3580.78714429459</v>
      </c>
      <c r="R526" s="55" t="n">
        <f aca="false">R$4+Q526/V$32</f>
        <v>74.823836599391</v>
      </c>
    </row>
    <row r="527" customFormat="false" ht="12.8" hidden="false" customHeight="false" outlineLevel="0" collapsed="false">
      <c r="A527" s="1" t="n">
        <v>523</v>
      </c>
      <c r="B527" s="44" t="n">
        <v>44068</v>
      </c>
      <c r="C527" s="45" t="n">
        <f aca="false">V$30-V$30*SIN(2*PI()/365*A527)</f>
        <v>9.55510255797296</v>
      </c>
      <c r="D527" s="3" t="n">
        <f aca="false">IF((E527+F527)&gt;C527,C527,E527+F527)</f>
        <v>9.55510255797296</v>
      </c>
      <c r="E527" s="46" t="n">
        <f aca="false">(V$27+V$28*SIN(2*PI()/365*A527))*V$29/100*V$9*V$10/100</f>
        <v>0</v>
      </c>
      <c r="F527" s="46" t="n">
        <f aca="false">(V$27+V$28*SIN(2*PI()/365*A527))*V$29/100*V$11*(1-V$18/100)*(1-V$20/100)</f>
        <v>25.9219245905195</v>
      </c>
      <c r="G527" s="46" t="n">
        <f aca="false">IF(C527&gt;E527,100,C527/E527*100)</f>
        <v>100</v>
      </c>
      <c r="H527" s="46" t="n">
        <f aca="false">L527/F527*100</f>
        <v>36.8610846181829</v>
      </c>
      <c r="I527" s="47" t="n">
        <f aca="false">(V$27+V$28*SIN(2*PI()/365*A527))*V$29/100*V$9*V$10/100*(1-V$19/100)</f>
        <v>0</v>
      </c>
      <c r="J527" s="47" t="n">
        <f aca="false">(V$27+V$28*SIN(2*PI()/365*A527))*V$29/100*V$11*(1-V$18/100)</f>
        <v>28.4856314181533</v>
      </c>
      <c r="K527" s="48" t="n">
        <f aca="false">IF(E527/C527*100&lt;100,E527/C527*100,100)</f>
        <v>0</v>
      </c>
      <c r="L527" s="7" t="n">
        <f aca="false">IF(((C527-E527)&gt;0)*AND(F527&gt;(C527-E527)),(C527-E527),IF(C527&lt;E527,0,F527))</f>
        <v>9.55510255797296</v>
      </c>
      <c r="M527" s="7" t="n">
        <f aca="false">IF(C527&lt;(E527+F527),0,C527-E527-F527)</f>
        <v>0</v>
      </c>
      <c r="N527" s="7" t="n">
        <f aca="false">IF(C527&lt;(E527+F527),0,(C527-E527-F527)/(1-V$20/100))</f>
        <v>0</v>
      </c>
      <c r="O527" s="7" t="n">
        <f aca="false">L527+M527</f>
        <v>9.55510255797296</v>
      </c>
      <c r="P527" s="49" t="n">
        <f aca="false">IF(N527=0,I527*(1-G527/100)+J527*(1-H527/100),-N527)</f>
        <v>17.9855187170841</v>
      </c>
      <c r="Q527" s="54" t="n">
        <f aca="false">IF(P526&gt;0,Q526+P526*(1-V$24/100),Q526+P526)</f>
        <v>3595.06545962199</v>
      </c>
      <c r="R527" s="55" t="n">
        <f aca="false">R$4+Q527/V$32</f>
        <v>74.9626959339002</v>
      </c>
    </row>
    <row r="528" customFormat="false" ht="12.8" hidden="false" customHeight="false" outlineLevel="0" collapsed="false">
      <c r="A528" s="1" t="n">
        <v>524</v>
      </c>
      <c r="B528" s="44" t="n">
        <v>44069</v>
      </c>
      <c r="C528" s="45" t="n">
        <f aca="false">V$30-V$30*SIN(2*PI()/365*A528)</f>
        <v>9.81015077555095</v>
      </c>
      <c r="D528" s="3" t="n">
        <f aca="false">IF((E528+F528)&gt;C528,C528,E528+F528)</f>
        <v>9.81015077555095</v>
      </c>
      <c r="E528" s="46" t="n">
        <f aca="false">(V$27+V$28*SIN(2*PI()/365*A528))*V$29/100*V$9*V$10/100</f>
        <v>0</v>
      </c>
      <c r="F528" s="46" t="n">
        <f aca="false">(V$27+V$28*SIN(2*PI()/365*A528))*V$29/100*V$11*(1-V$18/100)*(1-V$20/100)</f>
        <v>25.6654868127119</v>
      </c>
      <c r="G528" s="46" t="n">
        <f aca="false">IF(C528&gt;E528,100,C528/E528*100)</f>
        <v>100</v>
      </c>
      <c r="H528" s="46" t="n">
        <f aca="false">L528/F528*100</f>
        <v>38.2231237113807</v>
      </c>
      <c r="I528" s="47" t="n">
        <f aca="false">(V$27+V$28*SIN(2*PI()/365*A528))*V$29/100*V$9*V$10/100*(1-V$19/100)</f>
        <v>0</v>
      </c>
      <c r="J528" s="47" t="n">
        <f aca="false">(V$27+V$28*SIN(2*PI()/365*A528))*V$29/100*V$11*(1-V$18/100)</f>
        <v>28.2038316623207</v>
      </c>
      <c r="K528" s="48" t="n">
        <f aca="false">IF(E528/C528*100&lt;100,E528/C528*100,100)</f>
        <v>0</v>
      </c>
      <c r="L528" s="7" t="n">
        <f aca="false">IF(((C528-E528)&gt;0)*AND(F528&gt;(C528-E528)),(C528-E528),IF(C528&lt;E528,0,F528))</f>
        <v>9.81015077555095</v>
      </c>
      <c r="M528" s="7" t="n">
        <f aca="false">IF(C528&lt;(E528+F528),0,C528-E528-F528)</f>
        <v>0</v>
      </c>
      <c r="N528" s="7" t="n">
        <f aca="false">IF(C528&lt;(E528+F528),0,(C528-E528-F528)/(1-V$20/100))</f>
        <v>0</v>
      </c>
      <c r="O528" s="7" t="n">
        <f aca="false">L528+M528</f>
        <v>9.81015077555095</v>
      </c>
      <c r="P528" s="49" t="n">
        <f aca="false">IF(N528=0,I528*(1-G528/100)+J528*(1-H528/100),-N528)</f>
        <v>17.4234461946823</v>
      </c>
      <c r="Q528" s="54" t="n">
        <f aca="false">IF(P527&gt;0,Q527+P527*(1-V$24/100),Q527+P527)</f>
        <v>3608.91430903415</v>
      </c>
      <c r="R528" s="55" t="n">
        <f aca="false">R$4+Q528/V$32</f>
        <v>75.0973786306327</v>
      </c>
    </row>
    <row r="529" customFormat="false" ht="12.8" hidden="false" customHeight="false" outlineLevel="0" collapsed="false">
      <c r="A529" s="1" t="n">
        <v>525</v>
      </c>
      <c r="B529" s="44" t="n">
        <v>44070</v>
      </c>
      <c r="C529" s="45" t="n">
        <f aca="false">V$30-V$30*SIN(2*PI()/365*A529)</f>
        <v>10.0670857553435</v>
      </c>
      <c r="D529" s="3" t="n">
        <f aca="false">IF((E529+F529)&gt;C529,C529,E529+F529)</f>
        <v>10.0670857553435</v>
      </c>
      <c r="E529" s="46" t="n">
        <f aca="false">(V$27+V$28*SIN(2*PI()/365*A529))*V$29/100*V$9*V$10/100</f>
        <v>0</v>
      </c>
      <c r="F529" s="46" t="n">
        <f aca="false">(V$27+V$28*SIN(2*PI()/365*A529))*V$29/100*V$11*(1-V$18/100)*(1-V$20/100)</f>
        <v>25.4071519931834</v>
      </c>
      <c r="G529" s="46" t="n">
        <f aca="false">IF(C529&gt;E529,100,C529/E529*100)</f>
        <v>100</v>
      </c>
      <c r="H529" s="46" t="n">
        <f aca="false">L529/F529*100</f>
        <v>39.6230390483927</v>
      </c>
      <c r="I529" s="47" t="n">
        <f aca="false">(V$27+V$28*SIN(2*PI()/365*A529))*V$29/100*V$9*V$10/100*(1-V$19/100)</f>
        <v>0</v>
      </c>
      <c r="J529" s="47" t="n">
        <f aca="false">(V$27+V$28*SIN(2*PI()/365*A529))*V$29/100*V$11*(1-V$18/100)</f>
        <v>27.9199472452565</v>
      </c>
      <c r="K529" s="48" t="n">
        <f aca="false">IF(E529/C529*100&lt;100,E529/C529*100,100)</f>
        <v>0</v>
      </c>
      <c r="L529" s="7" t="n">
        <f aca="false">IF(((C529-E529)&gt;0)*AND(F529&gt;(C529-E529)),(C529-E529),IF(C529&lt;E529,0,F529))</f>
        <v>10.0670857553435</v>
      </c>
      <c r="M529" s="7" t="n">
        <f aca="false">IF(C529&lt;(E529+F529),0,C529-E529-F529)</f>
        <v>0</v>
      </c>
      <c r="N529" s="7" t="n">
        <f aca="false">IF(C529&lt;(E529+F529),0,(C529-E529-F529)/(1-V$20/100))</f>
        <v>0</v>
      </c>
      <c r="O529" s="7" t="n">
        <f aca="false">L529+M529</f>
        <v>10.0670857553435</v>
      </c>
      <c r="P529" s="49" t="n">
        <f aca="false">IF(N529=0,I529*(1-G529/100)+J529*(1-H529/100),-N529)</f>
        <v>16.8572156459779</v>
      </c>
      <c r="Q529" s="54" t="n">
        <f aca="false">IF(P528&gt;0,Q528+P528*(1-V$24/100),Q528+P528)</f>
        <v>3622.33036260405</v>
      </c>
      <c r="R529" s="55" t="n">
        <f aca="false">R$4+Q529/V$32</f>
        <v>75.2278523054143</v>
      </c>
    </row>
    <row r="530" customFormat="false" ht="12.8" hidden="false" customHeight="false" outlineLevel="0" collapsed="false">
      <c r="A530" s="1" t="n">
        <v>526</v>
      </c>
      <c r="B530" s="44" t="n">
        <v>44071</v>
      </c>
      <c r="C530" s="45" t="n">
        <f aca="false">V$30-V$30*SIN(2*PI()/365*A530)</f>
        <v>10.3258313619711</v>
      </c>
      <c r="D530" s="3" t="n">
        <f aca="false">IF((E530+F530)&gt;C530,C530,E530+F530)</f>
        <v>10.3258313619711</v>
      </c>
      <c r="E530" s="46" t="n">
        <f aca="false">(V$27+V$28*SIN(2*PI()/365*A530))*V$29/100*V$9*V$10/100</f>
        <v>0</v>
      </c>
      <c r="F530" s="46" t="n">
        <f aca="false">(V$27+V$28*SIN(2*PI()/365*A530))*V$29/100*V$11*(1-V$18/100)*(1-V$20/100)</f>
        <v>25.1469966821165</v>
      </c>
      <c r="G530" s="46" t="n">
        <f aca="false">IF(C530&gt;E530,100,C530/E530*100)</f>
        <v>100</v>
      </c>
      <c r="H530" s="46" t="n">
        <f aca="false">L530/F530*100</f>
        <v>41.0618870018559</v>
      </c>
      <c r="I530" s="47" t="n">
        <f aca="false">(V$27+V$28*SIN(2*PI()/365*A530))*V$29/100*V$9*V$10/100*(1-V$19/100)</f>
        <v>0</v>
      </c>
      <c r="J530" s="47" t="n">
        <f aca="false">(V$27+V$28*SIN(2*PI()/365*A530))*V$29/100*V$11*(1-V$18/100)</f>
        <v>27.6340622880401</v>
      </c>
      <c r="K530" s="48" t="n">
        <f aca="false">IF(E530/C530*100&lt;100,E530/C530*100,100)</f>
        <v>0</v>
      </c>
      <c r="L530" s="7" t="n">
        <f aca="false">IF(((C530-E530)&gt;0)*AND(F530&gt;(C530-E530)),(C530-E530),IF(C530&lt;E530,0,F530))</f>
        <v>10.3258313619711</v>
      </c>
      <c r="M530" s="7" t="n">
        <f aca="false">IF(C530&lt;(E530+F530),0,C530-E530-F530)</f>
        <v>0</v>
      </c>
      <c r="N530" s="7" t="n">
        <f aca="false">IF(C530&lt;(E530+F530),0,(C530-E530-F530)/(1-V$20/100))</f>
        <v>0</v>
      </c>
      <c r="O530" s="7" t="n">
        <f aca="false">L530+M530</f>
        <v>10.3258313619711</v>
      </c>
      <c r="P530" s="49" t="n">
        <f aca="false">IF(N530=0,I530*(1-G530/100)+J530*(1-H530/100),-N530)</f>
        <v>16.2869948573026</v>
      </c>
      <c r="Q530" s="54" t="n">
        <f aca="false">IF(P529&gt;0,Q529+P529*(1-V$24/100),Q529+P529)</f>
        <v>3635.31041865145</v>
      </c>
      <c r="R530" s="55" t="n">
        <f aca="false">R$4+Q530/V$32</f>
        <v>75.3540858212953</v>
      </c>
    </row>
    <row r="531" customFormat="false" ht="12.8" hidden="false" customHeight="false" outlineLevel="0" collapsed="false">
      <c r="A531" s="1" t="n">
        <v>527</v>
      </c>
      <c r="B531" s="44" t="n">
        <v>44072</v>
      </c>
      <c r="C531" s="45" t="n">
        <f aca="false">V$30-V$30*SIN(2*PI()/365*A531)</f>
        <v>10.5863109235263</v>
      </c>
      <c r="D531" s="3" t="n">
        <f aca="false">IF((E531+F531)&gt;C531,C531,E531+F531)</f>
        <v>10.5863109235263</v>
      </c>
      <c r="E531" s="46" t="n">
        <f aca="false">(V$27+V$28*SIN(2*PI()/365*A531))*V$29/100*V$9*V$10/100</f>
        <v>0</v>
      </c>
      <c r="F531" s="46" t="n">
        <f aca="false">(V$27+V$28*SIN(2*PI()/365*A531))*V$29/100*V$11*(1-V$18/100)*(1-V$20/100)</f>
        <v>24.8850979691443</v>
      </c>
      <c r="G531" s="46" t="n">
        <f aca="false">IF(C531&gt;E531,100,C531/E531*100)</f>
        <v>100</v>
      </c>
      <c r="H531" s="46" t="n">
        <f aca="false">L531/F531*100</f>
        <v>42.5407645035295</v>
      </c>
      <c r="I531" s="47" t="n">
        <f aca="false">(V$27+V$28*SIN(2*PI()/365*A531))*V$29/100*V$9*V$10/100*(1-V$19/100)</f>
        <v>0</v>
      </c>
      <c r="J531" s="47" t="n">
        <f aca="false">(V$27+V$28*SIN(2*PI()/365*A531))*V$29/100*V$11*(1-V$18/100)</f>
        <v>27.3462615045542</v>
      </c>
      <c r="K531" s="48" t="n">
        <f aca="false">IF(E531/C531*100&lt;100,E531/C531*100,100)</f>
        <v>0</v>
      </c>
      <c r="L531" s="7" t="n">
        <f aca="false">IF(((C531-E531)&gt;0)*AND(F531&gt;(C531-E531)),(C531-E531),IF(C531&lt;E531,0,F531))</f>
        <v>10.5863109235263</v>
      </c>
      <c r="M531" s="7" t="n">
        <f aca="false">IF(C531&lt;(E531+F531),0,C531-E531-F531)</f>
        <v>0</v>
      </c>
      <c r="N531" s="7" t="n">
        <f aca="false">IF(C531&lt;(E531+F531),0,(C531-E531-F531)/(1-V$20/100))</f>
        <v>0</v>
      </c>
      <c r="O531" s="7" t="n">
        <f aca="false">L531+M531</f>
        <v>10.5863109235263</v>
      </c>
      <c r="P531" s="49" t="n">
        <f aca="false">IF(N531=0,I531*(1-G531/100)+J531*(1-H531/100),-N531)</f>
        <v>15.7129527973824</v>
      </c>
      <c r="Q531" s="54" t="n">
        <f aca="false">IF(P530&gt;0,Q530+P530*(1-V$24/100),Q530+P530)</f>
        <v>3647.85140469158</v>
      </c>
      <c r="R531" s="55" t="n">
        <f aca="false">R$4+Q531/V$32</f>
        <v>75.4760492977763</v>
      </c>
    </row>
    <row r="532" customFormat="false" ht="12.8" hidden="false" customHeight="false" outlineLevel="0" collapsed="false">
      <c r="A532" s="1" t="n">
        <v>528</v>
      </c>
      <c r="B532" s="44" t="n">
        <v>44073</v>
      </c>
      <c r="C532" s="45" t="n">
        <f aca="false">V$30-V$30*SIN(2*PI()/365*A532)</f>
        <v>10.8484472542933</v>
      </c>
      <c r="D532" s="3" t="n">
        <f aca="false">IF((E532+F532)&gt;C532,C532,E532+F532)</f>
        <v>10.8484472542933</v>
      </c>
      <c r="E532" s="46" t="n">
        <f aca="false">(V$27+V$28*SIN(2*PI()/365*A532))*V$29/100*V$9*V$10/100</f>
        <v>0</v>
      </c>
      <c r="F532" s="46" t="n">
        <f aca="false">(V$27+V$28*SIN(2*PI()/365*A532))*V$29/100*V$11*(1-V$18/100)*(1-V$20/100)</f>
        <v>24.6215334605079</v>
      </c>
      <c r="G532" s="46" t="n">
        <f aca="false">IF(C532&gt;E532,100,C532/E532*100)</f>
        <v>100</v>
      </c>
      <c r="H532" s="46" t="n">
        <f aca="false">L532/F532*100</f>
        <v>44.0608107195836</v>
      </c>
      <c r="I532" s="47" t="n">
        <f aca="false">(V$27+V$28*SIN(2*PI()/365*A532))*V$29/100*V$9*V$10/100*(1-V$19/100)</f>
        <v>0</v>
      </c>
      <c r="J532" s="47" t="n">
        <f aca="false">(V$27+V$28*SIN(2*PI()/365*A532))*V$29/100*V$11*(1-V$18/100)</f>
        <v>27.0566301763823</v>
      </c>
      <c r="K532" s="48" t="n">
        <f aca="false">IF(E532/C532*100&lt;100,E532/C532*100,100)</f>
        <v>0</v>
      </c>
      <c r="L532" s="7" t="n">
        <f aca="false">IF(((C532-E532)&gt;0)*AND(F532&gt;(C532-E532)),(C532-E532),IF(C532&lt;E532,0,F532))</f>
        <v>10.8484472542933</v>
      </c>
      <c r="M532" s="7" t="n">
        <f aca="false">IF(C532&lt;(E532+F532),0,C532-E532-F532)</f>
        <v>0</v>
      </c>
      <c r="N532" s="7" t="n">
        <f aca="false">IF(C532&lt;(E532+F532),0,(C532-E532-F532)/(1-V$20/100))</f>
        <v>0</v>
      </c>
      <c r="O532" s="7" t="n">
        <f aca="false">L532+M532</f>
        <v>10.8484472542933</v>
      </c>
      <c r="P532" s="49" t="n">
        <f aca="false">IF(N532=0,I532*(1-G532/100)+J532*(1-H532/100),-N532)</f>
        <v>15.1352595672687</v>
      </c>
      <c r="Q532" s="54" t="n">
        <f aca="false">IF(P531&gt;0,Q531+P531*(1-V$24/100),Q531+P531)</f>
        <v>3659.95037834556</v>
      </c>
      <c r="R532" s="55" t="n">
        <f aca="false">R$4+Q532/V$32</f>
        <v>75.5937141196627</v>
      </c>
    </row>
    <row r="533" customFormat="false" ht="12.8" hidden="false" customHeight="false" outlineLevel="0" collapsed="false">
      <c r="A533" s="1" t="n">
        <v>529</v>
      </c>
      <c r="B533" s="44" t="n">
        <v>44074</v>
      </c>
      <c r="C533" s="45" t="n">
        <f aca="false">V$30-V$30*SIN(2*PI()/365*A533)</f>
        <v>11.11216267762</v>
      </c>
      <c r="D533" s="3" t="n">
        <f aca="false">IF((E533+F533)&gt;C533,C533,E533+F533)</f>
        <v>11.11216267762</v>
      </c>
      <c r="E533" s="46" t="n">
        <f aca="false">(V$27+V$28*SIN(2*PI()/365*A533))*V$29/100*V$9*V$10/100</f>
        <v>0</v>
      </c>
      <c r="F533" s="46" t="n">
        <f aca="false">(V$27+V$28*SIN(2*PI()/365*A533))*V$29/100*V$11*(1-V$18/100)*(1-V$20/100)</f>
        <v>24.3563812560592</v>
      </c>
      <c r="G533" s="46" t="n">
        <f aca="false">IF(C533&gt;E533,100,C533/E533*100)</f>
        <v>100</v>
      </c>
      <c r="H533" s="46" t="n">
        <f aca="false">L533/F533*100</f>
        <v>45.6232088042866</v>
      </c>
      <c r="I533" s="47" t="n">
        <f aca="false">(V$27+V$28*SIN(2*PI()/365*A533))*V$29/100*V$9*V$10/100*(1-V$19/100)</f>
        <v>0</v>
      </c>
      <c r="J533" s="47" t="n">
        <f aca="false">(V$27+V$28*SIN(2*PI()/365*A533))*V$29/100*V$11*(1-V$18/100)</f>
        <v>26.7652541275376</v>
      </c>
      <c r="K533" s="48" t="n">
        <f aca="false">IF(E533/C533*100&lt;100,E533/C533*100,100)</f>
        <v>0</v>
      </c>
      <c r="L533" s="7" t="n">
        <f aca="false">IF(((C533-E533)&gt;0)*AND(F533&gt;(C533-E533)),(C533-E533),IF(C533&lt;E533,0,F533))</f>
        <v>11.11216267762</v>
      </c>
      <c r="M533" s="7" t="n">
        <f aca="false">IF(C533&lt;(E533+F533),0,C533-E533-F533)</f>
        <v>0</v>
      </c>
      <c r="N533" s="7" t="n">
        <f aca="false">IF(C533&lt;(E533+F533),0,(C533-E533-F533)/(1-V$20/100))</f>
        <v>0</v>
      </c>
      <c r="O533" s="7" t="n">
        <f aca="false">L533+M533</f>
        <v>11.11216267762</v>
      </c>
      <c r="P533" s="49" t="n">
        <f aca="false">IF(N533=0,I533*(1-G533/100)+J533*(1-H533/100),-N533)</f>
        <v>14.5540863499332</v>
      </c>
      <c r="Q533" s="54" t="n">
        <f aca="false">IF(P532&gt;0,Q532+P532*(1-V$24/100),Q532+P532)</f>
        <v>3671.60452821236</v>
      </c>
      <c r="R533" s="55" t="n">
        <f aca="false">R$4+Q533/V$32</f>
        <v>75.7070529455443</v>
      </c>
    </row>
    <row r="534" customFormat="false" ht="12.8" hidden="false" customHeight="false" outlineLevel="0" collapsed="false">
      <c r="A534" s="1" t="n">
        <v>530</v>
      </c>
      <c r="B534" s="44" t="n">
        <v>44075</v>
      </c>
      <c r="C534" s="45" t="n">
        <f aca="false">V$30-V$30*SIN(2*PI()/365*A534)</f>
        <v>11.377379048935</v>
      </c>
      <c r="D534" s="3" t="n">
        <f aca="false">IF((E534+F534)&gt;C534,C534,E534+F534)</f>
        <v>11.377379048935</v>
      </c>
      <c r="E534" s="46" t="n">
        <f aca="false">(V$27+V$28*SIN(2*PI()/365*A534))*V$29/100*V$9*V$10/100</f>
        <v>0</v>
      </c>
      <c r="F534" s="46" t="n">
        <f aca="false">(V$27+V$28*SIN(2*PI()/365*A534))*V$29/100*V$11*(1-V$18/100)*(1-V$20/100)</f>
        <v>24.089719926119</v>
      </c>
      <c r="G534" s="46" t="n">
        <f aca="false">IF(C534&gt;E534,100,C534/E534*100)</f>
        <v>100</v>
      </c>
      <c r="H534" s="46" t="n">
        <f aca="false">L534/F534*100</f>
        <v>47.2291877357995</v>
      </c>
      <c r="I534" s="47" t="n">
        <f aca="false">(V$27+V$28*SIN(2*PI()/365*A534))*V$29/100*V$9*V$10/100*(1-V$19/100)</f>
        <v>0</v>
      </c>
      <c r="J534" s="47" t="n">
        <f aca="false">(V$27+V$28*SIN(2*PI()/365*A534))*V$29/100*V$11*(1-V$18/100)</f>
        <v>26.4722196990318</v>
      </c>
      <c r="K534" s="48" t="n">
        <f aca="false">IF(E534/C534*100&lt;100,E534/C534*100,100)</f>
        <v>0</v>
      </c>
      <c r="L534" s="7" t="n">
        <f aca="false">IF(((C534-E534)&gt;0)*AND(F534&gt;(C534-E534)),(C534-E534),IF(C534&lt;E534,0,F534))</f>
        <v>11.377379048935</v>
      </c>
      <c r="M534" s="7" t="n">
        <f aca="false">IF(C534&lt;(E534+F534),0,C534-E534-F534)</f>
        <v>0</v>
      </c>
      <c r="N534" s="7" t="n">
        <f aca="false">IF(C534&lt;(E534+F534),0,(C534-E534-F534)/(1-V$20/100))</f>
        <v>0</v>
      </c>
      <c r="O534" s="7" t="n">
        <f aca="false">L534+M534</f>
        <v>11.377379048935</v>
      </c>
      <c r="P534" s="49" t="n">
        <f aca="false">IF(N534=0,I534*(1-G534/100)+J534*(1-H534/100),-N534)</f>
        <v>13.9696053595428</v>
      </c>
      <c r="Q534" s="54" t="n">
        <f aca="false">IF(P533&gt;0,Q533+P533*(1-V$24/100),Q533+P533)</f>
        <v>3682.81117470181</v>
      </c>
      <c r="R534" s="55" t="n">
        <f aca="false">R$4+Q534/V$32</f>
        <v>75.8160397158966</v>
      </c>
    </row>
    <row r="535" customFormat="false" ht="12.8" hidden="false" customHeight="false" outlineLevel="0" collapsed="false">
      <c r="A535" s="1" t="n">
        <v>531</v>
      </c>
      <c r="B535" s="44" t="n">
        <v>44076</v>
      </c>
      <c r="C535" s="45" t="n">
        <f aca="false">V$30-V$30*SIN(2*PI()/365*A535)</f>
        <v>11.6440177789037</v>
      </c>
      <c r="D535" s="3" t="n">
        <f aca="false">IF((E535+F535)&gt;C535,C535,E535+F535)</f>
        <v>11.6440177789037</v>
      </c>
      <c r="E535" s="46" t="n">
        <f aca="false">(V$27+V$28*SIN(2*PI()/365*A535))*V$29/100*V$9*V$10/100</f>
        <v>0</v>
      </c>
      <c r="F535" s="46" t="n">
        <f aca="false">(V$27+V$28*SIN(2*PI()/365*A535))*V$29/100*V$11*(1-V$18/100)*(1-V$20/100)</f>
        <v>23.8216284881942</v>
      </c>
      <c r="G535" s="46" t="n">
        <f aca="false">IF(C535&gt;E535,100,C535/E535*100)</f>
        <v>100</v>
      </c>
      <c r="H535" s="46" t="n">
        <f aca="false">L535/F535*100</f>
        <v>48.88002423795</v>
      </c>
      <c r="I535" s="47" t="n">
        <f aca="false">(V$27+V$28*SIN(2*PI()/365*A535))*V$29/100*V$9*V$10/100*(1-V$19/100)</f>
        <v>0</v>
      </c>
      <c r="J535" s="47" t="n">
        <f aca="false">(V$27+V$28*SIN(2*PI()/365*A535))*V$29/100*V$11*(1-V$18/100)</f>
        <v>26.1776137232903</v>
      </c>
      <c r="K535" s="48" t="n">
        <f aca="false">IF(E535/C535*100&lt;100,E535/C535*100,100)</f>
        <v>0</v>
      </c>
      <c r="L535" s="7" t="n">
        <f aca="false">IF(((C535-E535)&gt;0)*AND(F535&gt;(C535-E535)),(C535-E535),IF(C535&lt;E535,0,F535))</f>
        <v>11.6440177789037</v>
      </c>
      <c r="M535" s="7" t="n">
        <f aca="false">IF(C535&lt;(E535+F535),0,C535-E535-F535)</f>
        <v>0</v>
      </c>
      <c r="N535" s="7" t="n">
        <f aca="false">IF(C535&lt;(E535+F535),0,(C535-E535-F535)/(1-V$20/100))</f>
        <v>0</v>
      </c>
      <c r="O535" s="7" t="n">
        <f aca="false">L535+M535</f>
        <v>11.6440177789037</v>
      </c>
      <c r="P535" s="49" t="n">
        <f aca="false">IF(N535=0,I535*(1-G535/100)+J535*(1-H535/100),-N535)</f>
        <v>13.3819897904291</v>
      </c>
      <c r="Q535" s="54" t="n">
        <f aca="false">IF(P534&gt;0,Q534+P534*(1-V$24/100),Q534+P534)</f>
        <v>3693.56777082865</v>
      </c>
      <c r="R535" s="55" t="n">
        <f aca="false">R$4+Q535/V$32</f>
        <v>75.9206496608032</v>
      </c>
    </row>
    <row r="536" customFormat="false" ht="12.8" hidden="false" customHeight="false" outlineLevel="0" collapsed="false">
      <c r="A536" s="1" t="n">
        <v>532</v>
      </c>
      <c r="B536" s="44" t="n">
        <v>44077</v>
      </c>
      <c r="C536" s="45" t="n">
        <f aca="false">V$30-V$30*SIN(2*PI()/365*A536)</f>
        <v>11.9119998567158</v>
      </c>
      <c r="D536" s="3" t="n">
        <f aca="false">IF((E536+F536)&gt;C536,C536,E536+F536)</f>
        <v>11.9119998567158</v>
      </c>
      <c r="E536" s="46" t="n">
        <f aca="false">(V$27+V$28*SIN(2*PI()/365*A536))*V$29/100*V$9*V$10/100</f>
        <v>0</v>
      </c>
      <c r="F536" s="46" t="n">
        <f aca="false">(V$27+V$28*SIN(2*PI()/365*A536))*V$29/100*V$11*(1-V$18/100)*(1-V$20/100)</f>
        <v>23.5521863835639</v>
      </c>
      <c r="G536" s="46" t="n">
        <f aca="false">IF(C536&gt;E536,100,C536/E536*100)</f>
        <v>100</v>
      </c>
      <c r="H536" s="46" t="n">
        <f aca="false">L536/F536*100</f>
        <v>50.5770447920229</v>
      </c>
      <c r="I536" s="47" t="n">
        <f aca="false">(V$27+V$28*SIN(2*PI()/365*A536))*V$29/100*V$9*V$10/100*(1-V$19/100)</f>
        <v>0</v>
      </c>
      <c r="J536" s="47" t="n">
        <f aca="false">(V$27+V$28*SIN(2*PI()/365*A536))*V$29/100*V$11*(1-V$18/100)</f>
        <v>25.8815234984219</v>
      </c>
      <c r="K536" s="48" t="n">
        <f aca="false">IF(E536/C536*100&lt;100,E536/C536*100,100)</f>
        <v>0</v>
      </c>
      <c r="L536" s="7" t="n">
        <f aca="false">IF(((C536-E536)&gt;0)*AND(F536&gt;(C536-E536)),(C536-E536),IF(C536&lt;E536,0,F536))</f>
        <v>11.9119998567158</v>
      </c>
      <c r="M536" s="7" t="n">
        <f aca="false">IF(C536&lt;(E536+F536),0,C536-E536-F536)</f>
        <v>0</v>
      </c>
      <c r="N536" s="7" t="n">
        <f aca="false">IF(C536&lt;(E536+F536),0,(C536-E536-F536)/(1-V$20/100))</f>
        <v>0</v>
      </c>
      <c r="O536" s="7" t="n">
        <f aca="false">L536+M536</f>
        <v>11.9119998567158</v>
      </c>
      <c r="P536" s="49" t="n">
        <f aca="false">IF(N536=0,I536*(1-G536/100)+J536*(1-H536/100),-N536)</f>
        <v>12.7914137657671</v>
      </c>
      <c r="Q536" s="54" t="n">
        <f aca="false">IF(P535&gt;0,Q535+P535*(1-V$24/100),Q535+P535)</f>
        <v>3703.87190296728</v>
      </c>
      <c r="R536" s="55" t="n">
        <f aca="false">R$4+Q536/V$32</f>
        <v>76.0208593072956</v>
      </c>
    </row>
    <row r="537" customFormat="false" ht="12.8" hidden="false" customHeight="false" outlineLevel="0" collapsed="false">
      <c r="A537" s="1" t="n">
        <v>533</v>
      </c>
      <c r="B537" s="44" t="n">
        <v>44078</v>
      </c>
      <c r="C537" s="45" t="n">
        <f aca="false">V$30-V$30*SIN(2*PI()/365*A537)</f>
        <v>12.1812458734982</v>
      </c>
      <c r="D537" s="3" t="n">
        <f aca="false">IF((E537+F537)&gt;C537,C537,E537+F537)</f>
        <v>12.1812458734982</v>
      </c>
      <c r="E537" s="46" t="n">
        <f aca="false">(V$27+V$28*SIN(2*PI()/365*A537))*V$29/100*V$9*V$10/100</f>
        <v>0</v>
      </c>
      <c r="F537" s="46" t="n">
        <f aca="false">(V$27+V$28*SIN(2*PI()/365*A537))*V$29/100*V$11*(1-V$18/100)*(1-V$20/100)</f>
        <v>23.2814734537387</v>
      </c>
      <c r="G537" s="46" t="n">
        <f aca="false">IF(C537&gt;E537,100,C537/E537*100)</f>
        <v>100</v>
      </c>
      <c r="H537" s="46" t="n">
        <f aca="false">L537/F537*100</f>
        <v>52.3216277427752</v>
      </c>
      <c r="I537" s="47" t="n">
        <f aca="false">(V$27+V$28*SIN(2*PI()/365*A537))*V$29/100*V$9*V$10/100*(1-V$19/100)</f>
        <v>0</v>
      </c>
      <c r="J537" s="47" t="n">
        <f aca="false">(V$27+V$28*SIN(2*PI()/365*A537))*V$29/100*V$11*(1-V$18/100)</f>
        <v>25.5840367623502</v>
      </c>
      <c r="K537" s="48" t="n">
        <f aca="false">IF(E537/C537*100&lt;100,E537/C537*100,100)</f>
        <v>0</v>
      </c>
      <c r="L537" s="7" t="n">
        <f aca="false">IF(((C537-E537)&gt;0)*AND(F537&gt;(C537-E537)),(C537-E537),IF(C537&lt;E537,0,F537))</f>
        <v>12.1812458734982</v>
      </c>
      <c r="M537" s="7" t="n">
        <f aca="false">IF(C537&lt;(E537+F537),0,C537-E537-F537)</f>
        <v>0</v>
      </c>
      <c r="N537" s="7" t="n">
        <f aca="false">IF(C537&lt;(E537+F537),0,(C537-E537-F537)/(1-V$20/100))</f>
        <v>0</v>
      </c>
      <c r="O537" s="7" t="n">
        <f aca="false">L537+M537</f>
        <v>12.1812458734982</v>
      </c>
      <c r="P537" s="49" t="n">
        <f aca="false">IF(N537=0,I537*(1-G537/100)+J537*(1-H537/100),-N537)</f>
        <v>12.1980522859786</v>
      </c>
      <c r="Q537" s="54" t="n">
        <f aca="false">IF(P536&gt;0,Q536+P536*(1-V$24/100),Q536+P536)</f>
        <v>3713.72129156693</v>
      </c>
      <c r="R537" s="55" t="n">
        <f aca="false">R$4+Q537/V$32</f>
        <v>76.1166464863085</v>
      </c>
    </row>
    <row r="538" customFormat="false" ht="12.8" hidden="false" customHeight="false" outlineLevel="0" collapsed="false">
      <c r="A538" s="1" t="n">
        <v>534</v>
      </c>
      <c r="B538" s="44" t="n">
        <v>44079</v>
      </c>
      <c r="C538" s="45" t="n">
        <f aca="false">V$30-V$30*SIN(2*PI()/365*A538)</f>
        <v>12.4516760458453</v>
      </c>
      <c r="D538" s="3" t="n">
        <f aca="false">IF((E538+F538)&gt;C538,C538,E538+F538)</f>
        <v>12.4516760458453</v>
      </c>
      <c r="E538" s="46" t="n">
        <f aca="false">(V$27+V$28*SIN(2*PI()/365*A538))*V$29/100*V$9*V$10/100</f>
        <v>0</v>
      </c>
      <c r="F538" s="46" t="n">
        <f aca="false">(V$27+V$28*SIN(2*PI()/365*A538))*V$29/100*V$11*(1-V$18/100)*(1-V$20/100)</f>
        <v>23.0095699168022</v>
      </c>
      <c r="G538" s="46" t="n">
        <f aca="false">IF(C538&gt;E538,100,C538/E538*100)</f>
        <v>100</v>
      </c>
      <c r="H538" s="46" t="n">
        <f aca="false">L538/F538*100</f>
        <v>54.1152055030492</v>
      </c>
      <c r="I538" s="47" t="n">
        <f aca="false">(V$27+V$28*SIN(2*PI()/365*A538))*V$29/100*V$9*V$10/100*(1-V$19/100)</f>
        <v>0</v>
      </c>
      <c r="J538" s="47" t="n">
        <f aca="false">(V$27+V$28*SIN(2*PI()/365*A538))*V$29/100*V$11*(1-V$18/100)</f>
        <v>25.2852416668156</v>
      </c>
      <c r="K538" s="48" t="n">
        <f aca="false">IF(E538/C538*100&lt;100,E538/C538*100,100)</f>
        <v>0</v>
      </c>
      <c r="L538" s="7" t="n">
        <f aca="false">IF(((C538-E538)&gt;0)*AND(F538&gt;(C538-E538)),(C538-E538),IF(C538&lt;E538,0,F538))</f>
        <v>12.4516760458453</v>
      </c>
      <c r="M538" s="7" t="n">
        <f aca="false">IF(C538&lt;(E538+F538),0,C538-E538-F538)</f>
        <v>0</v>
      </c>
      <c r="N538" s="7" t="n">
        <f aca="false">IF(C538&lt;(E538+F538),0,(C538-E538-F538)/(1-V$20/100))</f>
        <v>0</v>
      </c>
      <c r="O538" s="7" t="n">
        <f aca="false">L538+M538</f>
        <v>12.4516760458453</v>
      </c>
      <c r="P538" s="49" t="n">
        <f aca="false">IF(N538=0,I538*(1-G538/100)+J538*(1-H538/100),-N538)</f>
        <v>11.6020811768757</v>
      </c>
      <c r="Q538" s="54" t="n">
        <f aca="false">IF(P537&gt;0,Q537+P537*(1-V$24/100),Q537+P537)</f>
        <v>3723.11379182713</v>
      </c>
      <c r="R538" s="55" t="n">
        <f aca="false">R$4+Q538/V$32</f>
        <v>76.2079903392494</v>
      </c>
    </row>
    <row r="539" customFormat="false" ht="12.8" hidden="false" customHeight="false" outlineLevel="0" collapsed="false">
      <c r="A539" s="1" t="n">
        <v>535</v>
      </c>
      <c r="B539" s="44" t="n">
        <v>44080</v>
      </c>
      <c r="C539" s="45" t="n">
        <f aca="false">V$30-V$30*SIN(2*PI()/365*A539)</f>
        <v>12.7232102394605</v>
      </c>
      <c r="D539" s="3" t="n">
        <f aca="false">IF((E539+F539)&gt;C539,C539,E539+F539)</f>
        <v>12.7232102394605</v>
      </c>
      <c r="E539" s="46" t="n">
        <f aca="false">(V$27+V$28*SIN(2*PI()/365*A539))*V$29/100*V$9*V$10/100</f>
        <v>0</v>
      </c>
      <c r="F539" s="46" t="n">
        <f aca="false">(V$27+V$28*SIN(2*PI()/365*A539))*V$29/100*V$11*(1-V$18/100)*(1-V$20/100)</f>
        <v>22.7365563436404</v>
      </c>
      <c r="G539" s="46" t="n">
        <f aca="false">IF(C539&gt;E539,100,C539/E539*100)</f>
        <v>100</v>
      </c>
      <c r="H539" s="46" t="n">
        <f aca="false">L539/F539*100</f>
        <v>55.959266861533</v>
      </c>
      <c r="I539" s="47" t="n">
        <f aca="false">(V$27+V$28*SIN(2*PI()/365*A539))*V$29/100*V$9*V$10/100*(1-V$19/100)</f>
        <v>0</v>
      </c>
      <c r="J539" s="47" t="n">
        <f aca="false">(V$27+V$28*SIN(2*PI()/365*A539))*V$29/100*V$11*(1-V$18/100)</f>
        <v>24.9852267512532</v>
      </c>
      <c r="K539" s="48" t="n">
        <f aca="false">IF(E539/C539*100&lt;100,E539/C539*100,100)</f>
        <v>0</v>
      </c>
      <c r="L539" s="7" t="n">
        <f aca="false">IF(((C539-E539)&gt;0)*AND(F539&gt;(C539-E539)),(C539-E539),IF(C539&lt;E539,0,F539))</f>
        <v>12.7232102394605</v>
      </c>
      <c r="M539" s="7" t="n">
        <f aca="false">IF(C539&lt;(E539+F539),0,C539-E539-F539)</f>
        <v>0</v>
      </c>
      <c r="N539" s="7" t="n">
        <f aca="false">IF(C539&lt;(E539+F539),0,(C539-E539-F539)/(1-V$20/100))</f>
        <v>0</v>
      </c>
      <c r="O539" s="7" t="n">
        <f aca="false">L539+M539</f>
        <v>12.7232102394605</v>
      </c>
      <c r="P539" s="49" t="n">
        <f aca="false">IF(N539=0,I539*(1-G539/100)+J539*(1-H539/100),-N539)</f>
        <v>11.0036770375603</v>
      </c>
      <c r="Q539" s="54" t="n">
        <f aca="false">IF(P538&gt;0,Q538+P538*(1-V$24/100),Q538+P538)</f>
        <v>3732.04739433332</v>
      </c>
      <c r="R539" s="55" t="n">
        <f aca="false">R$4+Q539/V$32</f>
        <v>76.294871324179</v>
      </c>
    </row>
    <row r="540" customFormat="false" ht="12.8" hidden="false" customHeight="false" outlineLevel="0" collapsed="false">
      <c r="A540" s="1" t="n">
        <v>536</v>
      </c>
      <c r="B540" s="44" t="n">
        <v>44081</v>
      </c>
      <c r="C540" s="45" t="n">
        <f aca="false">V$30-V$30*SIN(2*PI()/365*A540)</f>
        <v>12.9957679929023</v>
      </c>
      <c r="D540" s="3" t="n">
        <f aca="false">IF((E540+F540)&gt;C540,C540,E540+F540)</f>
        <v>12.9957679929023</v>
      </c>
      <c r="E540" s="46" t="n">
        <f aca="false">(V$27+V$28*SIN(2*PI()/365*A540))*V$29/100*V$9*V$10/100</f>
        <v>0</v>
      </c>
      <c r="F540" s="46" t="n">
        <f aca="false">(V$27+V$28*SIN(2*PI()/365*A540))*V$29/100*V$11*(1-V$18/100)*(1-V$20/100)</f>
        <v>22.4625136340674</v>
      </c>
      <c r="G540" s="46" t="n">
        <f aca="false">IF(C540&gt;E540,100,C540/E540*100)</f>
        <v>100</v>
      </c>
      <c r="H540" s="46" t="n">
        <f aca="false">L540/F540*100</f>
        <v>57.8553593983913</v>
      </c>
      <c r="I540" s="47" t="n">
        <f aca="false">(V$27+V$28*SIN(2*PI()/365*A540))*V$29/100*V$9*V$10/100*(1-V$19/100)</f>
        <v>0</v>
      </c>
      <c r="J540" s="47" t="n">
        <f aca="false">(V$27+V$28*SIN(2*PI()/365*A540))*V$29/100*V$11*(1-V$18/100)</f>
        <v>24.6840809165575</v>
      </c>
      <c r="K540" s="48" t="n">
        <f aca="false">IF(E540/C540*100&lt;100,E540/C540*100,100)</f>
        <v>0</v>
      </c>
      <c r="L540" s="7" t="n">
        <f aca="false">IF(((C540-E540)&gt;0)*AND(F540&gt;(C540-E540)),(C540-E540),IF(C540&lt;E540,0,F540))</f>
        <v>12.9957679929023</v>
      </c>
      <c r="M540" s="7" t="n">
        <f aca="false">IF(C540&lt;(E540+F540),0,C540-E540-F540)</f>
        <v>0</v>
      </c>
      <c r="N540" s="7" t="n">
        <f aca="false">IF(C540&lt;(E540+F540),0,(C540-E540-F540)/(1-V$20/100))</f>
        <v>0</v>
      </c>
      <c r="O540" s="7" t="n">
        <f aca="false">L540+M540</f>
        <v>12.9957679929023</v>
      </c>
      <c r="P540" s="49" t="n">
        <f aca="false">IF(N540=0,I540*(1-G540/100)+J540*(1-H540/100),-N540)</f>
        <v>10.4030171880934</v>
      </c>
      <c r="Q540" s="54" t="n">
        <f aca="false">IF(P539&gt;0,Q539+P539*(1-V$24/100),Q539+P539)</f>
        <v>3740.52022565225</v>
      </c>
      <c r="R540" s="55" t="n">
        <f aca="false">R$4+Q540/V$32</f>
        <v>76.3772712216023</v>
      </c>
    </row>
    <row r="541" customFormat="false" ht="12.8" hidden="false" customHeight="false" outlineLevel="0" collapsed="false">
      <c r="A541" s="1" t="n">
        <v>537</v>
      </c>
      <c r="B541" s="44" t="n">
        <v>44082</v>
      </c>
      <c r="C541" s="45" t="n">
        <f aca="false">V$30-V$30*SIN(2*PI()/365*A541)</f>
        <v>13.269268541426</v>
      </c>
      <c r="D541" s="3" t="n">
        <f aca="false">IF((E541+F541)&gt;C541,C541,E541+F541)</f>
        <v>13.269268541426</v>
      </c>
      <c r="E541" s="46" t="n">
        <f aca="false">(V$27+V$28*SIN(2*PI()/365*A541))*V$29/100*V$9*V$10/100</f>
        <v>0</v>
      </c>
      <c r="F541" s="46" t="n">
        <f aca="false">(V$27+V$28*SIN(2*PI()/365*A541))*V$29/100*V$11*(1-V$18/100)*(1-V$20/100)</f>
        <v>22.1875229928521</v>
      </c>
      <c r="G541" s="46" t="n">
        <f aca="false">IF(C541&gt;E541,100,C541/E541*100)</f>
        <v>100</v>
      </c>
      <c r="H541" s="46" t="n">
        <f aca="false">L541/F541*100</f>
        <v>59.8050920136547</v>
      </c>
      <c r="I541" s="47" t="n">
        <f aca="false">(V$27+V$28*SIN(2*PI()/365*A541))*V$29/100*V$9*V$10/100*(1-V$19/100)</f>
        <v>0</v>
      </c>
      <c r="J541" s="47" t="n">
        <f aca="false">(V$27+V$28*SIN(2*PI()/365*A541))*V$29/100*V$11*(1-V$18/100)</f>
        <v>24.3818933987386</v>
      </c>
      <c r="K541" s="48" t="n">
        <f aca="false">IF(E541/C541*100&lt;100,E541/C541*100,100)</f>
        <v>0</v>
      </c>
      <c r="L541" s="7" t="n">
        <f aca="false">IF(((C541-E541)&gt;0)*AND(F541&gt;(C541-E541)),(C541-E541),IF(C541&lt;E541,0,F541))</f>
        <v>13.269268541426</v>
      </c>
      <c r="M541" s="7" t="n">
        <f aca="false">IF(C541&lt;(E541+F541),0,C541-E541-F541)</f>
        <v>0</v>
      </c>
      <c r="N541" s="7" t="n">
        <f aca="false">IF(C541&lt;(E541+F541),0,(C541-E541-F541)/(1-V$20/100))</f>
        <v>0</v>
      </c>
      <c r="O541" s="7" t="n">
        <f aca="false">L541+M541</f>
        <v>13.269268541426</v>
      </c>
      <c r="P541" s="49" t="n">
        <f aca="false">IF(N541=0,I541*(1-G541/100)+J541*(1-H541/100),-N541)</f>
        <v>9.80027961695176</v>
      </c>
      <c r="Q541" s="54" t="n">
        <f aca="false">IF(P540&gt;0,Q540+P540*(1-V$24/100),Q540+P540)</f>
        <v>3748.53054888708</v>
      </c>
      <c r="R541" s="55" t="n">
        <f aca="false">R$4+Q541/V$32</f>
        <v>76.4551731398669</v>
      </c>
    </row>
    <row r="542" customFormat="false" ht="12.8" hidden="false" customHeight="false" outlineLevel="0" collapsed="false">
      <c r="A542" s="1" t="n">
        <v>538</v>
      </c>
      <c r="B542" s="44" t="n">
        <v>44083</v>
      </c>
      <c r="C542" s="45" t="n">
        <f aca="false">V$30-V$30*SIN(2*PI()/365*A542)</f>
        <v>13.5436308409163</v>
      </c>
      <c r="D542" s="3" t="n">
        <f aca="false">IF((E542+F542)&gt;C542,C542,E542+F542)</f>
        <v>13.5436308409163</v>
      </c>
      <c r="E542" s="46" t="n">
        <f aca="false">(V$27+V$28*SIN(2*PI()/365*A542))*V$29/100*V$9*V$10/100</f>
        <v>0</v>
      </c>
      <c r="F542" s="46" t="n">
        <f aca="false">(V$27+V$28*SIN(2*PI()/365*A542))*V$29/100*V$11*(1-V$18/100)*(1-V$20/100)</f>
        <v>21.9116659056564</v>
      </c>
      <c r="G542" s="46" t="n">
        <f aca="false">IF(C542&gt;E542,100,C542/E542*100)</f>
        <v>100</v>
      </c>
      <c r="H542" s="46" t="n">
        <f aca="false">L542/F542*100</f>
        <v>61.8101375734288</v>
      </c>
      <c r="I542" s="47" t="n">
        <f aca="false">(V$27+V$28*SIN(2*PI()/365*A542))*V$29/100*V$9*V$10/100*(1-V$19/100)</f>
        <v>0</v>
      </c>
      <c r="J542" s="47" t="n">
        <f aca="false">(V$27+V$28*SIN(2*PI()/365*A542))*V$29/100*V$11*(1-V$18/100)</f>
        <v>24.0787537424796</v>
      </c>
      <c r="K542" s="48" t="n">
        <f aca="false">IF(E542/C542*100&lt;100,E542/C542*100,100)</f>
        <v>0</v>
      </c>
      <c r="L542" s="7" t="n">
        <f aca="false">IF(((C542-E542)&gt;0)*AND(F542&gt;(C542-E542)),(C542-E542),IF(C542&lt;E542,0,F542))</f>
        <v>13.5436308409163</v>
      </c>
      <c r="M542" s="7" t="n">
        <f aca="false">IF(C542&lt;(E542+F542),0,C542-E542-F542)</f>
        <v>0</v>
      </c>
      <c r="N542" s="7" t="n">
        <f aca="false">IF(C542&lt;(E542+F542),0,(C542-E542-F542)/(1-V$20/100))</f>
        <v>0</v>
      </c>
      <c r="O542" s="7" t="n">
        <f aca="false">L542+M542</f>
        <v>13.5436308409163</v>
      </c>
      <c r="P542" s="49" t="n">
        <f aca="false">IF(N542=0,I542*(1-G542/100)+J542*(1-H542/100),-N542)</f>
        <v>9.19564292828583</v>
      </c>
      <c r="Q542" s="54" t="n">
        <f aca="false">IF(P541&gt;0,Q541+P541*(1-V$24/100),Q541+P541)</f>
        <v>3756.07676419213</v>
      </c>
      <c r="R542" s="55" t="n">
        <f aca="false">R$4+Q542/V$32</f>
        <v>76.5285615201692</v>
      </c>
    </row>
    <row r="543" customFormat="false" ht="12.8" hidden="false" customHeight="false" outlineLevel="0" collapsed="false">
      <c r="A543" s="1" t="n">
        <v>539</v>
      </c>
      <c r="B543" s="44" t="n">
        <v>44084</v>
      </c>
      <c r="C543" s="45" t="n">
        <f aca="false">V$30-V$30*SIN(2*PI()/365*A543)</f>
        <v>13.8187735919028</v>
      </c>
      <c r="D543" s="3" t="n">
        <f aca="false">IF((E543+F543)&gt;C543,C543,E543+F543)</f>
        <v>13.8187735919028</v>
      </c>
      <c r="E543" s="46" t="n">
        <f aca="false">(V$27+V$28*SIN(2*PI()/365*A543))*V$29/100*V$9*V$10/100</f>
        <v>0</v>
      </c>
      <c r="F543" s="46" t="n">
        <f aca="false">(V$27+V$28*SIN(2*PI()/365*A543))*V$29/100*V$11*(1-V$18/100)*(1-V$20/100)</f>
        <v>21.6350241148888</v>
      </c>
      <c r="G543" s="46" t="n">
        <f aca="false">IF(C543&gt;E543,100,C543/E543*100)</f>
        <v>100</v>
      </c>
      <c r="H543" s="46" t="n">
        <f aca="false">L543/F543*100</f>
        <v>63.8722356791506</v>
      </c>
      <c r="I543" s="47" t="n">
        <f aca="false">(V$27+V$28*SIN(2*PI()/365*A543))*V$29/100*V$9*V$10/100*(1-V$19/100)</f>
        <v>0</v>
      </c>
      <c r="J543" s="47" t="n">
        <f aca="false">(V$27+V$28*SIN(2*PI()/365*A543))*V$29/100*V$11*(1-V$18/100)</f>
        <v>23.7747517746031</v>
      </c>
      <c r="K543" s="48" t="n">
        <f aca="false">IF(E543/C543*100&lt;100,E543/C543*100,100)</f>
        <v>0</v>
      </c>
      <c r="L543" s="7" t="n">
        <f aca="false">IF(((C543-E543)&gt;0)*AND(F543&gt;(C543-E543)),(C543-E543),IF(C543&lt;E543,0,F543))</f>
        <v>13.8187735919028</v>
      </c>
      <c r="M543" s="7" t="n">
        <f aca="false">IF(C543&lt;(E543+F543),0,C543-E543-F543)</f>
        <v>0</v>
      </c>
      <c r="N543" s="7" t="n">
        <f aca="false">IF(C543&lt;(E543+F543),0,(C543-E543-F543)/(1-V$20/100))</f>
        <v>0</v>
      </c>
      <c r="O543" s="7" t="n">
        <f aca="false">L543+M543</f>
        <v>13.8187735919028</v>
      </c>
      <c r="P543" s="49" t="n">
        <f aca="false">IF(N543=0,I543*(1-G543/100)+J543*(1-H543/100),-N543)</f>
        <v>8.58928628899558</v>
      </c>
      <c r="Q543" s="54" t="n">
        <f aca="false">IF(P542&gt;0,Q542+P542*(1-V$24/100),Q542+P542)</f>
        <v>3763.15740924691</v>
      </c>
      <c r="R543" s="55" t="n">
        <f aca="false">R$4+Q543/V$32</f>
        <v>76.5974221411639</v>
      </c>
    </row>
    <row r="544" customFormat="false" ht="12.8" hidden="false" customHeight="false" outlineLevel="0" collapsed="false">
      <c r="A544" s="1" t="n">
        <v>540</v>
      </c>
      <c r="B544" s="44" t="n">
        <v>44085</v>
      </c>
      <c r="C544" s="45" t="n">
        <f aca="false">V$30-V$30*SIN(2*PI()/365*A544)</f>
        <v>14.0946152636503</v>
      </c>
      <c r="D544" s="3" t="n">
        <f aca="false">IF((E544+F544)&gt;C544,C544,E544+F544)</f>
        <v>14.0946152636503</v>
      </c>
      <c r="E544" s="46" t="n">
        <f aca="false">(V$27+V$28*SIN(2*PI()/365*A544))*V$29/100*V$9*V$10/100</f>
        <v>0</v>
      </c>
      <c r="F544" s="46" t="n">
        <f aca="false">(V$27+V$28*SIN(2*PI()/365*A544))*V$29/100*V$11*(1-V$18/100)*(1-V$20/100)</f>
        <v>21.3576795954823</v>
      </c>
      <c r="G544" s="46" t="n">
        <f aca="false">IF(C544&gt;E544,100,C544/E544*100)</f>
        <v>100</v>
      </c>
      <c r="H544" s="46" t="n">
        <f aca="false">L544/F544*100</f>
        <v>65.9931955652698</v>
      </c>
      <c r="I544" s="47" t="n">
        <f aca="false">(V$27+V$28*SIN(2*PI()/365*A544))*V$29/100*V$9*V$10/100*(1-V$19/100)</f>
        <v>0</v>
      </c>
      <c r="J544" s="47" t="n">
        <f aca="false">(V$27+V$28*SIN(2*PI()/365*A544))*V$29/100*V$11*(1-V$18/100)</f>
        <v>23.469977577453</v>
      </c>
      <c r="K544" s="48" t="n">
        <f aca="false">IF(E544/C544*100&lt;100,E544/C544*100,100)</f>
        <v>0</v>
      </c>
      <c r="L544" s="7" t="n">
        <f aca="false">IF(((C544-E544)&gt;0)*AND(F544&gt;(C544-E544)),(C544-E544),IF(C544&lt;E544,0,F544))</f>
        <v>14.0946152636503</v>
      </c>
      <c r="M544" s="7" t="n">
        <f aca="false">IF(C544&lt;(E544+F544),0,C544-E544-F544)</f>
        <v>0</v>
      </c>
      <c r="N544" s="7" t="n">
        <f aca="false">IF(C544&lt;(E544+F544),0,(C544-E544-F544)/(1-V$20/100))</f>
        <v>0</v>
      </c>
      <c r="O544" s="7" t="n">
        <f aca="false">L544+M544</f>
        <v>14.0946152636503</v>
      </c>
      <c r="P544" s="49" t="n">
        <f aca="false">IF(N544=0,I544*(1-G544/100)+J544*(1-H544/100),-N544)</f>
        <v>7.98138937563949</v>
      </c>
      <c r="Q544" s="54" t="n">
        <f aca="false">IF(P543&gt;0,Q543+P543*(1-V$24/100),Q543+P543)</f>
        <v>3769.77115968944</v>
      </c>
      <c r="R544" s="55" t="n">
        <f aca="false">R$4+Q544/V$32</f>
        <v>76.6617421231787</v>
      </c>
    </row>
    <row r="545" customFormat="false" ht="12.8" hidden="false" customHeight="false" outlineLevel="0" collapsed="false">
      <c r="A545" s="1" t="n">
        <v>541</v>
      </c>
      <c r="B545" s="44" t="n">
        <v>44086</v>
      </c>
      <c r="C545" s="45" t="n">
        <f aca="false">V$30-V$30*SIN(2*PI()/365*A545)</f>
        <v>14.3710741183183</v>
      </c>
      <c r="D545" s="3" t="n">
        <f aca="false">IF((E545+F545)&gt;C545,C545,E545+F545)</f>
        <v>14.3710741183183</v>
      </c>
      <c r="E545" s="46" t="n">
        <f aca="false">(V$27+V$28*SIN(2*PI()/365*A545))*V$29/100*V$9*V$10/100</f>
        <v>0</v>
      </c>
      <c r="F545" s="46" t="n">
        <f aca="false">(V$27+V$28*SIN(2*PI()/365*A545))*V$29/100*V$11*(1-V$18/100)*(1-V$20/100)</f>
        <v>21.0797145306034</v>
      </c>
      <c r="G545" s="46" t="n">
        <f aca="false">IF(C545&gt;E545,100,C545/E545*100)</f>
        <v>100</v>
      </c>
      <c r="H545" s="46" t="n">
        <f aca="false">L545/F545*100</f>
        <v>68.1748991308894</v>
      </c>
      <c r="I545" s="47" t="n">
        <f aca="false">(V$27+V$28*SIN(2*PI()/365*A545))*V$29/100*V$9*V$10/100*(1-V$19/100)</f>
        <v>0</v>
      </c>
      <c r="J545" s="47" t="n">
        <f aca="false">(V$27+V$28*SIN(2*PI()/365*A545))*V$29/100*V$11*(1-V$18/100)</f>
        <v>23.1645214622015</v>
      </c>
      <c r="K545" s="48" t="n">
        <f aca="false">IF(E545/C545*100&lt;100,E545/C545*100,100)</f>
        <v>0</v>
      </c>
      <c r="L545" s="7" t="n">
        <f aca="false">IF(((C545-E545)&gt;0)*AND(F545&gt;(C545-E545)),(C545-E545),IF(C545&lt;E545,0,F545))</f>
        <v>14.3710741183183</v>
      </c>
      <c r="M545" s="7" t="n">
        <f aca="false">IF(C545&lt;(E545+F545),0,C545-E545-F545)</f>
        <v>0</v>
      </c>
      <c r="N545" s="7" t="n">
        <f aca="false">IF(C545&lt;(E545+F545),0,(C545-E545-F545)/(1-V$20/100))</f>
        <v>0</v>
      </c>
      <c r="O545" s="7" t="n">
        <f aca="false">L545+M545</f>
        <v>14.3710741183183</v>
      </c>
      <c r="P545" s="49" t="n">
        <f aca="false">IF(N545=0,I545*(1-G545/100)+J545*(1-H545/100),-N545)</f>
        <v>7.37213232119241</v>
      </c>
      <c r="Q545" s="54" t="n">
        <f aca="false">IF(P544&gt;0,Q544+P544*(1-V$24/100),Q544+P544)</f>
        <v>3775.91682950868</v>
      </c>
      <c r="R545" s="55" t="n">
        <f aca="false">R$4+Q545/V$32</f>
        <v>76.7215099320304</v>
      </c>
    </row>
    <row r="546" customFormat="false" ht="12.8" hidden="false" customHeight="false" outlineLevel="0" collapsed="false">
      <c r="A546" s="1" t="n">
        <v>542</v>
      </c>
      <c r="B546" s="44" t="n">
        <v>44087</v>
      </c>
      <c r="C546" s="45" t="n">
        <f aca="false">V$30-V$30*SIN(2*PI()/365*A546)</f>
        <v>14.6480682351816</v>
      </c>
      <c r="D546" s="3" t="n">
        <f aca="false">IF((E546+F546)&gt;C546,C546,E546+F546)</f>
        <v>14.6480682351816</v>
      </c>
      <c r="E546" s="46" t="n">
        <f aca="false">(V$27+V$28*SIN(2*PI()/365*A546))*V$29/100*V$9*V$10/100</f>
        <v>0</v>
      </c>
      <c r="F546" s="46" t="n">
        <f aca="false">(V$27+V$28*SIN(2*PI()/365*A546))*V$29/100*V$11*(1-V$18/100)*(1-V$20/100)</f>
        <v>20.8012112873</v>
      </c>
      <c r="G546" s="46" t="n">
        <f aca="false">IF(C546&gt;E546,100,C546/E546*100)</f>
        <v>100</v>
      </c>
      <c r="H546" s="46" t="n">
        <f aca="false">L546/F546*100</f>
        <v>70.4193041110297</v>
      </c>
      <c r="I546" s="47" t="n">
        <f aca="false">(V$27+V$28*SIN(2*PI()/365*A546))*V$29/100*V$9*V$10/100*(1-V$19/100)</f>
        <v>0</v>
      </c>
      <c r="J546" s="47" t="n">
        <f aca="false">(V$27+V$28*SIN(2*PI()/365*A546))*V$29/100*V$11*(1-V$18/100)</f>
        <v>22.8584739420879</v>
      </c>
      <c r="K546" s="48" t="n">
        <f aca="false">IF(E546/C546*100&lt;100,E546/C546*100,100)</f>
        <v>0</v>
      </c>
      <c r="L546" s="7" t="n">
        <f aca="false">IF(((C546-E546)&gt;0)*AND(F546&gt;(C546-E546)),(C546-E546),IF(C546&lt;E546,0,F546))</f>
        <v>14.6480682351816</v>
      </c>
      <c r="M546" s="7" t="n">
        <f aca="false">IF(C546&lt;(E546+F546),0,C546-E546-F546)</f>
        <v>0</v>
      </c>
      <c r="N546" s="7" t="n">
        <f aca="false">IF(C546&lt;(E546+F546),0,(C546-E546-F546)/(1-V$20/100))</f>
        <v>0</v>
      </c>
      <c r="O546" s="7" t="n">
        <f aca="false">L546+M546</f>
        <v>14.6480682351816</v>
      </c>
      <c r="P546" s="49" t="n">
        <f aca="false">IF(N546=0,I546*(1-G546/100)+J546*(1-H546/100),-N546)</f>
        <v>6.76169566166854</v>
      </c>
      <c r="Q546" s="54" t="n">
        <f aca="false">IF(P545&gt;0,Q545+P545*(1-V$24/100),Q545+P545)</f>
        <v>3781.593371396</v>
      </c>
      <c r="R546" s="55" t="n">
        <f aca="false">R$4+Q546/V$32</f>
        <v>76.7767153824434</v>
      </c>
    </row>
    <row r="547" customFormat="false" ht="12.8" hidden="false" customHeight="false" outlineLevel="0" collapsed="false">
      <c r="A547" s="1" t="n">
        <v>543</v>
      </c>
      <c r="B547" s="44" t="n">
        <v>44088</v>
      </c>
      <c r="C547" s="45" t="n">
        <f aca="false">V$30-V$30*SIN(2*PI()/365*A547)</f>
        <v>14.9255155349055</v>
      </c>
      <c r="D547" s="3" t="n">
        <f aca="false">IF((E547+F547)&gt;C547,C547,E547+F547)</f>
        <v>14.9255155349055</v>
      </c>
      <c r="E547" s="46" t="n">
        <f aca="false">(V$27+V$28*SIN(2*PI()/365*A547))*V$29/100*V$9*V$10/100</f>
        <v>0</v>
      </c>
      <c r="F547" s="46" t="n">
        <f aca="false">(V$27+V$28*SIN(2*PI()/365*A547))*V$29/100*V$11*(1-V$18/100)*(1-V$20/100)</f>
        <v>20.5222523920936</v>
      </c>
      <c r="G547" s="46" t="n">
        <f aca="false">IF(C547&gt;E547,100,C547/E547*100)</f>
        <v>100</v>
      </c>
      <c r="H547" s="46" t="n">
        <f aca="false">L547/F547*100</f>
        <v>72.7284473933069</v>
      </c>
      <c r="I547" s="47" t="n">
        <f aca="false">(V$27+V$28*SIN(2*PI()/365*A547))*V$29/100*V$9*V$10/100*(1-V$19/100)</f>
        <v>0</v>
      </c>
      <c r="J547" s="47" t="n">
        <f aca="false">(V$27+V$28*SIN(2*PI()/365*A547))*V$29/100*V$11*(1-V$18/100)</f>
        <v>22.5519257055974</v>
      </c>
      <c r="K547" s="48" t="n">
        <f aca="false">IF(E547/C547*100&lt;100,E547/C547*100,100)</f>
        <v>0</v>
      </c>
      <c r="L547" s="7" t="n">
        <f aca="false">IF(((C547-E547)&gt;0)*AND(F547&gt;(C547-E547)),(C547-E547),IF(C547&lt;E547,0,F547))</f>
        <v>14.9255155349055</v>
      </c>
      <c r="M547" s="7" t="n">
        <f aca="false">IF(C547&lt;(E547+F547),0,C547-E547-F547)</f>
        <v>0</v>
      </c>
      <c r="N547" s="7" t="n">
        <f aca="false">IF(C547&lt;(E547+F547),0,(C547-E547-F547)/(1-V$20/100))</f>
        <v>0</v>
      </c>
      <c r="O547" s="7" t="n">
        <f aca="false">L547+M547</f>
        <v>14.9255155349055</v>
      </c>
      <c r="P547" s="49" t="n">
        <f aca="false">IF(N547=0,I547*(1-G547/100)+J547*(1-H547/100),-N547)</f>
        <v>6.15026028262433</v>
      </c>
      <c r="Q547" s="54" t="n">
        <f aca="false">IF(P546&gt;0,Q546+P546*(1-V$24/100),Q546+P546)</f>
        <v>3786.79987705548</v>
      </c>
      <c r="R547" s="55" t="n">
        <f aca="false">R$4+Q547/V$32</f>
        <v>76.8273496410668</v>
      </c>
    </row>
    <row r="548" customFormat="false" ht="12.8" hidden="false" customHeight="false" outlineLevel="0" collapsed="false">
      <c r="A548" s="1" t="n">
        <v>544</v>
      </c>
      <c r="B548" s="44" t="n">
        <v>44089</v>
      </c>
      <c r="C548" s="45" t="n">
        <f aca="false">V$30-V$30*SIN(2*PI()/365*A548)</f>
        <v>15.2033338038671</v>
      </c>
      <c r="D548" s="3" t="n">
        <f aca="false">IF((E548+F548)&gt;C548,C548,E548+F548)</f>
        <v>15.2033338038671</v>
      </c>
      <c r="E548" s="46" t="n">
        <f aca="false">(V$27+V$28*SIN(2*PI()/365*A548))*V$29/100*V$9*V$10/100</f>
        <v>0</v>
      </c>
      <c r="F548" s="46" t="n">
        <f aca="false">(V$27+V$28*SIN(2*PI()/365*A548))*V$29/100*V$11*(1-V$18/100)*(1-V$20/100)</f>
        <v>20.2429205065253</v>
      </c>
      <c r="G548" s="46" t="n">
        <f aca="false">IF(C548&gt;E548,100,C548/E548*100)</f>
        <v>100</v>
      </c>
      <c r="H548" s="46" t="n">
        <f aca="false">L548/F548*100</f>
        <v>75.1044484859108</v>
      </c>
      <c r="I548" s="47" t="n">
        <f aca="false">(V$27+V$28*SIN(2*PI()/365*A548))*V$29/100*V$9*V$10/100*(1-V$19/100)</f>
        <v>0</v>
      </c>
      <c r="J548" s="47" t="n">
        <f aca="false">(V$27+V$28*SIN(2*PI()/365*A548))*V$29/100*V$11*(1-V$18/100)</f>
        <v>22.2449675895882</v>
      </c>
      <c r="K548" s="48" t="n">
        <f aca="false">IF(E548/C548*100&lt;100,E548/C548*100,100)</f>
        <v>0</v>
      </c>
      <c r="L548" s="7" t="n">
        <f aca="false">IF(((C548-E548)&gt;0)*AND(F548&gt;(C548-E548)),(C548-E548),IF(C548&lt;E548,0,F548))</f>
        <v>15.2033338038671</v>
      </c>
      <c r="M548" s="7" t="n">
        <f aca="false">IF(C548&lt;(E548+F548),0,C548-E548-F548)</f>
        <v>0</v>
      </c>
      <c r="N548" s="7" t="n">
        <f aca="false">IF(C548&lt;(E548+F548),0,(C548-E548-F548)/(1-V$20/100))</f>
        <v>0</v>
      </c>
      <c r="O548" s="7" t="n">
        <f aca="false">L548+M548</f>
        <v>15.2033338038671</v>
      </c>
      <c r="P548" s="49" t="n">
        <f aca="false">IF(N548=0,I548*(1-G548/100)+J548*(1-H548/100),-N548)</f>
        <v>5.53800736555838</v>
      </c>
      <c r="Q548" s="54" t="n">
        <f aca="false">IF(P547&gt;0,Q547+P547*(1-V$24/100),Q547+P547)</f>
        <v>3791.5355774731</v>
      </c>
      <c r="R548" s="55" t="n">
        <f aca="false">R$4+Q548/V$32</f>
        <v>76.8734052290929</v>
      </c>
    </row>
    <row r="549" customFormat="false" ht="12.8" hidden="false" customHeight="false" outlineLevel="0" collapsed="false">
      <c r="A549" s="1" t="n">
        <v>545</v>
      </c>
      <c r="B549" s="44" t="n">
        <v>44090</v>
      </c>
      <c r="C549" s="45" t="n">
        <f aca="false">V$30-V$30*SIN(2*PI()/365*A549)</f>
        <v>15.4814407185177</v>
      </c>
      <c r="D549" s="3" t="n">
        <f aca="false">IF((E549+F549)&gt;C549,C549,E549+F549)</f>
        <v>15.4814407185177</v>
      </c>
      <c r="E549" s="46" t="n">
        <f aca="false">(V$27+V$28*SIN(2*PI()/365*A549))*V$29/100*V$9*V$10/100</f>
        <v>0</v>
      </c>
      <c r="F549" s="46" t="n">
        <f aca="false">(V$27+V$28*SIN(2*PI()/365*A549))*V$29/100*V$11*(1-V$18/100)*(1-V$20/100)</f>
        <v>19.9632984026612</v>
      </c>
      <c r="G549" s="46" t="n">
        <f aca="false">IF(C549&gt;E549,100,C549/E549*100)</f>
        <v>100</v>
      </c>
      <c r="H549" s="46" t="n">
        <f aca="false">L549/F549*100</f>
        <v>77.5495131428478</v>
      </c>
      <c r="I549" s="47" t="n">
        <f aca="false">(V$27+V$28*SIN(2*PI()/365*A549))*V$29/100*V$9*V$10/100*(1-V$19/100)</f>
        <v>0</v>
      </c>
      <c r="J549" s="47" t="n">
        <f aca="false">(V$27+V$28*SIN(2*PI()/365*A549))*V$29/100*V$11*(1-V$18/100)</f>
        <v>21.937690552375</v>
      </c>
      <c r="K549" s="48" t="n">
        <f aca="false">IF(E549/C549*100&lt;100,E549/C549*100,100)</f>
        <v>0</v>
      </c>
      <c r="L549" s="7" t="n">
        <f aca="false">IF(((C549-E549)&gt;0)*AND(F549&gt;(C549-E549)),(C549-E549),IF(C549&lt;E549,0,F549))</f>
        <v>15.4814407185177</v>
      </c>
      <c r="M549" s="7" t="n">
        <f aca="false">IF(C549&lt;(E549+F549),0,C549-E549-F549)</f>
        <v>0</v>
      </c>
      <c r="N549" s="7" t="n">
        <f aca="false">IF(C549&lt;(E549+F549),0,(C549-E549-F549)/(1-V$20/100))</f>
        <v>0</v>
      </c>
      <c r="O549" s="7" t="n">
        <f aca="false">L549+M549</f>
        <v>15.4814407185177</v>
      </c>
      <c r="P549" s="49" t="n">
        <f aca="false">IF(N549=0,I549*(1-G549/100)+J549*(1-H549/100),-N549)</f>
        <v>4.92511833422367</v>
      </c>
      <c r="Q549" s="54" t="n">
        <f aca="false">IF(P548&gt;0,Q548+P548*(1-V$24/100),Q548+P548)</f>
        <v>3795.79984314458</v>
      </c>
      <c r="R549" s="55" t="n">
        <f aca="false">R$4+Q549/V$32</f>
        <v>76.9148760244728</v>
      </c>
    </row>
    <row r="550" customFormat="false" ht="12.8" hidden="false" customHeight="false" outlineLevel="0" collapsed="false">
      <c r="A550" s="1" t="n">
        <v>546</v>
      </c>
      <c r="B550" s="44" t="n">
        <v>44091</v>
      </c>
      <c r="C550" s="45" t="n">
        <f aca="false">V$30-V$30*SIN(2*PI()/365*A550)</f>
        <v>15.7597538697763</v>
      </c>
      <c r="D550" s="3" t="n">
        <f aca="false">IF((E550+F550)&gt;C550,C550,E550+F550)</f>
        <v>15.7597538697763</v>
      </c>
      <c r="E550" s="46" t="n">
        <f aca="false">(V$27+V$28*SIN(2*PI()/365*A550))*V$29/100*V$9*V$10/100</f>
        <v>0</v>
      </c>
      <c r="F550" s="46" t="n">
        <f aca="false">(V$27+V$28*SIN(2*PI()/365*A550))*V$29/100*V$11*(1-V$18/100)*(1-V$20/100)</f>
        <v>19.6834689385656</v>
      </c>
      <c r="G550" s="46" t="n">
        <f aca="false">IF(C550&gt;E550,100,C550/E550*100)</f>
        <v>100</v>
      </c>
      <c r="H550" s="46" t="n">
        <f aca="false">L550/F550*100</f>
        <v>80.0659371524621</v>
      </c>
      <c r="I550" s="47" t="n">
        <f aca="false">(V$27+V$28*SIN(2*PI()/365*A550))*V$29/100*V$9*V$10/100*(1-V$19/100)</f>
        <v>0</v>
      </c>
      <c r="J550" s="47" t="n">
        <f aca="false">(V$27+V$28*SIN(2*PI()/365*A550))*V$29/100*V$11*(1-V$18/100)</f>
        <v>21.6301856467753</v>
      </c>
      <c r="K550" s="48" t="n">
        <f aca="false">IF(E550/C550*100&lt;100,E550/C550*100,100)</f>
        <v>0</v>
      </c>
      <c r="L550" s="7" t="n">
        <f aca="false">IF(((C550-E550)&gt;0)*AND(F550&gt;(C550-E550)),(C550-E550),IF(C550&lt;E550,0,F550))</f>
        <v>15.7597538697763</v>
      </c>
      <c r="M550" s="7" t="n">
        <f aca="false">IF(C550&lt;(E550+F550),0,C550-E550-F550)</f>
        <v>0</v>
      </c>
      <c r="N550" s="7" t="n">
        <f aca="false">IF(C550&lt;(E550+F550),0,(C550-E550-F550)/(1-V$20/100))</f>
        <v>0</v>
      </c>
      <c r="O550" s="7" t="n">
        <f aca="false">L550+M550</f>
        <v>15.7597538697763</v>
      </c>
      <c r="P550" s="49" t="n">
        <f aca="false">IF(N550=0,I550*(1-G550/100)+J550*(1-H550/100),-N550)</f>
        <v>4.31177480086732</v>
      </c>
      <c r="Q550" s="54" t="n">
        <f aca="false">IF(P549&gt;0,Q549+P549*(1-V$24/100),Q549+P549)</f>
        <v>3799.59218426194</v>
      </c>
      <c r="R550" s="55" t="n">
        <f aca="false">R$4+Q550/V$32</f>
        <v>76.9517572637306</v>
      </c>
    </row>
    <row r="551" customFormat="false" ht="12.8" hidden="false" customHeight="false" outlineLevel="0" collapsed="false">
      <c r="A551" s="1" t="n">
        <v>547</v>
      </c>
      <c r="B551" s="44" t="n">
        <v>44092</v>
      </c>
      <c r="C551" s="45" t="n">
        <f aca="false">V$30-V$30*SIN(2*PI()/365*A551)</f>
        <v>16.0381907874498</v>
      </c>
      <c r="D551" s="3" t="n">
        <f aca="false">IF((E551+F551)&gt;C551,C551,E551+F551)</f>
        <v>16.0381907874498</v>
      </c>
      <c r="E551" s="46" t="n">
        <f aca="false">(V$27+V$28*SIN(2*PI()/365*A551))*V$29/100*V$9*V$10/100</f>
        <v>0</v>
      </c>
      <c r="F551" s="46" t="n">
        <f aca="false">(V$27+V$28*SIN(2*PI()/365*A551))*V$29/100*V$11*(1-V$18/100)*(1-V$20/100)</f>
        <v>19.4035150337477</v>
      </c>
      <c r="G551" s="46" t="n">
        <f aca="false">IF(C551&gt;E551,100,C551/E551*100)</f>
        <v>100</v>
      </c>
      <c r="H551" s="46" t="n">
        <f aca="false">L551/F551*100</f>
        <v>82.6561102952495</v>
      </c>
      <c r="I551" s="47" t="n">
        <f aca="false">(V$27+V$28*SIN(2*PI()/365*A551))*V$29/100*V$9*V$10/100*(1-V$19/100)</f>
        <v>0</v>
      </c>
      <c r="J551" s="47" t="n">
        <f aca="false">(V$27+V$28*SIN(2*PI()/365*A551))*V$29/100*V$11*(1-V$18/100)</f>
        <v>21.3225439931293</v>
      </c>
      <c r="K551" s="48" t="n">
        <f aca="false">IF(E551/C551*100&lt;100,E551/C551*100,100)</f>
        <v>0</v>
      </c>
      <c r="L551" s="7" t="n">
        <f aca="false">IF(((C551-E551)&gt;0)*AND(F551&gt;(C551-E551)),(C551-E551),IF(C551&lt;E551,0,F551))</f>
        <v>16.0381907874498</v>
      </c>
      <c r="M551" s="7" t="n">
        <f aca="false">IF(C551&lt;(E551+F551),0,C551-E551-F551)</f>
        <v>0</v>
      </c>
      <c r="N551" s="7" t="n">
        <f aca="false">IF(C551&lt;(E551+F551),0,(C551-E551-F551)/(1-V$20/100))</f>
        <v>0</v>
      </c>
      <c r="O551" s="7" t="n">
        <f aca="false">L551+M551</f>
        <v>16.0381907874498</v>
      </c>
      <c r="P551" s="49" t="n">
        <f aca="false">IF(N551=0,I551*(1-G551/100)+J551*(1-H551/100),-N551)</f>
        <v>3.69815851241526</v>
      </c>
      <c r="Q551" s="54" t="n">
        <f aca="false">IF(P550&gt;0,Q550+P550*(1-V$24/100),Q550+P550)</f>
        <v>3802.9122508586</v>
      </c>
      <c r="R551" s="55" t="n">
        <f aca="false">R$4+Q551/V$32</f>
        <v>76.9840455433748</v>
      </c>
    </row>
    <row r="552" customFormat="false" ht="12.8" hidden="false" customHeight="false" outlineLevel="0" collapsed="false">
      <c r="A552" s="1" t="n">
        <v>548</v>
      </c>
      <c r="B552" s="44" t="n">
        <v>44093</v>
      </c>
      <c r="C552" s="45" t="n">
        <f aca="false">V$30-V$30*SIN(2*PI()/365*A552)</f>
        <v>16.3166689646702</v>
      </c>
      <c r="D552" s="3" t="n">
        <f aca="false">IF((E552+F552)&gt;C552,C552,E552+F552)</f>
        <v>16.3166689646702</v>
      </c>
      <c r="E552" s="46" t="n">
        <f aca="false">(V$27+V$28*SIN(2*PI()/365*A552))*V$29/100*V$9*V$10/100</f>
        <v>0</v>
      </c>
      <c r="F552" s="46" t="n">
        <f aca="false">(V$27+V$28*SIN(2*PI()/365*A552))*V$29/100*V$11*(1-V$18/100)*(1-V$20/100)</f>
        <v>19.1235196445915</v>
      </c>
      <c r="G552" s="46" t="n">
        <f aca="false">IF(C552&gt;E552,100,C552/E552*100)</f>
        <v>100</v>
      </c>
      <c r="H552" s="46" t="n">
        <f aca="false">L552/F552*100</f>
        <v>85.3225204769504</v>
      </c>
      <c r="I552" s="47" t="n">
        <f aca="false">(V$27+V$28*SIN(2*PI()/365*A552))*V$29/100*V$9*V$10/100*(1-V$19/100)</f>
        <v>0</v>
      </c>
      <c r="J552" s="47" t="n">
        <f aca="false">(V$27+V$28*SIN(2*PI()/365*A552))*V$29/100*V$11*(1-V$18/100)</f>
        <v>21.0148567522983</v>
      </c>
      <c r="K552" s="48" t="n">
        <f aca="false">IF(E552/C552*100&lt;100,E552/C552*100,100)</f>
        <v>0</v>
      </c>
      <c r="L552" s="7" t="n">
        <f aca="false">IF(((C552-E552)&gt;0)*AND(F552&gt;(C552-E552)),(C552-E552),IF(C552&lt;E552,0,F552))</f>
        <v>16.3166689646702</v>
      </c>
      <c r="M552" s="7" t="n">
        <f aca="false">IF(C552&lt;(E552+F552),0,C552-E552-F552)</f>
        <v>0</v>
      </c>
      <c r="N552" s="7" t="n">
        <f aca="false">IF(C552&lt;(E552+F552),0,(C552-E552-F552)/(1-V$20/100))</f>
        <v>0</v>
      </c>
      <c r="O552" s="7" t="n">
        <f aca="false">L552+M552</f>
        <v>16.3166689646702</v>
      </c>
      <c r="P552" s="49" t="n">
        <f aca="false">IF(N552=0,I552*(1-G552/100)+J552*(1-H552/100),-N552)</f>
        <v>3.08445129661679</v>
      </c>
      <c r="Q552" s="54" t="n">
        <f aca="false">IF(P551&gt;0,Q551+P551*(1-V$24/100),Q551+P551)</f>
        <v>3805.75983291316</v>
      </c>
      <c r="R552" s="55" t="n">
        <f aca="false">R$4+Q552/V$32</f>
        <v>77.0117388209072</v>
      </c>
    </row>
    <row r="553" customFormat="false" ht="12.8" hidden="false" customHeight="false" outlineLevel="0" collapsed="false">
      <c r="A553" s="1" t="n">
        <v>549</v>
      </c>
      <c r="B553" s="44" t="n">
        <v>44094</v>
      </c>
      <c r="C553" s="45" t="n">
        <f aca="false">V$30-V$30*SIN(2*PI()/365*A553)</f>
        <v>16.5951058823437</v>
      </c>
      <c r="D553" s="3" t="n">
        <f aca="false">IF((E553+F553)&gt;C553,C553,E553+F553)</f>
        <v>16.5951058823437</v>
      </c>
      <c r="E553" s="46" t="n">
        <f aca="false">(V$27+V$28*SIN(2*PI()/365*A553))*V$29/100*V$9*V$10/100</f>
        <v>0</v>
      </c>
      <c r="F553" s="46" t="n">
        <f aca="false">(V$27+V$28*SIN(2*PI()/365*A553))*V$29/100*V$11*(1-V$18/100)*(1-V$20/100)</f>
        <v>18.8435657397736</v>
      </c>
      <c r="G553" s="46" t="n">
        <f aca="false">IF(C553&gt;E553,100,C553/E553*100)</f>
        <v>100</v>
      </c>
      <c r="H553" s="46" t="n">
        <f aca="false">L553/F553*100</f>
        <v>88.0677580428205</v>
      </c>
      <c r="I553" s="47" t="n">
        <f aca="false">(V$27+V$28*SIN(2*PI()/365*A553))*V$29/100*V$9*V$10/100*(1-V$19/100)</f>
        <v>0</v>
      </c>
      <c r="J553" s="47" t="n">
        <f aca="false">(V$27+V$28*SIN(2*PI()/365*A553))*V$29/100*V$11*(1-V$18/100)</f>
        <v>20.7072150986523</v>
      </c>
      <c r="K553" s="48" t="n">
        <f aca="false">IF(E553/C553*100&lt;100,E553/C553*100,100)</f>
        <v>0</v>
      </c>
      <c r="L553" s="7" t="n">
        <f aca="false">IF(((C553-E553)&gt;0)*AND(F553&gt;(C553-E553)),(C553-E553),IF(C553&lt;E553,0,F553))</f>
        <v>16.5951058823437</v>
      </c>
      <c r="M553" s="7" t="n">
        <f aca="false">IF(C553&lt;(E553+F553),0,C553-E553-F553)</f>
        <v>0</v>
      </c>
      <c r="N553" s="7" t="n">
        <f aca="false">IF(C553&lt;(E553+F553),0,(C553-E553-F553)/(1-V$20/100))</f>
        <v>0</v>
      </c>
      <c r="O553" s="7" t="n">
        <f aca="false">L553+M553</f>
        <v>16.5951058823437</v>
      </c>
      <c r="P553" s="49" t="n">
        <f aca="false">IF(N553=0,I553*(1-G553/100)+J553*(1-H553/100),-N553)</f>
        <v>2.47083500816479</v>
      </c>
      <c r="Q553" s="54" t="n">
        <f aca="false">IF(P552&gt;0,Q552+P552*(1-V$24/100),Q552+P552)</f>
        <v>3808.13486041156</v>
      </c>
      <c r="R553" s="55" t="n">
        <f aca="false">R$4+Q553/V$32</f>
        <v>77.0348364154277</v>
      </c>
    </row>
    <row r="554" customFormat="false" ht="12.8" hidden="false" customHeight="false" outlineLevel="0" collapsed="false">
      <c r="A554" s="1" t="n">
        <v>550</v>
      </c>
      <c r="B554" s="44" t="n">
        <v>44095</v>
      </c>
      <c r="C554" s="45" t="n">
        <f aca="false">V$30-V$30*SIN(2*PI()/365*A554)</f>
        <v>16.8734190336023</v>
      </c>
      <c r="D554" s="3" t="n">
        <f aca="false">IF((E554+F554)&gt;C554,C554,E554+F554)</f>
        <v>16.8734190336023</v>
      </c>
      <c r="E554" s="46" t="n">
        <f aca="false">(V$27+V$28*SIN(2*PI()/365*A554))*V$29/100*V$9*V$10/100</f>
        <v>0</v>
      </c>
      <c r="F554" s="46" t="n">
        <f aca="false">(V$27+V$28*SIN(2*PI()/365*A554))*V$29/100*V$11*(1-V$18/100)*(1-V$20/100)</f>
        <v>18.563736275678</v>
      </c>
      <c r="G554" s="46" t="n">
        <f aca="false">IF(C554&gt;E554,100,C554/E554*100)</f>
        <v>100</v>
      </c>
      <c r="H554" s="46" t="n">
        <f aca="false">L554/F554*100</f>
        <v>90.8945202788173</v>
      </c>
      <c r="I554" s="47" t="n">
        <f aca="false">(V$27+V$28*SIN(2*PI()/365*A554))*V$29/100*V$9*V$10/100*(1-V$19/100)</f>
        <v>0</v>
      </c>
      <c r="J554" s="47" t="n">
        <f aca="false">(V$27+V$28*SIN(2*PI()/365*A554))*V$29/100*V$11*(1-V$18/100)</f>
        <v>20.3997101930527</v>
      </c>
      <c r="K554" s="48" t="n">
        <f aca="false">IF(E554/C554*100&lt;100,E554/C554*100,100)</f>
        <v>0</v>
      </c>
      <c r="L554" s="7" t="n">
        <f aca="false">IF(((C554-E554)&gt;0)*AND(F554&gt;(C554-E554)),(C554-E554),IF(C554&lt;E554,0,F554))</f>
        <v>16.8734190336023</v>
      </c>
      <c r="M554" s="7" t="n">
        <f aca="false">IF(C554&lt;(E554+F554),0,C554-E554-F554)</f>
        <v>0</v>
      </c>
      <c r="N554" s="7" t="n">
        <f aca="false">IF(C554&lt;(E554+F554),0,(C554-E554-F554)/(1-V$20/100))</f>
        <v>0</v>
      </c>
      <c r="O554" s="7" t="n">
        <f aca="false">L554+M554</f>
        <v>16.8734190336023</v>
      </c>
      <c r="P554" s="49" t="n">
        <f aca="false">IF(N554=0,I554*(1-G554/100)+J554*(1-H554/100),-N554)</f>
        <v>1.85749147480845</v>
      </c>
      <c r="Q554" s="54" t="n">
        <f aca="false">IF(P553&gt;0,Q553+P553*(1-V$24/100),Q553+P553)</f>
        <v>3810.03740336784</v>
      </c>
      <c r="R554" s="55" t="n">
        <f aca="false">R$4+Q554/V$32</f>
        <v>77.0533390078364</v>
      </c>
    </row>
    <row r="555" customFormat="false" ht="12.8" hidden="false" customHeight="false" outlineLevel="0" collapsed="false">
      <c r="A555" s="1" t="n">
        <v>551</v>
      </c>
      <c r="B555" s="44" t="n">
        <v>44096</v>
      </c>
      <c r="C555" s="45" t="n">
        <f aca="false">V$30-V$30*SIN(2*PI()/365*A555)</f>
        <v>17.1515259482529</v>
      </c>
      <c r="D555" s="3" t="n">
        <f aca="false">IF((E555+F555)&gt;C555,C555,E555+F555)</f>
        <v>17.1515259482529</v>
      </c>
      <c r="E555" s="46" t="n">
        <f aca="false">(V$27+V$28*SIN(2*PI()/365*A555))*V$29/100*V$9*V$10/100</f>
        <v>0</v>
      </c>
      <c r="F555" s="46" t="n">
        <f aca="false">(V$27+V$28*SIN(2*PI()/365*A555))*V$29/100*V$11*(1-V$18/100)*(1-V$20/100)</f>
        <v>18.2841141718139</v>
      </c>
      <c r="G555" s="46" t="n">
        <f aca="false">IF(C555&gt;E555,100,C555/E555*100)</f>
        <v>100</v>
      </c>
      <c r="H555" s="46" t="n">
        <f aca="false">L555/F555*100</f>
        <v>93.8056161052254</v>
      </c>
      <c r="I555" s="47" t="n">
        <f aca="false">(V$27+V$28*SIN(2*PI()/365*A555))*V$29/100*V$9*V$10/100*(1-V$19/100)</f>
        <v>0</v>
      </c>
      <c r="J555" s="47" t="n">
        <f aca="false">(V$27+V$28*SIN(2*PI()/365*A555))*V$29/100*V$11*(1-V$18/100)</f>
        <v>20.0924331558395</v>
      </c>
      <c r="K555" s="48" t="n">
        <f aca="false">IF(E555/C555*100&lt;100,E555/C555*100,100)</f>
        <v>0</v>
      </c>
      <c r="L555" s="7" t="n">
        <f aca="false">IF(((C555-E555)&gt;0)*AND(F555&gt;(C555-E555)),(C555-E555),IF(C555&lt;E555,0,F555))</f>
        <v>17.1515259482529</v>
      </c>
      <c r="M555" s="7" t="n">
        <f aca="false">IF(C555&lt;(E555+F555),0,C555-E555-F555)</f>
        <v>0</v>
      </c>
      <c r="N555" s="7" t="n">
        <f aca="false">IF(C555&lt;(E555+F555),0,(C555-E555-F555)/(1-V$20/100))</f>
        <v>0</v>
      </c>
      <c r="O555" s="7" t="n">
        <f aca="false">L555+M555</f>
        <v>17.1515259482529</v>
      </c>
      <c r="P555" s="49" t="n">
        <f aca="false">IF(N555=0,I555*(1-G555/100)+J555*(1-H555/100),-N555)</f>
        <v>1.24460244347367</v>
      </c>
      <c r="Q555" s="54" t="n">
        <f aca="false">IF(P554&gt;0,Q554+P554*(1-V$24/100),Q554+P554)</f>
        <v>3811.46767180345</v>
      </c>
      <c r="R555" s="55" t="n">
        <f aca="false">R$4+Q555/V$32</f>
        <v>77.0672486406315</v>
      </c>
    </row>
    <row r="556" customFormat="false" ht="12.8" hidden="false" customHeight="false" outlineLevel="0" collapsed="false">
      <c r="A556" s="1" t="n">
        <v>552</v>
      </c>
      <c r="B556" s="44" t="n">
        <v>44097</v>
      </c>
      <c r="C556" s="45" t="n">
        <f aca="false">V$30-V$30*SIN(2*PI()/365*A556)</f>
        <v>17.4293442172145</v>
      </c>
      <c r="D556" s="3" t="n">
        <f aca="false">IF((E556+F556)&gt;C556,C556,E556+F556)</f>
        <v>17.4293442172145</v>
      </c>
      <c r="E556" s="46" t="n">
        <f aca="false">(V$27+V$28*SIN(2*PI()/365*A556))*V$29/100*V$9*V$10/100</f>
        <v>0</v>
      </c>
      <c r="F556" s="46" t="n">
        <f aca="false">(V$27+V$28*SIN(2*PI()/365*A556))*V$29/100*V$11*(1-V$18/100)*(1-V$20/100)</f>
        <v>18.0047822862456</v>
      </c>
      <c r="G556" s="46" t="n">
        <f aca="false">IF(C556&gt;E556,100,C556/E556*100)</f>
        <v>100</v>
      </c>
      <c r="H556" s="46" t="n">
        <f aca="false">L556/F556*100</f>
        <v>96.8039709679207</v>
      </c>
      <c r="I556" s="47" t="n">
        <f aca="false">(V$27+V$28*SIN(2*PI()/365*A556))*V$29/100*V$9*V$10/100*(1-V$19/100)</f>
        <v>0</v>
      </c>
      <c r="J556" s="47" t="n">
        <f aca="false">(V$27+V$28*SIN(2*PI()/365*A556))*V$29/100*V$11*(1-V$18/100)</f>
        <v>19.7854750398303</v>
      </c>
      <c r="K556" s="48" t="n">
        <f aca="false">IF(E556/C556*100&lt;100,E556/C556*100,100)</f>
        <v>0</v>
      </c>
      <c r="L556" s="7" t="n">
        <f aca="false">IF(((C556-E556)&gt;0)*AND(F556&gt;(C556-E556)),(C556-E556),IF(C556&lt;E556,0,F556))</f>
        <v>17.4293442172145</v>
      </c>
      <c r="M556" s="7" t="n">
        <f aca="false">IF(C556&lt;(E556+F556),0,C556-E556-F556)</f>
        <v>0</v>
      </c>
      <c r="N556" s="7" t="n">
        <f aca="false">IF(C556&lt;(E556+F556),0,(C556-E556-F556)/(1-V$20/100))</f>
        <v>0</v>
      </c>
      <c r="O556" s="7" t="n">
        <f aca="false">L556+M556</f>
        <v>17.4293442172145</v>
      </c>
      <c r="P556" s="49" t="n">
        <f aca="false">IF(N556=0,I556*(1-G556/100)+J556*(1-H556/100),-N556)</f>
        <v>0.632349526407791</v>
      </c>
      <c r="Q556" s="54" t="n">
        <f aca="false">IF(P555&gt;0,Q555+P555*(1-V$24/100),Q555+P555)</f>
        <v>3812.42601568492</v>
      </c>
      <c r="R556" s="55" t="n">
        <f aca="false">R$4+Q556/V$32</f>
        <v>77.0765687173045</v>
      </c>
    </row>
    <row r="557" customFormat="false" ht="12.8" hidden="false" customHeight="false" outlineLevel="0" collapsed="false">
      <c r="A557" s="1" t="n">
        <v>553</v>
      </c>
      <c r="B557" s="44" t="n">
        <v>44098</v>
      </c>
      <c r="C557" s="45" t="n">
        <f aca="false">V$30-V$30*SIN(2*PI()/365*A557)</f>
        <v>17.7067915169383</v>
      </c>
      <c r="D557" s="3" t="n">
        <f aca="false">IF((E557+F557)&gt;C557,C557,E557+F557)</f>
        <v>17.7067915169383</v>
      </c>
      <c r="E557" s="46" t="n">
        <f aca="false">(V$27+V$28*SIN(2*PI()/365*A557))*V$29/100*V$9*V$10/100</f>
        <v>0</v>
      </c>
      <c r="F557" s="46" t="n">
        <f aca="false">(V$27+V$28*SIN(2*PI()/365*A557))*V$29/100*V$11*(1-V$18/100)*(1-V$20/100)</f>
        <v>17.7258233910392</v>
      </c>
      <c r="G557" s="46" t="n">
        <f aca="false">IF(C557&gt;E557,100,C557/E557*100)</f>
        <v>100</v>
      </c>
      <c r="H557" s="46" t="n">
        <f aca="false">L557/F557*100</f>
        <v>99.8926319320632</v>
      </c>
      <c r="I557" s="47" t="n">
        <f aca="false">(V$27+V$28*SIN(2*PI()/365*A557))*V$29/100*V$9*V$10/100*(1-V$19/100)</f>
        <v>0</v>
      </c>
      <c r="J557" s="47" t="n">
        <f aca="false">(V$27+V$28*SIN(2*PI()/365*A557))*V$29/100*V$11*(1-V$18/100)</f>
        <v>19.4789268033398</v>
      </c>
      <c r="K557" s="48" t="n">
        <f aca="false">IF(E557/C557*100&lt;100,E557/C557*100,100)</f>
        <v>0</v>
      </c>
      <c r="L557" s="7" t="n">
        <f aca="false">IF(((C557-E557)&gt;0)*AND(F557&gt;(C557-E557)),(C557-E557),IF(C557&lt;E557,0,F557))</f>
        <v>17.7067915169383</v>
      </c>
      <c r="M557" s="7" t="n">
        <f aca="false">IF(C557&lt;(E557+F557),0,C557-E557-F557)</f>
        <v>0</v>
      </c>
      <c r="N557" s="7" t="n">
        <f aca="false">IF(C557&lt;(E557+F557),0,(C557-E557-F557)/(1-V$20/100))</f>
        <v>0</v>
      </c>
      <c r="O557" s="7" t="n">
        <f aca="false">L557+M557</f>
        <v>17.7067915169383</v>
      </c>
      <c r="P557" s="49" t="n">
        <f aca="false">IF(N557=0,I557*(1-G557/100)+J557*(1-H557/100),-N557)</f>
        <v>0.0209141473635775</v>
      </c>
      <c r="Q557" s="54" t="n">
        <f aca="false">IF(P556&gt;0,Q556+P556*(1-V$24/100),Q556+P556)</f>
        <v>3812.91292482026</v>
      </c>
      <c r="R557" s="55" t="n">
        <f aca="false">R$4+Q557/V$32</f>
        <v>77.0813040013313</v>
      </c>
    </row>
    <row r="558" customFormat="false" ht="12.8" hidden="false" customHeight="false" outlineLevel="0" collapsed="false">
      <c r="A558" s="1" t="n">
        <v>554</v>
      </c>
      <c r="B558" s="44" t="n">
        <v>44099</v>
      </c>
      <c r="C558" s="45" t="n">
        <f aca="false">V$30-V$30*SIN(2*PI()/365*A558)</f>
        <v>17.9837856338017</v>
      </c>
      <c r="D558" s="3" t="n">
        <f aca="false">IF((E558+F558)&gt;C558,C558,E558+F558)</f>
        <v>17.4473201477358</v>
      </c>
      <c r="E558" s="46" t="n">
        <f aca="false">(V$27+V$28*SIN(2*PI()/365*A558))*V$29/100*V$9*V$10/100</f>
        <v>0</v>
      </c>
      <c r="F558" s="46" t="n">
        <f aca="false">(V$27+V$28*SIN(2*PI()/365*A558))*V$29/100*V$11*(1-V$18/100)*(1-V$20/100)</f>
        <v>17.4473201477358</v>
      </c>
      <c r="G558" s="46" t="n">
        <f aca="false">IF(C558&gt;E558,100,C558/E558*100)</f>
        <v>100</v>
      </c>
      <c r="H558" s="46" t="n">
        <f aca="false">L558/F558*100</f>
        <v>100</v>
      </c>
      <c r="I558" s="47" t="n">
        <f aca="false">(V$27+V$28*SIN(2*PI()/365*A558))*V$29/100*V$9*V$10/100*(1-V$19/100)</f>
        <v>0</v>
      </c>
      <c r="J558" s="47" t="n">
        <f aca="false">(V$27+V$28*SIN(2*PI()/365*A558))*V$29/100*V$11*(1-V$18/100)</f>
        <v>19.1728792832261</v>
      </c>
      <c r="K558" s="48" t="n">
        <f aca="false">IF(E558/C558*100&lt;100,E558/C558*100,100)</f>
        <v>0</v>
      </c>
      <c r="L558" s="7" t="n">
        <f aca="false">IF(((C558-E558)&gt;0)*AND(F558&gt;(C558-E558)),(C558-E558),IF(C558&lt;E558,0,F558))</f>
        <v>17.4473201477358</v>
      </c>
      <c r="M558" s="7" t="n">
        <f aca="false">IF(C558&lt;(E558+F558),0,C558-E558-F558)</f>
        <v>0.536465486065922</v>
      </c>
      <c r="N558" s="7" t="n">
        <f aca="false">IF(C558&lt;(E558+F558),0,(C558-E558-F558)/(1-V$20/100))</f>
        <v>0.589522512160353</v>
      </c>
      <c r="O558" s="7" t="n">
        <f aca="false">L558+M558</f>
        <v>17.9837856338017</v>
      </c>
      <c r="P558" s="49" t="n">
        <f aca="false">IF(N558=0,I558*(1-G558/100)+J558*(1-H558/100),-N558)</f>
        <v>-0.589522512160353</v>
      </c>
      <c r="Q558" s="54" t="n">
        <f aca="false">IF(P557&gt;0,Q557+P557*(1-V$24/100),Q557+P557)</f>
        <v>3812.92902871373</v>
      </c>
      <c r="R558" s="55" t="n">
        <f aca="false">R$4+Q558/V$32</f>
        <v>77.0814606147607</v>
      </c>
    </row>
    <row r="559" customFormat="false" ht="12.8" hidden="false" customHeight="false" outlineLevel="0" collapsed="false">
      <c r="A559" s="1" t="n">
        <v>555</v>
      </c>
      <c r="B559" s="44" t="n">
        <v>44100</v>
      </c>
      <c r="C559" s="45" t="n">
        <f aca="false">V$30-V$30*SIN(2*PI()/365*A559)</f>
        <v>18.2602444884696</v>
      </c>
      <c r="D559" s="3" t="n">
        <f aca="false">IF((E559+F559)&gt;C559,C559,E559+F559)</f>
        <v>17.1693550828569</v>
      </c>
      <c r="E559" s="46" t="n">
        <f aca="false">(V$27+V$28*SIN(2*PI()/365*A559))*V$29/100*V$9*V$10/100</f>
        <v>0</v>
      </c>
      <c r="F559" s="46" t="n">
        <f aca="false">(V$27+V$28*SIN(2*PI()/365*A559))*V$29/100*V$11*(1-V$18/100)*(1-V$20/100)</f>
        <v>17.1693550828569</v>
      </c>
      <c r="G559" s="46" t="n">
        <f aca="false">IF(C559&gt;E559,100,C559/E559*100)</f>
        <v>100</v>
      </c>
      <c r="H559" s="46" t="n">
        <f aca="false">L559/F559*100</f>
        <v>100</v>
      </c>
      <c r="I559" s="47" t="n">
        <f aca="false">(V$27+V$28*SIN(2*PI()/365*A559))*V$29/100*V$9*V$10/100*(1-V$19/100)</f>
        <v>0</v>
      </c>
      <c r="J559" s="47" t="n">
        <f aca="false">(V$27+V$28*SIN(2*PI()/365*A559))*V$29/100*V$11*(1-V$18/100)</f>
        <v>18.8674231679747</v>
      </c>
      <c r="K559" s="48" t="n">
        <f aca="false">IF(E559/C559*100&lt;100,E559/C559*100,100)</f>
        <v>0</v>
      </c>
      <c r="L559" s="7" t="n">
        <f aca="false">IF(((C559-E559)&gt;0)*AND(F559&gt;(C559-E559)),(C559-E559),IF(C559&lt;E559,0,F559))</f>
        <v>17.1693550828569</v>
      </c>
      <c r="M559" s="7" t="n">
        <f aca="false">IF(C559&lt;(E559+F559),0,C559-E559-F559)</f>
        <v>1.09088940561271</v>
      </c>
      <c r="N559" s="7" t="n">
        <f aca="false">IF(C559&lt;(E559+F559),0,(C559-E559-F559)/(1-V$20/100))</f>
        <v>1.19877956660737</v>
      </c>
      <c r="O559" s="7" t="n">
        <f aca="false">L559+M559</f>
        <v>18.2602444884696</v>
      </c>
      <c r="P559" s="49" t="n">
        <f aca="false">IF(N559=0,I559*(1-G559/100)+J559*(1-H559/100),-N559)</f>
        <v>-1.19877956660737</v>
      </c>
      <c r="Q559" s="54" t="n">
        <f aca="false">IF(P558&gt;0,Q558+P558*(1-V$24/100),Q558+P558)</f>
        <v>3812.33950620157</v>
      </c>
      <c r="R559" s="55" t="n">
        <f aca="false">R$4+Q559/V$32</f>
        <v>77.0757273961114</v>
      </c>
    </row>
    <row r="560" customFormat="false" ht="12.8" hidden="false" customHeight="false" outlineLevel="0" collapsed="false">
      <c r="A560" s="1" t="n">
        <v>556</v>
      </c>
      <c r="B560" s="44" t="n">
        <v>44101</v>
      </c>
      <c r="C560" s="45" t="n">
        <f aca="false">V$30-V$30*SIN(2*PI()/365*A560)</f>
        <v>18.5360861602171</v>
      </c>
      <c r="D560" s="3" t="n">
        <f aca="false">IF((E560+F560)&gt;C560,C560,E560+F560)</f>
        <v>16.8920105634504</v>
      </c>
      <c r="E560" s="46" t="n">
        <f aca="false">(V$27+V$28*SIN(2*PI()/365*A560))*V$29/100*V$9*V$10/100</f>
        <v>0</v>
      </c>
      <c r="F560" s="46" t="n">
        <f aca="false">(V$27+V$28*SIN(2*PI()/365*A560))*V$29/100*V$11*(1-V$18/100)*(1-V$20/100)</f>
        <v>16.8920105634504</v>
      </c>
      <c r="G560" s="46" t="n">
        <f aca="false">IF(C560&gt;E560,100,C560/E560*100)</f>
        <v>100</v>
      </c>
      <c r="H560" s="46" t="n">
        <f aca="false">L560/F560*100</f>
        <v>100</v>
      </c>
      <c r="I560" s="47" t="n">
        <f aca="false">(V$27+V$28*SIN(2*PI()/365*A560))*V$29/100*V$9*V$10/100*(1-V$19/100)</f>
        <v>0</v>
      </c>
      <c r="J560" s="47" t="n">
        <f aca="false">(V$27+V$28*SIN(2*PI()/365*A560))*V$29/100*V$11*(1-V$18/100)</f>
        <v>18.5626489708246</v>
      </c>
      <c r="K560" s="48" t="n">
        <f aca="false">IF(E560/C560*100&lt;100,E560/C560*100,100)</f>
        <v>0</v>
      </c>
      <c r="L560" s="7" t="n">
        <f aca="false">IF(((C560-E560)&gt;0)*AND(F560&gt;(C560-E560)),(C560-E560),IF(C560&lt;E560,0,F560))</f>
        <v>16.8920105634504</v>
      </c>
      <c r="M560" s="7" t="n">
        <f aca="false">IF(C560&lt;(E560+F560),0,C560-E560-F560)</f>
        <v>1.64407559676675</v>
      </c>
      <c r="N560" s="7" t="n">
        <f aca="false">IF(C560&lt;(E560+F560),0,(C560-E560-F560)/(1-V$20/100))</f>
        <v>1.80667647996346</v>
      </c>
      <c r="O560" s="7" t="n">
        <f aca="false">L560+M560</f>
        <v>18.5360861602171</v>
      </c>
      <c r="P560" s="49" t="n">
        <f aca="false">IF(N560=0,I560*(1-G560/100)+J560*(1-H560/100),-N560)</f>
        <v>-1.80667647996346</v>
      </c>
      <c r="Q560" s="54" t="n">
        <f aca="false">IF(P559&gt;0,Q559+P559*(1-V$24/100),Q559+P559)</f>
        <v>3811.14072663496</v>
      </c>
      <c r="R560" s="55" t="n">
        <f aca="false">R$4+Q560/V$32</f>
        <v>77.0640690366323</v>
      </c>
    </row>
    <row r="561" customFormat="false" ht="12.8" hidden="false" customHeight="false" outlineLevel="0" collapsed="false">
      <c r="A561" s="1" t="n">
        <v>557</v>
      </c>
      <c r="B561" s="44" t="n">
        <v>44102</v>
      </c>
      <c r="C561" s="45" t="n">
        <f aca="false">V$30-V$30*SIN(2*PI()/365*A561)</f>
        <v>18.8112289112036</v>
      </c>
      <c r="D561" s="3" t="n">
        <f aca="false">IF((E561+F561)&gt;C561,C561,E561+F561)</f>
        <v>16.6153687726827</v>
      </c>
      <c r="E561" s="46" t="n">
        <f aca="false">(V$27+V$28*SIN(2*PI()/365*A561))*V$29/100*V$9*V$10/100</f>
        <v>0</v>
      </c>
      <c r="F561" s="46" t="n">
        <f aca="false">(V$27+V$28*SIN(2*PI()/365*A561))*V$29/100*V$11*(1-V$18/100)*(1-V$20/100)</f>
        <v>16.6153687726827</v>
      </c>
      <c r="G561" s="46" t="n">
        <f aca="false">IF(C561&gt;E561,100,C561/E561*100)</f>
        <v>100</v>
      </c>
      <c r="H561" s="46" t="n">
        <f aca="false">L561/F561*100</f>
        <v>100</v>
      </c>
      <c r="I561" s="47" t="n">
        <f aca="false">(V$27+V$28*SIN(2*PI()/365*A561))*V$29/100*V$9*V$10/100*(1-V$19/100)</f>
        <v>0</v>
      </c>
      <c r="J561" s="47" t="n">
        <f aca="false">(V$27+V$28*SIN(2*PI()/365*A561))*V$29/100*V$11*(1-V$18/100)</f>
        <v>18.258647002948</v>
      </c>
      <c r="K561" s="48" t="n">
        <f aca="false">IF(E561/C561*100&lt;100,E561/C561*100,100)</f>
        <v>0</v>
      </c>
      <c r="L561" s="7" t="n">
        <f aca="false">IF(((C561-E561)&gt;0)*AND(F561&gt;(C561-E561)),(C561-E561),IF(C561&lt;E561,0,F561))</f>
        <v>16.6153687726827</v>
      </c>
      <c r="M561" s="7" t="n">
        <f aca="false">IF(C561&lt;(E561+F561),0,C561-E561-F561)</f>
        <v>2.19586013852093</v>
      </c>
      <c r="N561" s="7" t="n">
        <f aca="false">IF(C561&lt;(E561+F561),0,(C561-E561-F561)/(1-V$20/100))</f>
        <v>2.41303311925377</v>
      </c>
      <c r="O561" s="7" t="n">
        <f aca="false">L561+M561</f>
        <v>18.8112289112036</v>
      </c>
      <c r="P561" s="49" t="n">
        <f aca="false">IF(N561=0,I561*(1-G561/100)+J561*(1-H561/100),-N561)</f>
        <v>-2.41303311925377</v>
      </c>
      <c r="Q561" s="54" t="n">
        <f aca="false">IF(P560&gt;0,Q560+P560*(1-V$24/100),Q560+P560)</f>
        <v>3809.33405015499</v>
      </c>
      <c r="R561" s="55" t="n">
        <f aca="false">R$4+Q561/V$32</f>
        <v>77.0464987639545</v>
      </c>
    </row>
    <row r="562" customFormat="false" ht="12.8" hidden="false" customHeight="false" outlineLevel="0" collapsed="false">
      <c r="A562" s="1" t="n">
        <v>558</v>
      </c>
      <c r="B562" s="44" t="n">
        <v>44103</v>
      </c>
      <c r="C562" s="45" t="n">
        <f aca="false">V$30-V$30*SIN(2*PI()/365*A562)</f>
        <v>19.085591210694</v>
      </c>
      <c r="D562" s="3" t="n">
        <f aca="false">IF((E562+F562)&gt;C562,C562,E562+F562)</f>
        <v>16.3395116854871</v>
      </c>
      <c r="E562" s="46" t="n">
        <f aca="false">(V$27+V$28*SIN(2*PI()/365*A562))*V$29/100*V$9*V$10/100</f>
        <v>0</v>
      </c>
      <c r="F562" s="46" t="n">
        <f aca="false">(V$27+V$28*SIN(2*PI()/365*A562))*V$29/100*V$11*(1-V$18/100)*(1-V$20/100)</f>
        <v>16.3395116854871</v>
      </c>
      <c r="G562" s="46" t="n">
        <f aca="false">IF(C562&gt;E562,100,C562/E562*100)</f>
        <v>100</v>
      </c>
      <c r="H562" s="46" t="n">
        <f aca="false">L562/F562*100</f>
        <v>100</v>
      </c>
      <c r="I562" s="47" t="n">
        <f aca="false">(V$27+V$28*SIN(2*PI()/365*A562))*V$29/100*V$9*V$10/100*(1-V$19/100)</f>
        <v>0</v>
      </c>
      <c r="J562" s="47" t="n">
        <f aca="false">(V$27+V$28*SIN(2*PI()/365*A562))*V$29/100*V$11*(1-V$18/100)</f>
        <v>17.9555073466891</v>
      </c>
      <c r="K562" s="48" t="n">
        <f aca="false">IF(E562/C562*100&lt;100,E562/C562*100,100)</f>
        <v>0</v>
      </c>
      <c r="L562" s="7" t="n">
        <f aca="false">IF(((C562-E562)&gt;0)*AND(F562&gt;(C562-E562)),(C562-E562),IF(C562&lt;E562,0,F562))</f>
        <v>16.3395116854871</v>
      </c>
      <c r="M562" s="7" t="n">
        <f aca="false">IF(C562&lt;(E562+F562),0,C562-E562-F562)</f>
        <v>2.74607952520693</v>
      </c>
      <c r="N562" s="7" t="n">
        <f aca="false">IF(C562&lt;(E562+F562),0,(C562-E562-F562)/(1-V$20/100))</f>
        <v>3.0176698079197</v>
      </c>
      <c r="O562" s="7" t="n">
        <f aca="false">L562+M562</f>
        <v>19.085591210694</v>
      </c>
      <c r="P562" s="49" t="n">
        <f aca="false">IF(N562=0,I562*(1-G562/100)+J562*(1-H562/100),-N562)</f>
        <v>-3.0176698079197</v>
      </c>
      <c r="Q562" s="54" t="n">
        <f aca="false">IF(P561&gt;0,Q561+P561*(1-V$24/100),Q561+P561)</f>
        <v>3806.92101703574</v>
      </c>
      <c r="R562" s="55" t="n">
        <f aca="false">R$4+Q562/V$32</f>
        <v>77.0230315575366</v>
      </c>
    </row>
    <row r="563" customFormat="false" ht="12.8" hidden="false" customHeight="false" outlineLevel="0" collapsed="false">
      <c r="A563" s="1" t="n">
        <v>559</v>
      </c>
      <c r="B563" s="44" t="n">
        <v>44104</v>
      </c>
      <c r="C563" s="45" t="n">
        <f aca="false">V$30-V$30*SIN(2*PI()/365*A563)</f>
        <v>19.3590917592176</v>
      </c>
      <c r="D563" s="3" t="n">
        <f aca="false">IF((E563+F563)&gt;C563,C563,E563+F563)</f>
        <v>16.0645210442718</v>
      </c>
      <c r="E563" s="46" t="n">
        <f aca="false">(V$27+V$28*SIN(2*PI()/365*A563))*V$29/100*V$9*V$10/100</f>
        <v>0</v>
      </c>
      <c r="F563" s="46" t="n">
        <f aca="false">(V$27+V$28*SIN(2*PI()/365*A563))*V$29/100*V$11*(1-V$18/100)*(1-V$20/100)</f>
        <v>16.0645210442718</v>
      </c>
      <c r="G563" s="46" t="n">
        <f aca="false">IF(C563&gt;E563,100,C563/E563*100)</f>
        <v>100</v>
      </c>
      <c r="H563" s="46" t="n">
        <f aca="false">L563/F563*100</f>
        <v>100</v>
      </c>
      <c r="I563" s="47" t="n">
        <f aca="false">(V$27+V$28*SIN(2*PI()/365*A563))*V$29/100*V$9*V$10/100*(1-V$19/100)</f>
        <v>0</v>
      </c>
      <c r="J563" s="47" t="n">
        <f aca="false">(V$27+V$28*SIN(2*PI()/365*A563))*V$29/100*V$11*(1-V$18/100)</f>
        <v>17.6533198288701</v>
      </c>
      <c r="K563" s="48" t="n">
        <f aca="false">IF(E563/C563*100&lt;100,E563/C563*100,100)</f>
        <v>0</v>
      </c>
      <c r="L563" s="7" t="n">
        <f aca="false">IF(((C563-E563)&gt;0)*AND(F563&gt;(C563-E563)),(C563-E563),IF(C563&lt;E563,0,F563))</f>
        <v>16.0645210442718</v>
      </c>
      <c r="M563" s="7" t="n">
        <f aca="false">IF(C563&lt;(E563+F563),0,C563-E563-F563)</f>
        <v>3.29457071494581</v>
      </c>
      <c r="N563" s="7" t="n">
        <f aca="false">IF(C563&lt;(E563+F563),0,(C563-E563-F563)/(1-V$20/100))</f>
        <v>3.62040737906133</v>
      </c>
      <c r="O563" s="7" t="n">
        <f aca="false">L563+M563</f>
        <v>19.3590917592176</v>
      </c>
      <c r="P563" s="49" t="n">
        <f aca="false">IF(N563=0,I563*(1-G563/100)+J563*(1-H563/100),-N563)</f>
        <v>-3.62040737906133</v>
      </c>
      <c r="Q563" s="54" t="n">
        <f aca="false">IF(P562&gt;0,Q562+P562*(1-V$24/100),Q562+P562)</f>
        <v>3803.90334722782</v>
      </c>
      <c r="R563" s="55" t="n">
        <f aca="false">R$4+Q563/V$32</f>
        <v>76.9936841442257</v>
      </c>
    </row>
    <row r="564" customFormat="false" ht="12.8" hidden="false" customHeight="false" outlineLevel="0" collapsed="false">
      <c r="A564" s="1" t="n">
        <v>560</v>
      </c>
      <c r="B564" s="44" t="n">
        <v>44105</v>
      </c>
      <c r="C564" s="45" t="n">
        <f aca="false">V$30-V$30*SIN(2*PI()/365*A564)</f>
        <v>19.6316495126594</v>
      </c>
      <c r="D564" s="3" t="n">
        <f aca="false">IF((E564+F564)&gt;C564,C564,E564+F564)</f>
        <v>15.7904783346988</v>
      </c>
      <c r="E564" s="46" t="n">
        <f aca="false">(V$27+V$28*SIN(2*PI()/365*A564))*V$29/100*V$9*V$10/100</f>
        <v>0</v>
      </c>
      <c r="F564" s="46" t="n">
        <f aca="false">(V$27+V$28*SIN(2*PI()/365*A564))*V$29/100*V$11*(1-V$18/100)*(1-V$20/100)</f>
        <v>15.7904783346988</v>
      </c>
      <c r="G564" s="46" t="n">
        <f aca="false">IF(C564&gt;E564,100,C564/E564*100)</f>
        <v>100</v>
      </c>
      <c r="H564" s="46" t="n">
        <f aca="false">L564/F564*100</f>
        <v>100</v>
      </c>
      <c r="I564" s="47" t="n">
        <f aca="false">(V$27+V$28*SIN(2*PI()/365*A564))*V$29/100*V$9*V$10/100*(1-V$19/100)</f>
        <v>0</v>
      </c>
      <c r="J564" s="47" t="n">
        <f aca="false">(V$27+V$28*SIN(2*PI()/365*A564))*V$29/100*V$11*(1-V$18/100)</f>
        <v>17.3521739941745</v>
      </c>
      <c r="K564" s="48" t="n">
        <f aca="false">IF(E564/C564*100&lt;100,E564/C564*100,100)</f>
        <v>0</v>
      </c>
      <c r="L564" s="7" t="n">
        <f aca="false">IF(((C564-E564)&gt;0)*AND(F564&gt;(C564-E564)),(C564-E564),IF(C564&lt;E564,0,F564))</f>
        <v>15.7904783346988</v>
      </c>
      <c r="M564" s="7" t="n">
        <f aca="false">IF(C564&lt;(E564+F564),0,C564-E564-F564)</f>
        <v>3.84117117796066</v>
      </c>
      <c r="N564" s="7" t="n">
        <f aca="false">IF(C564&lt;(E564+F564),0,(C564-E564-F564)/(1-V$20/100))</f>
        <v>4.22106722852819</v>
      </c>
      <c r="O564" s="7" t="n">
        <f aca="false">L564+M564</f>
        <v>19.6316495126594</v>
      </c>
      <c r="P564" s="49" t="n">
        <f aca="false">IF(N564=0,I564*(1-G564/100)+J564*(1-H564/100),-N564)</f>
        <v>-4.22106722852819</v>
      </c>
      <c r="Q564" s="54" t="n">
        <f aca="false">IF(P563&gt;0,Q563+P563*(1-V$24/100),Q563+P563)</f>
        <v>3800.28293984876</v>
      </c>
      <c r="R564" s="55" t="n">
        <f aca="false">R$4+Q564/V$32</f>
        <v>76.9584749933013</v>
      </c>
    </row>
    <row r="565" customFormat="false" ht="12.8" hidden="false" customHeight="false" outlineLevel="0" collapsed="false">
      <c r="A565" s="1" t="n">
        <v>561</v>
      </c>
      <c r="B565" s="44" t="n">
        <v>44106</v>
      </c>
      <c r="C565" s="45" t="n">
        <f aca="false">V$30-V$30*SIN(2*PI()/365*A565)</f>
        <v>19.9031837062747</v>
      </c>
      <c r="D565" s="3" t="n">
        <f aca="false">IF((E565+F565)&gt;C565,C565,E565+F565)</f>
        <v>15.517464761537</v>
      </c>
      <c r="E565" s="46" t="n">
        <f aca="false">(V$27+V$28*SIN(2*PI()/365*A565))*V$29/100*V$9*V$10/100</f>
        <v>0</v>
      </c>
      <c r="F565" s="46" t="n">
        <f aca="false">(V$27+V$28*SIN(2*PI()/365*A565))*V$29/100*V$11*(1-V$18/100)*(1-V$20/100)</f>
        <v>15.517464761537</v>
      </c>
      <c r="G565" s="46" t="n">
        <f aca="false">IF(C565&gt;E565,100,C565/E565*100)</f>
        <v>100</v>
      </c>
      <c r="H565" s="46" t="n">
        <f aca="false">L565/F565*100</f>
        <v>100</v>
      </c>
      <c r="I565" s="47" t="n">
        <f aca="false">(V$27+V$28*SIN(2*PI()/365*A565))*V$29/100*V$9*V$10/100*(1-V$19/100)</f>
        <v>0</v>
      </c>
      <c r="J565" s="47" t="n">
        <f aca="false">(V$27+V$28*SIN(2*PI()/365*A565))*V$29/100*V$11*(1-V$18/100)</f>
        <v>17.0521590786121</v>
      </c>
      <c r="K565" s="48" t="n">
        <f aca="false">IF(E565/C565*100&lt;100,E565/C565*100,100)</f>
        <v>0</v>
      </c>
      <c r="L565" s="7" t="n">
        <f aca="false">IF(((C565-E565)&gt;0)*AND(F565&gt;(C565-E565)),(C565-E565),IF(C565&lt;E565,0,F565))</f>
        <v>15.517464761537</v>
      </c>
      <c r="M565" s="7" t="n">
        <f aca="false">IF(C565&lt;(E565+F565),0,C565-E565-F565)</f>
        <v>4.38571894473772</v>
      </c>
      <c r="N565" s="7" t="n">
        <f aca="false">IF(C565&lt;(E565+F565),0,(C565-E565-F565)/(1-V$20/100))</f>
        <v>4.81947136784365</v>
      </c>
      <c r="O565" s="7" t="n">
        <f aca="false">L565+M565</f>
        <v>19.9031837062747</v>
      </c>
      <c r="P565" s="49" t="n">
        <f aca="false">IF(N565=0,I565*(1-G565/100)+J565*(1-H565/100),-N565)</f>
        <v>-4.81947136784365</v>
      </c>
      <c r="Q565" s="54" t="n">
        <f aca="false">IF(P564&gt;0,Q564+P564*(1-V$24/100),Q564+P564)</f>
        <v>3796.06187262023</v>
      </c>
      <c r="R565" s="55" t="n">
        <f aca="false">R$4+Q565/V$32</f>
        <v>76.9174243110022</v>
      </c>
    </row>
    <row r="566" customFormat="false" ht="12.8" hidden="false" customHeight="false" outlineLevel="0" collapsed="false">
      <c r="A566" s="1" t="n">
        <v>562</v>
      </c>
      <c r="B566" s="44" t="n">
        <v>44107</v>
      </c>
      <c r="C566" s="45" t="n">
        <f aca="false">V$30-V$30*SIN(2*PI()/365*A566)</f>
        <v>20.1736138786218</v>
      </c>
      <c r="D566" s="3" t="n">
        <f aca="false">IF((E566+F566)&gt;C566,C566,E566+F566)</f>
        <v>15.2455612246005</v>
      </c>
      <c r="E566" s="46" t="n">
        <f aca="false">(V$27+V$28*SIN(2*PI()/365*A566))*V$29/100*V$9*V$10/100</f>
        <v>0</v>
      </c>
      <c r="F566" s="46" t="n">
        <f aca="false">(V$27+V$28*SIN(2*PI()/365*A566))*V$29/100*V$11*(1-V$18/100)*(1-V$20/100)</f>
        <v>15.2455612246005</v>
      </c>
      <c r="G566" s="46" t="n">
        <f aca="false">IF(C566&gt;E566,100,C566/E566*100)</f>
        <v>100</v>
      </c>
      <c r="H566" s="46" t="n">
        <f aca="false">L566/F566*100</f>
        <v>100</v>
      </c>
      <c r="I566" s="47" t="n">
        <f aca="false">(V$27+V$28*SIN(2*PI()/365*A566))*V$29/100*V$9*V$10/100*(1-V$19/100)</f>
        <v>0</v>
      </c>
      <c r="J566" s="47" t="n">
        <f aca="false">(V$27+V$28*SIN(2*PI()/365*A566))*V$29/100*V$11*(1-V$18/100)</f>
        <v>16.7533639830774</v>
      </c>
      <c r="K566" s="48" t="n">
        <f aca="false">IF(E566/C566*100&lt;100,E566/C566*100,100)</f>
        <v>0</v>
      </c>
      <c r="L566" s="7" t="n">
        <f aca="false">IF(((C566-E566)&gt;0)*AND(F566&gt;(C566-E566)),(C566-E566),IF(C566&lt;E566,0,F566))</f>
        <v>15.2455612246005</v>
      </c>
      <c r="M566" s="7" t="n">
        <f aca="false">IF(C566&lt;(E566+F566),0,C566-E566-F566)</f>
        <v>4.9280526540213</v>
      </c>
      <c r="N566" s="7" t="n">
        <f aca="false">IF(C566&lt;(E566+F566),0,(C566-E566-F566)/(1-V$20/100))</f>
        <v>5.41544247694648</v>
      </c>
      <c r="O566" s="7" t="n">
        <f aca="false">L566+M566</f>
        <v>20.1736138786218</v>
      </c>
      <c r="P566" s="49" t="n">
        <f aca="false">IF(N566=0,I566*(1-G566/100)+J566*(1-H566/100),-N566)</f>
        <v>-5.41544247694648</v>
      </c>
      <c r="Q566" s="54" t="n">
        <f aca="false">IF(P565&gt;0,Q565+P565*(1-V$24/100),Q565+P565)</f>
        <v>3791.24240125239</v>
      </c>
      <c r="R566" s="55" t="n">
        <f aca="false">R$4+Q566/V$32</f>
        <v>76.8705540345389</v>
      </c>
    </row>
    <row r="567" customFormat="false" ht="12.8" hidden="false" customHeight="false" outlineLevel="0" collapsed="false">
      <c r="A567" s="1" t="n">
        <v>563</v>
      </c>
      <c r="B567" s="44" t="n">
        <v>44108</v>
      </c>
      <c r="C567" s="45" t="n">
        <f aca="false">V$30-V$30*SIN(2*PI()/365*A567)</f>
        <v>20.4428598954041</v>
      </c>
      <c r="D567" s="3" t="n">
        <f aca="false">IF((E567+F567)&gt;C567,C567,E567+F567)</f>
        <v>14.9748482947753</v>
      </c>
      <c r="E567" s="46" t="n">
        <f aca="false">(V$27+V$28*SIN(2*PI()/365*A567))*V$29/100*V$9*V$10/100</f>
        <v>0</v>
      </c>
      <c r="F567" s="46" t="n">
        <f aca="false">(V$27+V$28*SIN(2*PI()/365*A567))*V$29/100*V$11*(1-V$18/100)*(1-V$20/100)</f>
        <v>14.9748482947753</v>
      </c>
      <c r="G567" s="46" t="n">
        <f aca="false">IF(C567&gt;E567,100,C567/E567*100)</f>
        <v>100</v>
      </c>
      <c r="H567" s="46" t="n">
        <f aca="false">L567/F567*100</f>
        <v>100</v>
      </c>
      <c r="I567" s="47" t="n">
        <f aca="false">(V$27+V$28*SIN(2*PI()/365*A567))*V$29/100*V$9*V$10/100*(1-V$19/100)</f>
        <v>0</v>
      </c>
      <c r="J567" s="47" t="n">
        <f aca="false">(V$27+V$28*SIN(2*PI()/365*A567))*V$29/100*V$11*(1-V$18/100)</f>
        <v>16.4558772470058</v>
      </c>
      <c r="K567" s="48" t="n">
        <f aca="false">IF(E567/C567*100&lt;100,E567/C567*100,100)</f>
        <v>0</v>
      </c>
      <c r="L567" s="7" t="n">
        <f aca="false">IF(((C567-E567)&gt;0)*AND(F567&gt;(C567-E567)),(C567-E567),IF(C567&lt;E567,0,F567))</f>
        <v>14.9748482947753</v>
      </c>
      <c r="M567" s="7" t="n">
        <f aca="false">IF(C567&lt;(E567+F567),0,C567-E567-F567)</f>
        <v>5.46801160062886</v>
      </c>
      <c r="N567" s="7" t="n">
        <f aca="false">IF(C567&lt;(E567+F567),0,(C567-E567-F567)/(1-V$20/100))</f>
        <v>6.00880395673501</v>
      </c>
      <c r="O567" s="7" t="n">
        <f aca="false">L567+M567</f>
        <v>20.4428598954041</v>
      </c>
      <c r="P567" s="49" t="n">
        <f aca="false">IF(N567=0,I567*(1-G567/100)+J567*(1-H567/100),-N567)</f>
        <v>-6.00880395673501</v>
      </c>
      <c r="Q567" s="54" t="n">
        <f aca="false">IF(P566&gt;0,Q566+P566*(1-V$24/100),Q566+P566)</f>
        <v>3785.82695877544</v>
      </c>
      <c r="R567" s="55" t="n">
        <f aca="false">R$4+Q567/V$32</f>
        <v>76.8178878255934</v>
      </c>
    </row>
    <row r="568" customFormat="false" ht="12.8" hidden="false" customHeight="false" outlineLevel="0" collapsed="false">
      <c r="A568" s="1" t="n">
        <v>564</v>
      </c>
      <c r="B568" s="44" t="n">
        <v>44109</v>
      </c>
      <c r="C568" s="45" t="n">
        <f aca="false">V$30-V$30*SIN(2*PI()/365*A568)</f>
        <v>20.7108419732163</v>
      </c>
      <c r="D568" s="3" t="n">
        <f aca="false">IF((E568+F568)&gt;C568,C568,E568+F568)</f>
        <v>14.705406190145</v>
      </c>
      <c r="E568" s="46" t="n">
        <f aca="false">(V$27+V$28*SIN(2*PI()/365*A568))*V$29/100*V$9*V$10/100</f>
        <v>0</v>
      </c>
      <c r="F568" s="46" t="n">
        <f aca="false">(V$27+V$28*SIN(2*PI()/365*A568))*V$29/100*V$11*(1-V$18/100)*(1-V$20/100)</f>
        <v>14.705406190145</v>
      </c>
      <c r="G568" s="46" t="n">
        <f aca="false">IF(C568&gt;E568,100,C568/E568*100)</f>
        <v>100</v>
      </c>
      <c r="H568" s="46" t="n">
        <f aca="false">L568/F568*100</f>
        <v>100</v>
      </c>
      <c r="I568" s="47" t="n">
        <f aca="false">(V$27+V$28*SIN(2*PI()/365*A568))*V$29/100*V$9*V$10/100*(1-V$19/100)</f>
        <v>0</v>
      </c>
      <c r="J568" s="47" t="n">
        <f aca="false">(V$27+V$28*SIN(2*PI()/365*A568))*V$29/100*V$11*(1-V$18/100)</f>
        <v>16.1597870221373</v>
      </c>
      <c r="K568" s="48" t="n">
        <f aca="false">IF(E568/C568*100&lt;100,E568/C568*100,100)</f>
        <v>0</v>
      </c>
      <c r="L568" s="7" t="n">
        <f aca="false">IF(((C568-E568)&gt;0)*AND(F568&gt;(C568-E568)),(C568-E568),IF(C568&lt;E568,0,F568))</f>
        <v>14.705406190145</v>
      </c>
      <c r="M568" s="7" t="n">
        <f aca="false">IF(C568&lt;(E568+F568),0,C568-E568-F568)</f>
        <v>6.00543578307131</v>
      </c>
      <c r="N568" s="7" t="n">
        <f aca="false">IF(C568&lt;(E568+F568),0,(C568-E568-F568)/(1-V$20/100))</f>
        <v>6.59937998139705</v>
      </c>
      <c r="O568" s="7" t="n">
        <f aca="false">L568+M568</f>
        <v>20.7108419732163</v>
      </c>
      <c r="P568" s="49" t="n">
        <f aca="false">IF(N568=0,I568*(1-G568/100)+J568*(1-H568/100),-N568)</f>
        <v>-6.59937998139705</v>
      </c>
      <c r="Q568" s="54" t="n">
        <f aca="false">IF(P567&gt;0,Q567+P567*(1-V$24/100),Q567+P567)</f>
        <v>3779.81815481871</v>
      </c>
      <c r="R568" s="55" t="n">
        <f aca="false">R$4+Q568/V$32</f>
        <v>76.7594510633077</v>
      </c>
    </row>
    <row r="569" customFormat="false" ht="12.8" hidden="false" customHeight="false" outlineLevel="0" collapsed="false">
      <c r="A569" s="1" t="n">
        <v>565</v>
      </c>
      <c r="B569" s="44" t="n">
        <v>44110</v>
      </c>
      <c r="C569" s="45" t="n">
        <f aca="false">V$30-V$30*SIN(2*PI()/365*A569)</f>
        <v>20.9774807031849</v>
      </c>
      <c r="D569" s="3" t="n">
        <f aca="false">IF((E569+F569)&gt;C569,C569,E569+F569)</f>
        <v>14.4373147522202</v>
      </c>
      <c r="E569" s="46" t="n">
        <f aca="false">(V$27+V$28*SIN(2*PI()/365*A569))*V$29/100*V$9*V$10/100</f>
        <v>0</v>
      </c>
      <c r="F569" s="46" t="n">
        <f aca="false">(V$27+V$28*SIN(2*PI()/365*A569))*V$29/100*V$11*(1-V$18/100)*(1-V$20/100)</f>
        <v>14.4373147522202</v>
      </c>
      <c r="G569" s="46" t="n">
        <f aca="false">IF(C569&gt;E569,100,C569/E569*100)</f>
        <v>100</v>
      </c>
      <c r="H569" s="46" t="n">
        <f aca="false">L569/F569*100</f>
        <v>100</v>
      </c>
      <c r="I569" s="47" t="n">
        <f aca="false">(V$27+V$28*SIN(2*PI()/365*A569))*V$29/100*V$9*V$10/100*(1-V$19/100)</f>
        <v>0</v>
      </c>
      <c r="J569" s="47" t="n">
        <f aca="false">(V$27+V$28*SIN(2*PI()/365*A569))*V$29/100*V$11*(1-V$18/100)</f>
        <v>15.8651810463958</v>
      </c>
      <c r="K569" s="48" t="n">
        <f aca="false">IF(E569/C569*100&lt;100,E569/C569*100,100)</f>
        <v>0</v>
      </c>
      <c r="L569" s="7" t="n">
        <f aca="false">IF(((C569-E569)&gt;0)*AND(F569&gt;(C569-E569)),(C569-E569),IF(C569&lt;E569,0,F569))</f>
        <v>14.4373147522202</v>
      </c>
      <c r="M569" s="7" t="n">
        <f aca="false">IF(C569&lt;(E569+F569),0,C569-E569-F569)</f>
        <v>6.54016595096472</v>
      </c>
      <c r="N569" s="7" t="n">
        <f aca="false">IF(C569&lt;(E569+F569),0,(C569-E569-F569)/(1-V$20/100))</f>
        <v>7.18699555051068</v>
      </c>
      <c r="O569" s="7" t="n">
        <f aca="false">L569+M569</f>
        <v>20.9774807031849</v>
      </c>
      <c r="P569" s="49" t="n">
        <f aca="false">IF(N569=0,I569*(1-G569/100)+J569*(1-H569/100),-N569)</f>
        <v>-7.18699555051068</v>
      </c>
      <c r="Q569" s="54" t="n">
        <f aca="false">IF(P568&gt;0,Q568+P568*(1-V$24/100),Q568+P568)</f>
        <v>3773.21877483731</v>
      </c>
      <c r="R569" s="55" t="n">
        <f aca="false">R$4+Q569/V$32</f>
        <v>76.6952708367629</v>
      </c>
    </row>
    <row r="570" customFormat="false" ht="12.8" hidden="false" customHeight="false" outlineLevel="0" collapsed="false">
      <c r="A570" s="1" t="n">
        <v>566</v>
      </c>
      <c r="B570" s="44" t="n">
        <v>44111</v>
      </c>
      <c r="C570" s="45" t="n">
        <f aca="false">V$30-V$30*SIN(2*PI()/365*A570)</f>
        <v>21.2426970745</v>
      </c>
      <c r="D570" s="3" t="n">
        <f aca="false">IF((E570+F570)&gt;C570,C570,E570+F570)</f>
        <v>14.17065342228</v>
      </c>
      <c r="E570" s="46" t="n">
        <f aca="false">(V$27+V$28*SIN(2*PI()/365*A570))*V$29/100*V$9*V$10/100</f>
        <v>0</v>
      </c>
      <c r="F570" s="46" t="n">
        <f aca="false">(V$27+V$28*SIN(2*PI()/365*A570))*V$29/100*V$11*(1-V$18/100)*(1-V$20/100)</f>
        <v>14.17065342228</v>
      </c>
      <c r="G570" s="46" t="n">
        <f aca="false">IF(C570&gt;E570,100,C570/E570*100)</f>
        <v>100</v>
      </c>
      <c r="H570" s="46" t="n">
        <f aca="false">L570/F570*100</f>
        <v>100</v>
      </c>
      <c r="I570" s="47" t="n">
        <f aca="false">(V$27+V$28*SIN(2*PI()/365*A570))*V$29/100*V$9*V$10/100*(1-V$19/100)</f>
        <v>0</v>
      </c>
      <c r="J570" s="47" t="n">
        <f aca="false">(V$27+V$28*SIN(2*PI()/365*A570))*V$29/100*V$11*(1-V$18/100)</f>
        <v>15.5721466178901</v>
      </c>
      <c r="K570" s="48" t="n">
        <f aca="false">IF(E570/C570*100&lt;100,E570/C570*100,100)</f>
        <v>0</v>
      </c>
      <c r="L570" s="7" t="n">
        <f aca="false">IF(((C570-E570)&gt;0)*AND(F570&gt;(C570-E570)),(C570-E570),IF(C570&lt;E570,0,F570))</f>
        <v>14.17065342228</v>
      </c>
      <c r="M570" s="7" t="n">
        <f aca="false">IF(C570&lt;(E570+F570),0,C570-E570-F570)</f>
        <v>7.07204365221998</v>
      </c>
      <c r="N570" s="7" t="n">
        <f aca="false">IF(C570&lt;(E570+F570),0,(C570-E570-F570)/(1-V$20/100))</f>
        <v>7.77147654090107</v>
      </c>
      <c r="O570" s="7" t="n">
        <f aca="false">L570+M570</f>
        <v>21.2426970745</v>
      </c>
      <c r="P570" s="49" t="n">
        <f aca="false">IF(N570=0,I570*(1-G570/100)+J570*(1-H570/100),-N570)</f>
        <v>-7.77147654090107</v>
      </c>
      <c r="Q570" s="54" t="n">
        <f aca="false">IF(P569&gt;0,Q569+P569*(1-V$24/100),Q569+P569)</f>
        <v>3766.0317792868</v>
      </c>
      <c r="R570" s="55" t="n">
        <f aca="false">R$4+Q570/V$32</f>
        <v>76.6253759369529</v>
      </c>
    </row>
    <row r="571" customFormat="false" ht="12.8" hidden="false" customHeight="false" outlineLevel="0" collapsed="false">
      <c r="A571" s="1" t="n">
        <v>567</v>
      </c>
      <c r="B571" s="44" t="n">
        <v>44112</v>
      </c>
      <c r="C571" s="45" t="n">
        <f aca="false">V$30-V$30*SIN(2*PI()/365*A571)</f>
        <v>21.5064124978267</v>
      </c>
      <c r="D571" s="3" t="n">
        <f aca="false">IF((E571+F571)&gt;C571,C571,E571+F571)</f>
        <v>13.9055012178313</v>
      </c>
      <c r="E571" s="46" t="n">
        <f aca="false">(V$27+V$28*SIN(2*PI()/365*A571))*V$29/100*V$9*V$10/100</f>
        <v>0</v>
      </c>
      <c r="F571" s="46" t="n">
        <f aca="false">(V$27+V$28*SIN(2*PI()/365*A571))*V$29/100*V$11*(1-V$18/100)*(1-V$20/100)</f>
        <v>13.9055012178313</v>
      </c>
      <c r="G571" s="46" t="n">
        <f aca="false">IF(C571&gt;E571,100,C571/E571*100)</f>
        <v>100</v>
      </c>
      <c r="H571" s="46" t="n">
        <f aca="false">L571/F571*100</f>
        <v>100</v>
      </c>
      <c r="I571" s="47" t="n">
        <f aca="false">(V$27+V$28*SIN(2*PI()/365*A571))*V$29/100*V$9*V$10/100*(1-V$19/100)</f>
        <v>0</v>
      </c>
      <c r="J571" s="47" t="n">
        <f aca="false">(V$27+V$28*SIN(2*PI()/365*A571))*V$29/100*V$11*(1-V$18/100)</f>
        <v>15.2807705690454</v>
      </c>
      <c r="K571" s="48" t="n">
        <f aca="false">IF(E571/C571*100&lt;100,E571/C571*100,100)</f>
        <v>0</v>
      </c>
      <c r="L571" s="7" t="n">
        <f aca="false">IF(((C571-E571)&gt;0)*AND(F571&gt;(C571-E571)),(C571-E571),IF(C571&lt;E571,0,F571))</f>
        <v>13.9055012178313</v>
      </c>
      <c r="M571" s="7" t="n">
        <f aca="false">IF(C571&lt;(E571+F571),0,C571-E571-F571)</f>
        <v>7.60091127999539</v>
      </c>
      <c r="N571" s="7" t="n">
        <f aca="false">IF(C571&lt;(E571+F571),0,(C571-E571-F571)/(1-V$20/100))</f>
        <v>8.3526497582367</v>
      </c>
      <c r="O571" s="7" t="n">
        <f aca="false">L571+M571</f>
        <v>21.5064124978267</v>
      </c>
      <c r="P571" s="49" t="n">
        <f aca="false">IF(N571=0,I571*(1-G571/100)+J571*(1-H571/100),-N571)</f>
        <v>-8.3526497582367</v>
      </c>
      <c r="Q571" s="54" t="n">
        <f aca="false">IF(P570&gt;0,Q570+P570*(1-V$24/100),Q570+P570)</f>
        <v>3758.2603027459</v>
      </c>
      <c r="R571" s="55" t="n">
        <f aca="false">R$4+Q571/V$32</f>
        <v>76.5497968482523</v>
      </c>
    </row>
    <row r="572" customFormat="false" ht="12.8" hidden="false" customHeight="false" outlineLevel="0" collapsed="false">
      <c r="A572" s="1" t="n">
        <v>568</v>
      </c>
      <c r="B572" s="44" t="n">
        <v>44113</v>
      </c>
      <c r="C572" s="45" t="n">
        <f aca="false">V$30-V$30*SIN(2*PI()/365*A572)</f>
        <v>21.7685488285937</v>
      </c>
      <c r="D572" s="3" t="n">
        <f aca="false">IF((E572+F572)&gt;C572,C572,E572+F572)</f>
        <v>13.6419367091949</v>
      </c>
      <c r="E572" s="46" t="n">
        <f aca="false">(V$27+V$28*SIN(2*PI()/365*A572))*V$29/100*V$9*V$10/100</f>
        <v>0</v>
      </c>
      <c r="F572" s="46" t="n">
        <f aca="false">(V$27+V$28*SIN(2*PI()/365*A572))*V$29/100*V$11*(1-V$18/100)*(1-V$20/100)</f>
        <v>13.6419367091949</v>
      </c>
      <c r="G572" s="46" t="n">
        <f aca="false">IF(C572&gt;E572,100,C572/E572*100)</f>
        <v>100</v>
      </c>
      <c r="H572" s="46" t="n">
        <f aca="false">L572/F572*100</f>
        <v>100</v>
      </c>
      <c r="I572" s="47" t="n">
        <f aca="false">(V$27+V$28*SIN(2*PI()/365*A572))*V$29/100*V$9*V$10/100*(1-V$19/100)</f>
        <v>0</v>
      </c>
      <c r="J572" s="47" t="n">
        <f aca="false">(V$27+V$28*SIN(2*PI()/365*A572))*V$29/100*V$11*(1-V$18/100)</f>
        <v>14.9911392408735</v>
      </c>
      <c r="K572" s="48" t="n">
        <f aca="false">IF(E572/C572*100&lt;100,E572/C572*100,100)</f>
        <v>0</v>
      </c>
      <c r="L572" s="7" t="n">
        <f aca="false">IF(((C572-E572)&gt;0)*AND(F572&gt;(C572-E572)),(C572-E572),IF(C572&lt;E572,0,F572))</f>
        <v>13.6419367091949</v>
      </c>
      <c r="M572" s="7" t="n">
        <f aca="false">IF(C572&lt;(E572+F572),0,C572-E572-F572)</f>
        <v>8.12661211939885</v>
      </c>
      <c r="N572" s="7" t="n">
        <f aca="false">IF(C572&lt;(E572+F572),0,(C572-E572-F572)/(1-V$20/100))</f>
        <v>8.93034298835039</v>
      </c>
      <c r="O572" s="7" t="n">
        <f aca="false">L572+M572</f>
        <v>21.7685488285937</v>
      </c>
      <c r="P572" s="49" t="n">
        <f aca="false">IF(N572=0,I572*(1-G572/100)+J572*(1-H572/100),-N572)</f>
        <v>-8.93034298835039</v>
      </c>
      <c r="Q572" s="54" t="n">
        <f aca="false">IF(P571&gt;0,Q571+P571*(1-V$24/100),Q571+P571)</f>
        <v>3749.90765298766</v>
      </c>
      <c r="R572" s="55" t="n">
        <f aca="false">R$4+Q572/V$32</f>
        <v>76.4685657393839</v>
      </c>
    </row>
    <row r="573" customFormat="false" ht="12.8" hidden="false" customHeight="false" outlineLevel="0" collapsed="false">
      <c r="A573" s="1" t="n">
        <v>569</v>
      </c>
      <c r="B573" s="44" t="n">
        <v>44114</v>
      </c>
      <c r="C573" s="45" t="n">
        <f aca="false">V$30-V$30*SIN(2*PI()/365*A573)</f>
        <v>22.0290283901488</v>
      </c>
      <c r="D573" s="3" t="n">
        <f aca="false">IF((E573+F573)&gt;C573,C573,E573+F573)</f>
        <v>13.3800379962227</v>
      </c>
      <c r="E573" s="46" t="n">
        <f aca="false">(V$27+V$28*SIN(2*PI()/365*A573))*V$29/100*V$9*V$10/100</f>
        <v>0</v>
      </c>
      <c r="F573" s="46" t="n">
        <f aca="false">(V$27+V$28*SIN(2*PI()/365*A573))*V$29/100*V$11*(1-V$18/100)*(1-V$20/100)</f>
        <v>13.3800379962227</v>
      </c>
      <c r="G573" s="46" t="n">
        <f aca="false">IF(C573&gt;E573,100,C573/E573*100)</f>
        <v>100</v>
      </c>
      <c r="H573" s="46" t="n">
        <f aca="false">L573/F573*100</f>
        <v>100</v>
      </c>
      <c r="I573" s="47" t="n">
        <f aca="false">(V$27+V$28*SIN(2*PI()/365*A573))*V$29/100*V$9*V$10/100*(1-V$19/100)</f>
        <v>0</v>
      </c>
      <c r="J573" s="47" t="n">
        <f aca="false">(V$27+V$28*SIN(2*PI()/365*A573))*V$29/100*V$11*(1-V$18/100)</f>
        <v>14.7033384573876</v>
      </c>
      <c r="K573" s="48" t="n">
        <f aca="false">IF(E573/C573*100&lt;100,E573/C573*100,100)</f>
        <v>0</v>
      </c>
      <c r="L573" s="7" t="n">
        <f aca="false">IF(((C573-E573)&gt;0)*AND(F573&gt;(C573-E573)),(C573-E573),IF(C573&lt;E573,0,F573))</f>
        <v>13.3800379962227</v>
      </c>
      <c r="M573" s="7" t="n">
        <f aca="false">IF(C573&lt;(E573+F573),0,C573-E573-F573)</f>
        <v>8.64899039392613</v>
      </c>
      <c r="N573" s="7" t="n">
        <f aca="false">IF(C573&lt;(E573+F573),0,(C573-E573-F573)/(1-V$20/100))</f>
        <v>9.50438504827047</v>
      </c>
      <c r="O573" s="7" t="n">
        <f aca="false">L573+M573</f>
        <v>22.0290283901488</v>
      </c>
      <c r="P573" s="49" t="n">
        <f aca="false">IF(N573=0,I573*(1-G573/100)+J573*(1-H573/100),-N573)</f>
        <v>-9.50438504827047</v>
      </c>
      <c r="Q573" s="54" t="n">
        <f aca="false">IF(P572&gt;0,Q572+P572*(1-V$24/100),Q572+P572)</f>
        <v>3740.97730999931</v>
      </c>
      <c r="R573" s="55" t="n">
        <f aca="false">R$4+Q573/V$32</f>
        <v>76.3817164538858</v>
      </c>
    </row>
    <row r="574" customFormat="false" ht="12.8" hidden="false" customHeight="false" outlineLevel="0" collapsed="false">
      <c r="A574" s="1" t="n">
        <v>570</v>
      </c>
      <c r="B574" s="44" t="n">
        <v>44115</v>
      </c>
      <c r="C574" s="45" t="n">
        <f aca="false">V$30-V$30*SIN(2*PI()/365*A574)</f>
        <v>22.2877739967764</v>
      </c>
      <c r="D574" s="3" t="n">
        <f aca="false">IF((E574+F574)&gt;C574,C574,E574+F574)</f>
        <v>13.1198826851558</v>
      </c>
      <c r="E574" s="46" t="n">
        <f aca="false">(V$27+V$28*SIN(2*PI()/365*A574))*V$29/100*V$9*V$10/100</f>
        <v>0</v>
      </c>
      <c r="F574" s="46" t="n">
        <f aca="false">(V$27+V$28*SIN(2*PI()/365*A574))*V$29/100*V$11*(1-V$18/100)*(1-V$20/100)</f>
        <v>13.1198826851558</v>
      </c>
      <c r="G574" s="46" t="n">
        <f aca="false">IF(C574&gt;E574,100,C574/E574*100)</f>
        <v>100</v>
      </c>
      <c r="H574" s="46" t="n">
        <f aca="false">L574/F574*100</f>
        <v>100</v>
      </c>
      <c r="I574" s="47" t="n">
        <f aca="false">(V$27+V$28*SIN(2*PI()/365*A574))*V$29/100*V$9*V$10/100*(1-V$19/100)</f>
        <v>0</v>
      </c>
      <c r="J574" s="47" t="n">
        <f aca="false">(V$27+V$28*SIN(2*PI()/365*A574))*V$29/100*V$11*(1-V$18/100)</f>
        <v>14.4174535001712</v>
      </c>
      <c r="K574" s="48" t="n">
        <f aca="false">IF(E574/C574*100&lt;100,E574/C574*100,100)</f>
        <v>0</v>
      </c>
      <c r="L574" s="7" t="n">
        <f aca="false">IF(((C574-E574)&gt;0)*AND(F574&gt;(C574-E574)),(C574-E574),IF(C574&lt;E574,0,F574))</f>
        <v>13.1198826851558</v>
      </c>
      <c r="M574" s="7" t="n">
        <f aca="false">IF(C574&lt;(E574+F574),0,C574-E574-F574)</f>
        <v>9.16789131162066</v>
      </c>
      <c r="N574" s="7" t="n">
        <f aca="false">IF(C574&lt;(E574+F574),0,(C574-E574-F574)/(1-V$20/100))</f>
        <v>10.0746058369458</v>
      </c>
      <c r="O574" s="7" t="n">
        <f aca="false">L574+M574</f>
        <v>22.2877739967764</v>
      </c>
      <c r="P574" s="49" t="n">
        <f aca="false">IF(N574=0,I574*(1-G574/100)+J574*(1-H574/100),-N574)</f>
        <v>-10.0746058369458</v>
      </c>
      <c r="Q574" s="54" t="n">
        <f aca="false">IF(P573&gt;0,Q573+P573*(1-V$24/100),Q573+P573)</f>
        <v>3731.47292495104</v>
      </c>
      <c r="R574" s="55" t="n">
        <f aca="false">R$4+Q574/V$32</f>
        <v>76.2892845000831</v>
      </c>
    </row>
    <row r="575" customFormat="false" ht="12.8" hidden="false" customHeight="false" outlineLevel="0" collapsed="false">
      <c r="A575" s="1" t="n">
        <v>571</v>
      </c>
      <c r="B575" s="44" t="n">
        <v>44116</v>
      </c>
      <c r="C575" s="45" t="n">
        <f aca="false">V$30-V$30*SIN(2*PI()/365*A575)</f>
        <v>22.544708976569</v>
      </c>
      <c r="D575" s="3" t="n">
        <f aca="false">IF((E575+F575)&gt;C575,C575,E575+F575)</f>
        <v>12.8615478656273</v>
      </c>
      <c r="E575" s="46" t="n">
        <f aca="false">(V$27+V$28*SIN(2*PI()/365*A575))*V$29/100*V$9*V$10/100</f>
        <v>0</v>
      </c>
      <c r="F575" s="46" t="n">
        <f aca="false">(V$27+V$28*SIN(2*PI()/365*A575))*V$29/100*V$11*(1-V$18/100)*(1-V$20/100)</f>
        <v>12.8615478656273</v>
      </c>
      <c r="G575" s="46" t="n">
        <f aca="false">IF(C575&gt;E575,100,C575/E575*100)</f>
        <v>100</v>
      </c>
      <c r="H575" s="46" t="n">
        <f aca="false">L575/F575*100</f>
        <v>100</v>
      </c>
      <c r="I575" s="47" t="n">
        <f aca="false">(V$27+V$28*SIN(2*PI()/365*A575))*V$29/100*V$9*V$10/100*(1-V$19/100)</f>
        <v>0</v>
      </c>
      <c r="J575" s="47" t="n">
        <f aca="false">(V$27+V$28*SIN(2*PI()/365*A575))*V$29/100*V$11*(1-V$18/100)</f>
        <v>14.1335690831069</v>
      </c>
      <c r="K575" s="48" t="n">
        <f aca="false">IF(E575/C575*100&lt;100,E575/C575*100,100)</f>
        <v>0</v>
      </c>
      <c r="L575" s="7" t="n">
        <f aca="false">IF(((C575-E575)&gt;0)*AND(F575&gt;(C575-E575)),(C575-E575),IF(C575&lt;E575,0,F575))</f>
        <v>12.8615478656273</v>
      </c>
      <c r="M575" s="7" t="n">
        <f aca="false">IF(C575&lt;(E575+F575),0,C575-E575-F575)</f>
        <v>9.68316111094175</v>
      </c>
      <c r="N575" s="7" t="n">
        <f aca="false">IF(C575&lt;(E575+F575),0,(C575-E575-F575)/(1-V$20/100))</f>
        <v>10.6408363856503</v>
      </c>
      <c r="O575" s="7" t="n">
        <f aca="false">L575+M575</f>
        <v>22.544708976569</v>
      </c>
      <c r="P575" s="49" t="n">
        <f aca="false">IF(N575=0,I575*(1-G575/100)+J575*(1-H575/100),-N575)</f>
        <v>-10.6408363856503</v>
      </c>
      <c r="Q575" s="54" t="n">
        <f aca="false">IF(P574&gt;0,Q574+P574*(1-V$24/100),Q574+P574)</f>
        <v>3721.3983191141</v>
      </c>
      <c r="R575" s="55" t="n">
        <f aca="false">R$4+Q575/V$32</f>
        <v>76.1913070405661</v>
      </c>
    </row>
    <row r="576" customFormat="false" ht="12.8" hidden="false" customHeight="false" outlineLevel="0" collapsed="false">
      <c r="A576" s="1" t="n">
        <v>572</v>
      </c>
      <c r="B576" s="44" t="n">
        <v>44117</v>
      </c>
      <c r="C576" s="45" t="n">
        <f aca="false">V$30-V$30*SIN(2*PI()/365*A576)</f>
        <v>22.799757194147</v>
      </c>
      <c r="D576" s="3" t="n">
        <f aca="false">IF((E576+F576)&gt;C576,C576,E576+F576)</f>
        <v>12.6051100878197</v>
      </c>
      <c r="E576" s="46" t="n">
        <f aca="false">(V$27+V$28*SIN(2*PI()/365*A576))*V$29/100*V$9*V$10/100</f>
        <v>0</v>
      </c>
      <c r="F576" s="46" t="n">
        <f aca="false">(V$27+V$28*SIN(2*PI()/365*A576))*V$29/100*V$11*(1-V$18/100)*(1-V$20/100)</f>
        <v>12.6051100878197</v>
      </c>
      <c r="G576" s="46" t="n">
        <f aca="false">IF(C576&gt;E576,100,C576/E576*100)</f>
        <v>100</v>
      </c>
      <c r="H576" s="46" t="n">
        <f aca="false">L576/F576*100</f>
        <v>100</v>
      </c>
      <c r="I576" s="47" t="n">
        <f aca="false">(V$27+V$28*SIN(2*PI()/365*A576))*V$29/100*V$9*V$10/100*(1-V$19/100)</f>
        <v>0</v>
      </c>
      <c r="J576" s="47" t="n">
        <f aca="false">(V$27+V$28*SIN(2*PI()/365*A576))*V$29/100*V$11*(1-V$18/100)</f>
        <v>13.8517693272743</v>
      </c>
      <c r="K576" s="48" t="n">
        <f aca="false">IF(E576/C576*100&lt;100,E576/C576*100,100)</f>
        <v>0</v>
      </c>
      <c r="L576" s="7" t="n">
        <f aca="false">IF(((C576-E576)&gt;0)*AND(F576&gt;(C576-E576)),(C576-E576),IF(C576&lt;E576,0,F576))</f>
        <v>12.6051100878197</v>
      </c>
      <c r="M576" s="7" t="n">
        <f aca="false">IF(C576&lt;(E576+F576),0,C576-E576-F576)</f>
        <v>10.1946471063274</v>
      </c>
      <c r="N576" s="7" t="n">
        <f aca="false">IF(C576&lt;(E576+F576),0,(C576-E576-F576)/(1-V$20/100))</f>
        <v>11.202908908052</v>
      </c>
      <c r="O576" s="7" t="n">
        <f aca="false">L576+M576</f>
        <v>22.799757194147</v>
      </c>
      <c r="P576" s="49" t="n">
        <f aca="false">IF(N576=0,I576*(1-G576/100)+J576*(1-H576/100),-N576)</f>
        <v>-11.202908908052</v>
      </c>
      <c r="Q576" s="54" t="n">
        <f aca="false">IF(P575&gt;0,Q575+P575*(1-V$24/100),Q575+P575)</f>
        <v>3710.75748272844</v>
      </c>
      <c r="R576" s="55" t="n">
        <f aca="false">R$4+Q576/V$32</f>
        <v>76.0878228811781</v>
      </c>
    </row>
    <row r="577" customFormat="false" ht="12.8" hidden="false" customHeight="false" outlineLevel="0" collapsed="false">
      <c r="A577" s="1" t="n">
        <v>573</v>
      </c>
      <c r="B577" s="44" t="n">
        <v>44118</v>
      </c>
      <c r="C577" s="45" t="n">
        <f aca="false">V$30-V$30*SIN(2*PI()/365*A577)</f>
        <v>23.0528430732191</v>
      </c>
      <c r="D577" s="3" t="n">
        <f aca="false">IF((E577+F577)&gt;C577,C577,E577+F577)</f>
        <v>12.3506453397808</v>
      </c>
      <c r="E577" s="46" t="n">
        <f aca="false">(V$27+V$28*SIN(2*PI()/365*A577))*V$29/100*V$9*V$10/100</f>
        <v>0</v>
      </c>
      <c r="F577" s="46" t="n">
        <f aca="false">(V$27+V$28*SIN(2*PI()/365*A577))*V$29/100*V$11*(1-V$18/100)*(1-V$20/100)</f>
        <v>12.3506453397808</v>
      </c>
      <c r="G577" s="46" t="n">
        <f aca="false">IF(C577&gt;E577,100,C577/E577*100)</f>
        <v>100</v>
      </c>
      <c r="H577" s="46" t="n">
        <f aca="false">L577/F577*100</f>
        <v>100</v>
      </c>
      <c r="I577" s="47" t="n">
        <f aca="false">(V$27+V$28*SIN(2*PI()/365*A577))*V$29/100*V$9*V$10/100*(1-V$19/100)</f>
        <v>0</v>
      </c>
      <c r="J577" s="47" t="n">
        <f aca="false">(V$27+V$28*SIN(2*PI()/365*A577))*V$29/100*V$11*(1-V$18/100)</f>
        <v>13.5721377360229</v>
      </c>
      <c r="K577" s="48" t="n">
        <f aca="false">IF(E577/C577*100&lt;100,E577/C577*100,100)</f>
        <v>0</v>
      </c>
      <c r="L577" s="7" t="n">
        <f aca="false">IF(((C577-E577)&gt;0)*AND(F577&gt;(C577-E577)),(C577-E577),IF(C577&lt;E577,0,F577))</f>
        <v>12.3506453397808</v>
      </c>
      <c r="M577" s="7" t="n">
        <f aca="false">IF(C577&lt;(E577+F577),0,C577-E577-F577)</f>
        <v>10.7021977334383</v>
      </c>
      <c r="N577" s="7" t="n">
        <f aca="false">IF(C577&lt;(E577+F577),0,(C577-E577-F577)/(1-V$20/100))</f>
        <v>11.7606568499322</v>
      </c>
      <c r="O577" s="7" t="n">
        <f aca="false">L577+M577</f>
        <v>23.0528430732191</v>
      </c>
      <c r="P577" s="49" t="n">
        <f aca="false">IF(N577=0,I577*(1-G577/100)+J577*(1-H577/100),-N577)</f>
        <v>-11.7606568499322</v>
      </c>
      <c r="Q577" s="54" t="n">
        <f aca="false">IF(P576&gt;0,Q576+P576*(1-V$24/100),Q576+P576)</f>
        <v>3699.55457382039</v>
      </c>
      <c r="R577" s="55" t="n">
        <f aca="false">R$4+Q577/V$32</f>
        <v>75.9788724595164</v>
      </c>
    </row>
    <row r="578" customFormat="false" ht="12.8" hidden="false" customHeight="false" outlineLevel="0" collapsed="false">
      <c r="A578" s="1" t="n">
        <v>574</v>
      </c>
      <c r="B578" s="44" t="n">
        <v>44119</v>
      </c>
      <c r="C578" s="45" t="n">
        <f aca="false">V$30-V$30*SIN(2*PI()/365*A578)</f>
        <v>23.3038916189773</v>
      </c>
      <c r="D578" s="3" t="n">
        <f aca="false">IF((E578+F578)&gt;C578,C578,E578+F578)</f>
        <v>12.0982290249073</v>
      </c>
      <c r="E578" s="46" t="n">
        <f aca="false">(V$27+V$28*SIN(2*PI()/365*A578))*V$29/100*V$9*V$10/100</f>
        <v>0</v>
      </c>
      <c r="F578" s="46" t="n">
        <f aca="false">(V$27+V$28*SIN(2*PI()/365*A578))*V$29/100*V$11*(1-V$18/100)*(1-V$20/100)</f>
        <v>12.0982290249073</v>
      </c>
      <c r="G578" s="46" t="n">
        <f aca="false">IF(C578&gt;E578,100,C578/E578*100)</f>
        <v>100</v>
      </c>
      <c r="H578" s="46" t="n">
        <f aca="false">L578/F578*100</f>
        <v>100</v>
      </c>
      <c r="I578" s="47" t="n">
        <f aca="false">(V$27+V$28*SIN(2*PI()/365*A578))*V$29/100*V$9*V$10/100*(1-V$19/100)</f>
        <v>0</v>
      </c>
      <c r="J578" s="47" t="n">
        <f aca="false">(V$27+V$28*SIN(2*PI()/365*A578))*V$29/100*V$11*(1-V$18/100)</f>
        <v>13.2947571702278</v>
      </c>
      <c r="K578" s="48" t="n">
        <f aca="false">IF(E578/C578*100&lt;100,E578/C578*100,100)</f>
        <v>0</v>
      </c>
      <c r="L578" s="7" t="n">
        <f aca="false">IF(((C578-E578)&gt;0)*AND(F578&gt;(C578-E578)),(C578-E578),IF(C578&lt;E578,0,F578))</f>
        <v>12.0982290249073</v>
      </c>
      <c r="M578" s="7" t="n">
        <f aca="false">IF(C578&lt;(E578+F578),0,C578-E578-F578)</f>
        <v>11.20566259407</v>
      </c>
      <c r="N578" s="7" t="n">
        <f aca="false">IF(C578&lt;(E578+F578),0,(C578-E578-F578)/(1-V$20/100))</f>
        <v>12.3139149385385</v>
      </c>
      <c r="O578" s="7" t="n">
        <f aca="false">L578+M578</f>
        <v>23.3038916189773</v>
      </c>
      <c r="P578" s="49" t="n">
        <f aca="false">IF(N578=0,I578*(1-G578/100)+J578*(1-H578/100),-N578)</f>
        <v>-12.3139149385385</v>
      </c>
      <c r="Q578" s="54" t="n">
        <f aca="false">IF(P577&gt;0,Q577+P577*(1-V$24/100),Q577+P577)</f>
        <v>3687.79391697046</v>
      </c>
      <c r="R578" s="55" t="n">
        <f aca="false">R$4+Q578/V$32</f>
        <v>75.8644978329497</v>
      </c>
    </row>
    <row r="579" customFormat="false" ht="12.8" hidden="false" customHeight="false" outlineLevel="0" collapsed="false">
      <c r="A579" s="1" t="n">
        <v>575</v>
      </c>
      <c r="B579" s="44" t="n">
        <v>44120</v>
      </c>
      <c r="C579" s="45" t="n">
        <f aca="false">V$30-V$30*SIN(2*PI()/365*A579)</f>
        <v>23.5528284403195</v>
      </c>
      <c r="D579" s="3" t="n">
        <f aca="false">IF((E579+F579)&gt;C579,C579,E579+F579)</f>
        <v>11.847935939601</v>
      </c>
      <c r="E579" s="46" t="n">
        <f aca="false">(V$27+V$28*SIN(2*PI()/365*A579))*V$29/100*V$9*V$10/100</f>
        <v>0</v>
      </c>
      <c r="F579" s="46" t="n">
        <f aca="false">(V$27+V$28*SIN(2*PI()/365*A579))*V$29/100*V$11*(1-V$18/100)*(1-V$20/100)</f>
        <v>11.847935939601</v>
      </c>
      <c r="G579" s="46" t="n">
        <f aca="false">IF(C579&gt;E579,100,C579/E579*100)</f>
        <v>100</v>
      </c>
      <c r="H579" s="46" t="n">
        <f aca="false">L579/F579*100</f>
        <v>100</v>
      </c>
      <c r="I579" s="47" t="n">
        <f aca="false">(V$27+V$28*SIN(2*PI()/365*A579))*V$29/100*V$9*V$10/100*(1-V$19/100)</f>
        <v>0</v>
      </c>
      <c r="J579" s="47" t="n">
        <f aca="false">(V$27+V$28*SIN(2*PI()/365*A579))*V$29/100*V$11*(1-V$18/100)</f>
        <v>13.0197098237373</v>
      </c>
      <c r="K579" s="48" t="n">
        <f aca="false">IF(E579/C579*100&lt;100,E579/C579*100,100)</f>
        <v>0</v>
      </c>
      <c r="L579" s="7" t="n">
        <f aca="false">IF(((C579-E579)&gt;0)*AND(F579&gt;(C579-E579)),(C579-E579),IF(C579&lt;E579,0,F579))</f>
        <v>11.847935939601</v>
      </c>
      <c r="M579" s="7" t="n">
        <f aca="false">IF(C579&lt;(E579+F579),0,C579-E579-F579)</f>
        <v>11.7048925007185</v>
      </c>
      <c r="N579" s="7" t="n">
        <f aca="false">IF(C579&lt;(E579+F579),0,(C579-E579-F579)/(1-V$20/100))</f>
        <v>12.8625192315588</v>
      </c>
      <c r="O579" s="7" t="n">
        <f aca="false">L579+M579</f>
        <v>23.5528284403195</v>
      </c>
      <c r="P579" s="49" t="n">
        <f aca="false">IF(N579=0,I579*(1-G579/100)+J579*(1-H579/100),-N579)</f>
        <v>-12.8625192315588</v>
      </c>
      <c r="Q579" s="54" t="n">
        <f aca="false">IF(P578&gt;0,Q578+P578*(1-V$24/100),Q578+P578)</f>
        <v>3675.48000203192</v>
      </c>
      <c r="R579" s="55" t="n">
        <f aca="false">R$4+Q579/V$32</f>
        <v>75.7447426661558</v>
      </c>
    </row>
    <row r="580" customFormat="false" ht="12.8" hidden="false" customHeight="false" outlineLevel="0" collapsed="false">
      <c r="A580" s="1" t="n">
        <v>576</v>
      </c>
      <c r="B580" s="44" t="n">
        <v>44121</v>
      </c>
      <c r="C580" s="45" t="n">
        <f aca="false">V$30-V$30*SIN(2*PI()/365*A580)</f>
        <v>23.7995797718929</v>
      </c>
      <c r="D580" s="3" t="n">
        <f aca="false">IF((E580+F580)&gt;C580,C580,E580+F580)</f>
        <v>11.5998402511047</v>
      </c>
      <c r="E580" s="46" t="n">
        <f aca="false">(V$27+V$28*SIN(2*PI()/365*A580))*V$29/100*V$9*V$10/100</f>
        <v>0</v>
      </c>
      <c r="F580" s="46" t="n">
        <f aca="false">(V$27+V$28*SIN(2*PI()/365*A580))*V$29/100*V$11*(1-V$18/100)*(1-V$20/100)</f>
        <v>11.5998402511047</v>
      </c>
      <c r="G580" s="46" t="n">
        <f aca="false">IF(C580&gt;E580,100,C580/E580*100)</f>
        <v>100</v>
      </c>
      <c r="H580" s="46" t="n">
        <f aca="false">L580/F580*100</f>
        <v>100</v>
      </c>
      <c r="I580" s="47" t="n">
        <f aca="false">(V$27+V$28*SIN(2*PI()/365*A580))*V$29/100*V$9*V$10/100*(1-V$19/100)</f>
        <v>0</v>
      </c>
      <c r="J580" s="47" t="n">
        <f aca="false">(V$27+V$28*SIN(2*PI()/365*A580))*V$29/100*V$11*(1-V$18/100)</f>
        <v>12.7470771990161</v>
      </c>
      <c r="K580" s="48" t="n">
        <f aca="false">IF(E580/C580*100&lt;100,E580/C580*100,100)</f>
        <v>0</v>
      </c>
      <c r="L580" s="7" t="n">
        <f aca="false">IF(((C580-E580)&gt;0)*AND(F580&gt;(C580-E580)),(C580-E580),IF(C580&lt;E580,0,F580))</f>
        <v>11.5998402511047</v>
      </c>
      <c r="M580" s="7" t="n">
        <f aca="false">IF(C580&lt;(E580+F580),0,C580-E580-F580)</f>
        <v>12.1997395207882</v>
      </c>
      <c r="N580" s="7" t="n">
        <f aca="false">IF(C580&lt;(E580+F580),0,(C580-E580-F580)/(1-V$20/100))</f>
        <v>13.4063071657013</v>
      </c>
      <c r="O580" s="7" t="n">
        <f aca="false">L580+M580</f>
        <v>23.7995797718929</v>
      </c>
      <c r="P580" s="49" t="n">
        <f aca="false">IF(N580=0,I580*(1-G580/100)+J580*(1-H580/100),-N580)</f>
        <v>-13.4063071657013</v>
      </c>
      <c r="Q580" s="54" t="n">
        <f aca="false">IF(P579&gt;0,Q579+P579*(1-V$24/100),Q579+P579)</f>
        <v>3662.61748280036</v>
      </c>
      <c r="R580" s="55" t="n">
        <f aca="false">R$4+Q580/V$32</f>
        <v>75.6196522181826</v>
      </c>
    </row>
    <row r="581" customFormat="false" ht="12.8" hidden="false" customHeight="false" outlineLevel="0" collapsed="false">
      <c r="A581" s="1" t="n">
        <v>577</v>
      </c>
      <c r="B581" s="44" t="n">
        <v>44122</v>
      </c>
      <c r="C581" s="45" t="n">
        <f aca="false">V$30-V$30*SIN(2*PI()/365*A581)</f>
        <v>24.0440724959527</v>
      </c>
      <c r="D581" s="3" t="n">
        <f aca="false">IF((E581+F581)&gt;C581,C581,E581+F581)</f>
        <v>11.3540154755253</v>
      </c>
      <c r="E581" s="46" t="n">
        <f aca="false">(V$27+V$28*SIN(2*PI()/365*A581))*V$29/100*V$9*V$10/100</f>
        <v>0</v>
      </c>
      <c r="F581" s="46" t="n">
        <f aca="false">(V$27+V$28*SIN(2*PI()/365*A581))*V$29/100*V$11*(1-V$18/100)*(1-V$20/100)</f>
        <v>11.3540154755253</v>
      </c>
      <c r="G581" s="46" t="n">
        <f aca="false">IF(C581&gt;E581,100,C581/E581*100)</f>
        <v>100</v>
      </c>
      <c r="H581" s="46" t="n">
        <f aca="false">L581/F581*100</f>
        <v>100</v>
      </c>
      <c r="I581" s="47" t="n">
        <f aca="false">(V$27+V$28*SIN(2*PI()/365*A581))*V$29/100*V$9*V$10/100*(1-V$19/100)</f>
        <v>0</v>
      </c>
      <c r="J581" s="47" t="n">
        <f aca="false">(V$27+V$28*SIN(2*PI()/365*A581))*V$29/100*V$11*(1-V$18/100)</f>
        <v>12.4769400829948</v>
      </c>
      <c r="K581" s="48" t="n">
        <f aca="false">IF(E581/C581*100&lt;100,E581/C581*100,100)</f>
        <v>0</v>
      </c>
      <c r="L581" s="7" t="n">
        <f aca="false">IF(((C581-E581)&gt;0)*AND(F581&gt;(C581-E581)),(C581-E581),IF(C581&lt;E581,0,F581))</f>
        <v>11.3540154755253</v>
      </c>
      <c r="M581" s="7" t="n">
        <f aca="false">IF(C581&lt;(E581+F581),0,C581-E581-F581)</f>
        <v>12.6900570204274</v>
      </c>
      <c r="N581" s="7" t="n">
        <f aca="false">IF(C581&lt;(E581+F581),0,(C581-E581-F581)/(1-V$20/100))</f>
        <v>13.9451176048653</v>
      </c>
      <c r="O581" s="7" t="n">
        <f aca="false">L581+M581</f>
        <v>24.0440724959527</v>
      </c>
      <c r="P581" s="49" t="n">
        <f aca="false">IF(N581=0,I581*(1-G581/100)+J581*(1-H581/100),-N581)</f>
        <v>-13.9451176048653</v>
      </c>
      <c r="Q581" s="54" t="n">
        <f aca="false">IF(P580&gt;0,Q580+P580*(1-V$24/100),Q580+P580)</f>
        <v>3649.21117563466</v>
      </c>
      <c r="R581" s="55" t="n">
        <f aca="false">R$4+Q581/V$32</f>
        <v>75.4892733290371</v>
      </c>
    </row>
    <row r="582" customFormat="false" ht="12.8" hidden="false" customHeight="false" outlineLevel="0" collapsed="false">
      <c r="A582" s="1" t="n">
        <v>578</v>
      </c>
      <c r="B582" s="44" t="n">
        <v>44123</v>
      </c>
      <c r="C582" s="45" t="n">
        <f aca="false">V$30-V$30*SIN(2*PI()/365*A582)</f>
        <v>24.2862341640282</v>
      </c>
      <c r="D582" s="3" t="n">
        <f aca="false">IF((E582+F582)&gt;C582,C582,E582+F582)</f>
        <v>11.1105344560491</v>
      </c>
      <c r="E582" s="46" t="n">
        <f aca="false">(V$27+V$28*SIN(2*PI()/365*A582))*V$29/100*V$9*V$10/100</f>
        <v>0</v>
      </c>
      <c r="F582" s="46" t="n">
        <f aca="false">(V$27+V$28*SIN(2*PI()/365*A582))*V$29/100*V$11*(1-V$18/100)*(1-V$20/100)</f>
        <v>11.1105344560491</v>
      </c>
      <c r="G582" s="46" t="n">
        <f aca="false">IF(C582&gt;E582,100,C582/E582*100)</f>
        <v>100</v>
      </c>
      <c r="H582" s="46" t="n">
        <f aca="false">L582/F582*100</f>
        <v>100</v>
      </c>
      <c r="I582" s="47" t="n">
        <f aca="false">(V$27+V$28*SIN(2*PI()/365*A582))*V$29/100*V$9*V$10/100*(1-V$19/100)</f>
        <v>0</v>
      </c>
      <c r="J582" s="47" t="n">
        <f aca="false">(V$27+V$28*SIN(2*PI()/365*A582))*V$29/100*V$11*(1-V$18/100)</f>
        <v>12.2093785231309</v>
      </c>
      <c r="K582" s="48" t="n">
        <f aca="false">IF(E582/C582*100&lt;100,E582/C582*100,100)</f>
        <v>0</v>
      </c>
      <c r="L582" s="7" t="n">
        <f aca="false">IF(((C582-E582)&gt;0)*AND(F582&gt;(C582-E582)),(C582-E582),IF(C582&lt;E582,0,F582))</f>
        <v>11.1105344560491</v>
      </c>
      <c r="M582" s="7" t="n">
        <f aca="false">IF(C582&lt;(E582+F582),0,C582-E582-F582)</f>
        <v>13.1756997079791</v>
      </c>
      <c r="N582" s="7" t="n">
        <f aca="false">IF(C582&lt;(E582+F582),0,(C582-E582-F582)/(1-V$20/100))</f>
        <v>14.4787908878891</v>
      </c>
      <c r="O582" s="7" t="n">
        <f aca="false">L582+M582</f>
        <v>24.2862341640282</v>
      </c>
      <c r="P582" s="49" t="n">
        <f aca="false">IF(N582=0,I582*(1-G582/100)+J582*(1-H582/100),-N582)</f>
        <v>-14.4787908878891</v>
      </c>
      <c r="Q582" s="54" t="n">
        <f aca="false">IF(P581&gt;0,Q581+P581*(1-V$24/100),Q581+P581)</f>
        <v>3635.2660580298</v>
      </c>
      <c r="R582" s="55" t="n">
        <f aca="false">R$4+Q582/V$32</f>
        <v>75.3536544058054</v>
      </c>
    </row>
    <row r="583" customFormat="false" ht="12.8" hidden="false" customHeight="false" outlineLevel="0" collapsed="false">
      <c r="A583" s="1" t="n">
        <v>579</v>
      </c>
      <c r="B583" s="44" t="n">
        <v>44124</v>
      </c>
      <c r="C583" s="45" t="n">
        <f aca="false">V$30-V$30*SIN(2*PI()/365*A583)</f>
        <v>24.5259930183908</v>
      </c>
      <c r="D583" s="3" t="n">
        <f aca="false">IF((E583+F583)&gt;C583,C583,E583+F583)</f>
        <v>10.869469341357</v>
      </c>
      <c r="E583" s="46" t="n">
        <f aca="false">(V$27+V$28*SIN(2*PI()/365*A583))*V$29/100*V$9*V$10/100</f>
        <v>0</v>
      </c>
      <c r="F583" s="46" t="n">
        <f aca="false">(V$27+V$28*SIN(2*PI()/365*A583))*V$29/100*V$11*(1-V$18/100)*(1-V$20/100)</f>
        <v>10.869469341357</v>
      </c>
      <c r="G583" s="46" t="n">
        <f aca="false">IF(C583&gt;E583,100,C583/E583*100)</f>
        <v>100</v>
      </c>
      <c r="H583" s="46" t="n">
        <f aca="false">L583/F583*100</f>
        <v>100</v>
      </c>
      <c r="I583" s="47" t="n">
        <f aca="false">(V$27+V$28*SIN(2*PI()/365*A583))*V$29/100*V$9*V$10/100*(1-V$19/100)</f>
        <v>0</v>
      </c>
      <c r="J583" s="47" t="n">
        <f aca="false">(V$27+V$28*SIN(2*PI()/365*A583))*V$29/100*V$11*(1-V$18/100)</f>
        <v>11.944471803689</v>
      </c>
      <c r="K583" s="48" t="n">
        <f aca="false">IF(E583/C583*100&lt;100,E583/C583*100,100)</f>
        <v>0</v>
      </c>
      <c r="L583" s="7" t="n">
        <f aca="false">IF(((C583-E583)&gt;0)*AND(F583&gt;(C583-E583)),(C583-E583),IF(C583&lt;E583,0,F583))</f>
        <v>10.869469341357</v>
      </c>
      <c r="M583" s="7" t="n">
        <f aca="false">IF(C583&lt;(E583+F583),0,C583-E583-F583)</f>
        <v>13.6565236770338</v>
      </c>
      <c r="N583" s="7" t="n">
        <f aca="false">IF(C583&lt;(E583+F583),0,(C583-E583-F583)/(1-V$20/100))</f>
        <v>15.0071688758614</v>
      </c>
      <c r="O583" s="7" t="n">
        <f aca="false">L583+M583</f>
        <v>24.5259930183908</v>
      </c>
      <c r="P583" s="49" t="n">
        <f aca="false">IF(N583=0,I583*(1-G583/100)+J583*(1-H583/100),-N583)</f>
        <v>-15.0071688758614</v>
      </c>
      <c r="Q583" s="54" t="n">
        <f aca="false">IF(P582&gt;0,Q582+P582*(1-V$24/100),Q582+P582)</f>
        <v>3620.78726714191</v>
      </c>
      <c r="R583" s="55" t="n">
        <f aca="false">R$4+Q583/V$32</f>
        <v>75.2128454083089</v>
      </c>
    </row>
    <row r="584" customFormat="false" ht="12.8" hidden="false" customHeight="false" outlineLevel="0" collapsed="false">
      <c r="A584" s="1" t="n">
        <v>580</v>
      </c>
      <c r="B584" s="44" t="n">
        <v>44125</v>
      </c>
      <c r="C584" s="45" t="n">
        <f aca="false">V$30-V$30*SIN(2*PI()/365*A584)</f>
        <v>24.7632780133176</v>
      </c>
      <c r="D584" s="3" t="n">
        <f aca="false">IF((E584+F584)&gt;C584,C584,E584+F584)</f>
        <v>10.630891564245</v>
      </c>
      <c r="E584" s="46" t="n">
        <f aca="false">(V$27+V$28*SIN(2*PI()/365*A584))*V$29/100*V$9*V$10/100</f>
        <v>0</v>
      </c>
      <c r="F584" s="46" t="n">
        <f aca="false">(V$27+V$28*SIN(2*PI()/365*A584))*V$29/100*V$11*(1-V$18/100)*(1-V$20/100)</f>
        <v>10.630891564245</v>
      </c>
      <c r="G584" s="46" t="n">
        <f aca="false">IF(C584&gt;E584,100,C584/E584*100)</f>
        <v>100</v>
      </c>
      <c r="H584" s="46" t="n">
        <f aca="false">L584/F584*100</f>
        <v>100</v>
      </c>
      <c r="I584" s="47" t="n">
        <f aca="false">(V$27+V$28*SIN(2*PI()/365*A584))*V$29/100*V$9*V$10/100*(1-V$19/100)</f>
        <v>0</v>
      </c>
      <c r="J584" s="47" t="n">
        <f aca="false">(V$27+V$28*SIN(2*PI()/365*A584))*V$29/100*V$11*(1-V$18/100)</f>
        <v>11.6822984222472</v>
      </c>
      <c r="K584" s="48" t="n">
        <f aca="false">IF(E584/C584*100&lt;100,E584/C584*100,100)</f>
        <v>0</v>
      </c>
      <c r="L584" s="7" t="n">
        <f aca="false">IF(((C584-E584)&gt;0)*AND(F584&gt;(C584-E584)),(C584-E584),IF(C584&lt;E584,0,F584))</f>
        <v>10.630891564245</v>
      </c>
      <c r="M584" s="7" t="n">
        <f aca="false">IF(C584&lt;(E584+F584),0,C584-E584-F584)</f>
        <v>14.1323864490726</v>
      </c>
      <c r="N584" s="7" t="n">
        <f aca="false">IF(C584&lt;(E584+F584),0,(C584-E584-F584)/(1-V$20/100))</f>
        <v>15.5300949989809</v>
      </c>
      <c r="O584" s="7" t="n">
        <f aca="false">L584+M584</f>
        <v>24.7632780133176</v>
      </c>
      <c r="P584" s="49" t="n">
        <f aca="false">IF(N584=0,I584*(1-G584/100)+J584*(1-H584/100),-N584)</f>
        <v>-15.5300949989809</v>
      </c>
      <c r="Q584" s="54" t="n">
        <f aca="false">IF(P583&gt;0,Q583+P583*(1-V$24/100),Q583+P583)</f>
        <v>3605.78009826605</v>
      </c>
      <c r="R584" s="55" t="n">
        <f aca="false">R$4+Q584/V$32</f>
        <v>75.0668978342999</v>
      </c>
    </row>
    <row r="585" customFormat="false" ht="12.8" hidden="false" customHeight="false" outlineLevel="0" collapsed="false">
      <c r="A585" s="1" t="n">
        <v>581</v>
      </c>
      <c r="B585" s="44" t="n">
        <v>44126</v>
      </c>
      <c r="C585" s="45" t="n">
        <f aca="false">V$30-V$30*SIN(2*PI()/365*A585)</f>
        <v>24.9980188361436</v>
      </c>
      <c r="D585" s="3" t="n">
        <f aca="false">IF((E585+F585)&gt;C585,C585,E585+F585)</f>
        <v>10.3948718204574</v>
      </c>
      <c r="E585" s="46" t="n">
        <f aca="false">(V$27+V$28*SIN(2*PI()/365*A585))*V$29/100*V$9*V$10/100</f>
        <v>0</v>
      </c>
      <c r="F585" s="46" t="n">
        <f aca="false">(V$27+V$28*SIN(2*PI()/365*A585))*V$29/100*V$11*(1-V$18/100)*(1-V$20/100)</f>
        <v>10.3948718204574</v>
      </c>
      <c r="G585" s="46" t="n">
        <f aca="false">IF(C585&gt;E585,100,C585/E585*100)</f>
        <v>100</v>
      </c>
      <c r="H585" s="46" t="n">
        <f aca="false">L585/F585*100</f>
        <v>100</v>
      </c>
      <c r="I585" s="47" t="n">
        <f aca="false">(V$27+V$28*SIN(2*PI()/365*A585))*V$29/100*V$9*V$10/100*(1-V$19/100)</f>
        <v>0</v>
      </c>
      <c r="J585" s="47" t="n">
        <f aca="false">(V$27+V$28*SIN(2*PI()/365*A585))*V$29/100*V$11*(1-V$18/100)</f>
        <v>11.4229360664367</v>
      </c>
      <c r="K585" s="48" t="n">
        <f aca="false">IF(E585/C585*100&lt;100,E585/C585*100,100)</f>
        <v>0</v>
      </c>
      <c r="L585" s="7" t="n">
        <f aca="false">IF(((C585-E585)&gt;0)*AND(F585&gt;(C585-E585)),(C585-E585),IF(C585&lt;E585,0,F585))</f>
        <v>10.3948718204574</v>
      </c>
      <c r="M585" s="7" t="n">
        <f aca="false">IF(C585&lt;(E585+F585),0,C585-E585-F585)</f>
        <v>14.6031470156862</v>
      </c>
      <c r="N585" s="7" t="n">
        <f aca="false">IF(C585&lt;(E585+F585),0,(C585-E585-F585)/(1-V$20/100))</f>
        <v>16.0474143029518</v>
      </c>
      <c r="O585" s="7" t="n">
        <f aca="false">L585+M585</f>
        <v>24.9980188361436</v>
      </c>
      <c r="P585" s="49" t="n">
        <f aca="false">IF(N585=0,I585*(1-G585/100)+J585*(1-H585/100),-N585)</f>
        <v>-16.0474143029518</v>
      </c>
      <c r="Q585" s="54" t="n">
        <f aca="false">IF(P584&gt;0,Q584+P584*(1-V$24/100),Q584+P584)</f>
        <v>3590.25000326707</v>
      </c>
      <c r="R585" s="55" t="n">
        <f aca="false">R$4+Q585/V$32</f>
        <v>74.9158647042019</v>
      </c>
    </row>
    <row r="586" customFormat="false" ht="12.8" hidden="false" customHeight="false" outlineLevel="0" collapsed="false">
      <c r="A586" s="1" t="n">
        <v>582</v>
      </c>
      <c r="B586" s="44" t="n">
        <v>44127</v>
      </c>
      <c r="C586" s="45" t="n">
        <f aca="false">V$30-V$30*SIN(2*PI()/365*A586)</f>
        <v>25.2301459280968</v>
      </c>
      <c r="D586" s="3" t="n">
        <f aca="false">IF((E586+F586)&gt;C586,C586,E586+F586)</f>
        <v>10.1614800477381</v>
      </c>
      <c r="E586" s="46" t="n">
        <f aca="false">(V$27+V$28*SIN(2*PI()/365*A586))*V$29/100*V$9*V$10/100</f>
        <v>0</v>
      </c>
      <c r="F586" s="46" t="n">
        <f aca="false">(V$27+V$28*SIN(2*PI()/365*A586))*V$29/100*V$11*(1-V$18/100)*(1-V$20/100)</f>
        <v>10.1614800477381</v>
      </c>
      <c r="G586" s="46" t="n">
        <f aca="false">IF(C586&gt;E586,100,C586/E586*100)</f>
        <v>100</v>
      </c>
      <c r="H586" s="46" t="n">
        <f aca="false">L586/F586*100</f>
        <v>100</v>
      </c>
      <c r="I586" s="47" t="n">
        <f aca="false">(V$27+V$28*SIN(2*PI()/365*A586))*V$29/100*V$9*V$10/100*(1-V$19/100)</f>
        <v>0</v>
      </c>
      <c r="J586" s="47" t="n">
        <f aca="false">(V$27+V$28*SIN(2*PI()/365*A586))*V$29/100*V$11*(1-V$18/100)</f>
        <v>11.166461590921</v>
      </c>
      <c r="K586" s="48" t="n">
        <f aca="false">IF(E586/C586*100&lt;100,E586/C586*100,100)</f>
        <v>0</v>
      </c>
      <c r="L586" s="7" t="n">
        <f aca="false">IF(((C586-E586)&gt;0)*AND(F586&gt;(C586-E586)),(C586-E586),IF(C586&lt;E586,0,F586))</f>
        <v>10.1614800477381</v>
      </c>
      <c r="M586" s="7" t="n">
        <f aca="false">IF(C586&lt;(E586+F586),0,C586-E586-F586)</f>
        <v>15.0686658803587</v>
      </c>
      <c r="N586" s="7" t="n">
        <f aca="false">IF(C586&lt;(E586+F586),0,(C586-E586-F586)/(1-V$20/100))</f>
        <v>16.5589734948996</v>
      </c>
      <c r="O586" s="7" t="n">
        <f aca="false">L586+M586</f>
        <v>25.2301459280968</v>
      </c>
      <c r="P586" s="49" t="n">
        <f aca="false">IF(N586=0,I586*(1-G586/100)+J586*(1-H586/100),-N586)</f>
        <v>-16.5589734948996</v>
      </c>
      <c r="Q586" s="54" t="n">
        <f aca="false">IF(P585&gt;0,Q585+P585*(1-V$24/100),Q585+P585)</f>
        <v>3574.20258896411</v>
      </c>
      <c r="R586" s="55" t="n">
        <f aca="false">R$4+Q586/V$32</f>
        <v>74.7598005453984</v>
      </c>
    </row>
    <row r="587" customFormat="false" ht="12.8" hidden="false" customHeight="false" outlineLevel="0" collapsed="false">
      <c r="A587" s="1" t="n">
        <v>583</v>
      </c>
      <c r="B587" s="44" t="n">
        <v>44128</v>
      </c>
      <c r="C587" s="45" t="n">
        <f aca="false">V$30-V$30*SIN(2*PI()/365*A587)</f>
        <v>25.4595905049101</v>
      </c>
      <c r="D587" s="3" t="n">
        <f aca="false">IF((E587+F587)&gt;C587,C587,E587+F587)</f>
        <v>9.93078540510629</v>
      </c>
      <c r="E587" s="46" t="n">
        <f aca="false">(V$27+V$28*SIN(2*PI()/365*A587))*V$29/100*V$9*V$10/100</f>
        <v>0</v>
      </c>
      <c r="F587" s="46" t="n">
        <f aca="false">(V$27+V$28*SIN(2*PI()/365*A587))*V$29/100*V$11*(1-V$18/100)*(1-V$20/100)</f>
        <v>9.93078540510629</v>
      </c>
      <c r="G587" s="46" t="n">
        <f aca="false">IF(C587&gt;E587,100,C587/E587*100)</f>
        <v>100</v>
      </c>
      <c r="H587" s="46" t="n">
        <f aca="false">L587/F587*100</f>
        <v>100</v>
      </c>
      <c r="I587" s="47" t="n">
        <f aca="false">(V$27+V$28*SIN(2*PI()/365*A587))*V$29/100*V$9*V$10/100*(1-V$19/100)</f>
        <v>0</v>
      </c>
      <c r="J587" s="47" t="n">
        <f aca="false">(V$27+V$28*SIN(2*PI()/365*A587))*V$29/100*V$11*(1-V$18/100)</f>
        <v>10.9129509946223</v>
      </c>
      <c r="K587" s="48" t="n">
        <f aca="false">IF(E587/C587*100&lt;100,E587/C587*100,100)</f>
        <v>0</v>
      </c>
      <c r="L587" s="7" t="n">
        <f aca="false">IF(((C587-E587)&gt;0)*AND(F587&gt;(C587-E587)),(C587-E587),IF(C587&lt;E587,0,F587))</f>
        <v>9.93078540510629</v>
      </c>
      <c r="M587" s="7" t="n">
        <f aca="false">IF(C587&lt;(E587+F587),0,C587-E587-F587)</f>
        <v>15.5288050998038</v>
      </c>
      <c r="N587" s="7" t="n">
        <f aca="false">IF(C587&lt;(E587+F587),0,(C587-E587-F587)/(1-V$20/100))</f>
        <v>17.0646209887954</v>
      </c>
      <c r="O587" s="7" t="n">
        <f aca="false">L587+M587</f>
        <v>25.4595905049101</v>
      </c>
      <c r="P587" s="49" t="n">
        <f aca="false">IF(N587=0,I587*(1-G587/100)+J587*(1-H587/100),-N587)</f>
        <v>-17.0646209887954</v>
      </c>
      <c r="Q587" s="54" t="n">
        <f aca="false">IF(P586&gt;0,Q586+P586*(1-V$24/100),Q586+P586)</f>
        <v>3557.64361546921</v>
      </c>
      <c r="R587" s="55" t="n">
        <f aca="false">R$4+Q587/V$32</f>
        <v>74.5987613760753</v>
      </c>
    </row>
    <row r="588" customFormat="false" ht="12.8" hidden="false" customHeight="false" outlineLevel="0" collapsed="false">
      <c r="A588" s="1" t="n">
        <v>584</v>
      </c>
      <c r="B588" s="44" t="n">
        <v>44129</v>
      </c>
      <c r="C588" s="45" t="n">
        <f aca="false">V$30-V$30*SIN(2*PI()/365*A588)</f>
        <v>25.6862845772037</v>
      </c>
      <c r="D588" s="3" t="n">
        <f aca="false">IF((E588+F588)&gt;C588,C588,E588+F588)</f>
        <v>9.70285625236338</v>
      </c>
      <c r="E588" s="46" t="n">
        <f aca="false">(V$27+V$28*SIN(2*PI()/365*A588))*V$29/100*V$9*V$10/100</f>
        <v>0</v>
      </c>
      <c r="F588" s="46" t="n">
        <f aca="false">(V$27+V$28*SIN(2*PI()/365*A588))*V$29/100*V$11*(1-V$18/100)*(1-V$20/100)</f>
        <v>9.70285625236338</v>
      </c>
      <c r="G588" s="46" t="n">
        <f aca="false">IF(C588&gt;E588,100,C588/E588*100)</f>
        <v>100</v>
      </c>
      <c r="H588" s="46" t="n">
        <f aca="false">L588/F588*100</f>
        <v>100</v>
      </c>
      <c r="I588" s="47" t="n">
        <f aca="false">(V$27+V$28*SIN(2*PI()/365*A588))*V$29/100*V$9*V$10/100*(1-V$19/100)</f>
        <v>0</v>
      </c>
      <c r="J588" s="47" t="n">
        <f aca="false">(V$27+V$28*SIN(2*PI()/365*A588))*V$29/100*V$11*(1-V$18/100)</f>
        <v>10.6624793982015</v>
      </c>
      <c r="K588" s="48" t="n">
        <f aca="false">IF(E588/C588*100&lt;100,E588/C588*100,100)</f>
        <v>0</v>
      </c>
      <c r="L588" s="7" t="n">
        <f aca="false">IF(((C588-E588)&gt;0)*AND(F588&gt;(C588-E588)),(C588-E588),IF(C588&lt;E588,0,F588))</f>
        <v>9.70285625236338</v>
      </c>
      <c r="M588" s="7" t="n">
        <f aca="false">IF(C588&lt;(E588+F588),0,C588-E588-F588)</f>
        <v>15.9834283248403</v>
      </c>
      <c r="N588" s="7" t="n">
        <f aca="false">IF(C588&lt;(E588+F588),0,(C588-E588-F588)/(1-V$20/100))</f>
        <v>17.564206950374</v>
      </c>
      <c r="O588" s="7" t="n">
        <f aca="false">L588+M588</f>
        <v>25.6862845772037</v>
      </c>
      <c r="P588" s="49" t="n">
        <f aca="false">IF(N588=0,I588*(1-G588/100)+J588*(1-H588/100),-N588)</f>
        <v>-17.564206950374</v>
      </c>
      <c r="Q588" s="54" t="n">
        <f aca="false">IF(P587&gt;0,Q587+P587*(1-V$24/100),Q587+P587)</f>
        <v>3540.57899448042</v>
      </c>
      <c r="R588" s="55" t="n">
        <f aca="false">R$4+Q588/V$32</f>
        <v>74.4328046886215</v>
      </c>
    </row>
    <row r="589" customFormat="false" ht="12.8" hidden="false" customHeight="false" outlineLevel="0" collapsed="false">
      <c r="A589" s="1" t="n">
        <v>585</v>
      </c>
      <c r="B589" s="44" t="n">
        <v>44130</v>
      </c>
      <c r="C589" s="45" t="n">
        <f aca="false">V$30-V$30*SIN(2*PI()/365*A589)</f>
        <v>25.9101609706315</v>
      </c>
      <c r="D589" s="3" t="n">
        <f aca="false">IF((E589+F589)&gt;C589,C589,E589+F589)</f>
        <v>9.47776012983647</v>
      </c>
      <c r="E589" s="46" t="n">
        <f aca="false">(V$27+V$28*SIN(2*PI()/365*A589))*V$29/100*V$9*V$10/100</f>
        <v>0</v>
      </c>
      <c r="F589" s="46" t="n">
        <f aca="false">(V$27+V$28*SIN(2*PI()/365*A589))*V$29/100*V$11*(1-V$18/100)*(1-V$20/100)</f>
        <v>9.47776012983647</v>
      </c>
      <c r="G589" s="46" t="n">
        <f aca="false">IF(C589&gt;E589,100,C589/E589*100)</f>
        <v>100</v>
      </c>
      <c r="H589" s="46" t="n">
        <f aca="false">L589/F589*100</f>
        <v>100</v>
      </c>
      <c r="I589" s="47" t="n">
        <f aca="false">(V$27+V$28*SIN(2*PI()/365*A589))*V$29/100*V$9*V$10/100*(1-V$19/100)</f>
        <v>0</v>
      </c>
      <c r="J589" s="47" t="n">
        <f aca="false">(V$27+V$28*SIN(2*PI()/365*A589))*V$29/100*V$11*(1-V$18/100)</f>
        <v>10.4151210217983</v>
      </c>
      <c r="K589" s="48" t="n">
        <f aca="false">IF(E589/C589*100&lt;100,E589/C589*100,100)</f>
        <v>0</v>
      </c>
      <c r="L589" s="7" t="n">
        <f aca="false">IF(((C589-E589)&gt;0)*AND(F589&gt;(C589-E589)),(C589-E589),IF(C589&lt;E589,0,F589))</f>
        <v>9.47776012983647</v>
      </c>
      <c r="M589" s="7" t="n">
        <f aca="false">IF(C589&lt;(E589+F589),0,C589-E589-F589)</f>
        <v>16.432400840795</v>
      </c>
      <c r="N589" s="7" t="n">
        <f aca="false">IF(C589&lt;(E589+F589),0,(C589-E589-F589)/(1-V$20/100))</f>
        <v>18.057583341533</v>
      </c>
      <c r="O589" s="7" t="n">
        <f aca="false">L589+M589</f>
        <v>25.9101609706315</v>
      </c>
      <c r="P589" s="49" t="n">
        <f aca="false">IF(N589=0,I589*(1-G589/100)+J589*(1-H589/100),-N589)</f>
        <v>-18.057583341533</v>
      </c>
      <c r="Q589" s="54" t="n">
        <f aca="false">IF(P588&gt;0,Q588+P588*(1-V$24/100),Q588+P588)</f>
        <v>3523.01478753004</v>
      </c>
      <c r="R589" s="55" t="n">
        <f aca="false">R$4+Q589/V$32</f>
        <v>74.2619894325925</v>
      </c>
    </row>
    <row r="590" customFormat="false" ht="12.8" hidden="false" customHeight="false" outlineLevel="0" collapsed="false">
      <c r="A590" s="1" t="n">
        <v>586</v>
      </c>
      <c r="B590" s="44" t="n">
        <v>44131</v>
      </c>
      <c r="C590" s="45" t="n">
        <f aca="false">V$30-V$30*SIN(2*PI()/365*A590)</f>
        <v>26.1311533457863</v>
      </c>
      <c r="D590" s="3" t="n">
        <f aca="false">IF((E590+F590)&gt;C590,C590,E590+F590)</f>
        <v>9.25556373836463</v>
      </c>
      <c r="E590" s="46" t="n">
        <f aca="false">(V$27+V$28*SIN(2*PI()/365*A590))*V$29/100*V$9*V$10/100</f>
        <v>0</v>
      </c>
      <c r="F590" s="46" t="n">
        <f aca="false">(V$27+V$28*SIN(2*PI()/365*A590))*V$29/100*V$11*(1-V$18/100)*(1-V$20/100)</f>
        <v>9.25556373836463</v>
      </c>
      <c r="G590" s="46" t="n">
        <f aca="false">IF(C590&gt;E590,100,C590/E590*100)</f>
        <v>100</v>
      </c>
      <c r="H590" s="46" t="n">
        <f aca="false">L590/F590*100</f>
        <v>100</v>
      </c>
      <c r="I590" s="47" t="n">
        <f aca="false">(V$27+V$28*SIN(2*PI()/365*A590))*V$29/100*V$9*V$10/100*(1-V$19/100)</f>
        <v>0</v>
      </c>
      <c r="J590" s="47" t="n">
        <f aca="false">(V$27+V$28*SIN(2*PI()/365*A590))*V$29/100*V$11*(1-V$18/100)</f>
        <v>10.1709491630381</v>
      </c>
      <c r="K590" s="48" t="n">
        <f aca="false">IF(E590/C590*100&lt;100,E590/C590*100,100)</f>
        <v>0</v>
      </c>
      <c r="L590" s="7" t="n">
        <f aca="false">IF(((C590-E590)&gt;0)*AND(F590&gt;(C590-E590)),(C590-E590),IF(C590&lt;E590,0,F590))</f>
        <v>9.25556373836463</v>
      </c>
      <c r="M590" s="7" t="n">
        <f aca="false">IF(C590&lt;(E590+F590),0,C590-E590-F590)</f>
        <v>16.8755896074217</v>
      </c>
      <c r="N590" s="7" t="n">
        <f aca="false">IF(C590&lt;(E590+F590),0,(C590-E590-F590)/(1-V$20/100))</f>
        <v>18.5446039641997</v>
      </c>
      <c r="O590" s="7" t="n">
        <f aca="false">L590+M590</f>
        <v>26.1311533457863</v>
      </c>
      <c r="P590" s="49" t="n">
        <f aca="false">IF(N590=0,I590*(1-G590/100)+J590*(1-H590/100),-N590)</f>
        <v>-18.5446039641997</v>
      </c>
      <c r="Q590" s="54" t="n">
        <f aca="false">IF(P589&gt;0,Q589+P589*(1-V$24/100),Q589+P589)</f>
        <v>3504.95720418851</v>
      </c>
      <c r="R590" s="55" t="n">
        <f aca="false">R$4+Q590/V$32</f>
        <v>74.0863759972429</v>
      </c>
    </row>
    <row r="591" customFormat="false" ht="12.8" hidden="false" customHeight="false" outlineLevel="0" collapsed="false">
      <c r="A591" s="1" t="n">
        <v>587</v>
      </c>
      <c r="B591" s="44" t="n">
        <v>44132</v>
      </c>
      <c r="C591" s="45" t="n">
        <f aca="false">V$30-V$30*SIN(2*PI()/365*A591)</f>
        <v>26.3491962178582</v>
      </c>
      <c r="D591" s="3" t="n">
        <f aca="false">IF((E591+F591)&gt;C591,C591,E591+F591)</f>
        <v>9.03633291953402</v>
      </c>
      <c r="E591" s="46" t="n">
        <f aca="false">(V$27+V$28*SIN(2*PI()/365*A591))*V$29/100*V$9*V$10/100</f>
        <v>0</v>
      </c>
      <c r="F591" s="46" t="n">
        <f aca="false">(V$27+V$28*SIN(2*PI()/365*A591))*V$29/100*V$11*(1-V$18/100)*(1-V$20/100)</f>
        <v>9.03633291953402</v>
      </c>
      <c r="G591" s="46" t="n">
        <f aca="false">IF(C591&gt;E591,100,C591/E591*100)</f>
        <v>100</v>
      </c>
      <c r="H591" s="46" t="n">
        <f aca="false">L591/F591*100</f>
        <v>100</v>
      </c>
      <c r="I591" s="47" t="n">
        <f aca="false">(V$27+V$28*SIN(2*PI()/365*A591))*V$29/100*V$9*V$10/100*(1-V$19/100)</f>
        <v>0</v>
      </c>
      <c r="J591" s="47" t="n">
        <f aca="false">(V$27+V$28*SIN(2*PI()/365*A591))*V$29/100*V$11*(1-V$18/100)</f>
        <v>9.93003617531211</v>
      </c>
      <c r="K591" s="48" t="n">
        <f aca="false">IF(E591/C591*100&lt;100,E591/C591*100,100)</f>
        <v>0</v>
      </c>
      <c r="L591" s="7" t="n">
        <f aca="false">IF(((C591-E591)&gt;0)*AND(F591&gt;(C591-E591)),(C591-E591),IF(C591&lt;E591,0,F591))</f>
        <v>9.03633291953402</v>
      </c>
      <c r="M591" s="7" t="n">
        <f aca="false">IF(C591&lt;(E591+F591),0,C591-E591-F591)</f>
        <v>17.3128632983242</v>
      </c>
      <c r="N591" s="7" t="n">
        <f aca="false">IF(C591&lt;(E591+F591),0,(C591-E591-F591)/(1-V$20/100))</f>
        <v>19.025124503653</v>
      </c>
      <c r="O591" s="7" t="n">
        <f aca="false">L591+M591</f>
        <v>26.3491962178582</v>
      </c>
      <c r="P591" s="49" t="n">
        <f aca="false">IF(N591=0,I591*(1-G591/100)+J591*(1-H591/100),-N591)</f>
        <v>-19.025124503653</v>
      </c>
      <c r="Q591" s="54" t="n">
        <f aca="false">IF(P590&gt;0,Q590+P590*(1-V$24/100),Q590+P590)</f>
        <v>3486.41260022431</v>
      </c>
      <c r="R591" s="55" t="n">
        <f aca="false">R$4+Q591/V$32</f>
        <v>73.9060261936309</v>
      </c>
    </row>
    <row r="592" customFormat="false" ht="12.8" hidden="false" customHeight="false" outlineLevel="0" collapsed="false">
      <c r="A592" s="1" t="n">
        <v>588</v>
      </c>
      <c r="B592" s="44" t="n">
        <v>44133</v>
      </c>
      <c r="C592" s="45" t="n">
        <f aca="false">V$30-V$30*SIN(2*PI()/365*A592)</f>
        <v>26.5642249760383</v>
      </c>
      <c r="D592" s="3" t="n">
        <f aca="false">IF((E592+F592)&gt;C592,C592,E592+F592)</f>
        <v>8.82013263616768</v>
      </c>
      <c r="E592" s="46" t="n">
        <f aca="false">(V$27+V$28*SIN(2*PI()/365*A592))*V$29/100*V$9*V$10/100</f>
        <v>0</v>
      </c>
      <c r="F592" s="46" t="n">
        <f aca="false">(V$27+V$28*SIN(2*PI()/365*A592))*V$29/100*V$11*(1-V$18/100)*(1-V$20/100)</f>
        <v>8.82013263616768</v>
      </c>
      <c r="G592" s="46" t="n">
        <f aca="false">IF(C592&gt;E592,100,C592/E592*100)</f>
        <v>100</v>
      </c>
      <c r="H592" s="46" t="n">
        <f aca="false">L592/F592*100</f>
        <v>100</v>
      </c>
      <c r="I592" s="47" t="n">
        <f aca="false">(V$27+V$28*SIN(2*PI()/365*A592))*V$29/100*V$9*V$10/100*(1-V$19/100)</f>
        <v>0</v>
      </c>
      <c r="J592" s="47" t="n">
        <f aca="false">(V$27+V$28*SIN(2*PI()/365*A592))*V$29/100*V$11*(1-V$18/100)</f>
        <v>9.69245344633811</v>
      </c>
      <c r="K592" s="48" t="n">
        <f aca="false">IF(E592/C592*100&lt;100,E592/C592*100,100)</f>
        <v>0</v>
      </c>
      <c r="L592" s="7" t="n">
        <f aca="false">IF(((C592-E592)&gt;0)*AND(F592&gt;(C592-E592)),(C592-E592),IF(C592&lt;E592,0,F592))</f>
        <v>8.82013263616768</v>
      </c>
      <c r="M592" s="7" t="n">
        <f aca="false">IF(C592&lt;(E592+F592),0,C592-E592-F592)</f>
        <v>17.7440923398706</v>
      </c>
      <c r="N592" s="7" t="n">
        <f aca="false">IF(C592&lt;(E592+F592),0,(C592-E592-F592)/(1-V$20/100))</f>
        <v>19.4990025712864</v>
      </c>
      <c r="O592" s="7" t="n">
        <f aca="false">L592+M592</f>
        <v>26.5642249760383</v>
      </c>
      <c r="P592" s="49" t="n">
        <f aca="false">IF(N592=0,I592*(1-G592/100)+J592*(1-H592/100),-N592)</f>
        <v>-19.4990025712864</v>
      </c>
      <c r="Q592" s="54" t="n">
        <f aca="false">IF(P591&gt;0,Q591+P591*(1-V$24/100),Q591+P591)</f>
        <v>3467.38747572066</v>
      </c>
      <c r="R592" s="55" t="n">
        <f aca="false">R$4+Q592/V$32</f>
        <v>73.7210032363033</v>
      </c>
    </row>
    <row r="593" customFormat="false" ht="12.8" hidden="false" customHeight="false" outlineLevel="0" collapsed="false">
      <c r="A593" s="1" t="n">
        <v>589</v>
      </c>
      <c r="B593" s="44" t="n">
        <v>44134</v>
      </c>
      <c r="C593" s="45" t="n">
        <f aca="false">V$30-V$30*SIN(2*PI()/365*A593)</f>
        <v>26.7761759026649</v>
      </c>
      <c r="D593" s="3" t="n">
        <f aca="false">IF((E593+F593)&gt;C593,C593,E593+F593)</f>
        <v>8.60702695307554</v>
      </c>
      <c r="E593" s="46" t="n">
        <f aca="false">(V$27+V$28*SIN(2*PI()/365*A593))*V$29/100*V$9*V$10/100</f>
        <v>0</v>
      </c>
      <c r="F593" s="46" t="n">
        <f aca="false">(V$27+V$28*SIN(2*PI()/365*A593))*V$29/100*V$11*(1-V$18/100)*(1-V$20/100)</f>
        <v>8.60702695307554</v>
      </c>
      <c r="G593" s="46" t="n">
        <f aca="false">IF(C593&gt;E593,100,C593/E593*100)</f>
        <v>100</v>
      </c>
      <c r="H593" s="46" t="n">
        <f aca="false">L593/F593*100</f>
        <v>100</v>
      </c>
      <c r="I593" s="47" t="n">
        <f aca="false">(V$27+V$28*SIN(2*PI()/365*A593))*V$29/100*V$9*V$10/100*(1-V$19/100)</f>
        <v>0</v>
      </c>
      <c r="J593" s="47" t="n">
        <f aca="false">(V$27+V$28*SIN(2*PI()/365*A593))*V$29/100*V$11*(1-V$18/100)</f>
        <v>9.45827137700609</v>
      </c>
      <c r="K593" s="48" t="n">
        <f aca="false">IF(E593/C593*100&lt;100,E593/C593*100,100)</f>
        <v>0</v>
      </c>
      <c r="L593" s="7" t="n">
        <f aca="false">IF(((C593-E593)&gt;0)*AND(F593&gt;(C593-E593)),(C593-E593),IF(C593&lt;E593,0,F593))</f>
        <v>8.60702695307554</v>
      </c>
      <c r="M593" s="7" t="n">
        <f aca="false">IF(C593&lt;(E593+F593),0,C593-E593-F593)</f>
        <v>18.1691489495893</v>
      </c>
      <c r="N593" s="7" t="n">
        <f aca="false">IF(C593&lt;(E593+F593),0,(C593-E593-F593)/(1-V$20/100))</f>
        <v>19.9660977468015</v>
      </c>
      <c r="O593" s="7" t="n">
        <f aca="false">L593+M593</f>
        <v>26.7761759026649</v>
      </c>
      <c r="P593" s="49" t="n">
        <f aca="false">IF(N593=0,I593*(1-G593/100)+J593*(1-H593/100),-N593)</f>
        <v>-19.9660977468015</v>
      </c>
      <c r="Q593" s="54" t="n">
        <f aca="false">IF(P592&gt;0,Q592+P592*(1-V$24/100),Q592+P592)</f>
        <v>3447.88847314937</v>
      </c>
      <c r="R593" s="55" t="n">
        <f aca="false">R$4+Q593/V$32</f>
        <v>73.5313717245628</v>
      </c>
    </row>
    <row r="594" customFormat="false" ht="12.8" hidden="false" customHeight="false" outlineLevel="0" collapsed="false">
      <c r="A594" s="1" t="n">
        <v>590</v>
      </c>
      <c r="B594" s="44" t="n">
        <v>44135</v>
      </c>
      <c r="C594" s="45" t="n">
        <f aca="false">V$30-V$30*SIN(2*PI()/365*A594)</f>
        <v>26.9849861921041</v>
      </c>
      <c r="D594" s="3" t="n">
        <f aca="false">IF((E594+F594)&gt;C594,C594,E594+F594)</f>
        <v>8.3970790180707</v>
      </c>
      <c r="E594" s="46" t="n">
        <f aca="false">(V$27+V$28*SIN(2*PI()/365*A594))*V$29/100*V$9*V$10/100</f>
        <v>0</v>
      </c>
      <c r="F594" s="46" t="n">
        <f aca="false">(V$27+V$28*SIN(2*PI()/365*A594))*V$29/100*V$11*(1-V$18/100)*(1-V$20/100)</f>
        <v>8.3970790180707</v>
      </c>
      <c r="G594" s="46" t="n">
        <f aca="false">IF(C594&gt;E594,100,C594/E594*100)</f>
        <v>100</v>
      </c>
      <c r="H594" s="46" t="n">
        <f aca="false">L594/F594*100</f>
        <v>100</v>
      </c>
      <c r="I594" s="47" t="n">
        <f aca="false">(V$27+V$28*SIN(2*PI()/365*A594))*V$29/100*V$9*V$10/100*(1-V$19/100)</f>
        <v>0</v>
      </c>
      <c r="J594" s="47" t="n">
        <f aca="false">(V$27+V$28*SIN(2*PI()/365*A594))*V$29/100*V$11*(1-V$18/100)</f>
        <v>9.22755936051725</v>
      </c>
      <c r="K594" s="48" t="n">
        <f aca="false">IF(E594/C594*100&lt;100,E594/C594*100,100)</f>
        <v>0</v>
      </c>
      <c r="L594" s="7" t="n">
        <f aca="false">IF(((C594-E594)&gt;0)*AND(F594&gt;(C594-E594)),(C594-E594),IF(C594&lt;E594,0,F594))</f>
        <v>8.3970790180707</v>
      </c>
      <c r="M594" s="7" t="n">
        <f aca="false">IF(C594&lt;(E594+F594),0,C594-E594-F594)</f>
        <v>18.5879071740334</v>
      </c>
      <c r="N594" s="7" t="n">
        <f aca="false">IF(C594&lt;(E594+F594),0,(C594-E594-F594)/(1-V$20/100))</f>
        <v>20.4262716198169</v>
      </c>
      <c r="O594" s="7" t="n">
        <f aca="false">L594+M594</f>
        <v>26.9849861921041</v>
      </c>
      <c r="P594" s="49" t="n">
        <f aca="false">IF(N594=0,I594*(1-G594/100)+J594*(1-H594/100),-N594)</f>
        <v>-20.4262716198169</v>
      </c>
      <c r="Q594" s="54" t="n">
        <f aca="false">IF(P593&gt;0,Q593+P593*(1-V$24/100),Q593+P593)</f>
        <v>3427.92237540257</v>
      </c>
      <c r="R594" s="55" t="n">
        <f aca="false">R$4+Q594/V$32</f>
        <v>73.3371976233264</v>
      </c>
    </row>
    <row r="595" customFormat="false" ht="12.8" hidden="false" customHeight="false" outlineLevel="0" collapsed="false">
      <c r="A595" s="1" t="n">
        <v>591</v>
      </c>
      <c r="B595" s="44" t="n">
        <v>44136</v>
      </c>
      <c r="C595" s="45" t="n">
        <f aca="false">V$30-V$30*SIN(2*PI()/365*A595)</f>
        <v>27.1905939693607</v>
      </c>
      <c r="D595" s="3" t="n">
        <f aca="false">IF((E595+F595)&gt;C595,C595,E595+F595)</f>
        <v>8.19035104325733</v>
      </c>
      <c r="E595" s="46" t="n">
        <f aca="false">(V$27+V$28*SIN(2*PI()/365*A595))*V$29/100*V$9*V$10/100</f>
        <v>0</v>
      </c>
      <c r="F595" s="46" t="n">
        <f aca="false">(V$27+V$28*SIN(2*PI()/365*A595))*V$29/100*V$11*(1-V$18/100)*(1-V$20/100)</f>
        <v>8.19035104325733</v>
      </c>
      <c r="G595" s="46" t="n">
        <f aca="false">IF(C595&gt;E595,100,C595/E595*100)</f>
        <v>100</v>
      </c>
      <c r="H595" s="46" t="n">
        <f aca="false">L595/F595*100</f>
        <v>100</v>
      </c>
      <c r="I595" s="47" t="n">
        <f aca="false">(V$27+V$28*SIN(2*PI()/365*A595))*V$29/100*V$9*V$10/100*(1-V$19/100)</f>
        <v>0</v>
      </c>
      <c r="J595" s="47" t="n">
        <f aca="false">(V$27+V$28*SIN(2*PI()/365*A595))*V$29/100*V$11*(1-V$18/100)</f>
        <v>9.00038576182124</v>
      </c>
      <c r="K595" s="48" t="n">
        <f aca="false">IF(E595/C595*100&lt;100,E595/C595*100,100)</f>
        <v>0</v>
      </c>
      <c r="L595" s="7" t="n">
        <f aca="false">IF(((C595-E595)&gt;0)*AND(F595&gt;(C595-E595)),(C595-E595),IF(C595&lt;E595,0,F595))</f>
        <v>8.19035104325733</v>
      </c>
      <c r="M595" s="7" t="n">
        <f aca="false">IF(C595&lt;(E595+F595),0,C595-E595-F595)</f>
        <v>19.0002429261034</v>
      </c>
      <c r="N595" s="7" t="n">
        <f aca="false">IF(C595&lt;(E595+F595),0,(C595-E595-F595)/(1-V$20/100))</f>
        <v>20.8793878308828</v>
      </c>
      <c r="O595" s="7" t="n">
        <f aca="false">L595+M595</f>
        <v>27.1905939693607</v>
      </c>
      <c r="P595" s="49" t="n">
        <f aca="false">IF(N595=0,I595*(1-G595/100)+J595*(1-H595/100),-N595)</f>
        <v>-20.8793878308828</v>
      </c>
      <c r="Q595" s="54" t="n">
        <f aca="false">IF(P594&gt;0,Q594+P594*(1-V$24/100),Q594+P594)</f>
        <v>3407.49610378275</v>
      </c>
      <c r="R595" s="55" t="n">
        <f aca="false">R$4+Q595/V$32</f>
        <v>73.1385482435785</v>
      </c>
    </row>
    <row r="596" customFormat="false" ht="12.8" hidden="false" customHeight="false" outlineLevel="0" collapsed="false">
      <c r="A596" s="1" t="n">
        <v>592</v>
      </c>
      <c r="B596" s="44" t="n">
        <v>44137</v>
      </c>
      <c r="C596" s="45" t="n">
        <f aca="false">V$30-V$30*SIN(2*PI()/365*A596)</f>
        <v>27.3929383084129</v>
      </c>
      <c r="D596" s="3" t="n">
        <f aca="false">IF((E596+F596)&gt;C596,C596,E596+F596)</f>
        <v>7.98690428659596</v>
      </c>
      <c r="E596" s="46" t="n">
        <f aca="false">(V$27+V$28*SIN(2*PI()/365*A596))*V$29/100*V$9*V$10/100</f>
        <v>0</v>
      </c>
      <c r="F596" s="46" t="n">
        <f aca="false">(V$27+V$28*SIN(2*PI()/365*A596))*V$29/100*V$11*(1-V$18/100)*(1-V$20/100)</f>
        <v>7.98690428659596</v>
      </c>
      <c r="G596" s="46" t="n">
        <f aca="false">IF(C596&gt;E596,100,C596/E596*100)</f>
        <v>100</v>
      </c>
      <c r="H596" s="46" t="n">
        <f aca="false">L596/F596*100</f>
        <v>100</v>
      </c>
      <c r="I596" s="47" t="n">
        <f aca="false">(V$27+V$28*SIN(2*PI()/365*A596))*V$29/100*V$9*V$10/100*(1-V$19/100)</f>
        <v>0</v>
      </c>
      <c r="J596" s="47" t="n">
        <f aca="false">(V$27+V$28*SIN(2*PI()/365*A596))*V$29/100*V$11*(1-V$18/100)</f>
        <v>8.77681789735819</v>
      </c>
      <c r="K596" s="48" t="n">
        <f aca="false">IF(E596/C596*100&lt;100,E596/C596*100,100)</f>
        <v>0</v>
      </c>
      <c r="L596" s="7" t="n">
        <f aca="false">IF(((C596-E596)&gt;0)*AND(F596&gt;(C596-E596)),(C596-E596),IF(C596&lt;E596,0,F596))</f>
        <v>7.98690428659596</v>
      </c>
      <c r="M596" s="7" t="n">
        <f aca="false">IF(C596&lt;(E596+F596),0,C596-E596-F596)</f>
        <v>19.406034021817</v>
      </c>
      <c r="N596" s="7" t="n">
        <f aca="false">IF(C596&lt;(E596+F596),0,(C596-E596-F596)/(1-V$20/100))</f>
        <v>21.3253121118868</v>
      </c>
      <c r="O596" s="7" t="n">
        <f aca="false">L596+M596</f>
        <v>27.3929383084129</v>
      </c>
      <c r="P596" s="49" t="n">
        <f aca="false">IF(N596=0,I596*(1-G596/100)+J596*(1-H596/100),-N596)</f>
        <v>-21.3253121118868</v>
      </c>
      <c r="Q596" s="54" t="n">
        <f aca="false">IF(P595&gt;0,Q595+P595*(1-V$24/100),Q595+P595)</f>
        <v>3386.61671595187</v>
      </c>
      <c r="R596" s="55" t="n">
        <f aca="false">R$4+Q596/V$32</f>
        <v>72.9354922224251</v>
      </c>
    </row>
    <row r="597" customFormat="false" ht="12.8" hidden="false" customHeight="false" outlineLevel="0" collapsed="false">
      <c r="A597" s="1" t="n">
        <v>593</v>
      </c>
      <c r="B597" s="44" t="n">
        <v>44138</v>
      </c>
      <c r="C597" s="45" t="n">
        <f aca="false">V$30-V$30*SIN(2*PI()/365*A597)</f>
        <v>27.5919592502661</v>
      </c>
      <c r="D597" s="3" t="n">
        <f aca="false">IF((E597+F597)&gt;C597,C597,E597+F597)</f>
        <v>7.7867990337513</v>
      </c>
      <c r="E597" s="46" t="n">
        <f aca="false">(V$27+V$28*SIN(2*PI()/365*A597))*V$29/100*V$9*V$10/100</f>
        <v>0</v>
      </c>
      <c r="F597" s="46" t="n">
        <f aca="false">(V$27+V$28*SIN(2*PI()/365*A597))*V$29/100*V$11*(1-V$18/100)*(1-V$20/100)</f>
        <v>7.7867990337513</v>
      </c>
      <c r="G597" s="46" t="n">
        <f aca="false">IF(C597&gt;E597,100,C597/E597*100)</f>
        <v>100</v>
      </c>
      <c r="H597" s="46" t="n">
        <f aca="false">L597/F597*100</f>
        <v>100</v>
      </c>
      <c r="I597" s="47" t="n">
        <f aca="false">(V$27+V$28*SIN(2*PI()/365*A597))*V$29/100*V$9*V$10/100*(1-V$19/100)</f>
        <v>0</v>
      </c>
      <c r="J597" s="47" t="n">
        <f aca="false">(V$27+V$28*SIN(2*PI()/365*A597))*V$29/100*V$11*(1-V$18/100)</f>
        <v>8.55692201511132</v>
      </c>
      <c r="K597" s="48" t="n">
        <f aca="false">IF(E597/C597*100&lt;100,E597/C597*100,100)</f>
        <v>0</v>
      </c>
      <c r="L597" s="7" t="n">
        <f aca="false">IF(((C597-E597)&gt;0)*AND(F597&gt;(C597-E597)),(C597-E597),IF(C597&lt;E597,0,F597))</f>
        <v>7.7867990337513</v>
      </c>
      <c r="M597" s="7" t="n">
        <f aca="false">IF(C597&lt;(E597+F597),0,C597-E597-F597)</f>
        <v>19.8051602165148</v>
      </c>
      <c r="N597" s="7" t="n">
        <f aca="false">IF(C597&lt;(E597+F597),0,(C597-E597-F597)/(1-V$20/100))</f>
        <v>21.7639123258404</v>
      </c>
      <c r="O597" s="7" t="n">
        <f aca="false">L597+M597</f>
        <v>27.5919592502661</v>
      </c>
      <c r="P597" s="49" t="n">
        <f aca="false">IF(N597=0,I597*(1-G597/100)+J597*(1-H597/100),-N597)</f>
        <v>-21.7639123258404</v>
      </c>
      <c r="Q597" s="54" t="n">
        <f aca="false">IF(P596&gt;0,Q596+P596*(1-V$24/100),Q596+P596)</f>
        <v>3365.29140383998</v>
      </c>
      <c r="R597" s="55" t="n">
        <f aca="false">R$4+Q597/V$32</f>
        <v>72.7280995027548</v>
      </c>
    </row>
    <row r="598" customFormat="false" ht="12.8" hidden="false" customHeight="false" outlineLevel="0" collapsed="false">
      <c r="A598" s="1" t="n">
        <v>594</v>
      </c>
      <c r="B598" s="44" t="n">
        <v>44139</v>
      </c>
      <c r="C598" s="45" t="n">
        <f aca="false">V$30-V$30*SIN(2*PI()/365*A598)</f>
        <v>27.78759782072</v>
      </c>
      <c r="D598" s="3" t="n">
        <f aca="false">IF((E598+F598)&gt;C598,C598,E598+F598)</f>
        <v>7.59009458022839</v>
      </c>
      <c r="E598" s="46" t="n">
        <f aca="false">(V$27+V$28*SIN(2*PI()/365*A598))*V$29/100*V$9*V$10/100</f>
        <v>0</v>
      </c>
      <c r="F598" s="46" t="n">
        <f aca="false">(V$27+V$28*SIN(2*PI()/365*A598))*V$29/100*V$11*(1-V$18/100)*(1-V$20/100)</f>
        <v>7.59009458022839</v>
      </c>
      <c r="G598" s="46" t="n">
        <f aca="false">IF(C598&gt;E598,100,C598/E598*100)</f>
        <v>100</v>
      </c>
      <c r="H598" s="46" t="n">
        <f aca="false">L598/F598*100</f>
        <v>100</v>
      </c>
      <c r="I598" s="47" t="n">
        <f aca="false">(V$27+V$28*SIN(2*PI()/365*A598))*V$29/100*V$9*V$10/100*(1-V$19/100)</f>
        <v>0</v>
      </c>
      <c r="J598" s="47" t="n">
        <f aca="false">(V$27+V$28*SIN(2*PI()/365*A598))*V$29/100*V$11*(1-V$18/100)</f>
        <v>8.34076327497625</v>
      </c>
      <c r="K598" s="48" t="n">
        <f aca="false">IF(E598/C598*100&lt;100,E598/C598*100,100)</f>
        <v>0</v>
      </c>
      <c r="L598" s="7" t="n">
        <f aca="false">IF(((C598-E598)&gt;0)*AND(F598&gt;(C598-E598)),(C598-E598),IF(C598&lt;E598,0,F598))</f>
        <v>7.59009458022839</v>
      </c>
      <c r="M598" s="7" t="n">
        <f aca="false">IF(C598&lt;(E598+F598),0,C598-E598-F598)</f>
        <v>20.1975032404917</v>
      </c>
      <c r="N598" s="7" t="n">
        <f aca="false">IF(C598&lt;(E598+F598),0,(C598-E598-F598)/(1-V$20/100))</f>
        <v>22.1950585060348</v>
      </c>
      <c r="O598" s="7" t="n">
        <f aca="false">L598+M598</f>
        <v>27.78759782072</v>
      </c>
      <c r="P598" s="49" t="n">
        <f aca="false">IF(N598=0,I598*(1-G598/100)+J598*(1-H598/100),-N598)</f>
        <v>-22.1950585060348</v>
      </c>
      <c r="Q598" s="54" t="n">
        <f aca="false">IF(P597&gt;0,Q597+P597*(1-V$24/100),Q597+P597)</f>
        <v>3343.52749151414</v>
      </c>
      <c r="R598" s="55" t="n">
        <f aca="false">R$4+Q598/V$32</f>
        <v>72.5164413125142</v>
      </c>
    </row>
    <row r="599" customFormat="false" ht="12.8" hidden="false" customHeight="false" outlineLevel="0" collapsed="false">
      <c r="A599" s="1" t="n">
        <v>595</v>
      </c>
      <c r="B599" s="44" t="n">
        <v>44140</v>
      </c>
      <c r="C599" s="45" t="n">
        <f aca="false">V$30-V$30*SIN(2*PI()/365*A599)</f>
        <v>27.979796047844</v>
      </c>
      <c r="D599" s="3" t="n">
        <f aca="false">IF((E599+F599)&gt;C599,C599,E599+F599)</f>
        <v>7.39684921380207</v>
      </c>
      <c r="E599" s="46" t="n">
        <f aca="false">(V$27+V$28*SIN(2*PI()/365*A599))*V$29/100*V$9*V$10/100</f>
        <v>0</v>
      </c>
      <c r="F599" s="46" t="n">
        <f aca="false">(V$27+V$28*SIN(2*PI()/365*A599))*V$29/100*V$11*(1-V$18/100)*(1-V$20/100)</f>
        <v>7.39684921380207</v>
      </c>
      <c r="G599" s="46" t="n">
        <f aca="false">IF(C599&gt;E599,100,C599/E599*100)</f>
        <v>100</v>
      </c>
      <c r="H599" s="46" t="n">
        <f aca="false">L599/F599*100</f>
        <v>100</v>
      </c>
      <c r="I599" s="47" t="n">
        <f aca="false">(V$27+V$28*SIN(2*PI()/365*A599))*V$29/100*V$9*V$10/100*(1-V$19/100)</f>
        <v>0</v>
      </c>
      <c r="J599" s="47" t="n">
        <f aca="false">(V$27+V$28*SIN(2*PI()/365*A599))*V$29/100*V$11*(1-V$18/100)</f>
        <v>8.12840572945283</v>
      </c>
      <c r="K599" s="48" t="n">
        <f aca="false">IF(E599/C599*100&lt;100,E599/C599*100,100)</f>
        <v>0</v>
      </c>
      <c r="L599" s="7" t="n">
        <f aca="false">IF(((C599-E599)&gt;0)*AND(F599&gt;(C599-E599)),(C599-E599),IF(C599&lt;E599,0,F599))</f>
        <v>7.39684921380207</v>
      </c>
      <c r="M599" s="7" t="n">
        <f aca="false">IF(C599&lt;(E599+F599),0,C599-E599-F599)</f>
        <v>20.5829468340419</v>
      </c>
      <c r="N599" s="7" t="n">
        <f aca="false">IF(C599&lt;(E599+F599),0,(C599-E599-F599)/(1-V$20/100))</f>
        <v>22.6186228945516</v>
      </c>
      <c r="O599" s="7" t="n">
        <f aca="false">L599+M599</f>
        <v>27.979796047844</v>
      </c>
      <c r="P599" s="49" t="n">
        <f aca="false">IF(N599=0,I599*(1-G599/100)+J599*(1-H599/100),-N599)</f>
        <v>-22.6186228945516</v>
      </c>
      <c r="Q599" s="54" t="n">
        <f aca="false">IF(P598&gt;0,Q598+P598*(1-V$24/100),Q598+P598)</f>
        <v>3321.33243300811</v>
      </c>
      <c r="R599" s="55" t="n">
        <f aca="false">R$4+Q599/V$32</f>
        <v>72.3005901436002</v>
      </c>
    </row>
    <row r="600" customFormat="false" ht="12.8" hidden="false" customHeight="false" outlineLevel="0" collapsed="false">
      <c r="A600" s="1" t="n">
        <v>596</v>
      </c>
      <c r="B600" s="44" t="n">
        <v>44141</v>
      </c>
      <c r="C600" s="45" t="n">
        <f aca="false">V$30-V$30*SIN(2*PI()/365*A600)</f>
        <v>28.1684969791553</v>
      </c>
      <c r="D600" s="3" t="n">
        <f aca="false">IF((E600+F600)&gt;C600,C600,E600+F600)</f>
        <v>7.20712019724497</v>
      </c>
      <c r="E600" s="46" t="n">
        <f aca="false">(V$27+V$28*SIN(2*PI()/365*A600))*V$29/100*V$9*V$10/100</f>
        <v>0</v>
      </c>
      <c r="F600" s="46" t="n">
        <f aca="false">(V$27+V$28*SIN(2*PI()/365*A600))*V$29/100*V$11*(1-V$18/100)*(1-V$20/100)</f>
        <v>7.20712019724497</v>
      </c>
      <c r="G600" s="46" t="n">
        <f aca="false">IF(C600&gt;E600,100,C600/E600*100)</f>
        <v>100</v>
      </c>
      <c r="H600" s="46" t="n">
        <f aca="false">L600/F600*100</f>
        <v>100</v>
      </c>
      <c r="I600" s="47" t="n">
        <f aca="false">(V$27+V$28*SIN(2*PI()/365*A600))*V$29/100*V$9*V$10/100*(1-V$19/100)</f>
        <v>0</v>
      </c>
      <c r="J600" s="47" t="n">
        <f aca="false">(V$27+V$28*SIN(2*PI()/365*A600))*V$29/100*V$11*(1-V$18/100)</f>
        <v>7.9199123046648</v>
      </c>
      <c r="K600" s="48" t="n">
        <f aca="false">IF(E600/C600*100&lt;100,E600/C600*100,100)</f>
        <v>0</v>
      </c>
      <c r="L600" s="7" t="n">
        <f aca="false">IF(((C600-E600)&gt;0)*AND(F600&gt;(C600-E600)),(C600-E600),IF(C600&lt;E600,0,F600))</f>
        <v>7.20712019724497</v>
      </c>
      <c r="M600" s="7" t="n">
        <f aca="false">IF(C600&lt;(E600+F600),0,C600-E600-F600)</f>
        <v>20.9613767819104</v>
      </c>
      <c r="N600" s="7" t="n">
        <f aca="false">IF(C600&lt;(E600+F600),0,(C600-E600-F600)/(1-V$20/100))</f>
        <v>23.0344799801213</v>
      </c>
      <c r="O600" s="7" t="n">
        <f aca="false">L600+M600</f>
        <v>28.1684969791553</v>
      </c>
      <c r="P600" s="49" t="n">
        <f aca="false">IF(N600=0,I600*(1-G600/100)+J600*(1-H600/100),-N600)</f>
        <v>-23.0344799801213</v>
      </c>
      <c r="Q600" s="54" t="n">
        <f aca="false">IF(P599&gt;0,Q599+P599*(1-V$24/100),Q599+P599)</f>
        <v>3298.71381011356</v>
      </c>
      <c r="R600" s="55" t="n">
        <f aca="false">R$4+Q600/V$32</f>
        <v>72.0806197303803</v>
      </c>
    </row>
    <row r="601" customFormat="false" ht="12.8" hidden="false" customHeight="false" outlineLevel="0" collapsed="false">
      <c r="A601" s="1" t="n">
        <v>597</v>
      </c>
      <c r="B601" s="44" t="n">
        <v>44142</v>
      </c>
      <c r="C601" s="45" t="n">
        <f aca="false">V$30-V$30*SIN(2*PI()/365*A601)</f>
        <v>28.3536446984956</v>
      </c>
      <c r="D601" s="3" t="n">
        <f aca="false">IF((E601+F601)&gt;C601,C601,E601+F601)</f>
        <v>7.02096375135936</v>
      </c>
      <c r="E601" s="46" t="n">
        <f aca="false">(V$27+V$28*SIN(2*PI()/365*A601))*V$29/100*V$9*V$10/100</f>
        <v>0</v>
      </c>
      <c r="F601" s="46" t="n">
        <f aca="false">(V$27+V$28*SIN(2*PI()/365*A601))*V$29/100*V$11*(1-V$18/100)*(1-V$20/100)</f>
        <v>7.02096375135936</v>
      </c>
      <c r="G601" s="46" t="n">
        <f aca="false">IF(C601&gt;E601,100,C601/E601*100)</f>
        <v>100</v>
      </c>
      <c r="H601" s="46" t="n">
        <f aca="false">L601/F601*100</f>
        <v>100</v>
      </c>
      <c r="I601" s="47" t="n">
        <f aca="false">(V$27+V$28*SIN(2*PI()/365*A601))*V$29/100*V$9*V$10/100*(1-V$19/100)</f>
        <v>0</v>
      </c>
      <c r="J601" s="47" t="n">
        <f aca="false">(V$27+V$28*SIN(2*PI()/365*A601))*V$29/100*V$11*(1-V$18/100)</f>
        <v>7.71534478171358</v>
      </c>
      <c r="K601" s="48" t="n">
        <f aca="false">IF(E601/C601*100&lt;100,E601/C601*100,100)</f>
        <v>0</v>
      </c>
      <c r="L601" s="7" t="n">
        <f aca="false">IF(((C601-E601)&gt;0)*AND(F601&gt;(C601-E601)),(C601-E601),IF(C601&lt;E601,0,F601))</f>
        <v>7.02096375135936</v>
      </c>
      <c r="M601" s="7" t="n">
        <f aca="false">IF(C601&lt;(E601+F601),0,C601-E601-F601)</f>
        <v>21.3326809471362</v>
      </c>
      <c r="N601" s="7" t="n">
        <f aca="false">IF(C601&lt;(E601+F601),0,(C601-E601-F601)/(1-V$20/100))</f>
        <v>23.4425065353146</v>
      </c>
      <c r="O601" s="7" t="n">
        <f aca="false">L601+M601</f>
        <v>28.3536446984956</v>
      </c>
      <c r="P601" s="49" t="n">
        <f aca="false">IF(N601=0,I601*(1-G601/100)+J601*(1-H601/100),-N601)</f>
        <v>-23.4425065353146</v>
      </c>
      <c r="Q601" s="54" t="n">
        <f aca="false">IF(P600&gt;0,Q600+P600*(1-V$24/100),Q600+P600)</f>
        <v>3275.67933013344</v>
      </c>
      <c r="R601" s="55" t="n">
        <f aca="false">R$4+Q601/V$32</f>
        <v>71.8566050278426</v>
      </c>
    </row>
    <row r="602" customFormat="false" ht="12.8" hidden="false" customHeight="false" outlineLevel="0" collapsed="false">
      <c r="A602" s="1" t="n">
        <v>598</v>
      </c>
      <c r="B602" s="44" t="n">
        <v>44143</v>
      </c>
      <c r="C602" s="45" t="n">
        <f aca="false">V$30-V$30*SIN(2*PI()/365*A602)</f>
        <v>28.5351843425997</v>
      </c>
      <c r="D602" s="3" t="n">
        <f aca="false">IF((E602+F602)&gt;C602,C602,E602+F602)</f>
        <v>6.83843503831779</v>
      </c>
      <c r="E602" s="46" t="n">
        <f aca="false">(V$27+V$28*SIN(2*PI()/365*A602))*V$29/100*V$9*V$10/100</f>
        <v>0</v>
      </c>
      <c r="F602" s="46" t="n">
        <f aca="false">(V$27+V$28*SIN(2*PI()/365*A602))*V$29/100*V$11*(1-V$18/100)*(1-V$20/100)</f>
        <v>6.83843503831779</v>
      </c>
      <c r="G602" s="46" t="n">
        <f aca="false">IF(C602&gt;E602,100,C602/E602*100)</f>
        <v>100</v>
      </c>
      <c r="H602" s="46" t="n">
        <f aca="false">L602/F602*100</f>
        <v>100</v>
      </c>
      <c r="I602" s="47" t="n">
        <f aca="false">(V$27+V$28*SIN(2*PI()/365*A602))*V$29/100*V$9*V$10/100*(1-V$19/100)</f>
        <v>0</v>
      </c>
      <c r="J602" s="47" t="n">
        <f aca="false">(V$27+V$28*SIN(2*PI()/365*A602))*V$29/100*V$11*(1-V$18/100)</f>
        <v>7.5147637783712</v>
      </c>
      <c r="K602" s="48" t="n">
        <f aca="false">IF(E602/C602*100&lt;100,E602/C602*100,100)</f>
        <v>0</v>
      </c>
      <c r="L602" s="7" t="n">
        <f aca="false">IF(((C602-E602)&gt;0)*AND(F602&gt;(C602-E602)),(C602-E602),IF(C602&lt;E602,0,F602))</f>
        <v>6.83843503831779</v>
      </c>
      <c r="M602" s="7" t="n">
        <f aca="false">IF(C602&lt;(E602+F602),0,C602-E602-F602)</f>
        <v>21.696749304282</v>
      </c>
      <c r="N602" s="7" t="n">
        <f aca="false">IF(C602&lt;(E602+F602),0,(C602-E602-F602)/(1-V$20/100))</f>
        <v>23.8425816530571</v>
      </c>
      <c r="O602" s="7" t="n">
        <f aca="false">L602+M602</f>
        <v>28.5351843425997</v>
      </c>
      <c r="P602" s="49" t="n">
        <f aca="false">IF(N602=0,I602*(1-G602/100)+J602*(1-H602/100),-N602)</f>
        <v>-23.8425816530571</v>
      </c>
      <c r="Q602" s="54" t="n">
        <f aca="false">IF(P601&gt;0,Q601+P601*(1-V$24/100),Q601+P601)</f>
        <v>3252.23682359812</v>
      </c>
      <c r="R602" s="55" t="n">
        <f aca="false">R$4+Q602/V$32</f>
        <v>71.6286221893858</v>
      </c>
    </row>
    <row r="603" customFormat="false" ht="12.8" hidden="false" customHeight="false" outlineLevel="0" collapsed="false">
      <c r="A603" s="1" t="n">
        <v>599</v>
      </c>
      <c r="B603" s="44" t="n">
        <v>44144</v>
      </c>
      <c r="C603" s="45" t="n">
        <f aca="false">V$30-V$30*SIN(2*PI()/365*A603)</f>
        <v>28.7130621173533</v>
      </c>
      <c r="D603" s="3" t="n">
        <f aca="false">IF((E603+F603)&gt;C603,C603,E603+F603)</f>
        <v>6.6595881453172</v>
      </c>
      <c r="E603" s="46" t="n">
        <f aca="false">(V$27+V$28*SIN(2*PI()/365*A603))*V$29/100*V$9*V$10/100</f>
        <v>0</v>
      </c>
      <c r="F603" s="46" t="n">
        <f aca="false">(V$27+V$28*SIN(2*PI()/365*A603))*V$29/100*V$11*(1-V$18/100)*(1-V$20/100)</f>
        <v>6.6595881453172</v>
      </c>
      <c r="G603" s="46" t="n">
        <f aca="false">IF(C603&gt;E603,100,C603/E603*100)</f>
        <v>100</v>
      </c>
      <c r="H603" s="46" t="n">
        <f aca="false">L603/F603*100</f>
        <v>100</v>
      </c>
      <c r="I603" s="47" t="n">
        <f aca="false">(V$27+V$28*SIN(2*PI()/365*A603))*V$29/100*V$9*V$10/100*(1-V$19/100)</f>
        <v>0</v>
      </c>
      <c r="J603" s="47" t="n">
        <f aca="false">(V$27+V$28*SIN(2*PI()/365*A603))*V$29/100*V$11*(1-V$18/100)</f>
        <v>7.3182287311178</v>
      </c>
      <c r="K603" s="48" t="n">
        <f aca="false">IF(E603/C603*100&lt;100,E603/C603*100,100)</f>
        <v>0</v>
      </c>
      <c r="L603" s="7" t="n">
        <f aca="false">IF(((C603-E603)&gt;0)*AND(F603&gt;(C603-E603)),(C603-E603),IF(C603&lt;E603,0,F603))</f>
        <v>6.6595881453172</v>
      </c>
      <c r="M603" s="7" t="n">
        <f aca="false">IF(C603&lt;(E603+F603),0,C603-E603-F603)</f>
        <v>22.0534739720361</v>
      </c>
      <c r="N603" s="7" t="n">
        <f aca="false">IF(C603&lt;(E603+F603),0,(C603-E603-F603)/(1-V$20/100))</f>
        <v>24.2345867824572</v>
      </c>
      <c r="O603" s="7" t="n">
        <f aca="false">L603+M603</f>
        <v>28.7130621173533</v>
      </c>
      <c r="P603" s="49" t="n">
        <f aca="false">IF(N603=0,I603*(1-G603/100)+J603*(1-H603/100),-N603)</f>
        <v>-24.2345867824572</v>
      </c>
      <c r="Q603" s="54" t="n">
        <f aca="false">IF(P602&gt;0,Q602+P602*(1-V$24/100),Q602+P602)</f>
        <v>3228.39424194506</v>
      </c>
      <c r="R603" s="55" t="n">
        <f aca="false">R$4+Q603/V$32</f>
        <v>71.3967485442526</v>
      </c>
    </row>
    <row r="604" customFormat="false" ht="12.8" hidden="false" customHeight="false" outlineLevel="0" collapsed="false">
      <c r="A604" s="1" t="n">
        <v>600</v>
      </c>
      <c r="B604" s="44" t="n">
        <v>44145</v>
      </c>
      <c r="C604" s="45" t="n">
        <f aca="false">V$30-V$30*SIN(2*PI()/365*A604)</f>
        <v>28.8872253137326</v>
      </c>
      <c r="D604" s="3" t="n">
        <f aca="false">IF((E604+F604)&gt;C604,C604,E604+F604)</f>
        <v>6.48447606855181</v>
      </c>
      <c r="E604" s="46" t="n">
        <f aca="false">(V$27+V$28*SIN(2*PI()/365*A604))*V$29/100*V$9*V$10/100</f>
        <v>0</v>
      </c>
      <c r="F604" s="46" t="n">
        <f aca="false">(V$27+V$28*SIN(2*PI()/365*A604))*V$29/100*V$11*(1-V$18/100)*(1-V$20/100)</f>
        <v>6.48447606855181</v>
      </c>
      <c r="G604" s="46" t="n">
        <f aca="false">IF(C604&gt;E604,100,C604/E604*100)</f>
        <v>100</v>
      </c>
      <c r="H604" s="46" t="n">
        <f aca="false">L604/F604*100</f>
        <v>100</v>
      </c>
      <c r="I604" s="47" t="n">
        <f aca="false">(V$27+V$28*SIN(2*PI()/365*A604))*V$29/100*V$9*V$10/100*(1-V$19/100)</f>
        <v>0</v>
      </c>
      <c r="J604" s="47" t="n">
        <f aca="false">(V$27+V$28*SIN(2*PI()/365*A604))*V$29/100*V$11*(1-V$18/100)</f>
        <v>7.12579787752947</v>
      </c>
      <c r="K604" s="48" t="n">
        <f aca="false">IF(E604/C604*100&lt;100,E604/C604*100,100)</f>
        <v>0</v>
      </c>
      <c r="L604" s="7" t="n">
        <f aca="false">IF(((C604-E604)&gt;0)*AND(F604&gt;(C604-E604)),(C604-E604),IF(C604&lt;E604,0,F604))</f>
        <v>6.48447606855181</v>
      </c>
      <c r="M604" s="7" t="n">
        <f aca="false">IF(C604&lt;(E604+F604),0,C604-E604-F604)</f>
        <v>22.4027492451808</v>
      </c>
      <c r="N604" s="7" t="n">
        <f aca="false">IF(C604&lt;(E604+F604),0,(C604-E604-F604)/(1-V$20/100))</f>
        <v>24.6184057639349</v>
      </c>
      <c r="O604" s="7" t="n">
        <f aca="false">L604+M604</f>
        <v>28.8872253137326</v>
      </c>
      <c r="P604" s="49" t="n">
        <f aca="false">IF(N604=0,I604*(1-G604/100)+J604*(1-H604/100),-N604)</f>
        <v>-24.6184057639349</v>
      </c>
      <c r="Q604" s="54" t="n">
        <f aca="false">IF(P603&gt;0,Q603+P603*(1-V$24/100),Q603+P603)</f>
        <v>3204.15965516261</v>
      </c>
      <c r="R604" s="55" t="n">
        <f aca="false">R$4+Q604/V$32</f>
        <v>71.1610625746158</v>
      </c>
    </row>
    <row r="605" customFormat="false" ht="12.8" hidden="false" customHeight="false" outlineLevel="0" collapsed="false">
      <c r="A605" s="1" t="n">
        <v>601</v>
      </c>
      <c r="B605" s="44" t="n">
        <v>44146</v>
      </c>
      <c r="C605" s="45" t="n">
        <f aca="false">V$30-V$30*SIN(2*PI()/365*A605)</f>
        <v>29.0576223234239</v>
      </c>
      <c r="D605" s="3" t="n">
        <f aca="false">IF((E605+F605)&gt;C605,C605,E605+F605)</f>
        <v>6.3131506975092</v>
      </c>
      <c r="E605" s="46" t="n">
        <f aca="false">(V$27+V$28*SIN(2*PI()/365*A605))*V$29/100*V$9*V$10/100</f>
        <v>0</v>
      </c>
      <c r="F605" s="46" t="n">
        <f aca="false">(V$27+V$28*SIN(2*PI()/365*A605))*V$29/100*V$11*(1-V$18/100)*(1-V$20/100)</f>
        <v>6.3131506975092</v>
      </c>
      <c r="G605" s="46" t="n">
        <f aca="false">IF(C605&gt;E605,100,C605/E605*100)</f>
        <v>100</v>
      </c>
      <c r="H605" s="46" t="n">
        <f aca="false">L605/F605*100</f>
        <v>100</v>
      </c>
      <c r="I605" s="47" t="n">
        <f aca="false">(V$27+V$28*SIN(2*PI()/365*A605))*V$29/100*V$9*V$10/100*(1-V$19/100)</f>
        <v>0</v>
      </c>
      <c r="J605" s="47" t="n">
        <f aca="false">(V$27+V$28*SIN(2*PI()/365*A605))*V$29/100*V$11*(1-V$18/100)</f>
        <v>6.93752823902109</v>
      </c>
      <c r="K605" s="48" t="n">
        <f aca="false">IF(E605/C605*100&lt;100,E605/C605*100,100)</f>
        <v>0</v>
      </c>
      <c r="L605" s="7" t="n">
        <f aca="false">IF(((C605-E605)&gt;0)*AND(F605&gt;(C605-E605)),(C605-E605),IF(C605&lt;E605,0,F605))</f>
        <v>6.3131506975092</v>
      </c>
      <c r="M605" s="7" t="n">
        <f aca="false">IF(C605&lt;(E605+F605),0,C605-E605-F605)</f>
        <v>22.7444716259147</v>
      </c>
      <c r="N605" s="7" t="n">
        <f aca="false">IF(C605&lt;(E605+F605),0,(C605-E605-F605)/(1-V$20/100))</f>
        <v>24.9939248636425</v>
      </c>
      <c r="O605" s="7" t="n">
        <f aca="false">L605+M605</f>
        <v>29.0576223234239</v>
      </c>
      <c r="P605" s="49" t="n">
        <f aca="false">IF(N605=0,I605*(1-G605/100)+J605*(1-H605/100),-N605)</f>
        <v>-24.9939248636425</v>
      </c>
      <c r="Q605" s="54" t="n">
        <f aca="false">IF(P604&gt;0,Q604+P604*(1-V$24/100),Q604+P604)</f>
        <v>3179.54124939867</v>
      </c>
      <c r="R605" s="55" t="n">
        <f aca="false">R$4+Q605/V$32</f>
        <v>70.9216438923222</v>
      </c>
    </row>
    <row r="606" customFormat="false" ht="12.8" hidden="false" customHeight="false" outlineLevel="0" collapsed="false">
      <c r="A606" s="1" t="n">
        <v>602</v>
      </c>
      <c r="B606" s="44" t="n">
        <v>44147</v>
      </c>
      <c r="C606" s="45" t="n">
        <f aca="false">V$30-V$30*SIN(2*PI()/365*A606)</f>
        <v>29.2242026541157</v>
      </c>
      <c r="D606" s="3" t="n">
        <f aca="false">IF((E606+F606)&gt;C606,C606,E606+F606)</f>
        <v>6.14566279959432</v>
      </c>
      <c r="E606" s="46" t="n">
        <f aca="false">(V$27+V$28*SIN(2*PI()/365*A606))*V$29/100*V$9*V$10/100</f>
        <v>0</v>
      </c>
      <c r="F606" s="46" t="n">
        <f aca="false">(V$27+V$28*SIN(2*PI()/365*A606))*V$29/100*V$11*(1-V$18/100)*(1-V$20/100)</f>
        <v>6.14566279959432</v>
      </c>
      <c r="G606" s="46" t="n">
        <f aca="false">IF(C606&gt;E606,100,C606/E606*100)</f>
        <v>100</v>
      </c>
      <c r="H606" s="46" t="n">
        <f aca="false">L606/F606*100</f>
        <v>100</v>
      </c>
      <c r="I606" s="47" t="n">
        <f aca="false">(V$27+V$28*SIN(2*PI()/365*A606))*V$29/100*V$9*V$10/100*(1-V$19/100)</f>
        <v>0</v>
      </c>
      <c r="J606" s="47" t="n">
        <f aca="false">(V$27+V$28*SIN(2*PI()/365*A606))*V$29/100*V$11*(1-V$18/100)</f>
        <v>6.7534756039498</v>
      </c>
      <c r="K606" s="48" t="n">
        <f aca="false">IF(E606/C606*100&lt;100,E606/C606*100,100)</f>
        <v>0</v>
      </c>
      <c r="L606" s="7" t="n">
        <f aca="false">IF(((C606-E606)&gt;0)*AND(F606&gt;(C606-E606)),(C606-E606),IF(C606&lt;E606,0,F606))</f>
        <v>6.14566279959432</v>
      </c>
      <c r="M606" s="7" t="n">
        <f aca="false">IF(C606&lt;(E606+F606),0,C606-E606-F606)</f>
        <v>23.0785398545214</v>
      </c>
      <c r="N606" s="7" t="n">
        <f aca="false">IF(C606&lt;(E606+F606),0,(C606-E606-F606)/(1-V$20/100))</f>
        <v>25.3610328071664</v>
      </c>
      <c r="O606" s="7" t="n">
        <f aca="false">L606+M606</f>
        <v>29.2242026541157</v>
      </c>
      <c r="P606" s="49" t="n">
        <f aca="false">IF(N606=0,I606*(1-G606/100)+J606*(1-H606/100),-N606)</f>
        <v>-25.3610328071664</v>
      </c>
      <c r="Q606" s="54" t="n">
        <f aca="false">IF(P605&gt;0,Q605+P605*(1-V$24/100),Q605+P605)</f>
        <v>3154.54732453503</v>
      </c>
      <c r="R606" s="55" t="n">
        <f aca="false">R$4+Q606/V$32</f>
        <v>70.678573215302</v>
      </c>
    </row>
    <row r="607" customFormat="false" ht="12.8" hidden="false" customHeight="false" outlineLevel="0" collapsed="false">
      <c r="A607" s="1" t="n">
        <v>603</v>
      </c>
      <c r="B607" s="44" t="n">
        <v>44148</v>
      </c>
      <c r="C607" s="45" t="n">
        <f aca="false">V$30-V$30*SIN(2*PI()/365*A607)</f>
        <v>29.386916944461</v>
      </c>
      <c r="D607" s="3" t="n">
        <f aca="false">IF((E607+F607)&gt;C607,C607,E607+F607)</f>
        <v>5.98206200508601</v>
      </c>
      <c r="E607" s="46" t="n">
        <f aca="false">(V$27+V$28*SIN(2*PI()/365*A607))*V$29/100*V$9*V$10/100</f>
        <v>0</v>
      </c>
      <c r="F607" s="46" t="n">
        <f aca="false">(V$27+V$28*SIN(2*PI()/365*A607))*V$29/100*V$11*(1-V$18/100)*(1-V$20/100)</f>
        <v>5.98206200508601</v>
      </c>
      <c r="G607" s="46" t="n">
        <f aca="false">IF(C607&gt;E607,100,C607/E607*100)</f>
        <v>100</v>
      </c>
      <c r="H607" s="46" t="n">
        <f aca="false">L607/F607*100</f>
        <v>100</v>
      </c>
      <c r="I607" s="47" t="n">
        <f aca="false">(V$27+V$28*SIN(2*PI()/365*A607))*V$29/100*V$9*V$10/100*(1-V$19/100)</f>
        <v>0</v>
      </c>
      <c r="J607" s="47" t="n">
        <f aca="false">(V$27+V$28*SIN(2*PI()/365*A607))*V$29/100*V$11*(1-V$18/100)</f>
        <v>6.57369451108353</v>
      </c>
      <c r="K607" s="48" t="n">
        <f aca="false">IF(E607/C607*100&lt;100,E607/C607*100,100)</f>
        <v>0</v>
      </c>
      <c r="L607" s="7" t="n">
        <f aca="false">IF(((C607-E607)&gt;0)*AND(F607&gt;(C607-E607)),(C607-E607),IF(C607&lt;E607,0,F607))</f>
        <v>5.98206200508601</v>
      </c>
      <c r="M607" s="7" t="n">
        <f aca="false">IF(C607&lt;(E607+F607),0,C607-E607-F607)</f>
        <v>23.404854939375</v>
      </c>
      <c r="N607" s="7" t="n">
        <f aca="false">IF(C607&lt;(E607+F607),0,(C607-E607-F607)/(1-V$20/100))</f>
        <v>25.7196208125</v>
      </c>
      <c r="O607" s="7" t="n">
        <f aca="false">L607+M607</f>
        <v>29.386916944461</v>
      </c>
      <c r="P607" s="49" t="n">
        <f aca="false">IF(N607=0,I607*(1-G607/100)+J607*(1-H607/100),-N607)</f>
        <v>-25.7196208125</v>
      </c>
      <c r="Q607" s="54" t="n">
        <f aca="false">IF(P606&gt;0,Q606+P606*(1-V$24/100),Q606+P606)</f>
        <v>3129.18629172786</v>
      </c>
      <c r="R607" s="55" t="n">
        <f aca="false">R$4+Q607/V$32</f>
        <v>70.4319323436502</v>
      </c>
    </row>
    <row r="608" customFormat="false" ht="12.8" hidden="false" customHeight="false" outlineLevel="0" collapsed="false">
      <c r="A608" s="1" t="n">
        <v>604</v>
      </c>
      <c r="B608" s="44" t="n">
        <v>44149</v>
      </c>
      <c r="C608" s="45" t="n">
        <f aca="false">V$30-V$30*SIN(2*PI()/365*A608)</f>
        <v>29.5457169787038</v>
      </c>
      <c r="D608" s="3" t="n">
        <f aca="false">IF((E608+F608)&gt;C608,C608,E608+F608)</f>
        <v>5.82239679243045</v>
      </c>
      <c r="E608" s="46" t="n">
        <f aca="false">(V$27+V$28*SIN(2*PI()/365*A608))*V$29/100*V$9*V$10/100</f>
        <v>0</v>
      </c>
      <c r="F608" s="46" t="n">
        <f aca="false">(V$27+V$28*SIN(2*PI()/365*A608))*V$29/100*V$11*(1-V$18/100)*(1-V$20/100)</f>
        <v>5.82239679243045</v>
      </c>
      <c r="G608" s="46" t="n">
        <f aca="false">IF(C608&gt;E608,100,C608/E608*100)</f>
        <v>100</v>
      </c>
      <c r="H608" s="46" t="n">
        <f aca="false">L608/F608*100</f>
        <v>100</v>
      </c>
      <c r="I608" s="47" t="n">
        <f aca="false">(V$27+V$28*SIN(2*PI()/365*A608))*V$29/100*V$9*V$10/100*(1-V$19/100)</f>
        <v>0</v>
      </c>
      <c r="J608" s="47" t="n">
        <f aca="false">(V$27+V$28*SIN(2*PI()/365*A608))*V$29/100*V$11*(1-V$18/100)</f>
        <v>6.39823823344006</v>
      </c>
      <c r="K608" s="48" t="n">
        <f aca="false">IF(E608/C608*100&lt;100,E608/C608*100,100)</f>
        <v>0</v>
      </c>
      <c r="L608" s="7" t="n">
        <f aca="false">IF(((C608-E608)&gt;0)*AND(F608&gt;(C608-E608)),(C608-E608),IF(C608&lt;E608,0,F608))</f>
        <v>5.82239679243045</v>
      </c>
      <c r="M608" s="7" t="n">
        <f aca="false">IF(C608&lt;(E608+F608),0,C608-E608-F608)</f>
        <v>23.7233201862733</v>
      </c>
      <c r="N608" s="7" t="n">
        <f aca="false">IF(C608&lt;(E608+F608),0,(C608-E608-F608)/(1-V$20/100))</f>
        <v>26.0695826222784</v>
      </c>
      <c r="O608" s="7" t="n">
        <f aca="false">L608+M608</f>
        <v>29.5457169787038</v>
      </c>
      <c r="P608" s="49" t="n">
        <f aca="false">IF(N608=0,I608*(1-G608/100)+J608*(1-H608/100),-N608)</f>
        <v>-26.0695826222784</v>
      </c>
      <c r="Q608" s="54" t="n">
        <f aca="false">IF(P607&gt;0,Q607+P607*(1-V$24/100),Q607+P607)</f>
        <v>3103.46667091536</v>
      </c>
      <c r="R608" s="55" t="n">
        <f aca="false">R$4+Q608/V$32</f>
        <v>70.1818041353874</v>
      </c>
    </row>
    <row r="609" customFormat="false" ht="12.8" hidden="false" customHeight="false" outlineLevel="0" collapsed="false">
      <c r="A609" s="1" t="n">
        <v>605</v>
      </c>
      <c r="B609" s="44" t="n">
        <v>44150</v>
      </c>
      <c r="C609" s="45" t="n">
        <f aca="false">V$30-V$30*SIN(2*PI()/365*A609)</f>
        <v>29.7005557009668</v>
      </c>
      <c r="D609" s="3" t="n">
        <f aca="false">IF((E609+F609)&gt;C609,C609,E609+F609)</f>
        <v>5.66671447387605</v>
      </c>
      <c r="E609" s="46" t="n">
        <f aca="false">(V$27+V$28*SIN(2*PI()/365*A609))*V$29/100*V$9*V$10/100</f>
        <v>0</v>
      </c>
      <c r="F609" s="46" t="n">
        <f aca="false">(V$27+V$28*SIN(2*PI()/365*A609))*V$29/100*V$11*(1-V$18/100)*(1-V$20/100)</f>
        <v>5.66671447387605</v>
      </c>
      <c r="G609" s="46" t="n">
        <f aca="false">IF(C609&gt;E609,100,C609/E609*100)</f>
        <v>100</v>
      </c>
      <c r="H609" s="46" t="n">
        <f aca="false">L609/F609*100</f>
        <v>100</v>
      </c>
      <c r="I609" s="47" t="n">
        <f aca="false">(V$27+V$28*SIN(2*PI()/365*A609))*V$29/100*V$9*V$10/100*(1-V$19/100)</f>
        <v>0</v>
      </c>
      <c r="J609" s="47" t="n">
        <f aca="false">(V$27+V$28*SIN(2*PI()/365*A609))*V$29/100*V$11*(1-V$18/100)</f>
        <v>6.22715876250115</v>
      </c>
      <c r="K609" s="48" t="n">
        <f aca="false">IF(E609/C609*100&lt;100,E609/C609*100,100)</f>
        <v>0</v>
      </c>
      <c r="L609" s="7" t="n">
        <f aca="false">IF(((C609-E609)&gt;0)*AND(F609&gt;(C609-E609)),(C609-E609),IF(C609&lt;E609,0,F609))</f>
        <v>5.66671447387605</v>
      </c>
      <c r="M609" s="7" t="n">
        <f aca="false">IF(C609&lt;(E609+F609),0,C609-E609-F609)</f>
        <v>24.0338412270908</v>
      </c>
      <c r="N609" s="7" t="n">
        <f aca="false">IF(C609&lt;(E609+F609),0,(C609-E609-F609)/(1-V$20/100))</f>
        <v>26.4108145352646</v>
      </c>
      <c r="O609" s="7" t="n">
        <f aca="false">L609+M609</f>
        <v>29.7005557009668</v>
      </c>
      <c r="P609" s="49" t="n">
        <f aca="false">IF(N609=0,I609*(1-G609/100)+J609*(1-H609/100),-N609)</f>
        <v>-26.4108145352646</v>
      </c>
      <c r="Q609" s="54" t="n">
        <f aca="false">IF(P608&gt;0,Q608+P608*(1-V$24/100),Q608+P608)</f>
        <v>3077.39708829309</v>
      </c>
      <c r="R609" s="55" t="n">
        <f aca="false">R$4+Q609/V$32</f>
        <v>69.9282724819075</v>
      </c>
    </row>
    <row r="610" customFormat="false" ht="12.8" hidden="false" customHeight="false" outlineLevel="0" collapsed="false">
      <c r="A610" s="1" t="n">
        <v>606</v>
      </c>
      <c r="B610" s="44" t="n">
        <v>44151</v>
      </c>
      <c r="C610" s="45" t="n">
        <f aca="false">V$30-V$30*SIN(2*PI()/365*A610)</f>
        <v>29.851387229195</v>
      </c>
      <c r="D610" s="3" t="n">
        <f aca="false">IF((E610+F610)&gt;C610,C610,E610+F610)</f>
        <v>5.51506118145367</v>
      </c>
      <c r="E610" s="46" t="n">
        <f aca="false">(V$27+V$28*SIN(2*PI()/365*A610))*V$29/100*V$9*V$10/100</f>
        <v>0</v>
      </c>
      <c r="F610" s="46" t="n">
        <f aca="false">(V$27+V$28*SIN(2*PI()/365*A610))*V$29/100*V$11*(1-V$18/100)*(1-V$20/100)</f>
        <v>5.51506118145367</v>
      </c>
      <c r="G610" s="46" t="n">
        <f aca="false">IF(C610&gt;E610,100,C610/E610*100)</f>
        <v>100</v>
      </c>
      <c r="H610" s="46" t="n">
        <f aca="false">L610/F610*100</f>
        <v>100</v>
      </c>
      <c r="I610" s="47" t="n">
        <f aca="false">(V$27+V$28*SIN(2*PI()/365*A610))*V$29/100*V$9*V$10/100*(1-V$19/100)</f>
        <v>0</v>
      </c>
      <c r="J610" s="47" t="n">
        <f aca="false">(V$27+V$28*SIN(2*PI()/365*A610))*V$29/100*V$11*(1-V$18/100)</f>
        <v>6.06050679280623</v>
      </c>
      <c r="K610" s="48" t="n">
        <f aca="false">IF(E610/C610*100&lt;100,E610/C610*100,100)</f>
        <v>0</v>
      </c>
      <c r="L610" s="7" t="n">
        <f aca="false">IF(((C610-E610)&gt;0)*AND(F610&gt;(C610-E610)),(C610-E610),IF(C610&lt;E610,0,F610))</f>
        <v>5.51506118145367</v>
      </c>
      <c r="M610" s="7" t="n">
        <f aca="false">IF(C610&lt;(E610+F610),0,C610-E610-F610)</f>
        <v>24.3363260477413</v>
      </c>
      <c r="N610" s="7" t="n">
        <f aca="false">IF(C610&lt;(E610+F610),0,(C610-E610-F610)/(1-V$20/100))</f>
        <v>26.7432154370784</v>
      </c>
      <c r="O610" s="7" t="n">
        <f aca="false">L610+M610</f>
        <v>29.851387229195</v>
      </c>
      <c r="P610" s="49" t="n">
        <f aca="false">IF(N610=0,I610*(1-G610/100)+J610*(1-H610/100),-N610)</f>
        <v>-26.7432154370784</v>
      </c>
      <c r="Q610" s="54" t="n">
        <f aca="false">IF(P609&gt;0,Q609+P609*(1-V$24/100),Q609+P609)</f>
        <v>3050.98627375782</v>
      </c>
      <c r="R610" s="55" t="n">
        <f aca="false">R$4+Q610/V$32</f>
        <v>69.6714222831186</v>
      </c>
    </row>
    <row r="611" customFormat="false" ht="12.8" hidden="false" customHeight="false" outlineLevel="0" collapsed="false">
      <c r="A611" s="1" t="n">
        <v>607</v>
      </c>
      <c r="B611" s="44" t="n">
        <v>44152</v>
      </c>
      <c r="C611" s="45" t="n">
        <f aca="false">V$30-V$30*SIN(2*PI()/365*A611)</f>
        <v>29.9981668687512</v>
      </c>
      <c r="D611" s="3" t="n">
        <f aca="false">IF((E611+F611)&gt;C611,C611,E611+F611)</f>
        <v>5.3674818533068</v>
      </c>
      <c r="E611" s="46" t="n">
        <f aca="false">(V$27+V$28*SIN(2*PI()/365*A611))*V$29/100*V$9*V$10/100</f>
        <v>0</v>
      </c>
      <c r="F611" s="46" t="n">
        <f aca="false">(V$27+V$28*SIN(2*PI()/365*A611))*V$29/100*V$11*(1-V$18/100)*(1-V$20/100)</f>
        <v>5.3674818533068</v>
      </c>
      <c r="G611" s="46" t="n">
        <f aca="false">IF(C611&gt;E611,100,C611/E611*100)</f>
        <v>100</v>
      </c>
      <c r="H611" s="46" t="n">
        <f aca="false">L611/F611*100</f>
        <v>100</v>
      </c>
      <c r="I611" s="47" t="n">
        <f aca="false">(V$27+V$28*SIN(2*PI()/365*A611))*V$29/100*V$9*V$10/100*(1-V$19/100)</f>
        <v>0</v>
      </c>
      <c r="J611" s="47" t="n">
        <f aca="false">(V$27+V$28*SIN(2*PI()/365*A611))*V$29/100*V$11*(1-V$18/100)</f>
        <v>5.89833170693055</v>
      </c>
      <c r="K611" s="48" t="n">
        <f aca="false">IF(E611/C611*100&lt;100,E611/C611*100,100)</f>
        <v>0</v>
      </c>
      <c r="L611" s="7" t="n">
        <f aca="false">IF(((C611-E611)&gt;0)*AND(F611&gt;(C611-E611)),(C611-E611),IF(C611&lt;E611,0,F611))</f>
        <v>5.3674818533068</v>
      </c>
      <c r="M611" s="7" t="n">
        <f aca="false">IF(C611&lt;(E611+F611),0,C611-E611-F611)</f>
        <v>24.6306850154445</v>
      </c>
      <c r="N611" s="7" t="n">
        <f aca="false">IF(C611&lt;(E611+F611),0,(C611-E611-F611)/(1-V$20/100))</f>
        <v>27.0666868301587</v>
      </c>
      <c r="O611" s="7" t="n">
        <f aca="false">L611+M611</f>
        <v>29.9981668687512</v>
      </c>
      <c r="P611" s="49" t="n">
        <f aca="false">IF(N611=0,I611*(1-G611/100)+J611*(1-H611/100),-N611)</f>
        <v>-27.0666868301587</v>
      </c>
      <c r="Q611" s="54" t="n">
        <f aca="false">IF(P610&gt;0,Q610+P610*(1-V$24/100),Q610+P610)</f>
        <v>3024.24305832074</v>
      </c>
      <c r="R611" s="55" t="n">
        <f aca="false">R$4+Q611/V$32</f>
        <v>69.4113394222853</v>
      </c>
    </row>
    <row r="612" customFormat="false" ht="12.8" hidden="false" customHeight="false" outlineLevel="0" collapsed="false">
      <c r="A612" s="1" t="n">
        <v>608</v>
      </c>
      <c r="B612" s="44" t="n">
        <v>44153</v>
      </c>
      <c r="C612" s="45" t="n">
        <f aca="false">V$30-V$30*SIN(2*PI()/365*A612)</f>
        <v>30.1408511256606</v>
      </c>
      <c r="D612" s="3" t="n">
        <f aca="false">IF((E612+F612)&gt;C612,C612,E612+F612)</f>
        <v>5.2240202203754</v>
      </c>
      <c r="E612" s="46" t="n">
        <f aca="false">(V$27+V$28*SIN(2*PI()/365*A612))*V$29/100*V$9*V$10/100</f>
        <v>0</v>
      </c>
      <c r="F612" s="46" t="n">
        <f aca="false">(V$27+V$28*SIN(2*PI()/365*A612))*V$29/100*V$11*(1-V$18/100)*(1-V$20/100)</f>
        <v>5.2240202203754</v>
      </c>
      <c r="G612" s="46" t="n">
        <f aca="false">IF(C612&gt;E612,100,C612/E612*100)</f>
        <v>100</v>
      </c>
      <c r="H612" s="46" t="n">
        <f aca="false">L612/F612*100</f>
        <v>100</v>
      </c>
      <c r="I612" s="47" t="n">
        <f aca="false">(V$27+V$28*SIN(2*PI()/365*A612))*V$29/100*V$9*V$10/100*(1-V$19/100)</f>
        <v>0</v>
      </c>
      <c r="J612" s="47" t="n">
        <f aca="false">(V$27+V$28*SIN(2*PI()/365*A612))*V$29/100*V$11*(1-V$18/100)</f>
        <v>5.74068156085209</v>
      </c>
      <c r="K612" s="48" t="n">
        <f aca="false">IF(E612/C612*100&lt;100,E612/C612*100,100)</f>
        <v>0</v>
      </c>
      <c r="L612" s="7" t="n">
        <f aca="false">IF(((C612-E612)&gt;0)*AND(F612&gt;(C612-E612)),(C612-E612),IF(C612&lt;E612,0,F612))</f>
        <v>5.2240202203754</v>
      </c>
      <c r="M612" s="7" t="n">
        <f aca="false">IF(C612&lt;(E612+F612),0,C612-E612-F612)</f>
        <v>24.9168309052852</v>
      </c>
      <c r="N612" s="7" t="n">
        <f aca="false">IF(C612&lt;(E612+F612),0,(C612-E612-F612)/(1-V$20/100))</f>
        <v>27.3811328629508</v>
      </c>
      <c r="O612" s="7" t="n">
        <f aca="false">L612+M612</f>
        <v>30.1408511256606</v>
      </c>
      <c r="P612" s="49" t="n">
        <f aca="false">IF(N612=0,I612*(1-G612/100)+J612*(1-H612/100),-N612)</f>
        <v>-27.3811328629508</v>
      </c>
      <c r="Q612" s="54" t="n">
        <f aca="false">IF(P611&gt;0,Q611+P611*(1-V$24/100),Q611+P611)</f>
        <v>2997.17637149058</v>
      </c>
      <c r="R612" s="55" t="n">
        <f aca="false">R$4+Q612/V$32</f>
        <v>69.1481107405799</v>
      </c>
    </row>
    <row r="613" customFormat="false" ht="12.8" hidden="false" customHeight="false" outlineLevel="0" collapsed="false">
      <c r="A613" s="1" t="n">
        <v>609</v>
      </c>
      <c r="B613" s="44" t="n">
        <v>44154</v>
      </c>
      <c r="C613" s="45" t="n">
        <f aca="false">V$30-V$30*SIN(2*PI()/365*A613)</f>
        <v>30.2793977194985</v>
      </c>
      <c r="D613" s="3" t="n">
        <f aca="false">IF((E613+F613)&gt;C613,C613,E613+F613)</f>
        <v>5.08471879343748</v>
      </c>
      <c r="E613" s="46" t="n">
        <f aca="false">(V$27+V$28*SIN(2*PI()/365*A613))*V$29/100*V$9*V$10/100</f>
        <v>0</v>
      </c>
      <c r="F613" s="46" t="n">
        <f aca="false">(V$27+V$28*SIN(2*PI()/365*A613))*V$29/100*V$11*(1-V$18/100)*(1-V$20/100)</f>
        <v>5.08471879343748</v>
      </c>
      <c r="G613" s="46" t="n">
        <f aca="false">IF(C613&gt;E613,100,C613/E613*100)</f>
        <v>100</v>
      </c>
      <c r="H613" s="46" t="n">
        <f aca="false">L613/F613*100</f>
        <v>100</v>
      </c>
      <c r="I613" s="47" t="n">
        <f aca="false">(V$27+V$28*SIN(2*PI()/365*A613))*V$29/100*V$9*V$10/100*(1-V$19/100)</f>
        <v>0</v>
      </c>
      <c r="J613" s="47" t="n">
        <f aca="false">(V$27+V$28*SIN(2*PI()/365*A613))*V$29/100*V$11*(1-V$18/100)</f>
        <v>5.58760306971151</v>
      </c>
      <c r="K613" s="48" t="n">
        <f aca="false">IF(E613/C613*100&lt;100,E613/C613*100,100)</f>
        <v>0</v>
      </c>
      <c r="L613" s="7" t="n">
        <f aca="false">IF(((C613-E613)&gt;0)*AND(F613&gt;(C613-E613)),(C613-E613),IF(C613&lt;E613,0,F613))</f>
        <v>5.08471879343748</v>
      </c>
      <c r="M613" s="7" t="n">
        <f aca="false">IF(C613&lt;(E613+F613),0,C613-E613-F613)</f>
        <v>25.194678926061</v>
      </c>
      <c r="N613" s="7" t="n">
        <f aca="false">IF(C613&lt;(E613+F613),0,(C613-E613-F613)/(1-V$20/100))</f>
        <v>27.6864603583088</v>
      </c>
      <c r="O613" s="7" t="n">
        <f aca="false">L613+M613</f>
        <v>30.2793977194985</v>
      </c>
      <c r="P613" s="49" t="n">
        <f aca="false">IF(N613=0,I613*(1-G613/100)+J613*(1-H613/100),-N613)</f>
        <v>-27.6864603583088</v>
      </c>
      <c r="Q613" s="54" t="n">
        <f aca="false">IF(P612&gt;0,Q612+P612*(1-V$24/100),Q612+P612)</f>
        <v>2969.79523862763</v>
      </c>
      <c r="R613" s="55" t="n">
        <f aca="false">R$4+Q613/V$32</f>
        <v>68.8818240113492</v>
      </c>
    </row>
    <row r="614" customFormat="false" ht="12.8" hidden="false" customHeight="false" outlineLevel="0" collapsed="false">
      <c r="A614" s="1" t="n">
        <v>610</v>
      </c>
      <c r="B614" s="44" t="n">
        <v>44155</v>
      </c>
      <c r="C614" s="45" t="n">
        <f aca="false">V$30-V$30*SIN(2*PI()/365*A614)</f>
        <v>30.4137655959189</v>
      </c>
      <c r="D614" s="3" t="n">
        <f aca="false">IF((E614+F614)&gt;C614,C614,E614+F614)</f>
        <v>4.94961885051218</v>
      </c>
      <c r="E614" s="46" t="n">
        <f aca="false">(V$27+V$28*SIN(2*PI()/365*A614))*V$29/100*V$9*V$10/100</f>
        <v>0</v>
      </c>
      <c r="F614" s="46" t="n">
        <f aca="false">(V$27+V$28*SIN(2*PI()/365*A614))*V$29/100*V$11*(1-V$18/100)*(1-V$20/100)</f>
        <v>4.94961885051218</v>
      </c>
      <c r="G614" s="46" t="n">
        <f aca="false">IF(C614&gt;E614,100,C614/E614*100)</f>
        <v>100</v>
      </c>
      <c r="H614" s="46" t="n">
        <f aca="false">L614/F614*100</f>
        <v>100</v>
      </c>
      <c r="I614" s="47" t="n">
        <f aca="false">(V$27+V$28*SIN(2*PI()/365*A614))*V$29/100*V$9*V$10/100*(1-V$19/100)</f>
        <v>0</v>
      </c>
      <c r="J614" s="47" t="n">
        <f aca="false">(V$27+V$28*SIN(2*PI()/365*A614))*V$29/100*V$11*(1-V$18/100)</f>
        <v>5.43914159396943</v>
      </c>
      <c r="K614" s="48" t="n">
        <f aca="false">IF(E614/C614*100&lt;100,E614/C614*100,100)</f>
        <v>0</v>
      </c>
      <c r="L614" s="7" t="n">
        <f aca="false">IF(((C614-E614)&gt;0)*AND(F614&gt;(C614-E614)),(C614-E614),IF(C614&lt;E614,0,F614))</f>
        <v>4.94961885051218</v>
      </c>
      <c r="M614" s="7" t="n">
        <f aca="false">IF(C614&lt;(E614+F614),0,C614-E614-F614)</f>
        <v>25.4641467454067</v>
      </c>
      <c r="N614" s="7" t="n">
        <f aca="false">IF(C614&lt;(E614+F614),0,(C614-E614-F614)/(1-V$20/100))</f>
        <v>27.9825788411063</v>
      </c>
      <c r="O614" s="7" t="n">
        <f aca="false">L614+M614</f>
        <v>30.4137655959189</v>
      </c>
      <c r="P614" s="49" t="n">
        <f aca="false">IF(N614=0,I614*(1-G614/100)+J614*(1-H614/100),-N614)</f>
        <v>-27.9825788411063</v>
      </c>
      <c r="Q614" s="54" t="n">
        <f aca="false">IF(P613&gt;0,Q613+P613*(1-V$24/100),Q613+P613)</f>
        <v>2942.10877826932</v>
      </c>
      <c r="R614" s="55" t="n">
        <f aca="false">R$4+Q614/V$32</f>
        <v>68.6125679141055</v>
      </c>
    </row>
    <row r="615" customFormat="false" ht="12.8" hidden="false" customHeight="false" outlineLevel="0" collapsed="false">
      <c r="A615" s="1" t="n">
        <v>611</v>
      </c>
      <c r="B615" s="44" t="n">
        <v>44156</v>
      </c>
      <c r="C615" s="45" t="n">
        <f aca="false">V$30-V$30*SIN(2*PI()/365*A615)</f>
        <v>30.5439149388202</v>
      </c>
      <c r="D615" s="3" t="n">
        <f aca="false">IF((E615+F615)&gt;C615,C615,E615+F615)</f>
        <v>4.81876042462829</v>
      </c>
      <c r="E615" s="46" t="n">
        <f aca="false">(V$27+V$28*SIN(2*PI()/365*A615))*V$29/100*V$9*V$10/100</f>
        <v>0</v>
      </c>
      <c r="F615" s="46" t="n">
        <f aca="false">(V$27+V$28*SIN(2*PI()/365*A615))*V$29/100*V$11*(1-V$18/100)*(1-V$20/100)</f>
        <v>4.81876042462829</v>
      </c>
      <c r="G615" s="46" t="n">
        <f aca="false">IF(C615&gt;E615,100,C615/E615*100)</f>
        <v>100</v>
      </c>
      <c r="H615" s="46" t="n">
        <f aca="false">L615/F615*100</f>
        <v>100</v>
      </c>
      <c r="I615" s="47" t="n">
        <f aca="false">(V$27+V$28*SIN(2*PI()/365*A615))*V$29/100*V$9*V$10/100*(1-V$19/100)</f>
        <v>0</v>
      </c>
      <c r="J615" s="47" t="n">
        <f aca="false">(V$27+V$28*SIN(2*PI()/365*A615))*V$29/100*V$11*(1-V$18/100)</f>
        <v>5.29534112596515</v>
      </c>
      <c r="K615" s="48" t="n">
        <f aca="false">IF(E615/C615*100&lt;100,E615/C615*100,100)</f>
        <v>0</v>
      </c>
      <c r="L615" s="7" t="n">
        <f aca="false">IF(((C615-E615)&gt;0)*AND(F615&gt;(C615-E615)),(C615-E615),IF(C615&lt;E615,0,F615))</f>
        <v>4.81876042462829</v>
      </c>
      <c r="M615" s="7" t="n">
        <f aca="false">IF(C615&lt;(E615+F615),0,C615-E615-F615)</f>
        <v>25.7251545141919</v>
      </c>
      <c r="N615" s="7" t="n">
        <f aca="false">IF(C615&lt;(E615+F615),0,(C615-E615-F615)/(1-V$20/100))</f>
        <v>28.2694005650461</v>
      </c>
      <c r="O615" s="7" t="n">
        <f aca="false">L615+M615</f>
        <v>30.5439149388202</v>
      </c>
      <c r="P615" s="49" t="n">
        <f aca="false">IF(N615=0,I615*(1-G615/100)+J615*(1-H615/100),-N615)</f>
        <v>-28.2694005650461</v>
      </c>
      <c r="Q615" s="54" t="n">
        <f aca="false">IF(P614&gt;0,Q614+P614*(1-V$24/100),Q614+P614)</f>
        <v>2914.12619942822</v>
      </c>
      <c r="R615" s="55" t="n">
        <f aca="false">R$4+Q615/V$32</f>
        <v>68.3404320082489</v>
      </c>
    </row>
    <row r="616" customFormat="false" ht="12.8" hidden="false" customHeight="false" outlineLevel="0" collapsed="false">
      <c r="A616" s="1" t="n">
        <v>612</v>
      </c>
      <c r="B616" s="44" t="n">
        <v>44157</v>
      </c>
      <c r="C616" s="45" t="n">
        <f aca="false">V$30-V$30*SIN(2*PI()/365*A616)</f>
        <v>30.6698071821433</v>
      </c>
      <c r="D616" s="3" t="n">
        <f aca="false">IF((E616+F616)&gt;C616,C616,E616+F616)</f>
        <v>4.69218229196158</v>
      </c>
      <c r="E616" s="46" t="n">
        <f aca="false">(V$27+V$28*SIN(2*PI()/365*A616))*V$29/100*V$9*V$10/100</f>
        <v>0</v>
      </c>
      <c r="F616" s="46" t="n">
        <f aca="false">(V$27+V$28*SIN(2*PI()/365*A616))*V$29/100*V$11*(1-V$18/100)*(1-V$20/100)</f>
        <v>4.69218229196158</v>
      </c>
      <c r="G616" s="46" t="n">
        <f aca="false">IF(C616&gt;E616,100,C616/E616*100)</f>
        <v>100</v>
      </c>
      <c r="H616" s="46" t="n">
        <f aca="false">L616/F616*100</f>
        <v>100</v>
      </c>
      <c r="I616" s="47" t="n">
        <f aca="false">(V$27+V$28*SIN(2*PI()/365*A616))*V$29/100*V$9*V$10/100*(1-V$19/100)</f>
        <v>0</v>
      </c>
      <c r="J616" s="47" t="n">
        <f aca="false">(V$27+V$28*SIN(2*PI()/365*A616))*V$29/100*V$11*(1-V$18/100)</f>
        <v>5.15624427688086</v>
      </c>
      <c r="K616" s="48" t="n">
        <f aca="false">IF(E616/C616*100&lt;100,E616/C616*100,100)</f>
        <v>0</v>
      </c>
      <c r="L616" s="7" t="n">
        <f aca="false">IF(((C616-E616)&gt;0)*AND(F616&gt;(C616-E616)),(C616-E616),IF(C616&lt;E616,0,F616))</f>
        <v>4.69218229196158</v>
      </c>
      <c r="M616" s="7" t="n">
        <f aca="false">IF(C616&lt;(E616+F616),0,C616-E616-F616)</f>
        <v>25.9776248901817</v>
      </c>
      <c r="N616" s="7" t="n">
        <f aca="false">IF(C616&lt;(E616+F616),0,(C616-E616-F616)/(1-V$20/100))</f>
        <v>28.5468405386612</v>
      </c>
      <c r="O616" s="7" t="n">
        <f aca="false">L616+M616</f>
        <v>30.6698071821433</v>
      </c>
      <c r="P616" s="49" t="n">
        <f aca="false">IF(N616=0,I616*(1-G616/100)+J616*(1-H616/100),-N616)</f>
        <v>-28.5468405386612</v>
      </c>
      <c r="Q616" s="54" t="n">
        <f aca="false">IF(P615&gt;0,Q615+P615*(1-V$24/100),Q615+P615)</f>
        <v>2885.85679886317</v>
      </c>
      <c r="R616" s="55" t="n">
        <f aca="false">R$4+Q616/V$32</f>
        <v>68.065506706529</v>
      </c>
    </row>
    <row r="617" customFormat="false" ht="12.8" hidden="false" customHeight="false" outlineLevel="0" collapsed="false">
      <c r="A617" s="1" t="n">
        <v>613</v>
      </c>
      <c r="B617" s="44" t="n">
        <v>44158</v>
      </c>
      <c r="C617" s="45" t="n">
        <f aca="false">V$30-V$30*SIN(2*PI()/365*A617)</f>
        <v>30.7914050212995</v>
      </c>
      <c r="D617" s="3" t="n">
        <f aca="false">IF((E617+F617)&gt;C617,C617,E617+F617)</f>
        <v>4.56992196034452</v>
      </c>
      <c r="E617" s="46" t="n">
        <f aca="false">(V$27+V$28*SIN(2*PI()/365*A617))*V$29/100*V$9*V$10/100</f>
        <v>0</v>
      </c>
      <c r="F617" s="46" t="n">
        <f aca="false">(V$27+V$28*SIN(2*PI()/365*A617))*V$29/100*V$11*(1-V$18/100)*(1-V$20/100)</f>
        <v>4.56992196034452</v>
      </c>
      <c r="G617" s="46" t="n">
        <f aca="false">IF(C617&gt;E617,100,C617/E617*100)</f>
        <v>100</v>
      </c>
      <c r="H617" s="46" t="n">
        <f aca="false">L617/F617*100</f>
        <v>100</v>
      </c>
      <c r="I617" s="47" t="n">
        <f aca="false">(V$27+V$28*SIN(2*PI()/365*A617))*V$29/100*V$9*V$10/100*(1-V$19/100)</f>
        <v>0</v>
      </c>
      <c r="J617" s="47" t="n">
        <f aca="false">(V$27+V$28*SIN(2*PI()/365*A617))*V$29/100*V$11*(1-V$18/100)</f>
        <v>5.02189226411486</v>
      </c>
      <c r="K617" s="48" t="n">
        <f aca="false">IF(E617/C617*100&lt;100,E617/C617*100,100)</f>
        <v>0</v>
      </c>
      <c r="L617" s="7" t="n">
        <f aca="false">IF(((C617-E617)&gt;0)*AND(F617&gt;(C617-E617)),(C617-E617),IF(C617&lt;E617,0,F617))</f>
        <v>4.56992196034452</v>
      </c>
      <c r="M617" s="7" t="n">
        <f aca="false">IF(C617&lt;(E617+F617),0,C617-E617-F617)</f>
        <v>26.221483060955</v>
      </c>
      <c r="N617" s="7" t="n">
        <f aca="false">IF(C617&lt;(E617+F617),0,(C617-E617-F617)/(1-V$20/100))</f>
        <v>28.8148165505</v>
      </c>
      <c r="O617" s="7" t="n">
        <f aca="false">L617+M617</f>
        <v>30.7914050212995</v>
      </c>
      <c r="P617" s="49" t="n">
        <f aca="false">IF(N617=0,I617*(1-G617/100)+J617*(1-H617/100),-N617)</f>
        <v>-28.8148165505</v>
      </c>
      <c r="Q617" s="54" t="n">
        <f aca="false">IF(P616&gt;0,Q616+P616*(1-V$24/100),Q616+P616)</f>
        <v>2857.30995832451</v>
      </c>
      <c r="R617" s="55" t="n">
        <f aca="false">R$4+Q617/V$32</f>
        <v>67.7878832482536</v>
      </c>
    </row>
    <row r="618" customFormat="false" ht="12.8" hidden="false" customHeight="false" outlineLevel="0" collapsed="false">
      <c r="A618" s="1" t="n">
        <v>614</v>
      </c>
      <c r="B618" s="44" t="n">
        <v>44159</v>
      </c>
      <c r="C618" s="45" t="n">
        <f aca="false">V$30-V$30*SIN(2*PI()/365*A618)</f>
        <v>30.9086724242247</v>
      </c>
      <c r="D618" s="3" t="n">
        <f aca="false">IF((E618+F618)&gt;C618,C618,E618+F618)</f>
        <v>4.45201565815196</v>
      </c>
      <c r="E618" s="46" t="n">
        <f aca="false">(V$27+V$28*SIN(2*PI()/365*A618))*V$29/100*V$9*V$10/100</f>
        <v>0</v>
      </c>
      <c r="F618" s="46" t="n">
        <f aca="false">(V$27+V$28*SIN(2*PI()/365*A618))*V$29/100*V$11*(1-V$18/100)*(1-V$20/100)</f>
        <v>4.45201565815196</v>
      </c>
      <c r="G618" s="46" t="n">
        <f aca="false">IF(C618&gt;E618,100,C618/E618*100)</f>
        <v>100</v>
      </c>
      <c r="H618" s="46" t="n">
        <f aca="false">L618/F618*100</f>
        <v>100</v>
      </c>
      <c r="I618" s="47" t="n">
        <f aca="false">(V$27+V$28*SIN(2*PI()/365*A618))*V$29/100*V$9*V$10/100*(1-V$19/100)</f>
        <v>0</v>
      </c>
      <c r="J618" s="47" t="n">
        <f aca="false">(V$27+V$28*SIN(2*PI()/365*A618))*V$29/100*V$11*(1-V$18/100)</f>
        <v>4.89232489906809</v>
      </c>
      <c r="K618" s="48" t="n">
        <f aca="false">IF(E618/C618*100&lt;100,E618/C618*100,100)</f>
        <v>0</v>
      </c>
      <c r="L618" s="7" t="n">
        <f aca="false">IF(((C618-E618)&gt;0)*AND(F618&gt;(C618-E618)),(C618-E618),IF(C618&lt;E618,0,F618))</f>
        <v>4.45201565815196</v>
      </c>
      <c r="M618" s="7" t="n">
        <f aca="false">IF(C618&lt;(E618+F618),0,C618-E618-F618)</f>
        <v>26.4566567660728</v>
      </c>
      <c r="N618" s="7" t="n">
        <f aca="false">IF(C618&lt;(E618+F618),0,(C618-E618-F618)/(1-V$20/100))</f>
        <v>29.0732491934866</v>
      </c>
      <c r="O618" s="7" t="n">
        <f aca="false">L618+M618</f>
        <v>30.9086724242247</v>
      </c>
      <c r="P618" s="49" t="n">
        <f aca="false">IF(N618=0,I618*(1-G618/100)+J618*(1-H618/100),-N618)</f>
        <v>-29.0732491934866</v>
      </c>
      <c r="Q618" s="54" t="n">
        <f aca="false">IF(P617&gt;0,Q617+P617*(1-V$24/100),Q617+P617)</f>
        <v>2828.49514177401</v>
      </c>
      <c r="R618" s="55" t="n">
        <f aca="false">R$4+Q618/V$32</f>
        <v>67.5076536722524</v>
      </c>
    </row>
    <row r="619" customFormat="false" ht="12.8" hidden="false" customHeight="false" outlineLevel="0" collapsed="false">
      <c r="A619" s="1" t="n">
        <v>615</v>
      </c>
      <c r="B619" s="44" t="n">
        <v>44160</v>
      </c>
      <c r="C619" s="45" t="n">
        <f aca="false">V$30-V$30*SIN(2*PI()/365*A619)</f>
        <v>31.0215746420567</v>
      </c>
      <c r="D619" s="3" t="n">
        <f aca="false">IF((E619+F619)&gt;C619,C619,E619+F619)</f>
        <v>4.33849832356588</v>
      </c>
      <c r="E619" s="46" t="n">
        <f aca="false">(V$27+V$28*SIN(2*PI()/365*A619))*V$29/100*V$9*V$10/100</f>
        <v>0</v>
      </c>
      <c r="F619" s="46" t="n">
        <f aca="false">(V$27+V$28*SIN(2*PI()/365*A619))*V$29/100*V$11*(1-V$18/100)*(1-V$20/100)</f>
        <v>4.33849832356588</v>
      </c>
      <c r="G619" s="46" t="n">
        <f aca="false">IF(C619&gt;E619,100,C619/E619*100)</f>
        <v>100</v>
      </c>
      <c r="H619" s="46" t="n">
        <f aca="false">L619/F619*100</f>
        <v>100</v>
      </c>
      <c r="I619" s="47" t="n">
        <f aca="false">(V$27+V$28*SIN(2*PI()/365*A619))*V$29/100*V$9*V$10/100*(1-V$19/100)</f>
        <v>0</v>
      </c>
      <c r="J619" s="47" t="n">
        <f aca="false">(V$27+V$28*SIN(2*PI()/365*A619))*V$29/100*V$11*(1-V$18/100)</f>
        <v>4.76758057534712</v>
      </c>
      <c r="K619" s="48" t="n">
        <f aca="false">IF(E619/C619*100&lt;100,E619/C619*100,100)</f>
        <v>0</v>
      </c>
      <c r="L619" s="7" t="n">
        <f aca="false">IF(((C619-E619)&gt;0)*AND(F619&gt;(C619-E619)),(C619-E619),IF(C619&lt;E619,0,F619))</f>
        <v>4.33849832356588</v>
      </c>
      <c r="M619" s="7" t="n">
        <f aca="false">IF(C619&lt;(E619+F619),0,C619-E619-F619)</f>
        <v>26.6830763184908</v>
      </c>
      <c r="N619" s="7" t="n">
        <f aca="false">IF(C619&lt;(E619+F619),0,(C619-E619-F619)/(1-V$20/100))</f>
        <v>29.3220618884514</v>
      </c>
      <c r="O619" s="7" t="n">
        <f aca="false">L619+M619</f>
        <v>31.0215746420567</v>
      </c>
      <c r="P619" s="49" t="n">
        <f aca="false">IF(N619=0,I619*(1-G619/100)+J619*(1-H619/100),-N619)</f>
        <v>-29.3220618884514</v>
      </c>
      <c r="Q619" s="54" t="n">
        <f aca="false">IF(P618&gt;0,Q618+P618*(1-V$24/100),Q618+P618)</f>
        <v>2799.42189258052</v>
      </c>
      <c r="R619" s="55" t="n">
        <f aca="false">R$4+Q619/V$32</f>
        <v>67.2249107896043</v>
      </c>
    </row>
    <row r="620" customFormat="false" ht="12.8" hidden="false" customHeight="false" outlineLevel="0" collapsed="false">
      <c r="A620" s="1" t="n">
        <v>616</v>
      </c>
      <c r="B620" s="44" t="n">
        <v>44161</v>
      </c>
      <c r="C620" s="45" t="n">
        <f aca="false">V$30-V$30*SIN(2*PI()/365*A620)</f>
        <v>31.1300782194316</v>
      </c>
      <c r="D620" s="3" t="n">
        <f aca="false">IF((E620+F620)&gt;C620,C620,E620+F620)</f>
        <v>4.22940359422242</v>
      </c>
      <c r="E620" s="46" t="n">
        <f aca="false">(V$27+V$28*SIN(2*PI()/365*A620))*V$29/100*V$9*V$10/100</f>
        <v>0</v>
      </c>
      <c r="F620" s="46" t="n">
        <f aca="false">(V$27+V$28*SIN(2*PI()/365*A620))*V$29/100*V$11*(1-V$18/100)*(1-V$20/100)</f>
        <v>4.22940359422242</v>
      </c>
      <c r="G620" s="46" t="n">
        <f aca="false">IF(C620&gt;E620,100,C620/E620*100)</f>
        <v>100</v>
      </c>
      <c r="H620" s="46" t="n">
        <f aca="false">L620/F620*100</f>
        <v>100</v>
      </c>
      <c r="I620" s="47" t="n">
        <f aca="false">(V$27+V$28*SIN(2*PI()/365*A620))*V$29/100*V$9*V$10/100*(1-V$19/100)</f>
        <v>0</v>
      </c>
      <c r="J620" s="47" t="n">
        <f aca="false">(V$27+V$28*SIN(2*PI()/365*A620))*V$29/100*V$11*(1-V$18/100)</f>
        <v>4.64769625738727</v>
      </c>
      <c r="K620" s="48" t="n">
        <f aca="false">IF(E620/C620*100&lt;100,E620/C620*100,100)</f>
        <v>0</v>
      </c>
      <c r="L620" s="7" t="n">
        <f aca="false">IF(((C620-E620)&gt;0)*AND(F620&gt;(C620-E620)),(C620-E620),IF(C620&lt;E620,0,F620))</f>
        <v>4.22940359422242</v>
      </c>
      <c r="M620" s="7" t="n">
        <f aca="false">IF(C620&lt;(E620+F620),0,C620-E620-F620)</f>
        <v>26.9006746252092</v>
      </c>
      <c r="N620" s="7" t="n">
        <f aca="false">IF(C620&lt;(E620+F620),0,(C620-E620-F620)/(1-V$20/100))</f>
        <v>29.5611809068233</v>
      </c>
      <c r="O620" s="7" t="n">
        <f aca="false">L620+M620</f>
        <v>31.1300782194316</v>
      </c>
      <c r="P620" s="49" t="n">
        <f aca="false">IF(N620=0,I620*(1-G620/100)+J620*(1-H620/100),-N620)</f>
        <v>-29.5611809068233</v>
      </c>
      <c r="Q620" s="54" t="n">
        <f aca="false">IF(P619&gt;0,Q619+P619*(1-V$24/100),Q619+P619)</f>
        <v>2770.09983069207</v>
      </c>
      <c r="R620" s="55" t="n">
        <f aca="false">R$4+Q620/V$32</f>
        <v>66.9397481561348</v>
      </c>
    </row>
    <row r="621" customFormat="false" ht="12.8" hidden="false" customHeight="false" outlineLevel="0" collapsed="false">
      <c r="A621" s="1" t="n">
        <v>617</v>
      </c>
      <c r="B621" s="44" t="n">
        <v>44162</v>
      </c>
      <c r="C621" s="45" t="n">
        <f aca="false">V$30-V$30*SIN(2*PI()/365*A621)</f>
        <v>31.2341510043978</v>
      </c>
      <c r="D621" s="3" t="n">
        <f aca="false">IF((E621+F621)&gt;C621,C621,E621+F621)</f>
        <v>4.12476379724432</v>
      </c>
      <c r="E621" s="46" t="n">
        <f aca="false">(V$27+V$28*SIN(2*PI()/365*A621))*V$29/100*V$9*V$10/100</f>
        <v>0</v>
      </c>
      <c r="F621" s="46" t="n">
        <f aca="false">(V$27+V$28*SIN(2*PI()/365*A621))*V$29/100*V$11*(1-V$18/100)*(1-V$20/100)</f>
        <v>4.12476379724432</v>
      </c>
      <c r="G621" s="46" t="n">
        <f aca="false">IF(C621&gt;E621,100,C621/E621*100)</f>
        <v>100</v>
      </c>
      <c r="H621" s="46" t="n">
        <f aca="false">L621/F621*100</f>
        <v>100</v>
      </c>
      <c r="I621" s="47" t="n">
        <f aca="false">(V$27+V$28*SIN(2*PI()/365*A621))*V$29/100*V$9*V$10/100*(1-V$19/100)</f>
        <v>0</v>
      </c>
      <c r="J621" s="47" t="n">
        <f aca="false">(V$27+V$28*SIN(2*PI()/365*A621))*V$29/100*V$11*(1-V$18/100)</f>
        <v>4.53270746949925</v>
      </c>
      <c r="K621" s="48" t="n">
        <f aca="false">IF(E621/C621*100&lt;100,E621/C621*100,100)</f>
        <v>0</v>
      </c>
      <c r="L621" s="7" t="n">
        <f aca="false">IF(((C621-E621)&gt;0)*AND(F621&gt;(C621-E621)),(C621-E621),IF(C621&lt;E621,0,F621))</f>
        <v>4.12476379724432</v>
      </c>
      <c r="M621" s="7" t="n">
        <f aca="false">IF(C621&lt;(E621+F621),0,C621-E621-F621)</f>
        <v>27.1093872071535</v>
      </c>
      <c r="N621" s="7" t="n">
        <f aca="false">IF(C621&lt;(E621+F621),0,(C621-E621-F621)/(1-V$20/100))</f>
        <v>29.7905353924764</v>
      </c>
      <c r="O621" s="7" t="n">
        <f aca="false">L621+M621</f>
        <v>31.2341510043978</v>
      </c>
      <c r="P621" s="49" t="n">
        <f aca="false">IF(N621=0,I621*(1-G621/100)+J621*(1-H621/100),-N621)</f>
        <v>-29.7905353924764</v>
      </c>
      <c r="Q621" s="54" t="n">
        <f aca="false">IF(P620&gt;0,Q620+P620*(1-V$24/100),Q620+P620)</f>
        <v>2740.53864978525</v>
      </c>
      <c r="R621" s="55" t="n">
        <f aca="false">R$4+Q621/V$32</f>
        <v>66.6522600446941</v>
      </c>
    </row>
    <row r="622" customFormat="false" ht="12.8" hidden="false" customHeight="false" outlineLevel="0" collapsed="false">
      <c r="A622" s="1" t="n">
        <v>618</v>
      </c>
      <c r="B622" s="44" t="n">
        <v>44163</v>
      </c>
      <c r="C622" s="45" t="n">
        <f aca="false">V$30-V$30*SIN(2*PI()/365*A622)</f>
        <v>31.333762157943</v>
      </c>
      <c r="D622" s="3" t="n">
        <f aca="false">IF((E622+F622)&gt;C622,C622,E622+F622)</f>
        <v>4.02460993966176</v>
      </c>
      <c r="E622" s="46" t="n">
        <f aca="false">(V$27+V$28*SIN(2*PI()/365*A622))*V$29/100*V$9*V$10/100</f>
        <v>0</v>
      </c>
      <c r="F622" s="46" t="n">
        <f aca="false">(V$27+V$28*SIN(2*PI()/365*A622))*V$29/100*V$11*(1-V$18/100)*(1-V$20/100)</f>
        <v>4.02460993966176</v>
      </c>
      <c r="G622" s="46" t="n">
        <f aca="false">IF(C622&gt;E622,100,C622/E622*100)</f>
        <v>100</v>
      </c>
      <c r="H622" s="46" t="n">
        <f aca="false">L622/F622*100</f>
        <v>100</v>
      </c>
      <c r="I622" s="47" t="n">
        <f aca="false">(V$27+V$28*SIN(2*PI()/365*A622))*V$29/100*V$9*V$10/100*(1-V$19/100)</f>
        <v>0</v>
      </c>
      <c r="J622" s="47" t="n">
        <f aca="false">(V$27+V$28*SIN(2*PI()/365*A622))*V$29/100*V$11*(1-V$18/100)</f>
        <v>4.4226482853426</v>
      </c>
      <c r="K622" s="48" t="n">
        <f aca="false">IF(E622/C622*100&lt;100,E622/C622*100,100)</f>
        <v>0</v>
      </c>
      <c r="L622" s="7" t="n">
        <f aca="false">IF(((C622-E622)&gt;0)*AND(F622&gt;(C622-E622)),(C622-E622),IF(C622&lt;E622,0,F622))</f>
        <v>4.02460993966176</v>
      </c>
      <c r="M622" s="7" t="n">
        <f aca="false">IF(C622&lt;(E622+F622),0,C622-E622-F622)</f>
        <v>27.3091522182813</v>
      </c>
      <c r="N622" s="7" t="n">
        <f aca="false">IF(C622&lt;(E622+F622),0,(C622-E622-F622)/(1-V$20/100))</f>
        <v>30.0100573827267</v>
      </c>
      <c r="O622" s="7" t="n">
        <f aca="false">L622+M622</f>
        <v>31.333762157943</v>
      </c>
      <c r="P622" s="49" t="n">
        <f aca="false">IF(N622=0,I622*(1-G622/100)+J622*(1-H622/100),-N622)</f>
        <v>-30.0100573827267</v>
      </c>
      <c r="Q622" s="54" t="n">
        <f aca="false">IF(P621&gt;0,Q621+P621*(1-V$24/100),Q621+P621)</f>
        <v>2710.74811439277</v>
      </c>
      <c r="R622" s="55" t="n">
        <f aca="false">R$4+Q622/V$32</f>
        <v>66.3625414172217</v>
      </c>
    </row>
    <row r="623" customFormat="false" ht="12.8" hidden="false" customHeight="false" outlineLevel="0" collapsed="false">
      <c r="A623" s="1" t="n">
        <v>619</v>
      </c>
      <c r="B623" s="44" t="n">
        <v>44164</v>
      </c>
      <c r="C623" s="45" t="n">
        <f aca="false">V$30-V$30*SIN(2*PI()/365*A623)</f>
        <v>31.4288821631327</v>
      </c>
      <c r="D623" s="3" t="n">
        <f aca="false">IF((E623+F623)&gt;C623,C623,E623+F623)</f>
        <v>3.92897169922424</v>
      </c>
      <c r="E623" s="46" t="n">
        <f aca="false">(V$27+V$28*SIN(2*PI()/365*A623))*V$29/100*V$9*V$10/100</f>
        <v>0</v>
      </c>
      <c r="F623" s="46" t="n">
        <f aca="false">(V$27+V$28*SIN(2*PI()/365*A623))*V$29/100*V$11*(1-V$18/100)*(1-V$20/100)</f>
        <v>3.92897169922424</v>
      </c>
      <c r="G623" s="46" t="n">
        <f aca="false">IF(C623&gt;E623,100,C623/E623*100)</f>
        <v>100</v>
      </c>
      <c r="H623" s="46" t="n">
        <f aca="false">L623/F623*100</f>
        <v>100</v>
      </c>
      <c r="I623" s="47" t="n">
        <f aca="false">(V$27+V$28*SIN(2*PI()/365*A623))*V$29/100*V$9*V$10/100*(1-V$19/100)</f>
        <v>0</v>
      </c>
      <c r="J623" s="47" t="n">
        <f aca="false">(V$27+V$28*SIN(2*PI()/365*A623))*V$29/100*V$11*(1-V$18/100)</f>
        <v>4.31755131782883</v>
      </c>
      <c r="K623" s="48" t="n">
        <f aca="false">IF(E623/C623*100&lt;100,E623/C623*100,100)</f>
        <v>0</v>
      </c>
      <c r="L623" s="7" t="n">
        <f aca="false">IF(((C623-E623)&gt;0)*AND(F623&gt;(C623-E623)),(C623-E623),IF(C623&lt;E623,0,F623))</f>
        <v>3.92897169922424</v>
      </c>
      <c r="M623" s="7" t="n">
        <f aca="false">IF(C623&lt;(E623+F623),0,C623-E623-F623)</f>
        <v>27.4999104639084</v>
      </c>
      <c r="N623" s="7" t="n">
        <f aca="false">IF(C623&lt;(E623+F623),0,(C623-E623-F623)/(1-V$20/100))</f>
        <v>30.2196818284708</v>
      </c>
      <c r="O623" s="7" t="n">
        <f aca="false">L623+M623</f>
        <v>31.4288821631327</v>
      </c>
      <c r="P623" s="49" t="n">
        <f aca="false">IF(N623=0,I623*(1-G623/100)+J623*(1-H623/100),-N623)</f>
        <v>-30.2196818284708</v>
      </c>
      <c r="Q623" s="54" t="n">
        <f aca="false">IF(P622&gt;0,Q622+P622*(1-V$24/100),Q622+P622)</f>
        <v>2680.73805701005</v>
      </c>
      <c r="R623" s="55" t="n">
        <f aca="false">R$4+Q623/V$32</f>
        <v>66.0706878966069</v>
      </c>
    </row>
    <row r="624" customFormat="false" ht="12.8" hidden="false" customHeight="false" outlineLevel="0" collapsed="false">
      <c r="A624" s="1" t="n">
        <v>620</v>
      </c>
      <c r="B624" s="44" t="n">
        <v>44165</v>
      </c>
      <c r="C624" s="45" t="n">
        <f aca="false">V$30-V$30*SIN(2*PI()/365*A624)</f>
        <v>31.5194828338564</v>
      </c>
      <c r="D624" s="3" t="n">
        <f aca="false">IF((E624+F624)&gt;C624,C624,E624+F624)</f>
        <v>3.83787741560643</v>
      </c>
      <c r="E624" s="46" t="n">
        <f aca="false">(V$27+V$28*SIN(2*PI()/365*A624))*V$29/100*V$9*V$10/100</f>
        <v>0</v>
      </c>
      <c r="F624" s="46" t="n">
        <f aca="false">(V$27+V$28*SIN(2*PI()/365*A624))*V$29/100*V$11*(1-V$18/100)*(1-V$20/100)</f>
        <v>3.83787741560643</v>
      </c>
      <c r="G624" s="46" t="n">
        <f aca="false">IF(C624&gt;E624,100,C624/E624*100)</f>
        <v>100</v>
      </c>
      <c r="H624" s="46" t="n">
        <f aca="false">L624/F624*100</f>
        <v>100</v>
      </c>
      <c r="I624" s="47" t="n">
        <f aca="false">(V$27+V$28*SIN(2*PI()/365*A624))*V$29/100*V$9*V$10/100*(1-V$19/100)</f>
        <v>0</v>
      </c>
      <c r="J624" s="47" t="n">
        <f aca="false">(V$27+V$28*SIN(2*PI()/365*A624))*V$29/100*V$11*(1-V$18/100)</f>
        <v>4.21744770945761</v>
      </c>
      <c r="K624" s="48" t="n">
        <f aca="false">IF(E624/C624*100&lt;100,E624/C624*100,100)</f>
        <v>0</v>
      </c>
      <c r="L624" s="7" t="n">
        <f aca="false">IF(((C624-E624)&gt;0)*AND(F624&gt;(C624-E624)),(C624-E624),IF(C624&lt;E624,0,F624))</f>
        <v>3.83787741560643</v>
      </c>
      <c r="M624" s="7" t="n">
        <f aca="false">IF(C624&lt;(E624+F624),0,C624-E624-F624)</f>
        <v>27.6816054182499</v>
      </c>
      <c r="N624" s="7" t="n">
        <f aca="false">IF(C624&lt;(E624+F624),0,(C624-E624-F624)/(1-V$20/100))</f>
        <v>30.4193466134615</v>
      </c>
      <c r="O624" s="7" t="n">
        <f aca="false">L624+M624</f>
        <v>31.5194828338564</v>
      </c>
      <c r="P624" s="49" t="n">
        <f aca="false">IF(N624=0,I624*(1-G624/100)+J624*(1-H624/100),-N624)</f>
        <v>-30.4193466134615</v>
      </c>
      <c r="Q624" s="54" t="n">
        <f aca="false">IF(P623&gt;0,Q623+P623*(1-V$24/100),Q623+P623)</f>
        <v>2650.51837518158</v>
      </c>
      <c r="R624" s="55" t="n">
        <f aca="false">R$4+Q624/V$32</f>
        <v>65.7767957383543</v>
      </c>
    </row>
    <row r="625" customFormat="false" ht="12.8" hidden="false" customHeight="false" outlineLevel="0" collapsed="false">
      <c r="A625" s="1" t="n">
        <v>621</v>
      </c>
      <c r="B625" s="44" t="n">
        <v>44166</v>
      </c>
      <c r="C625" s="45" t="n">
        <f aca="false">V$30-V$30*SIN(2*PI()/365*A625)</f>
        <v>31.60553732318</v>
      </c>
      <c r="D625" s="3" t="n">
        <f aca="false">IF((E625+F625)&gt;C625,C625,E625+F625)</f>
        <v>3.75135408201054</v>
      </c>
      <c r="E625" s="46" t="n">
        <f aca="false">(V$27+V$28*SIN(2*PI()/365*A625))*V$29/100*V$9*V$10/100</f>
        <v>0</v>
      </c>
      <c r="F625" s="46" t="n">
        <f aca="false">(V$27+V$28*SIN(2*PI()/365*A625))*V$29/100*V$11*(1-V$18/100)*(1-V$20/100)</f>
        <v>3.75135408201054</v>
      </c>
      <c r="G625" s="46" t="n">
        <f aca="false">IF(C625&gt;E625,100,C625/E625*100)</f>
        <v>100</v>
      </c>
      <c r="H625" s="46" t="n">
        <f aca="false">L625/F625*100</f>
        <v>100</v>
      </c>
      <c r="I625" s="47" t="n">
        <f aca="false">(V$27+V$28*SIN(2*PI()/365*A625))*V$29/100*V$9*V$10/100*(1-V$19/100)</f>
        <v>0</v>
      </c>
      <c r="J625" s="47" t="n">
        <f aca="false">(V$27+V$28*SIN(2*PI()/365*A625))*V$29/100*V$11*(1-V$18/100)</f>
        <v>4.1223671230885</v>
      </c>
      <c r="K625" s="48" t="n">
        <f aca="false">IF(E625/C625*100&lt;100,E625/C625*100,100)</f>
        <v>0</v>
      </c>
      <c r="L625" s="7" t="n">
        <f aca="false">IF(((C625-E625)&gt;0)*AND(F625&gt;(C625-E625)),(C625-E625),IF(C625&lt;E625,0,F625))</f>
        <v>3.75135408201054</v>
      </c>
      <c r="M625" s="7" t="n">
        <f aca="false">IF(C625&lt;(E625+F625),0,C625-E625-F625)</f>
        <v>27.8541832411695</v>
      </c>
      <c r="N625" s="7" t="n">
        <f aca="false">IF(C625&lt;(E625+F625),0,(C625-E625-F625)/(1-V$20/100))</f>
        <v>30.6089925727137</v>
      </c>
      <c r="O625" s="7" t="n">
        <f aca="false">L625+M625</f>
        <v>31.60553732318</v>
      </c>
      <c r="P625" s="49" t="n">
        <f aca="false">IF(N625=0,I625*(1-G625/100)+J625*(1-H625/100),-N625)</f>
        <v>-30.6089925727137</v>
      </c>
      <c r="Q625" s="54" t="n">
        <f aca="false">IF(P624&gt;0,Q624+P624*(1-V$24/100),Q624+P624)</f>
        <v>2620.09902856811</v>
      </c>
      <c r="R625" s="55" t="n">
        <f aca="false">R$4+Q625/V$32</f>
        <v>65.4809618020603</v>
      </c>
    </row>
    <row r="626" customFormat="false" ht="12.8" hidden="false" customHeight="false" outlineLevel="0" collapsed="false">
      <c r="A626" s="1" t="n">
        <v>622</v>
      </c>
      <c r="B626" s="44" t="n">
        <v>44167</v>
      </c>
      <c r="C626" s="45" t="n">
        <f aca="false">V$30-V$30*SIN(2*PI()/365*A626)</f>
        <v>31.6870201313013</v>
      </c>
      <c r="D626" s="3" t="n">
        <f aca="false">IF((E626+F626)&gt;C626,C626,E626+F626)</f>
        <v>3.66942733716765</v>
      </c>
      <c r="E626" s="46" t="n">
        <f aca="false">(V$27+V$28*SIN(2*PI()/365*A626))*V$29/100*V$9*V$10/100</f>
        <v>0</v>
      </c>
      <c r="F626" s="46" t="n">
        <f aca="false">(V$27+V$28*SIN(2*PI()/365*A626))*V$29/100*V$11*(1-V$18/100)*(1-V$20/100)</f>
        <v>3.66942733716765</v>
      </c>
      <c r="G626" s="46" t="n">
        <f aca="false">IF(C626&gt;E626,100,C626/E626*100)</f>
        <v>100</v>
      </c>
      <c r="H626" s="46" t="n">
        <f aca="false">L626/F626*100</f>
        <v>100</v>
      </c>
      <c r="I626" s="47" t="n">
        <f aca="false">(V$27+V$28*SIN(2*PI()/365*A626))*V$29/100*V$9*V$10/100*(1-V$19/100)</f>
        <v>0</v>
      </c>
      <c r="J626" s="47" t="n">
        <f aca="false">(V$27+V$28*SIN(2*PI()/365*A626))*V$29/100*V$11*(1-V$18/100)</f>
        <v>4.03233773315127</v>
      </c>
      <c r="K626" s="48" t="n">
        <f aca="false">IF(E626/C626*100&lt;100,E626/C626*100,100)</f>
        <v>0</v>
      </c>
      <c r="L626" s="7" t="n">
        <f aca="false">IF(((C626-E626)&gt;0)*AND(F626&gt;(C626-E626)),(C626-E626),IF(C626&lt;E626,0,F626))</f>
        <v>3.66942733716765</v>
      </c>
      <c r="M626" s="7" t="n">
        <f aca="false">IF(C626&lt;(E626+F626),0,C626-E626-F626)</f>
        <v>28.0175927941337</v>
      </c>
      <c r="N626" s="7" t="n">
        <f aca="false">IF(C626&lt;(E626+F626),0,(C626-E626-F626)/(1-V$20/100))</f>
        <v>30.788563510037</v>
      </c>
      <c r="O626" s="7" t="n">
        <f aca="false">L626+M626</f>
        <v>31.6870201313013</v>
      </c>
      <c r="P626" s="49" t="n">
        <f aca="false">IF(N626=0,I626*(1-G626/100)+J626*(1-H626/100),-N626)</f>
        <v>-30.788563510037</v>
      </c>
      <c r="Q626" s="54" t="n">
        <f aca="false">IF(P625&gt;0,Q625+P625*(1-V$24/100),Q625+P625)</f>
        <v>2589.4900359954</v>
      </c>
      <c r="R626" s="55" t="n">
        <f aca="false">R$4+Q626/V$32</f>
        <v>65.1832835227126</v>
      </c>
    </row>
    <row r="627" customFormat="false" ht="12.8" hidden="false" customHeight="false" outlineLevel="0" collapsed="false">
      <c r="A627" s="1" t="n">
        <v>623</v>
      </c>
      <c r="B627" s="44" t="n">
        <v>44168</v>
      </c>
      <c r="C627" s="45" t="n">
        <f aca="false">V$30-V$30*SIN(2*PI()/365*A627)</f>
        <v>31.7639071131056</v>
      </c>
      <c r="D627" s="3" t="n">
        <f aca="false">IF((E627+F627)&gt;C627,C627,E627+F627)</f>
        <v>3.59212145774039</v>
      </c>
      <c r="E627" s="46" t="n">
        <f aca="false">(V$27+V$28*SIN(2*PI()/365*A627))*V$29/100*V$9*V$10/100</f>
        <v>0</v>
      </c>
      <c r="F627" s="46" t="n">
        <f aca="false">(V$27+V$28*SIN(2*PI()/365*A627))*V$29/100*V$11*(1-V$18/100)*(1-V$20/100)</f>
        <v>3.59212145774039</v>
      </c>
      <c r="G627" s="46" t="n">
        <f aca="false">IF(C627&gt;E627,100,C627/E627*100)</f>
        <v>100</v>
      </c>
      <c r="H627" s="46" t="n">
        <f aca="false">L627/F627*100</f>
        <v>100</v>
      </c>
      <c r="I627" s="47" t="n">
        <f aca="false">(V$27+V$28*SIN(2*PI()/365*A627))*V$29/100*V$9*V$10/100*(1-V$19/100)</f>
        <v>0</v>
      </c>
      <c r="J627" s="47" t="n">
        <f aca="false">(V$27+V$28*SIN(2*PI()/365*A627))*V$29/100*V$11*(1-V$18/100)</f>
        <v>3.94738621729713</v>
      </c>
      <c r="K627" s="48" t="n">
        <f aca="false">IF(E627/C627*100&lt;100,E627/C627*100,100)</f>
        <v>0</v>
      </c>
      <c r="L627" s="7" t="n">
        <f aca="false">IF(((C627-E627)&gt;0)*AND(F627&gt;(C627-E627)),(C627-E627),IF(C627&lt;E627,0,F627))</f>
        <v>3.59212145774039</v>
      </c>
      <c r="M627" s="7" t="n">
        <f aca="false">IF(C627&lt;(E627+F627),0,C627-E627-F627)</f>
        <v>28.1717856553652</v>
      </c>
      <c r="N627" s="7" t="n">
        <f aca="false">IF(C627&lt;(E627+F627),0,(C627-E627-F627)/(1-V$20/100))</f>
        <v>30.958006214687</v>
      </c>
      <c r="O627" s="7" t="n">
        <f aca="false">L627+M627</f>
        <v>31.7639071131056</v>
      </c>
      <c r="P627" s="49" t="n">
        <f aca="false">IF(N627=0,I627*(1-G627/100)+J627*(1-H627/100),-N627)</f>
        <v>-30.958006214687</v>
      </c>
      <c r="Q627" s="54" t="n">
        <f aca="false">IF(P626&gt;0,Q626+P626*(1-V$24/100),Q626+P626)</f>
        <v>2558.70147248536</v>
      </c>
      <c r="R627" s="55" t="n">
        <f aca="false">R$4+Q627/V$32</f>
        <v>64.8838588818171</v>
      </c>
    </row>
    <row r="628" customFormat="false" ht="12.8" hidden="false" customHeight="false" outlineLevel="0" collapsed="false">
      <c r="A628" s="1" t="n">
        <v>624</v>
      </c>
      <c r="B628" s="44" t="n">
        <v>44169</v>
      </c>
      <c r="C628" s="45" t="n">
        <f aca="false">V$30-V$30*SIN(2*PI()/365*A628)</f>
        <v>31.8361754853208</v>
      </c>
      <c r="D628" s="3" t="n">
        <f aca="false">IF((E628+F628)&gt;C628,C628,E628+F628)</f>
        <v>3.51945935112921</v>
      </c>
      <c r="E628" s="46" t="n">
        <f aca="false">(V$27+V$28*SIN(2*PI()/365*A628))*V$29/100*V$9*V$10/100</f>
        <v>0</v>
      </c>
      <c r="F628" s="46" t="n">
        <f aca="false">(V$27+V$28*SIN(2*PI()/365*A628))*V$29/100*V$11*(1-V$18/100)*(1-V$20/100)</f>
        <v>3.51945935112921</v>
      </c>
      <c r="G628" s="46" t="n">
        <f aca="false">IF(C628&gt;E628,100,C628/E628*100)</f>
        <v>100</v>
      </c>
      <c r="H628" s="46" t="n">
        <f aca="false">L628/F628*100</f>
        <v>100</v>
      </c>
      <c r="I628" s="47" t="n">
        <f aca="false">(V$27+V$28*SIN(2*PI()/365*A628))*V$29/100*V$9*V$10/100*(1-V$19/100)</f>
        <v>0</v>
      </c>
      <c r="J628" s="47" t="n">
        <f aca="false">(V$27+V$28*SIN(2*PI()/365*A628))*V$29/100*V$11*(1-V$18/100)</f>
        <v>3.86753774849363</v>
      </c>
      <c r="K628" s="48" t="n">
        <f aca="false">IF(E628/C628*100&lt;100,E628/C628*100,100)</f>
        <v>0</v>
      </c>
      <c r="L628" s="7" t="n">
        <f aca="false">IF(((C628-E628)&gt;0)*AND(F628&gt;(C628-E628)),(C628-E628),IF(C628&lt;E628,0,F628))</f>
        <v>3.51945935112921</v>
      </c>
      <c r="M628" s="7" t="n">
        <f aca="false">IF(C628&lt;(E628+F628),0,C628-E628-F628)</f>
        <v>28.3167161341916</v>
      </c>
      <c r="N628" s="7" t="n">
        <f aca="false">IF(C628&lt;(E628+F628),0,(C628-E628-F628)/(1-V$20/100))</f>
        <v>31.1172704771336</v>
      </c>
      <c r="O628" s="7" t="n">
        <f aca="false">L628+M628</f>
        <v>31.8361754853208</v>
      </c>
      <c r="P628" s="49" t="n">
        <f aca="false">IF(N628=0,I628*(1-G628/100)+J628*(1-H628/100),-N628)</f>
        <v>-31.1172704771336</v>
      </c>
      <c r="Q628" s="54" t="n">
        <f aca="false">IF(P627&gt;0,Q627+P627*(1-V$24/100),Q627+P627)</f>
        <v>2527.74346627068</v>
      </c>
      <c r="R628" s="55" t="n">
        <f aca="false">R$4+Q628/V$32</f>
        <v>64.5827863783646</v>
      </c>
    </row>
    <row r="629" customFormat="false" ht="12.8" hidden="false" customHeight="false" outlineLevel="0" collapsed="false">
      <c r="A629" s="1" t="n">
        <v>625</v>
      </c>
      <c r="B629" s="44" t="n">
        <v>44170</v>
      </c>
      <c r="C629" s="45" t="n">
        <f aca="false">V$30-V$30*SIN(2*PI()/365*A629)</f>
        <v>31.9038038332685</v>
      </c>
      <c r="D629" s="3" t="n">
        <f aca="false">IF((E629+F629)&gt;C629,C629,E629+F629)</f>
        <v>3.45146254868449</v>
      </c>
      <c r="E629" s="46" t="n">
        <f aca="false">(V$27+V$28*SIN(2*PI()/365*A629))*V$29/100*V$9*V$10/100</f>
        <v>0</v>
      </c>
      <c r="F629" s="46" t="n">
        <f aca="false">(V$27+V$28*SIN(2*PI()/365*A629))*V$29/100*V$11*(1-V$18/100)*(1-V$20/100)</f>
        <v>3.45146254868449</v>
      </c>
      <c r="G629" s="46" t="n">
        <f aca="false">IF(C629&gt;E629,100,C629/E629*100)</f>
        <v>100</v>
      </c>
      <c r="H629" s="46" t="n">
        <f aca="false">L629/F629*100</f>
        <v>100</v>
      </c>
      <c r="I629" s="47" t="n">
        <f aca="false">(V$27+V$28*SIN(2*PI()/365*A629))*V$29/100*V$9*V$10/100*(1-V$19/100)</f>
        <v>0</v>
      </c>
      <c r="J629" s="47" t="n">
        <f aca="false">(V$27+V$28*SIN(2*PI()/365*A629))*V$29/100*V$11*(1-V$18/100)</f>
        <v>3.79281598756537</v>
      </c>
      <c r="K629" s="48" t="n">
        <f aca="false">IF(E629/C629*100&lt;100,E629/C629*100,100)</f>
        <v>0</v>
      </c>
      <c r="L629" s="7" t="n">
        <f aca="false">IF(((C629-E629)&gt;0)*AND(F629&gt;(C629-E629)),(C629-E629),IF(C629&lt;E629,0,F629))</f>
        <v>3.45146254868449</v>
      </c>
      <c r="M629" s="7" t="n">
        <f aca="false">IF(C629&lt;(E629+F629),0,C629-E629-F629)</f>
        <v>28.4523412845841</v>
      </c>
      <c r="N629" s="7" t="n">
        <f aca="false">IF(C629&lt;(E629+F629),0,(C629-E629-F629)/(1-V$20/100))</f>
        <v>31.2663091039385</v>
      </c>
      <c r="O629" s="7" t="n">
        <f aca="false">L629+M629</f>
        <v>31.9038038332685</v>
      </c>
      <c r="P629" s="49" t="n">
        <f aca="false">IF(N629=0,I629*(1-G629/100)+J629*(1-H629/100),-N629)</f>
        <v>-31.2663091039385</v>
      </c>
      <c r="Q629" s="54" t="n">
        <f aca="false">IF(P628&gt;0,Q628+P628*(1-V$24/100),Q628+P628)</f>
        <v>2496.62619579354</v>
      </c>
      <c r="R629" s="55" t="n">
        <f aca="false">R$4+Q629/V$32</f>
        <v>64.2801649996431</v>
      </c>
    </row>
    <row r="630" customFormat="false" ht="12.8" hidden="false" customHeight="false" outlineLevel="0" collapsed="false">
      <c r="A630" s="1" t="n">
        <v>626</v>
      </c>
      <c r="B630" s="44" t="n">
        <v>44171</v>
      </c>
      <c r="C630" s="45" t="n">
        <f aca="false">V$30-V$30*SIN(2*PI()/365*A630)</f>
        <v>31.9667721172098</v>
      </c>
      <c r="D630" s="3" t="n">
        <f aca="false">IF((E630+F630)&gt;C630,C630,E630+F630)</f>
        <v>3.38815119932628</v>
      </c>
      <c r="E630" s="46" t="n">
        <f aca="false">(V$27+V$28*SIN(2*PI()/365*A630))*V$29/100*V$9*V$10/100</f>
        <v>0</v>
      </c>
      <c r="F630" s="46" t="n">
        <f aca="false">(V$27+V$28*SIN(2*PI()/365*A630))*V$29/100*V$11*(1-V$18/100)*(1-V$20/100)</f>
        <v>3.38815119932628</v>
      </c>
      <c r="G630" s="46" t="n">
        <f aca="false">IF(C630&gt;E630,100,C630/E630*100)</f>
        <v>100</v>
      </c>
      <c r="H630" s="46" t="n">
        <f aca="false">L630/F630*100</f>
        <v>100</v>
      </c>
      <c r="I630" s="47" t="n">
        <f aca="false">(V$27+V$28*SIN(2*PI()/365*A630))*V$29/100*V$9*V$10/100*(1-V$19/100)</f>
        <v>0</v>
      </c>
      <c r="J630" s="47" t="n">
        <f aca="false">(V$27+V$28*SIN(2*PI()/365*A630))*V$29/100*V$11*(1-V$18/100)</f>
        <v>3.72324307618273</v>
      </c>
      <c r="K630" s="48" t="n">
        <f aca="false">IF(E630/C630*100&lt;100,E630/C630*100,100)</f>
        <v>0</v>
      </c>
      <c r="L630" s="7" t="n">
        <f aca="false">IF(((C630-E630)&gt;0)*AND(F630&gt;(C630-E630)),(C630-E630),IF(C630&lt;E630,0,F630))</f>
        <v>3.38815119932628</v>
      </c>
      <c r="M630" s="7" t="n">
        <f aca="false">IF(C630&lt;(E630+F630),0,C630-E630-F630)</f>
        <v>28.5786209178836</v>
      </c>
      <c r="N630" s="7" t="n">
        <f aca="false">IF(C630&lt;(E630+F630),0,(C630-E630-F630)/(1-V$20/100))</f>
        <v>31.4050779317402</v>
      </c>
      <c r="O630" s="7" t="n">
        <f aca="false">L630+M630</f>
        <v>31.9667721172098</v>
      </c>
      <c r="P630" s="49" t="n">
        <f aca="false">IF(N630=0,I630*(1-G630/100)+J630*(1-H630/100),-N630)</f>
        <v>-31.4050779317402</v>
      </c>
      <c r="Q630" s="54" t="n">
        <f aca="false">IF(P629&gt;0,Q629+P629*(1-V$24/100),Q629+P629)</f>
        <v>2465.3598866896</v>
      </c>
      <c r="R630" s="55" t="n">
        <f aca="false">R$4+Q630/V$32</f>
        <v>63.9760941919056</v>
      </c>
    </row>
    <row r="631" customFormat="false" ht="12.8" hidden="false" customHeight="false" outlineLevel="0" collapsed="false">
      <c r="A631" s="1" t="n">
        <v>627</v>
      </c>
      <c r="B631" s="44" t="n">
        <v>44172</v>
      </c>
      <c r="C631" s="45" t="n">
        <f aca="false">V$30-V$30*SIN(2*PI()/365*A631)</f>
        <v>32.0250616782832</v>
      </c>
      <c r="D631" s="3" t="n">
        <f aca="false">IF((E631+F631)&gt;C631,C631,E631+F631)</f>
        <v>3.32954406357376</v>
      </c>
      <c r="E631" s="46" t="n">
        <f aca="false">(V$27+V$28*SIN(2*PI()/365*A631))*V$29/100*V$9*V$10/100</f>
        <v>0</v>
      </c>
      <c r="F631" s="46" t="n">
        <f aca="false">(V$27+V$28*SIN(2*PI()/365*A631))*V$29/100*V$11*(1-V$18/100)*(1-V$20/100)</f>
        <v>3.32954406357376</v>
      </c>
      <c r="G631" s="46" t="n">
        <f aca="false">IF(C631&gt;E631,100,C631/E631*100)</f>
        <v>100</v>
      </c>
      <c r="H631" s="46" t="n">
        <f aca="false">L631/F631*100</f>
        <v>100</v>
      </c>
      <c r="I631" s="47" t="n">
        <f aca="false">(V$27+V$28*SIN(2*PI()/365*A631))*V$29/100*V$9*V$10/100*(1-V$19/100)</f>
        <v>0</v>
      </c>
      <c r="J631" s="47" t="n">
        <f aca="false">(V$27+V$28*SIN(2*PI()/365*A631))*V$29/100*V$11*(1-V$18/100)</f>
        <v>3.65883963030084</v>
      </c>
      <c r="K631" s="48" t="n">
        <f aca="false">IF(E631/C631*100&lt;100,E631/C631*100,100)</f>
        <v>0</v>
      </c>
      <c r="L631" s="7" t="n">
        <f aca="false">IF(((C631-E631)&gt;0)*AND(F631&gt;(C631-E631)),(C631-E631),IF(C631&lt;E631,0,F631))</f>
        <v>3.32954406357376</v>
      </c>
      <c r="M631" s="7" t="n">
        <f aca="false">IF(C631&lt;(E631+F631),0,C631-E631-F631)</f>
        <v>28.6955176147094</v>
      </c>
      <c r="N631" s="7" t="n">
        <f aca="false">IF(C631&lt;(E631+F631),0,(C631-E631-F631)/(1-V$20/100))</f>
        <v>31.53353584034</v>
      </c>
      <c r="O631" s="7" t="n">
        <f aca="false">L631+M631</f>
        <v>32.0250616782832</v>
      </c>
      <c r="P631" s="49" t="n">
        <f aca="false">IF(N631=0,I631*(1-G631/100)+J631*(1-H631/100),-N631)</f>
        <v>-31.53353584034</v>
      </c>
      <c r="Q631" s="54" t="n">
        <f aca="false">IF(P630&gt;0,Q630+P630*(1-V$24/100),Q630+P630)</f>
        <v>2433.95480875786</v>
      </c>
      <c r="R631" s="55" t="n">
        <f aca="false">R$4+Q631/V$32</f>
        <v>63.6706738309024</v>
      </c>
    </row>
    <row r="632" customFormat="false" ht="12.8" hidden="false" customHeight="false" outlineLevel="0" collapsed="false">
      <c r="A632" s="1" t="n">
        <v>628</v>
      </c>
      <c r="B632" s="44" t="n">
        <v>44173</v>
      </c>
      <c r="C632" s="45" t="n">
        <f aca="false">V$30-V$30*SIN(2*PI()/365*A632)</f>
        <v>32.0786552440336</v>
      </c>
      <c r="D632" s="3" t="n">
        <f aca="false">IF((E632+F632)&gt;C632,C632,E632+F632)</f>
        <v>3.27565850798612</v>
      </c>
      <c r="E632" s="46" t="n">
        <f aca="false">(V$27+V$28*SIN(2*PI()/365*A632))*V$29/100*V$9*V$10/100</f>
        <v>0</v>
      </c>
      <c r="F632" s="46" t="n">
        <f aca="false">(V$27+V$28*SIN(2*PI()/365*A632))*V$29/100*V$11*(1-V$18/100)*(1-V$20/100)</f>
        <v>3.27565850798612</v>
      </c>
      <c r="G632" s="46" t="n">
        <f aca="false">IF(C632&gt;E632,100,C632/E632*100)</f>
        <v>100</v>
      </c>
      <c r="H632" s="46" t="n">
        <f aca="false">L632/F632*100</f>
        <v>100</v>
      </c>
      <c r="I632" s="47" t="n">
        <f aca="false">(V$27+V$28*SIN(2*PI()/365*A632))*V$29/100*V$9*V$10/100*(1-V$19/100)</f>
        <v>0</v>
      </c>
      <c r="J632" s="47" t="n">
        <f aca="false">(V$27+V$28*SIN(2*PI()/365*A632))*V$29/100*V$11*(1-V$18/100)</f>
        <v>3.59962473405069</v>
      </c>
      <c r="K632" s="48" t="n">
        <f aca="false">IF(E632/C632*100&lt;100,E632/C632*100,100)</f>
        <v>0</v>
      </c>
      <c r="L632" s="7" t="n">
        <f aca="false">IF(((C632-E632)&gt;0)*AND(F632&gt;(C632-E632)),(C632-E632),IF(C632&lt;E632,0,F632))</f>
        <v>3.27565850798612</v>
      </c>
      <c r="M632" s="7" t="n">
        <f aca="false">IF(C632&lt;(E632+F632),0,C632-E632-F632)</f>
        <v>28.8029967360475</v>
      </c>
      <c r="N632" s="7" t="n">
        <f aca="false">IF(C632&lt;(E632+F632),0,(C632-E632-F632)/(1-V$20/100))</f>
        <v>31.6516447648873</v>
      </c>
      <c r="O632" s="7" t="n">
        <f aca="false">L632+M632</f>
        <v>32.0786552440336</v>
      </c>
      <c r="P632" s="49" t="n">
        <f aca="false">IF(N632=0,I632*(1-G632/100)+J632*(1-H632/100),-N632)</f>
        <v>-31.6516447648873</v>
      </c>
      <c r="Q632" s="54" t="n">
        <f aca="false">IF(P631&gt;0,Q631+P631*(1-V$24/100),Q631+P631)</f>
        <v>2402.42127291752</v>
      </c>
      <c r="R632" s="55" t="n">
        <f aca="false">R$4+Q632/V$32</f>
        <v>63.3640041922855</v>
      </c>
    </row>
    <row r="633" customFormat="false" ht="12.8" hidden="false" customHeight="false" outlineLevel="0" collapsed="false">
      <c r="A633" s="1" t="n">
        <v>629</v>
      </c>
      <c r="B633" s="44" t="n">
        <v>44174</v>
      </c>
      <c r="C633" s="45" t="n">
        <f aca="false">V$30-V$30*SIN(2*PI()/365*A633)</f>
        <v>32.127536933531</v>
      </c>
      <c r="D633" s="3" t="n">
        <f aca="false">IF((E633+F633)&gt;C633,C633,E633+F633)</f>
        <v>3.22651050001641</v>
      </c>
      <c r="E633" s="46" t="n">
        <f aca="false">(V$27+V$28*SIN(2*PI()/365*A633))*V$29/100*V$9*V$10/100</f>
        <v>0</v>
      </c>
      <c r="F633" s="46" t="n">
        <f aca="false">(V$27+V$28*SIN(2*PI()/365*A633))*V$29/100*V$11*(1-V$18/100)*(1-V$20/100)</f>
        <v>3.22651050001641</v>
      </c>
      <c r="G633" s="46" t="n">
        <f aca="false">IF(C633&gt;E633,100,C633/E633*100)</f>
        <v>100</v>
      </c>
      <c r="H633" s="46" t="n">
        <f aca="false">L633/F633*100</f>
        <v>100</v>
      </c>
      <c r="I633" s="47" t="n">
        <f aca="false">(V$27+V$28*SIN(2*PI()/365*A633))*V$29/100*V$9*V$10/100*(1-V$19/100)</f>
        <v>0</v>
      </c>
      <c r="J633" s="47" t="n">
        <f aca="false">(V$27+V$28*SIN(2*PI()/365*A633))*V$29/100*V$11*(1-V$18/100)</f>
        <v>3.54561593408397</v>
      </c>
      <c r="K633" s="48" t="n">
        <f aca="false">IF(E633/C633*100&lt;100,E633/C633*100,100)</f>
        <v>0</v>
      </c>
      <c r="L633" s="7" t="n">
        <f aca="false">IF(((C633-E633)&gt;0)*AND(F633&gt;(C633-E633)),(C633-E633),IF(C633&lt;E633,0,F633))</f>
        <v>3.22651050001641</v>
      </c>
      <c r="M633" s="7" t="n">
        <f aca="false">IF(C633&lt;(E633+F633),0,C633-E633-F633)</f>
        <v>28.9010264335145</v>
      </c>
      <c r="N633" s="7" t="n">
        <f aca="false">IF(C633&lt;(E633+F633),0,(C633-E633-F633)/(1-V$20/100))</f>
        <v>31.7593697071588</v>
      </c>
      <c r="O633" s="7" t="n">
        <f aca="false">L633+M633</f>
        <v>32.127536933531</v>
      </c>
      <c r="P633" s="49" t="n">
        <f aca="false">IF(N633=0,I633*(1-G633/100)+J633*(1-H633/100),-N633)</f>
        <v>-31.7593697071588</v>
      </c>
      <c r="Q633" s="54" t="n">
        <f aca="false">IF(P632&gt;0,Q632+P632*(1-V$24/100),Q632+P632)</f>
        <v>2370.76962815264</v>
      </c>
      <c r="R633" s="55" t="n">
        <f aca="false">R$4+Q633/V$32</f>
        <v>63.0561859218947</v>
      </c>
    </row>
    <row r="634" customFormat="false" ht="12.8" hidden="false" customHeight="false" outlineLevel="0" collapsed="false">
      <c r="A634" s="1" t="n">
        <v>630</v>
      </c>
      <c r="B634" s="44" t="n">
        <v>44175</v>
      </c>
      <c r="C634" s="45" t="n">
        <f aca="false">V$30-V$30*SIN(2*PI()/365*A634)</f>
        <v>32.1716922620757</v>
      </c>
      <c r="D634" s="3" t="n">
        <f aca="false">IF((E634+F634)&gt;C634,C634,E634+F634)</f>
        <v>3.1821146032801</v>
      </c>
      <c r="E634" s="46" t="n">
        <f aca="false">(V$27+V$28*SIN(2*PI()/365*A634))*V$29/100*V$9*V$10/100</f>
        <v>0</v>
      </c>
      <c r="F634" s="46" t="n">
        <f aca="false">(V$27+V$28*SIN(2*PI()/365*A634))*V$29/100*V$11*(1-V$18/100)*(1-V$20/100)</f>
        <v>3.1821146032801</v>
      </c>
      <c r="G634" s="46" t="n">
        <f aca="false">IF(C634&gt;E634,100,C634/E634*100)</f>
        <v>100</v>
      </c>
      <c r="H634" s="46" t="n">
        <f aca="false">L634/F634*100</f>
        <v>100</v>
      </c>
      <c r="I634" s="47" t="n">
        <f aca="false">(V$27+V$28*SIN(2*PI()/365*A634))*V$29/100*V$9*V$10/100*(1-V$19/100)</f>
        <v>0</v>
      </c>
      <c r="J634" s="47" t="n">
        <f aca="false">(V$27+V$28*SIN(2*PI()/365*A634))*V$29/100*V$11*(1-V$18/100)</f>
        <v>3.49682923437373</v>
      </c>
      <c r="K634" s="48" t="n">
        <f aca="false">IF(E634/C634*100&lt;100,E634/C634*100,100)</f>
        <v>0</v>
      </c>
      <c r="L634" s="7" t="n">
        <f aca="false">IF(((C634-E634)&gt;0)*AND(F634&gt;(C634-E634)),(C634-E634),IF(C634&lt;E634,0,F634))</f>
        <v>3.1821146032801</v>
      </c>
      <c r="M634" s="7" t="n">
        <f aca="false">IF(C634&lt;(E634+F634),0,C634-E634-F634)</f>
        <v>28.9895776587956</v>
      </c>
      <c r="N634" s="7" t="n">
        <f aca="false">IF(C634&lt;(E634+F634),0,(C634-E634-F634)/(1-V$20/100))</f>
        <v>31.8566787459292</v>
      </c>
      <c r="O634" s="7" t="n">
        <f aca="false">L634+M634</f>
        <v>32.1716922620757</v>
      </c>
      <c r="P634" s="49" t="n">
        <f aca="false">IF(N634=0,I634*(1-G634/100)+J634*(1-H634/100),-N634)</f>
        <v>-31.8566787459292</v>
      </c>
      <c r="Q634" s="54" t="n">
        <f aca="false">IF(P633&gt;0,Q633+P633*(1-V$24/100),Q633+P633)</f>
        <v>2339.01025844548</v>
      </c>
      <c r="R634" s="55" t="n">
        <f aca="false">R$4+Q634/V$32</f>
        <v>62.7473200059343</v>
      </c>
    </row>
    <row r="635" customFormat="false" ht="12.8" hidden="false" customHeight="false" outlineLevel="0" collapsed="false">
      <c r="A635" s="1" t="n">
        <v>631</v>
      </c>
      <c r="B635" s="44" t="n">
        <v>44176</v>
      </c>
      <c r="C635" s="45" t="n">
        <f aca="false">V$30-V$30*SIN(2*PI()/365*A635)</f>
        <v>32.211108145491</v>
      </c>
      <c r="D635" s="3" t="n">
        <f aca="false">IF((E635+F635)&gt;C635,C635,E635+F635)</f>
        <v>3.14248397323952</v>
      </c>
      <c r="E635" s="46" t="n">
        <f aca="false">(V$27+V$28*SIN(2*PI()/365*A635))*V$29/100*V$9*V$10/100</f>
        <v>0</v>
      </c>
      <c r="F635" s="46" t="n">
        <f aca="false">(V$27+V$28*SIN(2*PI()/365*A635))*V$29/100*V$11*(1-V$18/100)*(1-V$20/100)</f>
        <v>3.14248397323952</v>
      </c>
      <c r="G635" s="46" t="n">
        <f aca="false">IF(C635&gt;E635,100,C635/E635*100)</f>
        <v>100</v>
      </c>
      <c r="H635" s="46" t="n">
        <f aca="false">L635/F635*100</f>
        <v>100</v>
      </c>
      <c r="I635" s="47" t="n">
        <f aca="false">(V$27+V$28*SIN(2*PI()/365*A635))*V$29/100*V$9*V$10/100*(1-V$19/100)</f>
        <v>0</v>
      </c>
      <c r="J635" s="47" t="n">
        <f aca="false">(V$27+V$28*SIN(2*PI()/365*A635))*V$29/100*V$11*(1-V$18/100)</f>
        <v>3.453279091472</v>
      </c>
      <c r="K635" s="48" t="n">
        <f aca="false">IF(E635/C635*100&lt;100,E635/C635*100,100)</f>
        <v>0</v>
      </c>
      <c r="L635" s="7" t="n">
        <f aca="false">IF(((C635-E635)&gt;0)*AND(F635&gt;(C635-E635)),(C635-E635),IF(C635&lt;E635,0,F635))</f>
        <v>3.14248397323952</v>
      </c>
      <c r="M635" s="7" t="n">
        <f aca="false">IF(C635&lt;(E635+F635),0,C635-E635-F635)</f>
        <v>29.0686241722514</v>
      </c>
      <c r="N635" s="7" t="n">
        <f aca="false">IF(C635&lt;(E635+F635),0,(C635-E635-F635)/(1-V$20/100))</f>
        <v>31.9435430464301</v>
      </c>
      <c r="O635" s="7" t="n">
        <f aca="false">L635+M635</f>
        <v>32.211108145491</v>
      </c>
      <c r="P635" s="49" t="n">
        <f aca="false">IF(N635=0,I635*(1-G635/100)+J635*(1-H635/100),-N635)</f>
        <v>-31.9435430464301</v>
      </c>
      <c r="Q635" s="54" t="n">
        <f aca="false">IF(P634&gt;0,Q634+P634*(1-V$24/100),Q634+P634)</f>
        <v>2307.15357969955</v>
      </c>
      <c r="R635" s="55" t="n">
        <f aca="false">R$4+Q635/V$32</f>
        <v>62.4375077410486</v>
      </c>
    </row>
    <row r="636" customFormat="false" ht="12.8" hidden="false" customHeight="false" outlineLevel="0" collapsed="false">
      <c r="A636" s="1" t="n">
        <v>632</v>
      </c>
      <c r="B636" s="44" t="n">
        <v>44177</v>
      </c>
      <c r="C636" s="45" t="n">
        <f aca="false">V$30-V$30*SIN(2*PI()/365*A636)</f>
        <v>32.2457729039999</v>
      </c>
      <c r="D636" s="3" t="n">
        <f aca="false">IF((E636+F636)&gt;C636,C636,E636+F636)</f>
        <v>3.10763035330567</v>
      </c>
      <c r="E636" s="46" t="n">
        <f aca="false">(V$27+V$28*SIN(2*PI()/365*A636))*V$29/100*V$9*V$10/100</f>
        <v>0</v>
      </c>
      <c r="F636" s="46" t="n">
        <f aca="false">(V$27+V$28*SIN(2*PI()/365*A636))*V$29/100*V$11*(1-V$18/100)*(1-V$20/100)</f>
        <v>3.10763035330567</v>
      </c>
      <c r="G636" s="46" t="n">
        <f aca="false">IF(C636&gt;E636,100,C636/E636*100)</f>
        <v>100</v>
      </c>
      <c r="H636" s="46" t="n">
        <f aca="false">L636/F636*100</f>
        <v>100</v>
      </c>
      <c r="I636" s="47" t="n">
        <f aca="false">(V$27+V$28*SIN(2*PI()/365*A636))*V$29/100*V$9*V$10/100*(1-V$19/100)</f>
        <v>0</v>
      </c>
      <c r="J636" s="47" t="n">
        <f aca="false">(V$27+V$28*SIN(2*PI()/365*A636))*V$29/100*V$11*(1-V$18/100)</f>
        <v>3.41497841022601</v>
      </c>
      <c r="K636" s="48" t="n">
        <f aca="false">IF(E636/C636*100&lt;100,E636/C636*100,100)</f>
        <v>0</v>
      </c>
      <c r="L636" s="7" t="n">
        <f aca="false">IF(((C636-E636)&gt;0)*AND(F636&gt;(C636-E636)),(C636-E636),IF(C636&lt;E636,0,F636))</f>
        <v>3.10763035330567</v>
      </c>
      <c r="M636" s="7" t="n">
        <f aca="false">IF(C636&lt;(E636+F636),0,C636-E636-F636)</f>
        <v>29.1381425506942</v>
      </c>
      <c r="N636" s="7" t="n">
        <f aca="false">IF(C636&lt;(E636+F636),0,(C636-E636-F636)/(1-V$20/100))</f>
        <v>32.0199368688948</v>
      </c>
      <c r="O636" s="7" t="n">
        <f aca="false">L636+M636</f>
        <v>32.2457729039999</v>
      </c>
      <c r="P636" s="49" t="n">
        <f aca="false">IF(N636=0,I636*(1-G636/100)+J636*(1-H636/100),-N636)</f>
        <v>-32.0199368688948</v>
      </c>
      <c r="Q636" s="54" t="n">
        <f aca="false">IF(P635&gt;0,Q635+P635*(1-V$24/100),Q635+P635)</f>
        <v>2275.21003665312</v>
      </c>
      <c r="R636" s="55" t="n">
        <f aca="false">R$4+Q636/V$32</f>
        <v>62.1268507043054</v>
      </c>
    </row>
    <row r="637" customFormat="false" ht="12.8" hidden="false" customHeight="false" outlineLevel="0" collapsed="false">
      <c r="A637" s="1" t="n">
        <v>633</v>
      </c>
      <c r="B637" s="44" t="n">
        <v>44178</v>
      </c>
      <c r="C637" s="45" t="n">
        <f aca="false">V$30-V$30*SIN(2*PI()/365*A637)</f>
        <v>32.2756762656864</v>
      </c>
      <c r="D637" s="3" t="n">
        <f aca="false">IF((E637+F637)&gt;C637,C637,E637+F637)</f>
        <v>3.07756407135832</v>
      </c>
      <c r="E637" s="46" t="n">
        <f aca="false">(V$27+V$28*SIN(2*PI()/365*A637))*V$29/100*V$9*V$10/100</f>
        <v>0</v>
      </c>
      <c r="F637" s="46" t="n">
        <f aca="false">(V$27+V$28*SIN(2*PI()/365*A637))*V$29/100*V$11*(1-V$18/100)*(1-V$20/100)</f>
        <v>3.07756407135832</v>
      </c>
      <c r="G637" s="46" t="n">
        <f aca="false">IF(C637&gt;E637,100,C637/E637*100)</f>
        <v>100</v>
      </c>
      <c r="H637" s="46" t="n">
        <f aca="false">L637/F637*100</f>
        <v>100</v>
      </c>
      <c r="I637" s="47" t="n">
        <f aca="false">(V$27+V$28*SIN(2*PI()/365*A637))*V$29/100*V$9*V$10/100*(1-V$19/100)</f>
        <v>0</v>
      </c>
      <c r="J637" s="47" t="n">
        <f aca="false">(V$27+V$28*SIN(2*PI()/365*A637))*V$29/100*V$11*(1-V$18/100)</f>
        <v>3.3819385399542</v>
      </c>
      <c r="K637" s="48" t="n">
        <f aca="false">IF(E637/C637*100&lt;100,E637/C637*100,100)</f>
        <v>0</v>
      </c>
      <c r="L637" s="7" t="n">
        <f aca="false">IF(((C637-E637)&gt;0)*AND(F637&gt;(C637-E637)),(C637-E637),IF(C637&lt;E637,0,F637))</f>
        <v>3.07756407135832</v>
      </c>
      <c r="M637" s="7" t="n">
        <f aca="false">IF(C637&lt;(E637+F637),0,C637-E637-F637)</f>
        <v>29.1981121943281</v>
      </c>
      <c r="N637" s="7" t="n">
        <f aca="false">IF(C637&lt;(E637+F637),0,(C637-E637-F637)/(1-V$20/100))</f>
        <v>32.0858375761847</v>
      </c>
      <c r="O637" s="7" t="n">
        <f aca="false">L637+M637</f>
        <v>32.2756762656864</v>
      </c>
      <c r="P637" s="49" t="n">
        <f aca="false">IF(N637=0,I637*(1-G637/100)+J637*(1-H637/100),-N637)</f>
        <v>-32.0858375761847</v>
      </c>
      <c r="Q637" s="54" t="n">
        <f aca="false">IF(P636&gt;0,Q636+P636*(1-V$24/100),Q636+P636)</f>
        <v>2243.19009978422</v>
      </c>
      <c r="R637" s="55" t="n">
        <f aca="false">R$4+Q637/V$32</f>
        <v>61.8154507230969</v>
      </c>
    </row>
    <row r="638" customFormat="false" ht="12.8" hidden="false" customHeight="false" outlineLevel="0" collapsed="false">
      <c r="A638" s="1" t="n">
        <v>634</v>
      </c>
      <c r="B638" s="44" t="n">
        <v>44179</v>
      </c>
      <c r="C638" s="45" t="n">
        <f aca="false">V$30-V$30*SIN(2*PI()/365*A638)</f>
        <v>32.3008093695391</v>
      </c>
      <c r="D638" s="3" t="n">
        <f aca="false">IF((E638+F638)&gt;C638,C638,E638+F638)</f>
        <v>3.0522940366857</v>
      </c>
      <c r="E638" s="46" t="n">
        <f aca="false">(V$27+V$28*SIN(2*PI()/365*A638))*V$29/100*V$9*V$10/100</f>
        <v>0</v>
      </c>
      <c r="F638" s="46" t="n">
        <f aca="false">(V$27+V$28*SIN(2*PI()/365*A638))*V$29/100*V$11*(1-V$18/100)*(1-V$20/100)</f>
        <v>3.0522940366857</v>
      </c>
      <c r="G638" s="46" t="n">
        <f aca="false">IF(C638&gt;E638,100,C638/E638*100)</f>
        <v>100</v>
      </c>
      <c r="H638" s="46" t="n">
        <f aca="false">L638/F638*100</f>
        <v>100</v>
      </c>
      <c r="I638" s="47" t="n">
        <f aca="false">(V$27+V$28*SIN(2*PI()/365*A638))*V$29/100*V$9*V$10/100*(1-V$19/100)</f>
        <v>0</v>
      </c>
      <c r="J638" s="47" t="n">
        <f aca="false">(V$27+V$28*SIN(2*PI()/365*A638))*V$29/100*V$11*(1-V$18/100)</f>
        <v>3.35416927108319</v>
      </c>
      <c r="K638" s="48" t="n">
        <f aca="false">IF(E638/C638*100&lt;100,E638/C638*100,100)</f>
        <v>0</v>
      </c>
      <c r="L638" s="7" t="n">
        <f aca="false">IF(((C638-E638)&gt;0)*AND(F638&gt;(C638-E638)),(C638-E638),IF(C638&lt;E638,0,F638))</f>
        <v>3.0522940366857</v>
      </c>
      <c r="M638" s="7" t="n">
        <f aca="false">IF(C638&lt;(E638+F638),0,C638-E638-F638)</f>
        <v>29.2485153328534</v>
      </c>
      <c r="N638" s="7" t="n">
        <f aca="false">IF(C638&lt;(E638+F638),0,(C638-E638-F638)/(1-V$20/100))</f>
        <v>32.1412256404982</v>
      </c>
      <c r="O638" s="7" t="n">
        <f aca="false">L638+M638</f>
        <v>32.3008093695391</v>
      </c>
      <c r="P638" s="49" t="n">
        <f aca="false">IF(N638=0,I638*(1-G638/100)+J638*(1-H638/100),-N638)</f>
        <v>-32.1412256404982</v>
      </c>
      <c r="Q638" s="54" t="n">
        <f aca="false">IF(P637&gt;0,Q637+P637*(1-V$24/100),Q637+P637)</f>
        <v>2211.10426220804</v>
      </c>
      <c r="R638" s="55" t="n">
        <f aca="false">R$4+Q638/V$32</f>
        <v>61.5034098449654</v>
      </c>
    </row>
    <row r="639" customFormat="false" ht="12.8" hidden="false" customHeight="false" outlineLevel="0" collapsed="false">
      <c r="A639" s="1" t="n">
        <v>635</v>
      </c>
      <c r="B639" s="44" t="n">
        <v>44180</v>
      </c>
      <c r="C639" s="45" t="n">
        <f aca="false">V$30-V$30*SIN(2*PI()/365*A639)</f>
        <v>32.3211647680768</v>
      </c>
      <c r="D639" s="3" t="n">
        <f aca="false">IF((E639+F639)&gt;C639,C639,E639+F639)</f>
        <v>3.03182773734447</v>
      </c>
      <c r="E639" s="46" t="n">
        <f aca="false">(V$27+V$28*SIN(2*PI()/365*A639))*V$29/100*V$9*V$10/100</f>
        <v>0</v>
      </c>
      <c r="F639" s="46" t="n">
        <f aca="false">(V$27+V$28*SIN(2*PI()/365*A639))*V$29/100*V$11*(1-V$18/100)*(1-V$20/100)</f>
        <v>3.03182773734447</v>
      </c>
      <c r="G639" s="46" t="n">
        <f aca="false">IF(C639&gt;E639,100,C639/E639*100)</f>
        <v>100</v>
      </c>
      <c r="H639" s="46" t="n">
        <f aca="false">L639/F639*100</f>
        <v>100</v>
      </c>
      <c r="I639" s="47" t="n">
        <f aca="false">(V$27+V$28*SIN(2*PI()/365*A639))*V$29/100*V$9*V$10/100*(1-V$19/100)</f>
        <v>0</v>
      </c>
      <c r="J639" s="47" t="n">
        <f aca="false">(V$27+V$28*SIN(2*PI()/365*A639))*V$29/100*V$11*(1-V$18/100)</f>
        <v>3.33167883224667</v>
      </c>
      <c r="K639" s="48" t="n">
        <f aca="false">IF(E639/C639*100&lt;100,E639/C639*100,100)</f>
        <v>0</v>
      </c>
      <c r="L639" s="7" t="n">
        <f aca="false">IF(((C639-E639)&gt;0)*AND(F639&gt;(C639-E639)),(C639-E639),IF(C639&lt;E639,0,F639))</f>
        <v>3.03182773734447</v>
      </c>
      <c r="M639" s="7" t="n">
        <f aca="false">IF(C639&lt;(E639+F639),0,C639-E639-F639)</f>
        <v>29.2893370307323</v>
      </c>
      <c r="N639" s="7" t="n">
        <f aca="false">IF(C639&lt;(E639+F639),0,(C639-E639-F639)/(1-V$20/100))</f>
        <v>32.1860846491564</v>
      </c>
      <c r="O639" s="7" t="n">
        <f aca="false">L639+M639</f>
        <v>32.3211647680768</v>
      </c>
      <c r="P639" s="49" t="n">
        <f aca="false">IF(N639=0,I639*(1-G639/100)+J639*(1-H639/100),-N639)</f>
        <v>-32.1860846491564</v>
      </c>
      <c r="Q639" s="54" t="n">
        <f aca="false">IF(P638&gt;0,Q638+P638*(1-V$24/100),Q638+P638)</f>
        <v>2178.96303656754</v>
      </c>
      <c r="R639" s="55" t="n">
        <f aca="false">R$4+Q639/V$32</f>
        <v>61.190830307365</v>
      </c>
    </row>
    <row r="640" customFormat="false" ht="12.8" hidden="false" customHeight="false" outlineLevel="0" collapsed="false">
      <c r="A640" s="1" t="n">
        <v>636</v>
      </c>
      <c r="B640" s="44" t="n">
        <v>44181</v>
      </c>
      <c r="C640" s="45" t="n">
        <f aca="false">V$30-V$30*SIN(2*PI()/365*A640)</f>
        <v>32.3367364295556</v>
      </c>
      <c r="D640" s="3" t="n">
        <f aca="false">IF((E640+F640)&gt;C640,C640,E640+F640)</f>
        <v>3.01617123794081</v>
      </c>
      <c r="E640" s="46" t="n">
        <f aca="false">(V$27+V$28*SIN(2*PI()/365*A640))*V$29/100*V$9*V$10/100</f>
        <v>0</v>
      </c>
      <c r="F640" s="46" t="n">
        <f aca="false">(V$27+V$28*SIN(2*PI()/365*A640))*V$29/100*V$11*(1-V$18/100)*(1-V$20/100)</f>
        <v>3.01617123794081</v>
      </c>
      <c r="G640" s="46" t="n">
        <f aca="false">IF(C640&gt;E640,100,C640/E640*100)</f>
        <v>100</v>
      </c>
      <c r="H640" s="46" t="n">
        <f aca="false">L640/F640*100</f>
        <v>100</v>
      </c>
      <c r="I640" s="47" t="n">
        <f aca="false">(V$27+V$28*SIN(2*PI()/365*A640))*V$29/100*V$9*V$10/100*(1-V$19/100)</f>
        <v>0</v>
      </c>
      <c r="J640" s="47" t="n">
        <f aca="false">(V$27+V$28*SIN(2*PI()/365*A640))*V$29/100*V$11*(1-V$18/100)</f>
        <v>3.31447388784704</v>
      </c>
      <c r="K640" s="48" t="n">
        <f aca="false">IF(E640/C640*100&lt;100,E640/C640*100,100)</f>
        <v>0</v>
      </c>
      <c r="L640" s="7" t="n">
        <f aca="false">IF(((C640-E640)&gt;0)*AND(F640&gt;(C640-E640)),(C640-E640),IF(C640&lt;E640,0,F640))</f>
        <v>3.01617123794081</v>
      </c>
      <c r="M640" s="7" t="n">
        <f aca="false">IF(C640&lt;(E640+F640),0,C640-E640-F640)</f>
        <v>29.3205651916148</v>
      </c>
      <c r="N640" s="7" t="n">
        <f aca="false">IF(C640&lt;(E640+F640),0,(C640-E640-F640)/(1-V$20/100))</f>
        <v>32.2204013094668</v>
      </c>
      <c r="O640" s="7" t="n">
        <f aca="false">L640+M640</f>
        <v>32.3367364295556</v>
      </c>
      <c r="P640" s="49" t="n">
        <f aca="false">IF(N640=0,I640*(1-G640/100)+J640*(1-H640/100),-N640)</f>
        <v>-32.2204013094668</v>
      </c>
      <c r="Q640" s="54" t="n">
        <f aca="false">IF(P639&gt;0,Q639+P639*(1-V$24/100),Q639+P639)</f>
        <v>2146.77695191839</v>
      </c>
      <c r="R640" s="55" t="n">
        <f aca="false">R$4+Q640/V$32</f>
        <v>60.8778145073663</v>
      </c>
    </row>
    <row r="641" customFormat="false" ht="12.8" hidden="false" customHeight="false" outlineLevel="0" collapsed="false">
      <c r="A641" s="1" t="n">
        <v>637</v>
      </c>
      <c r="B641" s="44" t="n">
        <v>44182</v>
      </c>
      <c r="C641" s="45" t="n">
        <f aca="false">V$30-V$30*SIN(2*PI()/365*A641)</f>
        <v>32.3475197397563</v>
      </c>
      <c r="D641" s="3" t="n">
        <f aca="false">IF((E641+F641)&gt;C641,C641,E641+F641)</f>
        <v>3.00532917783339</v>
      </c>
      <c r="E641" s="46" t="n">
        <f aca="false">(V$27+V$28*SIN(2*PI()/365*A641))*V$29/100*V$9*V$10/100</f>
        <v>0</v>
      </c>
      <c r="F641" s="46" t="n">
        <f aca="false">(V$27+V$28*SIN(2*PI()/365*A641))*V$29/100*V$11*(1-V$18/100)*(1-V$20/100)</f>
        <v>3.00532917783339</v>
      </c>
      <c r="G641" s="46" t="n">
        <f aca="false">IF(C641&gt;E641,100,C641/E641*100)</f>
        <v>100</v>
      </c>
      <c r="H641" s="46" t="n">
        <f aca="false">L641/F641*100</f>
        <v>100</v>
      </c>
      <c r="I641" s="47" t="n">
        <f aca="false">(V$27+V$28*SIN(2*PI()/365*A641))*V$29/100*V$9*V$10/100*(1-V$19/100)</f>
        <v>0</v>
      </c>
      <c r="J641" s="47" t="n">
        <f aca="false">(V$27+V$28*SIN(2*PI()/365*A641))*V$29/100*V$11*(1-V$18/100)</f>
        <v>3.30255953608065</v>
      </c>
      <c r="K641" s="48" t="n">
        <f aca="false">IF(E641/C641*100&lt;100,E641/C641*100,100)</f>
        <v>0</v>
      </c>
      <c r="L641" s="7" t="n">
        <f aca="false">IF(((C641-E641)&gt;0)*AND(F641&gt;(C641-E641)),(C641-E641),IF(C641&lt;E641,0,F641))</f>
        <v>3.00532917783339</v>
      </c>
      <c r="M641" s="7" t="n">
        <f aca="false">IF(C641&lt;(E641+F641),0,C641-E641-F641)</f>
        <v>29.3421905619229</v>
      </c>
      <c r="N641" s="7" t="n">
        <f aca="false">IF(C641&lt;(E641+F641),0,(C641-E641-F641)/(1-V$20/100))</f>
        <v>32.2441654526625</v>
      </c>
      <c r="O641" s="7" t="n">
        <f aca="false">L641+M641</f>
        <v>32.3475197397563</v>
      </c>
      <c r="P641" s="49" t="n">
        <f aca="false">IF(N641=0,I641*(1-G641/100)+J641*(1-H641/100),-N641)</f>
        <v>-32.2441654526625</v>
      </c>
      <c r="Q641" s="54" t="n">
        <f aca="false">IF(P640&gt;0,Q640+P640*(1-V$24/100),Q640+P640)</f>
        <v>2114.55655060892</v>
      </c>
      <c r="R641" s="55" t="n">
        <f aca="false">R$4+Q641/V$32</f>
        <v>60.5644649713138</v>
      </c>
    </row>
    <row r="642" customFormat="false" ht="12.8" hidden="false" customHeight="false" outlineLevel="0" collapsed="false">
      <c r="A642" s="1" t="n">
        <v>638</v>
      </c>
      <c r="B642" s="44" t="n">
        <v>44183</v>
      </c>
      <c r="C642" s="45" t="n">
        <f aca="false">V$30-V$30*SIN(2*PI()/365*A642)</f>
        <v>32.3535115033512</v>
      </c>
      <c r="D642" s="3" t="n">
        <f aca="false">IF((E642+F642)&gt;C642,C642,E642+F642)</f>
        <v>2.99930476975861</v>
      </c>
      <c r="E642" s="46" t="n">
        <f aca="false">(V$27+V$28*SIN(2*PI()/365*A642))*V$29/100*V$9*V$10/100</f>
        <v>0</v>
      </c>
      <c r="F642" s="46" t="n">
        <f aca="false">(V$27+V$28*SIN(2*PI()/365*A642))*V$29/100*V$11*(1-V$18/100)*(1-V$20/100)</f>
        <v>2.99930476975861</v>
      </c>
      <c r="G642" s="46" t="n">
        <f aca="false">IF(C642&gt;E642,100,C642/E642*100)</f>
        <v>100</v>
      </c>
      <c r="H642" s="46" t="n">
        <f aca="false">L642/F642*100</f>
        <v>100</v>
      </c>
      <c r="I642" s="47" t="n">
        <f aca="false">(V$27+V$28*SIN(2*PI()/365*A642))*V$29/100*V$9*V$10/100*(1-V$19/100)</f>
        <v>0</v>
      </c>
      <c r="J642" s="47" t="n">
        <f aca="false">(V$27+V$28*SIN(2*PI()/365*A642))*V$29/100*V$11*(1-V$18/100)</f>
        <v>3.29593930742705</v>
      </c>
      <c r="K642" s="48" t="n">
        <f aca="false">IF(E642/C642*100&lt;100,E642/C642*100,100)</f>
        <v>0</v>
      </c>
      <c r="L642" s="7" t="n">
        <f aca="false">IF(((C642-E642)&gt;0)*AND(F642&gt;(C642-E642)),(C642-E642),IF(C642&lt;E642,0,F642))</f>
        <v>2.99930476975861</v>
      </c>
      <c r="M642" s="7" t="n">
        <f aca="false">IF(C642&lt;(E642+F642),0,C642-E642-F642)</f>
        <v>29.3542067335926</v>
      </c>
      <c r="N642" s="7" t="n">
        <f aca="false">IF(C642&lt;(E642+F642),0,(C642-E642-F642)/(1-V$20/100))</f>
        <v>32.257370036915</v>
      </c>
      <c r="O642" s="7" t="n">
        <f aca="false">L642+M642</f>
        <v>32.3535115033512</v>
      </c>
      <c r="P642" s="49" t="n">
        <f aca="false">IF(N642=0,I642*(1-G642/100)+J642*(1-H642/100),-N642)</f>
        <v>-32.257370036915</v>
      </c>
      <c r="Q642" s="54" t="n">
        <f aca="false">IF(P641&gt;0,Q641+P641*(1-V$24/100),Q641+P641)</f>
        <v>2082.31238515626</v>
      </c>
      <c r="R642" s="55" t="n">
        <f aca="false">R$4+Q642/V$32</f>
        <v>60.250884324445</v>
      </c>
    </row>
    <row r="643" customFormat="false" ht="12.8" hidden="false" customHeight="false" outlineLevel="0" collapsed="false">
      <c r="A643" s="1" t="n">
        <v>639</v>
      </c>
      <c r="B643" s="44" t="n">
        <v>44184</v>
      </c>
      <c r="C643" s="45" t="n">
        <f aca="false">V$30-V$30*SIN(2*PI()/365*A643)</f>
        <v>32.3547099448516</v>
      </c>
      <c r="D643" s="3" t="n">
        <f aca="false">IF((E643+F643)&gt;C643,C643,E643+F643)</f>
        <v>2.99809979887861</v>
      </c>
      <c r="E643" s="46" t="n">
        <f aca="false">(V$27+V$28*SIN(2*PI()/365*A643))*V$29/100*V$9*V$10/100</f>
        <v>0</v>
      </c>
      <c r="F643" s="46" t="n">
        <f aca="false">(V$27+V$28*SIN(2*PI()/365*A643))*V$29/100*V$11*(1-V$18/100)*(1-V$20/100)</f>
        <v>2.99809979887861</v>
      </c>
      <c r="G643" s="46" t="n">
        <f aca="false">IF(C643&gt;E643,100,C643/E643*100)</f>
        <v>100</v>
      </c>
      <c r="H643" s="46" t="n">
        <f aca="false">L643/F643*100</f>
        <v>100</v>
      </c>
      <c r="I643" s="47" t="n">
        <f aca="false">(V$27+V$28*SIN(2*PI()/365*A643))*V$29/100*V$9*V$10/100*(1-V$19/100)</f>
        <v>0</v>
      </c>
      <c r="J643" s="47" t="n">
        <f aca="false">(V$27+V$28*SIN(2*PI()/365*A643))*V$29/100*V$11*(1-V$18/100)</f>
        <v>3.29461516360287</v>
      </c>
      <c r="K643" s="48" t="n">
        <f aca="false">IF(E643/C643*100&lt;100,E643/C643*100,100)</f>
        <v>0</v>
      </c>
      <c r="L643" s="7" t="n">
        <f aca="false">IF(((C643-E643)&gt;0)*AND(F643&gt;(C643-E643)),(C643-E643),IF(C643&lt;E643,0,F643))</f>
        <v>2.99809979887861</v>
      </c>
      <c r="M643" s="7" t="n">
        <f aca="false">IF(C643&lt;(E643+F643),0,C643-E643-F643)</f>
        <v>29.356610145973</v>
      </c>
      <c r="N643" s="7" t="n">
        <f aca="false">IF(C643&lt;(E643+F643),0,(C643-E643-F643)/(1-V$20/100))</f>
        <v>32.2600111494208</v>
      </c>
      <c r="O643" s="7" t="n">
        <f aca="false">L643+M643</f>
        <v>32.3547099448516</v>
      </c>
      <c r="P643" s="49" t="n">
        <f aca="false">IF(N643=0,I643*(1-G643/100)+J643*(1-H643/100),-N643)</f>
        <v>-32.2600111494208</v>
      </c>
      <c r="Q643" s="54" t="n">
        <f aca="false">IF(P642&gt;0,Q642+P642*(1-V$24/100),Q642+P642)</f>
        <v>2050.05501511934</v>
      </c>
      <c r="R643" s="55" t="n">
        <f aca="false">R$4+Q643/V$32</f>
        <v>59.9371752604808</v>
      </c>
    </row>
    <row r="644" customFormat="false" ht="12.8" hidden="false" customHeight="false" outlineLevel="0" collapsed="false">
      <c r="A644" s="1" t="n">
        <v>640</v>
      </c>
      <c r="B644" s="44" t="n">
        <v>44185</v>
      </c>
      <c r="C644" s="45" t="n">
        <f aca="false">V$30-V$30*SIN(2*PI()/365*A644)</f>
        <v>32.3511147091332</v>
      </c>
      <c r="D644" s="3" t="n">
        <f aca="false">IF((E644+F644)&gt;C644,C644,E644+F644)</f>
        <v>3.00171462225225</v>
      </c>
      <c r="E644" s="46" t="n">
        <f aca="false">(V$27+V$28*SIN(2*PI()/365*A644))*V$29/100*V$9*V$10/100</f>
        <v>0</v>
      </c>
      <c r="F644" s="46" t="n">
        <f aca="false">(V$27+V$28*SIN(2*PI()/365*A644))*V$29/100*V$11*(1-V$18/100)*(1-V$20/100)</f>
        <v>3.00171462225225</v>
      </c>
      <c r="G644" s="46" t="n">
        <f aca="false">IF(C644&gt;E644,100,C644/E644*100)</f>
        <v>100</v>
      </c>
      <c r="H644" s="46" t="n">
        <f aca="false">L644/F644*100</f>
        <v>100</v>
      </c>
      <c r="I644" s="47" t="n">
        <f aca="false">(V$27+V$28*SIN(2*PI()/365*A644))*V$29/100*V$9*V$10/100*(1-V$19/100)</f>
        <v>0</v>
      </c>
      <c r="J644" s="47" t="n">
        <f aca="false">(V$27+V$28*SIN(2*PI()/365*A644))*V$29/100*V$11*(1-V$18/100)</f>
        <v>3.2985874969805</v>
      </c>
      <c r="K644" s="48" t="n">
        <f aca="false">IF(E644/C644*100&lt;100,E644/C644*100,100)</f>
        <v>0</v>
      </c>
      <c r="L644" s="7" t="n">
        <f aca="false">IF(((C644-E644)&gt;0)*AND(F644&gt;(C644-E644)),(C644-E644),IF(C644&lt;E644,0,F644))</f>
        <v>3.00171462225225</v>
      </c>
      <c r="M644" s="7" t="n">
        <f aca="false">IF(C644&lt;(E644+F644),0,C644-E644-F644)</f>
        <v>29.349400086881</v>
      </c>
      <c r="N644" s="7" t="n">
        <f aca="false">IF(C644&lt;(E644+F644),0,(C644-E644-F644)/(1-V$20/100))</f>
        <v>32.2520880075615</v>
      </c>
      <c r="O644" s="7" t="n">
        <f aca="false">L644+M644</f>
        <v>32.3511147091332</v>
      </c>
      <c r="P644" s="49" t="n">
        <f aca="false">IF(N644=0,I644*(1-G644/100)+J644*(1-H644/100),-N644)</f>
        <v>-32.2520880075615</v>
      </c>
      <c r="Q644" s="54" t="n">
        <f aca="false">IF(P643&gt;0,Q643+P643*(1-V$24/100),Q643+P643)</f>
        <v>2017.79500396992</v>
      </c>
      <c r="R644" s="55" t="n">
        <f aca="false">R$4+Q644/V$32</f>
        <v>59.6234405111948</v>
      </c>
    </row>
    <row r="645" customFormat="false" ht="12.8" hidden="false" customHeight="false" outlineLevel="0" collapsed="false">
      <c r="A645" s="1" t="n">
        <v>641</v>
      </c>
      <c r="B645" s="44" t="n">
        <v>44186</v>
      </c>
      <c r="C645" s="45" t="n">
        <f aca="false">V$30-V$30*SIN(2*PI()/365*A645)</f>
        <v>32.3427268615422</v>
      </c>
      <c r="D645" s="3" t="n">
        <f aca="false">IF((E645+F645)&gt;C645,C645,E645+F645)</f>
        <v>3.01014816872937</v>
      </c>
      <c r="E645" s="46" t="n">
        <f aca="false">(V$27+V$28*SIN(2*PI()/365*A645))*V$29/100*V$9*V$10/100</f>
        <v>0</v>
      </c>
      <c r="F645" s="46" t="n">
        <f aca="false">(V$27+V$28*SIN(2*PI()/365*A645))*V$29/100*V$11*(1-V$18/100)*(1-V$20/100)</f>
        <v>3.01014816872937</v>
      </c>
      <c r="G645" s="46" t="n">
        <f aca="false">IF(C645&gt;E645,100,C645/E645*100)</f>
        <v>100</v>
      </c>
      <c r="H645" s="46" t="n">
        <f aca="false">L645/F645*100</f>
        <v>100</v>
      </c>
      <c r="I645" s="47" t="n">
        <f aca="false">(V$27+V$28*SIN(2*PI()/365*A645))*V$29/100*V$9*V$10/100*(1-V$19/100)</f>
        <v>0</v>
      </c>
      <c r="J645" s="47" t="n">
        <f aca="false">(V$27+V$28*SIN(2*PI()/365*A645))*V$29/100*V$11*(1-V$18/100)</f>
        <v>3.30785513047183</v>
      </c>
      <c r="K645" s="48" t="n">
        <f aca="false">IF(E645/C645*100&lt;100,E645/C645*100,100)</f>
        <v>0</v>
      </c>
      <c r="L645" s="7" t="n">
        <f aca="false">IF(((C645-E645)&gt;0)*AND(F645&gt;(C645-E645)),(C645-E645),IF(C645&lt;E645,0,F645))</f>
        <v>3.01014816872937</v>
      </c>
      <c r="M645" s="7" t="n">
        <f aca="false">IF(C645&lt;(E645+F645),0,C645-E645-F645)</f>
        <v>29.3325786928128</v>
      </c>
      <c r="N645" s="7" t="n">
        <f aca="false">IF(C645&lt;(E645+F645),0,(C645-E645-F645)/(1-V$20/100))</f>
        <v>32.2336029591349</v>
      </c>
      <c r="O645" s="7" t="n">
        <f aca="false">L645+M645</f>
        <v>32.3427268615422</v>
      </c>
      <c r="P645" s="49" t="n">
        <f aca="false">IF(N645=0,I645*(1-G645/100)+J645*(1-H645/100),-N645)</f>
        <v>-32.2336029591349</v>
      </c>
      <c r="Q645" s="54" t="n">
        <f aca="false">IF(P644&gt;0,Q644+P644*(1-V$24/100),Q644+P644)</f>
        <v>1985.54291596236</v>
      </c>
      <c r="R645" s="55" t="n">
        <f aca="false">R$4+Q645/V$32</f>
        <v>59.3097828159715</v>
      </c>
    </row>
    <row r="646" customFormat="false" ht="12.8" hidden="false" customHeight="false" outlineLevel="0" collapsed="false">
      <c r="A646" s="1" t="n">
        <v>642</v>
      </c>
      <c r="B646" s="44" t="n">
        <v>44187</v>
      </c>
      <c r="C646" s="45" t="n">
        <f aca="false">V$30-V$30*SIN(2*PI()/365*A646)</f>
        <v>32.3295488875786</v>
      </c>
      <c r="D646" s="3" t="n">
        <f aca="false">IF((E646+F646)&gt;C646,C646,E646+F646)</f>
        <v>3.02339793926811</v>
      </c>
      <c r="E646" s="46" t="n">
        <f aca="false">(V$27+V$28*SIN(2*PI()/365*A646))*V$29/100*V$9*V$10/100</f>
        <v>0</v>
      </c>
      <c r="F646" s="46" t="n">
        <f aca="false">(V$27+V$28*SIN(2*PI()/365*A646))*V$29/100*V$11*(1-V$18/100)*(1-V$20/100)</f>
        <v>3.02339793926811</v>
      </c>
      <c r="G646" s="46" t="n">
        <f aca="false">IF(C646&gt;E646,100,C646/E646*100)</f>
        <v>100</v>
      </c>
      <c r="H646" s="46" t="n">
        <f aca="false">L646/F646*100</f>
        <v>100</v>
      </c>
      <c r="I646" s="47" t="n">
        <f aca="false">(V$27+V$28*SIN(2*PI()/365*A646))*V$29/100*V$9*V$10/100*(1-V$19/100)</f>
        <v>0</v>
      </c>
      <c r="J646" s="47" t="n">
        <f aca="false">(V$27+V$28*SIN(2*PI()/365*A646))*V$29/100*V$11*(1-V$18/100)</f>
        <v>3.32241531787705</v>
      </c>
      <c r="K646" s="48" t="n">
        <f aca="false">IF(E646/C646*100&lt;100,E646/C646*100,100)</f>
        <v>0</v>
      </c>
      <c r="L646" s="7" t="n">
        <f aca="false">IF(((C646-E646)&gt;0)*AND(F646&gt;(C646-E646)),(C646-E646),IF(C646&lt;E646,0,F646))</f>
        <v>3.02339793926811</v>
      </c>
      <c r="M646" s="7" t="n">
        <f aca="false">IF(C646&lt;(E646+F646),0,C646-E646-F646)</f>
        <v>29.3061509483105</v>
      </c>
      <c r="N646" s="7" t="n">
        <f aca="false">IF(C646&lt;(E646+F646),0,(C646-E646-F646)/(1-V$20/100))</f>
        <v>32.2045614816598</v>
      </c>
      <c r="O646" s="7" t="n">
        <f aca="false">L646+M646</f>
        <v>32.3295488875786</v>
      </c>
      <c r="P646" s="49" t="n">
        <f aca="false">IF(N646=0,I646*(1-G646/100)+J646*(1-H646/100),-N646)</f>
        <v>-32.2045614816598</v>
      </c>
      <c r="Q646" s="54" t="n">
        <f aca="false">IF(P645&gt;0,Q645+P645*(1-V$24/100),Q645+P645)</f>
        <v>1953.30931300322</v>
      </c>
      <c r="R646" s="55" t="n">
        <f aca="false">R$4+Q646/V$32</f>
        <v>58.996304891363</v>
      </c>
    </row>
    <row r="647" customFormat="false" ht="12.8" hidden="false" customHeight="false" outlineLevel="0" collapsed="false">
      <c r="A647" s="1" t="n">
        <v>643</v>
      </c>
      <c r="B647" s="44" t="n">
        <v>44188</v>
      </c>
      <c r="C647" s="45" t="n">
        <f aca="false">V$30-V$30*SIN(2*PI()/365*A647)</f>
        <v>32.3115846921606</v>
      </c>
      <c r="D647" s="3" t="n">
        <f aca="false">IF((E647+F647)&gt;C647,C647,E647+F647)</f>
        <v>3.04146000767553</v>
      </c>
      <c r="E647" s="46" t="n">
        <f aca="false">(V$27+V$28*SIN(2*PI()/365*A647))*V$29/100*V$9*V$10/100</f>
        <v>0</v>
      </c>
      <c r="F647" s="46" t="n">
        <f aca="false">(V$27+V$28*SIN(2*PI()/365*A647))*V$29/100*V$11*(1-V$18/100)*(1-V$20/100)</f>
        <v>3.04146000767553</v>
      </c>
      <c r="G647" s="46" t="n">
        <f aca="false">IF(C647&gt;E647,100,C647/E647*100)</f>
        <v>100</v>
      </c>
      <c r="H647" s="46" t="n">
        <f aca="false">L647/F647*100</f>
        <v>100</v>
      </c>
      <c r="I647" s="47" t="n">
        <f aca="false">(V$27+V$28*SIN(2*PI()/365*A647))*V$29/100*V$9*V$10/100*(1-V$19/100)</f>
        <v>0</v>
      </c>
      <c r="J647" s="47" t="n">
        <f aca="false">(V$27+V$28*SIN(2*PI()/365*A647))*V$29/100*V$11*(1-V$18/100)</f>
        <v>3.34226374469839</v>
      </c>
      <c r="K647" s="48" t="n">
        <f aca="false">IF(E647/C647*100&lt;100,E647/C647*100,100)</f>
        <v>0</v>
      </c>
      <c r="L647" s="7" t="n">
        <f aca="false">IF(((C647-E647)&gt;0)*AND(F647&gt;(C647-E647)),(C647-E647),IF(C647&lt;E647,0,F647))</f>
        <v>3.04146000767553</v>
      </c>
      <c r="M647" s="7" t="n">
        <f aca="false">IF(C647&lt;(E647+F647),0,C647-E647-F647)</f>
        <v>29.2701246844851</v>
      </c>
      <c r="N647" s="7" t="n">
        <f aca="false">IF(C647&lt;(E647+F647),0,(C647-E647-F647)/(1-V$20/100))</f>
        <v>32.1649721807528</v>
      </c>
      <c r="O647" s="7" t="n">
        <f aca="false">L647+M647</f>
        <v>32.3115846921606</v>
      </c>
      <c r="P647" s="49" t="n">
        <f aca="false">IF(N647=0,I647*(1-G647/100)+J647*(1-H647/100),-N647)</f>
        <v>-32.1649721807528</v>
      </c>
      <c r="Q647" s="54" t="n">
        <f aca="false">IF(P646&gt;0,Q646+P646*(1-V$24/100),Q646+P646)</f>
        <v>1921.10475152156</v>
      </c>
      <c r="R647" s="55" t="n">
        <f aca="false">R$4+Q647/V$32</f>
        <v>58.683109400651</v>
      </c>
    </row>
    <row r="648" customFormat="false" ht="12.8" hidden="false" customHeight="false" outlineLevel="0" collapsed="false">
      <c r="A648" s="1" t="n">
        <v>644</v>
      </c>
      <c r="B648" s="44" t="n">
        <v>44189</v>
      </c>
      <c r="C648" s="45" t="n">
        <f aca="false">V$30-V$30*SIN(2*PI()/365*A648)</f>
        <v>32.2888395984671</v>
      </c>
      <c r="D648" s="3" t="n">
        <f aca="false">IF((E648+F648)&gt;C648,C648,E648+F648)</f>
        <v>3.06432902177095</v>
      </c>
      <c r="E648" s="46" t="n">
        <f aca="false">(V$27+V$28*SIN(2*PI()/365*A648))*V$29/100*V$9*V$10/100</f>
        <v>0</v>
      </c>
      <c r="F648" s="46" t="n">
        <f aca="false">(V$27+V$28*SIN(2*PI()/365*A648))*V$29/100*V$11*(1-V$18/100)*(1-V$20/100)</f>
        <v>3.06432902177095</v>
      </c>
      <c r="G648" s="46" t="n">
        <f aca="false">IF(C648&gt;E648,100,C648/E648*100)</f>
        <v>100</v>
      </c>
      <c r="H648" s="46" t="n">
        <f aca="false">L648/F648*100</f>
        <v>100</v>
      </c>
      <c r="I648" s="47" t="n">
        <f aca="false">(V$27+V$28*SIN(2*PI()/365*A648))*V$29/100*V$9*V$10/100*(1-V$19/100)</f>
        <v>0</v>
      </c>
      <c r="J648" s="47" t="n">
        <f aca="false">(V$27+V$28*SIN(2*PI()/365*A648))*V$29/100*V$11*(1-V$18/100)</f>
        <v>3.36739452941863</v>
      </c>
      <c r="K648" s="48" t="n">
        <f aca="false">IF(E648/C648*100&lt;100,E648/C648*100,100)</f>
        <v>0</v>
      </c>
      <c r="L648" s="7" t="n">
        <f aca="false">IF(((C648-E648)&gt;0)*AND(F648&gt;(C648-E648)),(C648-E648),IF(C648&lt;E648,0,F648))</f>
        <v>3.06432902177095</v>
      </c>
      <c r="M648" s="7" t="n">
        <f aca="false">IF(C648&lt;(E648+F648),0,C648-E648-F648)</f>
        <v>29.2245105766961</v>
      </c>
      <c r="N648" s="7" t="n">
        <f aca="false">IF(C648&lt;(E648+F648),0,(C648-E648-F648)/(1-V$20/100))</f>
        <v>32.1148467875781</v>
      </c>
      <c r="O648" s="7" t="n">
        <f aca="false">L648+M648</f>
        <v>32.2888395984671</v>
      </c>
      <c r="P648" s="49" t="n">
        <f aca="false">IF(N648=0,I648*(1-G648/100)+J648*(1-H648/100),-N648)</f>
        <v>-32.1148467875781</v>
      </c>
      <c r="Q648" s="54" t="n">
        <f aca="false">IF(P647&gt;0,Q647+P647*(1-V$24/100),Q647+P647)</f>
        <v>1888.93977934081</v>
      </c>
      <c r="R648" s="55" t="n">
        <f aca="false">R$4+Q648/V$32</f>
        <v>58.3702989234264</v>
      </c>
    </row>
    <row r="649" customFormat="false" ht="12.8" hidden="false" customHeight="false" outlineLevel="0" collapsed="false">
      <c r="A649" s="1" t="n">
        <v>645</v>
      </c>
      <c r="B649" s="44" t="n">
        <v>44190</v>
      </c>
      <c r="C649" s="45" t="n">
        <f aca="false">V$30-V$30*SIN(2*PI()/365*A649)</f>
        <v>32.2613203463601</v>
      </c>
      <c r="D649" s="3" t="n">
        <f aca="false">IF((E649+F649)&gt;C649,C649,E649+F649)</f>
        <v>3.09199820497193</v>
      </c>
      <c r="E649" s="46" t="n">
        <f aca="false">(V$27+V$28*SIN(2*PI()/365*A649))*V$29/100*V$9*V$10/100</f>
        <v>0</v>
      </c>
      <c r="F649" s="46" t="n">
        <f aca="false">(V$27+V$28*SIN(2*PI()/365*A649))*V$29/100*V$11*(1-V$18/100)*(1-V$20/100)</f>
        <v>3.09199820497193</v>
      </c>
      <c r="G649" s="46" t="n">
        <f aca="false">IF(C649&gt;E649,100,C649/E649*100)</f>
        <v>100</v>
      </c>
      <c r="H649" s="46" t="n">
        <f aca="false">L649/F649*100</f>
        <v>100</v>
      </c>
      <c r="I649" s="47" t="n">
        <f aca="false">(V$27+V$28*SIN(2*PI()/365*A649))*V$29/100*V$9*V$10/100*(1-V$19/100)</f>
        <v>0</v>
      </c>
      <c r="J649" s="47" t="n">
        <f aca="false">(V$27+V$28*SIN(2*PI()/365*A649))*V$29/100*V$11*(1-V$18/100)</f>
        <v>3.39780022524388</v>
      </c>
      <c r="K649" s="48" t="n">
        <f aca="false">IF(E649/C649*100&lt;100,E649/C649*100,100)</f>
        <v>0</v>
      </c>
      <c r="L649" s="7" t="n">
        <f aca="false">IF(((C649-E649)&gt;0)*AND(F649&gt;(C649-E649)),(C649-E649),IF(C649&lt;E649,0,F649))</f>
        <v>3.09199820497193</v>
      </c>
      <c r="M649" s="7" t="n">
        <f aca="false">IF(C649&lt;(E649+F649),0,C649-E649-F649)</f>
        <v>29.1693221413881</v>
      </c>
      <c r="N649" s="7" t="n">
        <f aca="false">IF(C649&lt;(E649+F649),0,(C649-E649-F649)/(1-V$20/100))</f>
        <v>32.0542001553716</v>
      </c>
      <c r="O649" s="7" t="n">
        <f aca="false">L649+M649</f>
        <v>32.2613203463601</v>
      </c>
      <c r="P649" s="49" t="n">
        <f aca="false">IF(N649=0,I649*(1-G649/100)+J649*(1-H649/100),-N649)</f>
        <v>-32.0542001553716</v>
      </c>
      <c r="Q649" s="54" t="n">
        <f aca="false">IF(P648&gt;0,Q648+P648*(1-V$24/100),Q648+P648)</f>
        <v>1856.82493255323</v>
      </c>
      <c r="R649" s="55" t="n">
        <f aca="false">R$4+Q649/V$32</f>
        <v>58.0579759251921</v>
      </c>
    </row>
    <row r="650" customFormat="false" ht="12.8" hidden="false" customHeight="false" outlineLevel="0" collapsed="false">
      <c r="A650" s="1" t="n">
        <v>646</v>
      </c>
      <c r="B650" s="44" t="n">
        <v>44191</v>
      </c>
      <c r="C650" s="45" t="n">
        <f aca="false">V$30-V$30*SIN(2*PI()/365*A650)</f>
        <v>32.2290350903879</v>
      </c>
      <c r="D650" s="3" t="n">
        <f aca="false">IF((E650+F650)&gt;C650,C650,E650+F650)</f>
        <v>3.12445935830233</v>
      </c>
      <c r="E650" s="46" t="n">
        <f aca="false">(V$27+V$28*SIN(2*PI()/365*A650))*V$29/100*V$9*V$10/100</f>
        <v>0</v>
      </c>
      <c r="F650" s="46" t="n">
        <f aca="false">(V$27+V$28*SIN(2*PI()/365*A650))*V$29/100*V$11*(1-V$18/100)*(1-V$20/100)</f>
        <v>3.12445935830233</v>
      </c>
      <c r="G650" s="46" t="n">
        <f aca="false">IF(C650&gt;E650,100,C650/E650*100)</f>
        <v>100</v>
      </c>
      <c r="H650" s="46" t="n">
        <f aca="false">L650/F650*100</f>
        <v>100</v>
      </c>
      <c r="I650" s="47" t="n">
        <f aca="false">(V$27+V$28*SIN(2*PI()/365*A650))*V$29/100*V$9*V$10/100*(1-V$19/100)</f>
        <v>0</v>
      </c>
      <c r="J650" s="47" t="n">
        <f aca="false">(V$27+V$28*SIN(2*PI()/365*A650))*V$29/100*V$11*(1-V$18/100)</f>
        <v>3.43347182231026</v>
      </c>
      <c r="K650" s="48" t="n">
        <f aca="false">IF(E650/C650*100&lt;100,E650/C650*100,100)</f>
        <v>0</v>
      </c>
      <c r="L650" s="7" t="n">
        <f aca="false">IF(((C650-E650)&gt;0)*AND(F650&gt;(C650-E650)),(C650-E650),IF(C650&lt;E650,0,F650))</f>
        <v>3.12445935830233</v>
      </c>
      <c r="M650" s="7" t="n">
        <f aca="false">IF(C650&lt;(E650+F650),0,C650-E650-F650)</f>
        <v>29.1045757320856</v>
      </c>
      <c r="N650" s="7" t="n">
        <f aca="false">IF(C650&lt;(E650+F650),0,(C650-E650-F650)/(1-V$20/100))</f>
        <v>31.9830502550391</v>
      </c>
      <c r="O650" s="7" t="n">
        <f aca="false">L650+M650</f>
        <v>32.2290350903879</v>
      </c>
      <c r="P650" s="49" t="n">
        <f aca="false">IF(N650=0,I650*(1-G650/100)+J650*(1-H650/100),-N650)</f>
        <v>-31.9830502550391</v>
      </c>
      <c r="Q650" s="54" t="n">
        <f aca="false">IF(P649&gt;0,Q649+P649*(1-V$24/100),Q649+P649)</f>
        <v>1824.77073239786</v>
      </c>
      <c r="R650" s="55" t="n">
        <f aca="false">R$4+Q650/V$32</f>
        <v>57.7462427270003</v>
      </c>
    </row>
    <row r="651" customFormat="false" ht="12.8" hidden="false" customHeight="false" outlineLevel="0" collapsed="false">
      <c r="A651" s="1" t="n">
        <v>647</v>
      </c>
      <c r="B651" s="44" t="n">
        <v>44192</v>
      </c>
      <c r="C651" s="45" t="n">
        <f aca="false">V$30-V$30*SIN(2*PI()/365*A651)</f>
        <v>32.1919933973688</v>
      </c>
      <c r="D651" s="3" t="n">
        <f aca="false">IF((E651+F651)&gt;C651,C651,E651+F651)</f>
        <v>3.16170286282187</v>
      </c>
      <c r="E651" s="46" t="n">
        <f aca="false">(V$27+V$28*SIN(2*PI()/365*A651))*V$29/100*V$9*V$10/100</f>
        <v>0</v>
      </c>
      <c r="F651" s="46" t="n">
        <f aca="false">(V$27+V$28*SIN(2*PI()/365*A651))*V$29/100*V$11*(1-V$18/100)*(1-V$20/100)</f>
        <v>3.16170286282187</v>
      </c>
      <c r="G651" s="46" t="n">
        <f aca="false">IF(C651&gt;E651,100,C651/E651*100)</f>
        <v>100</v>
      </c>
      <c r="H651" s="46" t="n">
        <f aca="false">L651/F651*100</f>
        <v>100</v>
      </c>
      <c r="I651" s="47" t="n">
        <f aca="false">(V$27+V$28*SIN(2*PI()/365*A651))*V$29/100*V$9*V$10/100*(1-V$19/100)</f>
        <v>0</v>
      </c>
      <c r="J651" s="47" t="n">
        <f aca="false">(V$27+V$28*SIN(2*PI()/365*A651))*V$29/100*V$11*(1-V$18/100)</f>
        <v>3.47439875035371</v>
      </c>
      <c r="K651" s="48" t="n">
        <f aca="false">IF(E651/C651*100&lt;100,E651/C651*100,100)</f>
        <v>0</v>
      </c>
      <c r="L651" s="7" t="n">
        <f aca="false">IF(((C651-E651)&gt;0)*AND(F651&gt;(C651-E651)),(C651-E651),IF(C651&lt;E651,0,F651))</f>
        <v>3.16170286282187</v>
      </c>
      <c r="M651" s="7" t="n">
        <f aca="false">IF(C651&lt;(E651+F651),0,C651-E651-F651)</f>
        <v>29.0302905345469</v>
      </c>
      <c r="N651" s="7" t="n">
        <f aca="false">IF(C651&lt;(E651+F651),0,(C651-E651-F651)/(1-V$20/100))</f>
        <v>31.9014181698317</v>
      </c>
      <c r="O651" s="7" t="n">
        <f aca="false">L651+M651</f>
        <v>32.1919933973688</v>
      </c>
      <c r="P651" s="49" t="n">
        <f aca="false">IF(N651=0,I651*(1-G651/100)+J651*(1-H651/100),-N651)</f>
        <v>-31.9014181698317</v>
      </c>
      <c r="Q651" s="54" t="n">
        <f aca="false">IF(P650&gt;0,Q650+P650*(1-V$24/100),Q650+P650)</f>
        <v>1792.78768214282</v>
      </c>
      <c r="R651" s="55" t="n">
        <f aca="false">R$4+Q651/V$32</f>
        <v>57.4352014751331</v>
      </c>
    </row>
    <row r="652" customFormat="false" ht="12.8" hidden="false" customHeight="false" outlineLevel="0" collapsed="false">
      <c r="A652" s="1" t="n">
        <v>648</v>
      </c>
      <c r="B652" s="44" t="n">
        <v>44193</v>
      </c>
      <c r="C652" s="45" t="n">
        <f aca="false">V$30-V$30*SIN(2*PI()/365*A652)</f>
        <v>32.1502062435557</v>
      </c>
      <c r="D652" s="3" t="n">
        <f aca="false">IF((E652+F652)&gt;C652,C652,E652+F652)</f>
        <v>3.20371768247637</v>
      </c>
      <c r="E652" s="46" t="n">
        <f aca="false">(V$27+V$28*SIN(2*PI()/365*A652))*V$29/100*V$9*V$10/100</f>
        <v>0</v>
      </c>
      <c r="F652" s="46" t="n">
        <f aca="false">(V$27+V$28*SIN(2*PI()/365*A652))*V$29/100*V$11*(1-V$18/100)*(1-V$20/100)</f>
        <v>3.20371768247637</v>
      </c>
      <c r="G652" s="46" t="n">
        <f aca="false">IF(C652&gt;E652,100,C652/E652*100)</f>
        <v>100</v>
      </c>
      <c r="H652" s="46" t="n">
        <f aca="false">L652/F652*100</f>
        <v>100</v>
      </c>
      <c r="I652" s="47" t="n">
        <f aca="false">(V$27+V$28*SIN(2*PI()/365*A652))*V$29/100*V$9*V$10/100*(1-V$19/100)</f>
        <v>0</v>
      </c>
      <c r="J652" s="47" t="n">
        <f aca="false">(V$27+V$28*SIN(2*PI()/365*A652))*V$29/100*V$11*(1-V$18/100)</f>
        <v>3.52056888184216</v>
      </c>
      <c r="K652" s="48" t="n">
        <f aca="false">IF(E652/C652*100&lt;100,E652/C652*100,100)</f>
        <v>0</v>
      </c>
      <c r="L652" s="7" t="n">
        <f aca="false">IF(((C652-E652)&gt;0)*AND(F652&gt;(C652-E652)),(C652-E652),IF(C652&lt;E652,0,F652))</f>
        <v>3.20371768247637</v>
      </c>
      <c r="M652" s="7" t="n">
        <f aca="false">IF(C652&lt;(E652+F652),0,C652-E652-F652)</f>
        <v>28.9464885610793</v>
      </c>
      <c r="N652" s="7" t="n">
        <f aca="false">IF(C652&lt;(E652+F652),0,(C652-E652-F652)/(1-V$20/100))</f>
        <v>31.8093280890981</v>
      </c>
      <c r="O652" s="7" t="n">
        <f aca="false">L652+M652</f>
        <v>32.1502062435557</v>
      </c>
      <c r="P652" s="49" t="n">
        <f aca="false">IF(N652=0,I652*(1-G652/100)+J652*(1-H652/100),-N652)</f>
        <v>-31.8093280890981</v>
      </c>
      <c r="Q652" s="54" t="n">
        <f aca="false">IF(P651&gt;0,Q651+P651*(1-V$24/100),Q651+P651)</f>
        <v>1760.88626397299</v>
      </c>
      <c r="R652" s="55" t="n">
        <f aca="false">R$4+Q652/V$32</f>
        <v>57.1249541108335</v>
      </c>
    </row>
    <row r="653" customFormat="false" ht="12.8" hidden="false" customHeight="false" outlineLevel="0" collapsed="false">
      <c r="A653" s="1" t="n">
        <v>649</v>
      </c>
      <c r="B653" s="44" t="n">
        <v>44194</v>
      </c>
      <c r="C653" s="45" t="n">
        <f aca="false">V$30-V$30*SIN(2*PI()/365*A653)</f>
        <v>32.1036860113841</v>
      </c>
      <c r="D653" s="3" t="n">
        <f aca="false">IF((E653+F653)&gt;C653,C653,E653+F653)</f>
        <v>3.250491367368</v>
      </c>
      <c r="E653" s="46" t="n">
        <f aca="false">(V$27+V$28*SIN(2*PI()/365*A653))*V$29/100*V$9*V$10/100</f>
        <v>0</v>
      </c>
      <c r="F653" s="46" t="n">
        <f aca="false">(V$27+V$28*SIN(2*PI()/365*A653))*V$29/100*V$11*(1-V$18/100)*(1-V$20/100)</f>
        <v>3.250491367368</v>
      </c>
      <c r="G653" s="46" t="n">
        <f aca="false">IF(C653&gt;E653,100,C653/E653*100)</f>
        <v>100</v>
      </c>
      <c r="H653" s="46" t="n">
        <f aca="false">L653/F653*100</f>
        <v>100</v>
      </c>
      <c r="I653" s="47" t="n">
        <f aca="false">(V$27+V$28*SIN(2*PI()/365*A653))*V$29/100*V$9*V$10/100*(1-V$19/100)</f>
        <v>0</v>
      </c>
      <c r="J653" s="47" t="n">
        <f aca="false">(V$27+V$28*SIN(2*PI()/365*A653))*V$29/100*V$11*(1-V$18/100)</f>
        <v>3.57196853556923</v>
      </c>
      <c r="K653" s="48" t="n">
        <f aca="false">IF(E653/C653*100&lt;100,E653/C653*100,100)</f>
        <v>0</v>
      </c>
      <c r="L653" s="7" t="n">
        <f aca="false">IF(((C653-E653)&gt;0)*AND(F653&gt;(C653-E653)),(C653-E653),IF(C653&lt;E653,0,F653))</f>
        <v>3.250491367368</v>
      </c>
      <c r="M653" s="7" t="n">
        <f aca="false">IF(C653&lt;(E653+F653),0,C653-E653-F653)</f>
        <v>28.8531946440161</v>
      </c>
      <c r="N653" s="7" t="n">
        <f aca="false">IF(C653&lt;(E653+F653),0,(C653-E653-F653)/(1-V$20/100))</f>
        <v>31.7068073011166</v>
      </c>
      <c r="O653" s="7" t="n">
        <f aca="false">L653+M653</f>
        <v>32.1036860113841</v>
      </c>
      <c r="P653" s="49" t="n">
        <f aca="false">IF(N653=0,I653*(1-G653/100)+J653*(1-H653/100),-N653)</f>
        <v>-31.7068073011166</v>
      </c>
      <c r="Q653" s="54" t="n">
        <f aca="false">IF(P652&gt;0,Q652+P652*(1-V$24/100),Q652+P652)</f>
        <v>1729.07693588389</v>
      </c>
      <c r="R653" s="55" t="n">
        <f aca="false">R$4+Q653/V$32</f>
        <v>56.8156023400989</v>
      </c>
    </row>
    <row r="654" customFormat="false" ht="12.8" hidden="false" customHeight="false" outlineLevel="0" collapsed="false">
      <c r="A654" s="1" t="n">
        <v>650</v>
      </c>
      <c r="B654" s="44" t="n">
        <v>44195</v>
      </c>
      <c r="C654" s="45" t="n">
        <f aca="false">V$30-V$30*SIN(2*PI()/365*A654)</f>
        <v>32.0524464858029</v>
      </c>
      <c r="D654" s="3" t="n">
        <f aca="false">IF((E654+F654)&gt;C654,C654,E654+F654)</f>
        <v>3.30201005744449</v>
      </c>
      <c r="E654" s="46" t="n">
        <f aca="false">(V$27+V$28*SIN(2*PI()/365*A654))*V$29/100*V$9*V$10/100</f>
        <v>0</v>
      </c>
      <c r="F654" s="46" t="n">
        <f aca="false">(V$27+V$28*SIN(2*PI()/365*A654))*V$29/100*V$11*(1-V$18/100)*(1-V$20/100)</f>
        <v>3.30201005744449</v>
      </c>
      <c r="G654" s="46" t="n">
        <f aca="false">IF(C654&gt;E654,100,C654/E654*100)</f>
        <v>100</v>
      </c>
      <c r="H654" s="46" t="n">
        <f aca="false">L654/F654*100</f>
        <v>100</v>
      </c>
      <c r="I654" s="47" t="n">
        <f aca="false">(V$27+V$28*SIN(2*PI()/365*A654))*V$29/100*V$9*V$10/100*(1-V$19/100)</f>
        <v>0</v>
      </c>
      <c r="J654" s="47" t="n">
        <f aca="false">(V$27+V$28*SIN(2*PI()/365*A654))*V$29/100*V$11*(1-V$18/100)</f>
        <v>3.62858248070823</v>
      </c>
      <c r="K654" s="48" t="n">
        <f aca="false">IF(E654/C654*100&lt;100,E654/C654*100,100)</f>
        <v>0</v>
      </c>
      <c r="L654" s="7" t="n">
        <f aca="false">IF(((C654-E654)&gt;0)*AND(F654&gt;(C654-E654)),(C654-E654),IF(C654&lt;E654,0,F654))</f>
        <v>3.30201005744449</v>
      </c>
      <c r="M654" s="7" t="n">
        <f aca="false">IF(C654&lt;(E654+F654),0,C654-E654-F654)</f>
        <v>28.7504364283584</v>
      </c>
      <c r="N654" s="7" t="n">
        <f aca="false">IF(C654&lt;(E654+F654),0,(C654-E654-F654)/(1-V$20/100))</f>
        <v>31.5938861850093</v>
      </c>
      <c r="O654" s="7" t="n">
        <f aca="false">L654+M654</f>
        <v>32.0524464858029</v>
      </c>
      <c r="P654" s="49" t="n">
        <f aca="false">IF(N654=0,I654*(1-G654/100)+J654*(1-H654/100),-N654)</f>
        <v>-31.5938861850093</v>
      </c>
      <c r="Q654" s="54" t="n">
        <f aca="false">IF(P653&gt;0,Q653+P653*(1-V$24/100),Q653+P653)</f>
        <v>1697.37012858278</v>
      </c>
      <c r="R654" s="55" t="n">
        <f aca="false">R$4+Q654/V$32</f>
        <v>56.5072476035428</v>
      </c>
    </row>
    <row r="655" customFormat="false" ht="12.8" hidden="false" customHeight="false" outlineLevel="0" collapsed="false">
      <c r="A655" s="1" t="n">
        <v>651</v>
      </c>
      <c r="B655" s="44" t="n">
        <v>44196</v>
      </c>
      <c r="C655" s="45" t="n">
        <f aca="false">V$30-V$30*SIN(2*PI()/365*A655)</f>
        <v>31.9965028501893</v>
      </c>
      <c r="D655" s="3" t="n">
        <f aca="false">IF((E655+F655)&gt;C655,C655,E655+F655)</f>
        <v>3.35825848660609</v>
      </c>
      <c r="E655" s="46" t="n">
        <f aca="false">(V$27+V$28*SIN(2*PI()/365*A655))*V$29/100*V$9*V$10/100</f>
        <v>0</v>
      </c>
      <c r="F655" s="46" t="n">
        <f aca="false">(V$27+V$28*SIN(2*PI()/365*A655))*V$29/100*V$11*(1-V$18/100)*(1-V$20/100)</f>
        <v>3.35825848660609</v>
      </c>
      <c r="G655" s="46" t="n">
        <f aca="false">IF(C655&gt;E655,100,C655/E655*100)</f>
        <v>100</v>
      </c>
      <c r="H655" s="46" t="n">
        <f aca="false">L655/F655*100</f>
        <v>100</v>
      </c>
      <c r="I655" s="47" t="n">
        <f aca="false">(V$27+V$28*SIN(2*PI()/365*A655))*V$29/100*V$9*V$10/100*(1-V$19/100)</f>
        <v>0</v>
      </c>
      <c r="J655" s="47" t="n">
        <f aca="false">(V$27+V$28*SIN(2*PI()/365*A655))*V$29/100*V$11*(1-V$18/100)</f>
        <v>3.69039394132538</v>
      </c>
      <c r="K655" s="48" t="n">
        <f aca="false">IF(E655/C655*100&lt;100,E655/C655*100,100)</f>
        <v>0</v>
      </c>
      <c r="L655" s="7" t="n">
        <f aca="false">IF(((C655-E655)&gt;0)*AND(F655&gt;(C655-E655)),(C655-E655),IF(C655&lt;E655,0,F655))</f>
        <v>3.35825848660609</v>
      </c>
      <c r="M655" s="7" t="n">
        <f aca="false">IF(C655&lt;(E655+F655),0,C655-E655-F655)</f>
        <v>28.6382443635832</v>
      </c>
      <c r="N655" s="7" t="n">
        <f aca="false">IF(C655&lt;(E655+F655),0,(C655-E655-F655)/(1-V$20/100))</f>
        <v>31.4705982017398</v>
      </c>
      <c r="O655" s="7" t="n">
        <f aca="false">L655+M655</f>
        <v>31.9965028501893</v>
      </c>
      <c r="P655" s="49" t="n">
        <f aca="false">IF(N655=0,I655*(1-G655/100)+J655*(1-H655/100),-N655)</f>
        <v>-31.4705982017398</v>
      </c>
      <c r="Q655" s="54" t="n">
        <f aca="false">IF(P654&gt;0,Q654+P654*(1-V$24/100),Q654+P654)</f>
        <v>1665.77624239777</v>
      </c>
      <c r="R655" s="55" t="n">
        <f aca="false">R$4+Q655/V$32</f>
        <v>56.199991046336</v>
      </c>
    </row>
    <row r="656" customFormat="false" ht="12.8" hidden="false" customHeight="false" outlineLevel="0" collapsed="false">
      <c r="A656" s="1" t="n">
        <v>652</v>
      </c>
      <c r="B656" s="44" t="n">
        <v>44197</v>
      </c>
      <c r="C656" s="45" t="n">
        <f aca="false">V$30-V$30*SIN(2*PI()/365*A656)</f>
        <v>31.93587168185</v>
      </c>
      <c r="D656" s="3" t="n">
        <f aca="false">IF((E656+F656)&gt;C656,C656,E656+F656)</f>
        <v>3.41921998722931</v>
      </c>
      <c r="E656" s="46" t="n">
        <f aca="false">(V$27+V$28*SIN(2*PI()/365*A656))*V$29/100*V$9*V$10/100</f>
        <v>0</v>
      </c>
      <c r="F656" s="46" t="n">
        <f aca="false">(V$27+V$28*SIN(2*PI()/365*A656))*V$29/100*V$11*(1-V$18/100)*(1-V$20/100)</f>
        <v>3.41921998722931</v>
      </c>
      <c r="G656" s="46" t="n">
        <f aca="false">IF(C656&gt;E656,100,C656/E656*100)</f>
        <v>100</v>
      </c>
      <c r="H656" s="46" t="n">
        <f aca="false">L656/F656*100</f>
        <v>100</v>
      </c>
      <c r="I656" s="47" t="n">
        <f aca="false">(V$27+V$28*SIN(2*PI()/365*A656))*V$29/100*V$9*V$10/100*(1-V$19/100)</f>
        <v>0</v>
      </c>
      <c r="J656" s="47" t="n">
        <f aca="false">(V$27+V$28*SIN(2*PI()/365*A656))*V$29/100*V$11*(1-V$18/100)</f>
        <v>3.75738460135089</v>
      </c>
      <c r="K656" s="48" t="n">
        <f aca="false">IF(E656/C656*100&lt;100,E656/C656*100,100)</f>
        <v>0</v>
      </c>
      <c r="L656" s="7" t="n">
        <f aca="false">IF(((C656-E656)&gt;0)*AND(F656&gt;(C656-E656)),(C656-E656),IF(C656&lt;E656,0,F656))</f>
        <v>3.41921998722931</v>
      </c>
      <c r="M656" s="7" t="n">
        <f aca="false">IF(C656&lt;(E656+F656),0,C656-E656-F656)</f>
        <v>28.5166516946207</v>
      </c>
      <c r="N656" s="7" t="n">
        <f aca="false">IF(C656&lt;(E656+F656),0,(C656-E656-F656)/(1-V$20/100))</f>
        <v>31.3369798841985</v>
      </c>
      <c r="O656" s="7" t="n">
        <f aca="false">L656+M656</f>
        <v>31.93587168185</v>
      </c>
      <c r="P656" s="49" t="n">
        <f aca="false">IF(N656=0,I656*(1-G656/100)+J656*(1-H656/100),-N656)</f>
        <v>-31.3369798841985</v>
      </c>
      <c r="Q656" s="54" t="n">
        <f aca="false">IF(P655&gt;0,Q655+P655*(1-V$24/100),Q655+P655)</f>
        <v>1634.30564419603</v>
      </c>
      <c r="R656" s="55" t="n">
        <f aca="false">R$4+Q656/V$32</f>
        <v>55.8939334882349</v>
      </c>
    </row>
    <row r="657" customFormat="false" ht="12.8" hidden="false" customHeight="false" outlineLevel="0" collapsed="false">
      <c r="A657" s="1" t="n">
        <v>653</v>
      </c>
      <c r="B657" s="44" t="n">
        <v>44198</v>
      </c>
      <c r="C657" s="45" t="n">
        <f aca="false">V$30-V$30*SIN(2*PI()/365*A657)</f>
        <v>31.8705709471085</v>
      </c>
      <c r="D657" s="3" t="n">
        <f aca="false">IF((E657+F657)&gt;C657,C657,E657+F657)</f>
        <v>3.48487649510584</v>
      </c>
      <c r="E657" s="46" t="n">
        <f aca="false">(V$27+V$28*SIN(2*PI()/365*A657))*V$29/100*V$9*V$10/100</f>
        <v>0</v>
      </c>
      <c r="F657" s="46" t="n">
        <f aca="false">(V$27+V$28*SIN(2*PI()/365*A657))*V$29/100*V$11*(1-V$18/100)*(1-V$20/100)</f>
        <v>3.48487649510584</v>
      </c>
      <c r="G657" s="46" t="n">
        <f aca="false">IF(C657&gt;E657,100,C657/E657*100)</f>
        <v>100</v>
      </c>
      <c r="H657" s="46" t="n">
        <f aca="false">L657/F657*100</f>
        <v>100</v>
      </c>
      <c r="I657" s="47" t="n">
        <f aca="false">(V$27+V$28*SIN(2*PI()/365*A657))*V$29/100*V$9*V$10/100*(1-V$19/100)</f>
        <v>0</v>
      </c>
      <c r="J657" s="47" t="n">
        <f aca="false">(V$27+V$28*SIN(2*PI()/365*A657))*V$29/100*V$11*(1-V$18/100)</f>
        <v>3.82953461000642</v>
      </c>
      <c r="K657" s="48" t="n">
        <f aca="false">IF(E657/C657*100&lt;100,E657/C657*100,100)</f>
        <v>0</v>
      </c>
      <c r="L657" s="7" t="n">
        <f aca="false">IF(((C657-E657)&gt;0)*AND(F657&gt;(C657-E657)),(C657-E657),IF(C657&lt;E657,0,F657))</f>
        <v>3.48487649510584</v>
      </c>
      <c r="M657" s="7" t="n">
        <f aca="false">IF(C657&lt;(E657+F657),0,C657-E657-F657)</f>
        <v>28.3856944520027</v>
      </c>
      <c r="N657" s="7" t="n">
        <f aca="false">IF(C657&lt;(E657+F657),0,(C657-E657-F657)/(1-V$20/100))</f>
        <v>31.1930708263766</v>
      </c>
      <c r="O657" s="7" t="n">
        <f aca="false">L657+M657</f>
        <v>31.8705709471085</v>
      </c>
      <c r="P657" s="49" t="n">
        <f aca="false">IF(N657=0,I657*(1-G657/100)+J657*(1-H657/100),-N657)</f>
        <v>-31.1930708263766</v>
      </c>
      <c r="Q657" s="54" t="n">
        <f aca="false">IF(P656&gt;0,Q656+P656*(1-V$24/100),Q656+P656)</f>
        <v>1602.96866431183</v>
      </c>
      <c r="R657" s="55" t="n">
        <f aca="false">R$4+Q657/V$32</f>
        <v>55.5891753937069</v>
      </c>
    </row>
    <row r="658" customFormat="false" ht="12.8" hidden="false" customHeight="false" outlineLevel="0" collapsed="false">
      <c r="A658" s="1" t="n">
        <v>654</v>
      </c>
      <c r="B658" s="44" t="n">
        <v>44199</v>
      </c>
      <c r="C658" s="45" t="n">
        <f aca="false">V$30-V$30*SIN(2*PI()/365*A658)</f>
        <v>31.800619995982</v>
      </c>
      <c r="D658" s="3" t="n">
        <f aca="false">IF((E658+F658)&gt;C658,C658,E658+F658)</f>
        <v>3.55520855479544</v>
      </c>
      <c r="E658" s="46" t="n">
        <f aca="false">(V$27+V$28*SIN(2*PI()/365*A658))*V$29/100*V$9*V$10/100</f>
        <v>0</v>
      </c>
      <c r="F658" s="46" t="n">
        <f aca="false">(V$27+V$28*SIN(2*PI()/365*A658))*V$29/100*V$11*(1-V$18/100)*(1-V$20/100)</f>
        <v>3.55520855479544</v>
      </c>
      <c r="G658" s="46" t="n">
        <f aca="false">IF(C658&gt;E658,100,C658/E658*100)</f>
        <v>100</v>
      </c>
      <c r="H658" s="46" t="n">
        <f aca="false">L658/F658*100</f>
        <v>100</v>
      </c>
      <c r="I658" s="47" t="n">
        <f aca="false">(V$27+V$28*SIN(2*PI()/365*A658))*V$29/100*V$9*V$10/100*(1-V$19/100)</f>
        <v>0</v>
      </c>
      <c r="J658" s="47" t="n">
        <f aca="false">(V$27+V$28*SIN(2*PI()/365*A658))*V$29/100*V$11*(1-V$18/100)</f>
        <v>3.9068225876873</v>
      </c>
      <c r="K658" s="48" t="n">
        <f aca="false">IF(E658/C658*100&lt;100,E658/C658*100,100)</f>
        <v>0</v>
      </c>
      <c r="L658" s="7" t="n">
        <f aca="false">IF(((C658-E658)&gt;0)*AND(F658&gt;(C658-E658)),(C658-E658),IF(C658&lt;E658,0,F658))</f>
        <v>3.55520855479544</v>
      </c>
      <c r="M658" s="7" t="n">
        <f aca="false">IF(C658&lt;(E658+F658),0,C658-E658-F658)</f>
        <v>28.2454114411865</v>
      </c>
      <c r="N658" s="7" t="n">
        <f aca="false">IF(C658&lt;(E658+F658),0,(C658-E658-F658)/(1-V$20/100))</f>
        <v>31.0389136716336</v>
      </c>
      <c r="O658" s="7" t="n">
        <f aca="false">L658+M658</f>
        <v>31.800619995982</v>
      </c>
      <c r="P658" s="49" t="n">
        <f aca="false">IF(N658=0,I658*(1-G658/100)+J658*(1-H658/100),-N658)</f>
        <v>-31.0389136716336</v>
      </c>
      <c r="Q658" s="54" t="n">
        <f aca="false">IF(P657&gt;0,Q657+P657*(1-V$24/100),Q657+P657)</f>
        <v>1571.77559348545</v>
      </c>
      <c r="R658" s="55" t="n">
        <f aca="false">R$4+Q658/V$32</f>
        <v>55.28581684216</v>
      </c>
    </row>
    <row r="659" customFormat="false" ht="12.8" hidden="false" customHeight="false" outlineLevel="0" collapsed="false">
      <c r="A659" s="1" t="n">
        <v>655</v>
      </c>
      <c r="B659" s="44" t="n">
        <v>44200</v>
      </c>
      <c r="C659" s="45" t="n">
        <f aca="false">V$30-V$30*SIN(2*PI()/365*A659)</f>
        <v>31.7260395564469</v>
      </c>
      <c r="D659" s="3" t="n">
        <f aca="false">IF((E659+F659)&gt;C659,C659,E659+F659)</f>
        <v>3.63019532539091</v>
      </c>
      <c r="E659" s="46" t="n">
        <f aca="false">(V$27+V$28*SIN(2*PI()/365*A659))*V$29/100*V$9*V$10/100</f>
        <v>0</v>
      </c>
      <c r="F659" s="46" t="n">
        <f aca="false">(V$27+V$28*SIN(2*PI()/365*A659))*V$29/100*V$11*(1-V$18/100)*(1-V$20/100)</f>
        <v>3.63019532539091</v>
      </c>
      <c r="G659" s="46" t="n">
        <f aca="false">IF(C659&gt;E659,100,C659/E659*100)</f>
        <v>100</v>
      </c>
      <c r="H659" s="46" t="n">
        <f aca="false">L659/F659*100</f>
        <v>100</v>
      </c>
      <c r="I659" s="47" t="n">
        <f aca="false">(V$27+V$28*SIN(2*PI()/365*A659))*V$29/100*V$9*V$10/100*(1-V$19/100)</f>
        <v>0</v>
      </c>
      <c r="J659" s="47" t="n">
        <f aca="false">(V$27+V$28*SIN(2*PI()/365*A659))*V$29/100*V$11*(1-V$18/100)</f>
        <v>3.9892256322977</v>
      </c>
      <c r="K659" s="48" t="n">
        <f aca="false">IF(E659/C659*100&lt;100,E659/C659*100,100)</f>
        <v>0</v>
      </c>
      <c r="L659" s="7" t="n">
        <f aca="false">IF(((C659-E659)&gt;0)*AND(F659&gt;(C659-E659)),(C659-E659),IF(C659&lt;E659,0,F659))</f>
        <v>3.63019532539091</v>
      </c>
      <c r="M659" s="7" t="n">
        <f aca="false">IF(C659&lt;(E659+F659),0,C659-E659-F659)</f>
        <v>28.0958442310559</v>
      </c>
      <c r="N659" s="7" t="n">
        <f aca="false">IF(C659&lt;(E659+F659),0,(C659-E659-F659)/(1-V$20/100))</f>
        <v>30.8745541000615</v>
      </c>
      <c r="O659" s="7" t="n">
        <f aca="false">L659+M659</f>
        <v>31.7260395564469</v>
      </c>
      <c r="P659" s="49" t="n">
        <f aca="false">IF(N659=0,I659*(1-G659/100)+J659*(1-H659/100),-N659)</f>
        <v>-30.8745541000615</v>
      </c>
      <c r="Q659" s="54" t="n">
        <f aca="false">IF(P658&gt;0,Q658+P658*(1-V$24/100),Q658+P658)</f>
        <v>1540.73667981382</v>
      </c>
      <c r="R659" s="55" t="n">
        <f aca="false">R$4+Q659/V$32</f>
        <v>54.9839574982876</v>
      </c>
    </row>
    <row r="660" customFormat="false" ht="12.8" hidden="false" customHeight="false" outlineLevel="0" collapsed="false">
      <c r="A660" s="1" t="n">
        <v>656</v>
      </c>
      <c r="B660" s="44" t="n">
        <v>44201</v>
      </c>
      <c r="C660" s="45" t="n">
        <f aca="false">V$30-V$30*SIN(2*PI()/365*A660)</f>
        <v>31.646851728297</v>
      </c>
      <c r="D660" s="3" t="n">
        <f aca="false">IF((E660+F660)&gt;C660,C660,E660+F660)</f>
        <v>3.70981458669379</v>
      </c>
      <c r="E660" s="46" t="n">
        <f aca="false">(V$27+V$28*SIN(2*PI()/365*A660))*V$29/100*V$9*V$10/100</f>
        <v>0</v>
      </c>
      <c r="F660" s="46" t="n">
        <f aca="false">(V$27+V$28*SIN(2*PI()/365*A660))*V$29/100*V$11*(1-V$18/100)*(1-V$20/100)</f>
        <v>3.70981458669379</v>
      </c>
      <c r="G660" s="46" t="n">
        <f aca="false">IF(C660&gt;E660,100,C660/E660*100)</f>
        <v>100</v>
      </c>
      <c r="H660" s="46" t="n">
        <f aca="false">L660/F660*100</f>
        <v>100</v>
      </c>
      <c r="I660" s="47" t="n">
        <f aca="false">(V$27+V$28*SIN(2*PI()/365*A660))*V$29/100*V$9*V$10/100*(1-V$19/100)</f>
        <v>0</v>
      </c>
      <c r="J660" s="47" t="n">
        <f aca="false">(V$27+V$28*SIN(2*PI()/365*A660))*V$29/100*V$11*(1-V$18/100)</f>
        <v>4.07671932603713</v>
      </c>
      <c r="K660" s="48" t="n">
        <f aca="false">IF(E660/C660*100&lt;100,E660/C660*100,100)</f>
        <v>0</v>
      </c>
      <c r="L660" s="7" t="n">
        <f aca="false">IF(((C660-E660)&gt;0)*AND(F660&gt;(C660-E660)),(C660-E660),IF(C660&lt;E660,0,F660))</f>
        <v>3.70981458669379</v>
      </c>
      <c r="M660" s="7" t="n">
        <f aca="false">IF(C660&lt;(E660+F660),0,C660-E660-F660)</f>
        <v>27.9370371416032</v>
      </c>
      <c r="N660" s="7" t="n">
        <f aca="false">IF(C660&lt;(E660+F660),0,(C660-E660-F660)/(1-V$20/100))</f>
        <v>30.7000408149485</v>
      </c>
      <c r="O660" s="7" t="n">
        <f aca="false">L660+M660</f>
        <v>31.646851728297</v>
      </c>
      <c r="P660" s="49" t="n">
        <f aca="false">IF(N660=0,I660*(1-G660/100)+J660*(1-H660/100),-N660)</f>
        <v>-30.7000408149485</v>
      </c>
      <c r="Q660" s="54" t="n">
        <f aca="false">IF(P659&gt;0,Q659+P659*(1-V$24/100),Q659+P659)</f>
        <v>1509.86212571376</v>
      </c>
      <c r="R660" s="55" t="n">
        <f aca="false">R$4+Q660/V$32</f>
        <v>54.6836965825354</v>
      </c>
    </row>
    <row r="661" customFormat="false" ht="12.8" hidden="false" customHeight="false" outlineLevel="0" collapsed="false">
      <c r="A661" s="1" t="n">
        <v>657</v>
      </c>
      <c r="B661" s="44" t="n">
        <v>44202</v>
      </c>
      <c r="C661" s="45" t="n">
        <f aca="false">V$30-V$30*SIN(2*PI()/365*A661)</f>
        <v>31.5630799765948</v>
      </c>
      <c r="D661" s="3" t="n">
        <f aca="false">IF((E661+F661)&gt;C661,C661,E661+F661)</f>
        <v>3.79404274579862</v>
      </c>
      <c r="E661" s="46" t="n">
        <f aca="false">(V$27+V$28*SIN(2*PI()/365*A661))*V$29/100*V$9*V$10/100</f>
        <v>0</v>
      </c>
      <c r="F661" s="46" t="n">
        <f aca="false">(V$27+V$28*SIN(2*PI()/365*A661))*V$29/100*V$11*(1-V$18/100)*(1-V$20/100)</f>
        <v>3.79404274579862</v>
      </c>
      <c r="G661" s="46" t="n">
        <f aca="false">IF(C661&gt;E661,100,C661/E661*100)</f>
        <v>100</v>
      </c>
      <c r="H661" s="46" t="n">
        <f aca="false">L661/F661*100</f>
        <v>100</v>
      </c>
      <c r="I661" s="47" t="n">
        <f aca="false">(V$27+V$28*SIN(2*PI()/365*A661))*V$29/100*V$9*V$10/100*(1-V$19/100)</f>
        <v>0</v>
      </c>
      <c r="J661" s="47" t="n">
        <f aca="false">(V$27+V$28*SIN(2*PI()/365*A661))*V$29/100*V$11*(1-V$18/100)</f>
        <v>4.16927774263585</v>
      </c>
      <c r="K661" s="48" t="n">
        <f aca="false">IF(E661/C661*100&lt;100,E661/C661*100,100)</f>
        <v>0</v>
      </c>
      <c r="L661" s="7" t="n">
        <f aca="false">IF(((C661-E661)&gt;0)*AND(F661&gt;(C661-E661)),(C661-E661),IF(C661&lt;E661,0,F661))</f>
        <v>3.79404274579862</v>
      </c>
      <c r="M661" s="7" t="n">
        <f aca="false">IF(C661&lt;(E661+F661),0,C661-E661-F661)</f>
        <v>27.7690372307961</v>
      </c>
      <c r="N661" s="7" t="n">
        <f aca="false">IF(C661&lt;(E661+F661),0,(C661-E661-F661)/(1-V$20/100))</f>
        <v>30.5154255283474</v>
      </c>
      <c r="O661" s="7" t="n">
        <f aca="false">L661+M661</f>
        <v>31.5630799765948</v>
      </c>
      <c r="P661" s="49" t="n">
        <f aca="false">IF(N661=0,I661*(1-G661/100)+J661*(1-H661/100),-N661)</f>
        <v>-30.5154255283474</v>
      </c>
      <c r="Q661" s="54" t="n">
        <f aca="false">IF(P660&gt;0,Q660+P660*(1-V$24/100),Q660+P660)</f>
        <v>1479.16208489881</v>
      </c>
      <c r="R661" s="55" t="n">
        <f aca="false">R$4+Q661/V$32</f>
        <v>54.3851328417004</v>
      </c>
    </row>
    <row r="662" customFormat="false" ht="12.8" hidden="false" customHeight="false" outlineLevel="0" collapsed="false">
      <c r="A662" s="1" t="n">
        <v>658</v>
      </c>
      <c r="B662" s="44" t="n">
        <v>44203</v>
      </c>
      <c r="C662" s="45" t="n">
        <f aca="false">V$30-V$30*SIN(2*PI()/365*A662)</f>
        <v>31.4747491247183</v>
      </c>
      <c r="D662" s="3" t="n">
        <f aca="false">IF((E662+F662)&gt;C662,C662,E662+F662)</f>
        <v>3.88285484408408</v>
      </c>
      <c r="E662" s="46" t="n">
        <f aca="false">(V$27+V$28*SIN(2*PI()/365*A662))*V$29/100*V$9*V$10/100</f>
        <v>0</v>
      </c>
      <c r="F662" s="46" t="n">
        <f aca="false">(V$27+V$28*SIN(2*PI()/365*A662))*V$29/100*V$11*(1-V$18/100)*(1-V$20/100)</f>
        <v>3.88285484408408</v>
      </c>
      <c r="G662" s="46" t="n">
        <f aca="false">IF(C662&gt;E662,100,C662/E662*100)</f>
        <v>100</v>
      </c>
      <c r="H662" s="46" t="n">
        <f aca="false">L662/F662*100</f>
        <v>100</v>
      </c>
      <c r="I662" s="47" t="n">
        <f aca="false">(V$27+V$28*SIN(2*PI()/365*A662))*V$29/100*V$9*V$10/100*(1-V$19/100)</f>
        <v>0</v>
      </c>
      <c r="J662" s="47" t="n">
        <f aca="false">(V$27+V$28*SIN(2*PI()/365*A662))*V$29/100*V$11*(1-V$18/100)</f>
        <v>4.26687345503745</v>
      </c>
      <c r="K662" s="48" t="n">
        <f aca="false">IF(E662/C662*100&lt;100,E662/C662*100,100)</f>
        <v>0</v>
      </c>
      <c r="L662" s="7" t="n">
        <f aca="false">IF(((C662-E662)&gt;0)*AND(F662&gt;(C662-E662)),(C662-E662),IF(C662&lt;E662,0,F662))</f>
        <v>3.88285484408408</v>
      </c>
      <c r="M662" s="7" t="n">
        <f aca="false">IF(C662&lt;(E662+F662),0,C662-E662-F662)</f>
        <v>27.5918942806342</v>
      </c>
      <c r="N662" s="7" t="n">
        <f aca="false">IF(C662&lt;(E662+F662),0,(C662-E662-F662)/(1-V$20/100))</f>
        <v>30.3207629457519</v>
      </c>
      <c r="O662" s="7" t="n">
        <f aca="false">L662+M662</f>
        <v>31.4747491247183</v>
      </c>
      <c r="P662" s="49" t="n">
        <f aca="false">IF(N662=0,I662*(1-G662/100)+J662*(1-H662/100),-N662)</f>
        <v>-30.3207629457519</v>
      </c>
      <c r="Q662" s="54" t="n">
        <f aca="false">IF(P661&gt;0,Q661+P661*(1-V$24/100),Q661+P661)</f>
        <v>1448.64665937046</v>
      </c>
      <c r="R662" s="55" t="n">
        <f aca="false">R$4+Q662/V$32</f>
        <v>54.08836451967</v>
      </c>
    </row>
    <row r="663" customFormat="false" ht="12.8" hidden="false" customHeight="false" outlineLevel="0" collapsed="false">
      <c r="A663" s="1" t="n">
        <v>659</v>
      </c>
      <c r="B663" s="44" t="n">
        <v>44204</v>
      </c>
      <c r="C663" s="45" t="n">
        <f aca="false">V$30-V$30*SIN(2*PI()/365*A663)</f>
        <v>31.3818853470052</v>
      </c>
      <c r="D663" s="3" t="n">
        <f aca="false">IF((E663+F663)&gt;C663,C663,E663+F663)</f>
        <v>3.9762245646087</v>
      </c>
      <c r="E663" s="46" t="n">
        <f aca="false">(V$27+V$28*SIN(2*PI()/365*A663))*V$29/100*V$9*V$10/100</f>
        <v>0</v>
      </c>
      <c r="F663" s="46" t="n">
        <f aca="false">(V$27+V$28*SIN(2*PI()/365*A663))*V$29/100*V$11*(1-V$18/100)*(1-V$20/100)</f>
        <v>3.9762245646087</v>
      </c>
      <c r="G663" s="46" t="n">
        <f aca="false">IF(C663&gt;E663,100,C663/E663*100)</f>
        <v>100</v>
      </c>
      <c r="H663" s="46" t="n">
        <f aca="false">L663/F663*100</f>
        <v>100</v>
      </c>
      <c r="I663" s="47" t="n">
        <f aca="false">(V$27+V$28*SIN(2*PI()/365*A663))*V$29/100*V$9*V$10/100*(1-V$19/100)</f>
        <v>0</v>
      </c>
      <c r="J663" s="47" t="n">
        <f aca="false">(V$27+V$28*SIN(2*PI()/365*A663))*V$29/100*V$11*(1-V$18/100)</f>
        <v>4.36947754352605</v>
      </c>
      <c r="K663" s="48" t="n">
        <f aca="false">IF(E663/C663*100&lt;100,E663/C663*100,100)</f>
        <v>0</v>
      </c>
      <c r="L663" s="7" t="n">
        <f aca="false">IF(((C663-E663)&gt;0)*AND(F663&gt;(C663-E663)),(C663-E663),IF(C663&lt;E663,0,F663))</f>
        <v>3.9762245646087</v>
      </c>
      <c r="M663" s="7" t="n">
        <f aca="false">IF(C663&lt;(E663+F663),0,C663-E663-F663)</f>
        <v>27.4056607823965</v>
      </c>
      <c r="N663" s="7" t="n">
        <f aca="false">IF(C663&lt;(E663+F663),0,(C663-E663-F663)/(1-V$20/100))</f>
        <v>30.1161107498863</v>
      </c>
      <c r="O663" s="7" t="n">
        <f aca="false">L663+M663</f>
        <v>31.3818853470052</v>
      </c>
      <c r="P663" s="49" t="n">
        <f aca="false">IF(N663=0,I663*(1-G663/100)+J663*(1-H663/100),-N663)</f>
        <v>-30.1161107498863</v>
      </c>
      <c r="Q663" s="54" t="n">
        <f aca="false">IF(P662&gt;0,Q662+P662*(1-V$24/100),Q662+P662)</f>
        <v>1418.32589642471</v>
      </c>
      <c r="R663" s="55" t="n">
        <f aca="false">R$4+Q663/V$32</f>
        <v>53.7934893283105</v>
      </c>
    </row>
    <row r="664" customFormat="false" ht="12.8" hidden="false" customHeight="false" outlineLevel="0" collapsed="false">
      <c r="A664" s="1" t="n">
        <v>660</v>
      </c>
      <c r="B664" s="44" t="n">
        <v>44205</v>
      </c>
      <c r="C664" s="45" t="n">
        <f aca="false">V$30-V$30*SIN(2*PI()/365*A664)</f>
        <v>31.2845161609971</v>
      </c>
      <c r="D664" s="3" t="n">
        <f aca="false">IF((E664+F664)&gt;C664,C664,E664+F664)</f>
        <v>4.07412423990925</v>
      </c>
      <c r="E664" s="46" t="n">
        <f aca="false">(V$27+V$28*SIN(2*PI()/365*A664))*V$29/100*V$9*V$10/100</f>
        <v>0</v>
      </c>
      <c r="F664" s="46" t="n">
        <f aca="false">(V$27+V$28*SIN(2*PI()/365*A664))*V$29/100*V$11*(1-V$18/100)*(1-V$20/100)</f>
        <v>4.07412423990925</v>
      </c>
      <c r="G664" s="46" t="n">
        <f aca="false">IF(C664&gt;E664,100,C664/E664*100)</f>
        <v>100</v>
      </c>
      <c r="H664" s="46" t="n">
        <f aca="false">L664/F664*100</f>
        <v>100</v>
      </c>
      <c r="I664" s="47" t="n">
        <f aca="false">(V$27+V$28*SIN(2*PI()/365*A664))*V$29/100*V$9*V$10/100*(1-V$19/100)</f>
        <v>0</v>
      </c>
      <c r="J664" s="47" t="n">
        <f aca="false">(V$27+V$28*SIN(2*PI()/365*A664))*V$29/100*V$11*(1-V$18/100)</f>
        <v>4.47705960429588</v>
      </c>
      <c r="K664" s="48" t="n">
        <f aca="false">IF(E664/C664*100&lt;100,E664/C664*100,100)</f>
        <v>0</v>
      </c>
      <c r="L664" s="7" t="n">
        <f aca="false">IF(((C664-E664)&gt;0)*AND(F664&gt;(C664-E664)),(C664-E664),IF(C664&lt;E664,0,F664))</f>
        <v>4.07412423990925</v>
      </c>
      <c r="M664" s="7" t="n">
        <f aca="false">IF(C664&lt;(E664+F664),0,C664-E664-F664)</f>
        <v>27.2103919210878</v>
      </c>
      <c r="N664" s="7" t="n">
        <f aca="false">IF(C664&lt;(E664+F664),0,(C664-E664-F664)/(1-V$20/100))</f>
        <v>29.901529583613</v>
      </c>
      <c r="O664" s="7" t="n">
        <f aca="false">L664+M664</f>
        <v>31.2845161609971</v>
      </c>
      <c r="P664" s="49" t="n">
        <f aca="false">IF(N664=0,I664*(1-G664/100)+J664*(1-H664/100),-N664)</f>
        <v>-29.901529583613</v>
      </c>
      <c r="Q664" s="54" t="n">
        <f aca="false">IF(P663&gt;0,Q663+P663*(1-V$24/100),Q663+P663)</f>
        <v>1388.20978567482</v>
      </c>
      <c r="R664" s="55" t="n">
        <f aca="false">R$4+Q664/V$32</f>
        <v>53.5006044185123</v>
      </c>
    </row>
    <row r="665" customFormat="false" ht="12.8" hidden="false" customHeight="false" outlineLevel="0" collapsed="false">
      <c r="A665" s="1" t="n">
        <v>661</v>
      </c>
      <c r="B665" s="44" t="n">
        <v>44206</v>
      </c>
      <c r="C665" s="45" t="n">
        <f aca="false">V$30-V$30*SIN(2*PI()/365*A665)</f>
        <v>31.1826704192851</v>
      </c>
      <c r="D665" s="3" t="n">
        <f aca="false">IF((E665+F665)&gt;C665,C665,E665+F665)</f>
        <v>4.17652486019904</v>
      </c>
      <c r="E665" s="46" t="n">
        <f aca="false">(V$27+V$28*SIN(2*PI()/365*A665))*V$29/100*V$9*V$10/100</f>
        <v>0</v>
      </c>
      <c r="F665" s="46" t="n">
        <f aca="false">(V$27+V$28*SIN(2*PI()/365*A665))*V$29/100*V$11*(1-V$18/100)*(1-V$20/100)</f>
        <v>4.17652486019904</v>
      </c>
      <c r="G665" s="46" t="n">
        <f aca="false">IF(C665&gt;E665,100,C665/E665*100)</f>
        <v>100</v>
      </c>
      <c r="H665" s="46" t="n">
        <f aca="false">L665/F665*100</f>
        <v>100</v>
      </c>
      <c r="I665" s="47" t="n">
        <f aca="false">(V$27+V$28*SIN(2*PI()/365*A665))*V$29/100*V$9*V$10/100*(1-V$19/100)</f>
        <v>0</v>
      </c>
      <c r="J665" s="47" t="n">
        <f aca="false">(V$27+V$28*SIN(2*PI()/365*A665))*V$29/100*V$11*(1-V$18/100)</f>
        <v>4.58958775846048</v>
      </c>
      <c r="K665" s="48" t="n">
        <f aca="false">IF(E665/C665*100&lt;100,E665/C665*100,100)</f>
        <v>0</v>
      </c>
      <c r="L665" s="7" t="n">
        <f aca="false">IF(((C665-E665)&gt;0)*AND(F665&gt;(C665-E665)),(C665-E665),IF(C665&lt;E665,0,F665))</f>
        <v>4.17652486019904</v>
      </c>
      <c r="M665" s="7" t="n">
        <f aca="false">IF(C665&lt;(E665+F665),0,C665-E665-F665)</f>
        <v>27.0061455590861</v>
      </c>
      <c r="N665" s="7" t="n">
        <f aca="false">IF(C665&lt;(E665+F665),0,(C665-E665-F665)/(1-V$20/100))</f>
        <v>29.6770830319627</v>
      </c>
      <c r="O665" s="7" t="n">
        <f aca="false">L665+M665</f>
        <v>31.1826704192851</v>
      </c>
      <c r="P665" s="49" t="n">
        <f aca="false">IF(N665=0,I665*(1-G665/100)+J665*(1-H665/100),-N665)</f>
        <v>-29.6770830319627</v>
      </c>
      <c r="Q665" s="54" t="n">
        <f aca="false">IF(P664&gt;0,Q664+P664*(1-V$24/100),Q664+P664)</f>
        <v>1358.30825609121</v>
      </c>
      <c r="R665" s="55" t="n">
        <f aca="false">R$4+Q665/V$32</f>
        <v>53.2098063514028</v>
      </c>
    </row>
    <row r="666" customFormat="false" ht="12.8" hidden="false" customHeight="false" outlineLevel="0" collapsed="false">
      <c r="A666" s="1" t="n">
        <v>662</v>
      </c>
      <c r="B666" s="44" t="n">
        <v>44207</v>
      </c>
      <c r="C666" s="45" t="n">
        <f aca="false">V$30-V$30*SIN(2*PI()/365*A666)</f>
        <v>31.0763783009605</v>
      </c>
      <c r="D666" s="3" t="n">
        <f aca="false">IF((E666+F666)&gt;C666,C666,E666+F666)</f>
        <v>4.28339608196432</v>
      </c>
      <c r="E666" s="46" t="n">
        <f aca="false">(V$27+V$28*SIN(2*PI()/365*A666))*V$29/100*V$9*V$10/100</f>
        <v>0</v>
      </c>
      <c r="F666" s="46" t="n">
        <f aca="false">(V$27+V$28*SIN(2*PI()/365*A666))*V$29/100*V$11*(1-V$18/100)*(1-V$20/100)</f>
        <v>4.28339608196432</v>
      </c>
      <c r="G666" s="46" t="n">
        <f aca="false">IF(C666&gt;E666,100,C666/E666*100)</f>
        <v>100</v>
      </c>
      <c r="H666" s="46" t="n">
        <f aca="false">L666/F666*100</f>
        <v>100</v>
      </c>
      <c r="I666" s="47" t="n">
        <f aca="false">(V$27+V$28*SIN(2*PI()/365*A666))*V$29/100*V$9*V$10/100*(1-V$19/100)</f>
        <v>0</v>
      </c>
      <c r="J666" s="47" t="n">
        <f aca="false">(V$27+V$28*SIN(2*PI()/365*A666))*V$29/100*V$11*(1-V$18/100)</f>
        <v>4.70702866149925</v>
      </c>
      <c r="K666" s="48" t="n">
        <f aca="false">IF(E666/C666*100&lt;100,E666/C666*100,100)</f>
        <v>0</v>
      </c>
      <c r="L666" s="7" t="n">
        <f aca="false">IF(((C666-E666)&gt;0)*AND(F666&gt;(C666-E666)),(C666-E666),IF(C666&lt;E666,0,F666))</f>
        <v>4.28339608196432</v>
      </c>
      <c r="M666" s="7" t="n">
        <f aca="false">IF(C666&lt;(E666+F666),0,C666-E666-F666)</f>
        <v>26.7929822189962</v>
      </c>
      <c r="N666" s="7" t="n">
        <f aca="false">IF(C666&lt;(E666+F666),0,(C666-E666-F666)/(1-V$20/100))</f>
        <v>29.4428376032926</v>
      </c>
      <c r="O666" s="7" t="n">
        <f aca="false">L666+M666</f>
        <v>31.0763783009605</v>
      </c>
      <c r="P666" s="49" t="n">
        <f aca="false">IF(N666=0,I666*(1-G666/100)+J666*(1-H666/100),-N666)</f>
        <v>-29.4428376032926</v>
      </c>
      <c r="Q666" s="54" t="n">
        <f aca="false">IF(P665&gt;0,Q665+P665*(1-V$24/100),Q665+P665)</f>
        <v>1328.63117305925</v>
      </c>
      <c r="R666" s="55" t="n">
        <f aca="false">R$4+Q666/V$32</f>
        <v>52.9211910697326</v>
      </c>
    </row>
    <row r="667" customFormat="false" ht="12.8" hidden="false" customHeight="false" outlineLevel="0" collapsed="false">
      <c r="A667" s="1" t="n">
        <v>663</v>
      </c>
      <c r="B667" s="44" t="n">
        <v>44208</v>
      </c>
      <c r="C667" s="45" t="n">
        <f aca="false">V$30-V$30*SIN(2*PI()/365*A667)</f>
        <v>30.9656713026721</v>
      </c>
      <c r="D667" s="3" t="n">
        <f aca="false">IF((E667+F667)&gt;C667,C667,E667+F667)</f>
        <v>4.3947062369556</v>
      </c>
      <c r="E667" s="46" t="n">
        <f aca="false">(V$27+V$28*SIN(2*PI()/365*A667))*V$29/100*V$9*V$10/100</f>
        <v>0</v>
      </c>
      <c r="F667" s="46" t="n">
        <f aca="false">(V$27+V$28*SIN(2*PI()/365*A667))*V$29/100*V$11*(1-V$18/100)*(1-V$20/100)</f>
        <v>4.3947062369556</v>
      </c>
      <c r="G667" s="46" t="n">
        <f aca="false">IF(C667&gt;E667,100,C667/E667*100)</f>
        <v>100</v>
      </c>
      <c r="H667" s="46" t="n">
        <f aca="false">L667/F667*100</f>
        <v>100</v>
      </c>
      <c r="I667" s="47" t="n">
        <f aca="false">(V$27+V$28*SIN(2*PI()/365*A667))*V$29/100*V$9*V$10/100*(1-V$19/100)</f>
        <v>0</v>
      </c>
      <c r="J667" s="47" t="n">
        <f aca="false">(V$27+V$28*SIN(2*PI()/365*A667))*V$29/100*V$11*(1-V$18/100)</f>
        <v>4.82934751313802</v>
      </c>
      <c r="K667" s="48" t="n">
        <f aca="false">IF(E667/C667*100&lt;100,E667/C667*100,100)</f>
        <v>0</v>
      </c>
      <c r="L667" s="7" t="n">
        <f aca="false">IF(((C667-E667)&gt;0)*AND(F667&gt;(C667-E667)),(C667-E667),IF(C667&lt;E667,0,F667))</f>
        <v>4.3947062369556</v>
      </c>
      <c r="M667" s="7" t="n">
        <f aca="false">IF(C667&lt;(E667+F667),0,C667-E667-F667)</f>
        <v>26.5709650657165</v>
      </c>
      <c r="N667" s="7" t="n">
        <f aca="false">IF(C667&lt;(E667+F667),0,(C667-E667-F667)/(1-V$20/100))</f>
        <v>29.1988627095785</v>
      </c>
      <c r="O667" s="7" t="n">
        <f aca="false">L667+M667</f>
        <v>30.9656713026721</v>
      </c>
      <c r="P667" s="49" t="n">
        <f aca="false">IF(N667=0,I667*(1-G667/100)+J667*(1-H667/100),-N667)</f>
        <v>-29.1988627095785</v>
      </c>
      <c r="Q667" s="54" t="n">
        <f aca="false">IF(P666&gt;0,Q666+P666*(1-V$24/100),Q666+P666)</f>
        <v>1299.18833545595</v>
      </c>
      <c r="R667" s="55" t="n">
        <f aca="false">R$4+Q667/V$32</f>
        <v>52.634853869446</v>
      </c>
    </row>
    <row r="668" customFormat="false" ht="12.8" hidden="false" customHeight="false" outlineLevel="0" collapsed="false">
      <c r="A668" s="1" t="n">
        <v>664</v>
      </c>
      <c r="B668" s="44" t="n">
        <v>44209</v>
      </c>
      <c r="C668" s="45" t="n">
        <f aca="false">V$30-V$30*SIN(2*PI()/365*A668)</f>
        <v>30.8505822292925</v>
      </c>
      <c r="D668" s="3" t="n">
        <f aca="false">IF((E668+F668)&gt;C668,C668,E668+F668)</f>
        <v>4.5104223415717</v>
      </c>
      <c r="E668" s="46" t="n">
        <f aca="false">(V$27+V$28*SIN(2*PI()/365*A668))*V$29/100*V$9*V$10/100</f>
        <v>0</v>
      </c>
      <c r="F668" s="46" t="n">
        <f aca="false">(V$27+V$28*SIN(2*PI()/365*A668))*V$29/100*V$11*(1-V$18/100)*(1-V$20/100)</f>
        <v>4.5104223415717</v>
      </c>
      <c r="G668" s="46" t="n">
        <f aca="false">IF(C668&gt;E668,100,C668/E668*100)</f>
        <v>100</v>
      </c>
      <c r="H668" s="46" t="n">
        <f aca="false">L668/F668*100</f>
        <v>100</v>
      </c>
      <c r="I668" s="47" t="n">
        <f aca="false">(V$27+V$28*SIN(2*PI()/365*A668))*V$29/100*V$9*V$10/100*(1-V$19/100)</f>
        <v>0</v>
      </c>
      <c r="J668" s="47" t="n">
        <f aca="false">(V$27+V$28*SIN(2*PI()/365*A668))*V$29/100*V$11*(1-V$18/100)</f>
        <v>4.95650806766121</v>
      </c>
      <c r="K668" s="48" t="n">
        <f aca="false">IF(E668/C668*100&lt;100,E668/C668*100,100)</f>
        <v>0</v>
      </c>
      <c r="L668" s="7" t="n">
        <f aca="false">IF(((C668-E668)&gt;0)*AND(F668&gt;(C668-E668)),(C668-E668),IF(C668&lt;E668,0,F668))</f>
        <v>4.5104223415717</v>
      </c>
      <c r="M668" s="7" t="n">
        <f aca="false">IF(C668&lt;(E668+F668),0,C668-E668-F668)</f>
        <v>26.3401598877208</v>
      </c>
      <c r="N668" s="7" t="n">
        <f aca="false">IF(C668&lt;(E668+F668),0,(C668-E668-F668)/(1-V$20/100))</f>
        <v>28.945230645847</v>
      </c>
      <c r="O668" s="7" t="n">
        <f aca="false">L668+M668</f>
        <v>30.8505822292925</v>
      </c>
      <c r="P668" s="49" t="n">
        <f aca="false">IF(N668=0,I668*(1-G668/100)+J668*(1-H668/100),-N668)</f>
        <v>-28.945230645847</v>
      </c>
      <c r="Q668" s="54" t="n">
        <f aca="false">IF(P667&gt;0,Q667+P667*(1-V$24/100),Q667+P667)</f>
        <v>1269.98947274638</v>
      </c>
      <c r="R668" s="55" t="n">
        <f aca="false">R$4+Q668/V$32</f>
        <v>52.3508893714426</v>
      </c>
    </row>
    <row r="669" customFormat="false" ht="12.8" hidden="false" customHeight="false" outlineLevel="0" collapsed="false">
      <c r="A669" s="1" t="n">
        <v>665</v>
      </c>
      <c r="B669" s="44" t="n">
        <v>44210</v>
      </c>
      <c r="C669" s="45" t="n">
        <f aca="false">V$30-V$30*SIN(2*PI()/365*A669)</f>
        <v>30.7311451841981</v>
      </c>
      <c r="D669" s="3" t="n">
        <f aca="false">IF((E669+F669)&gt;C669,C669,E669+F669)</f>
        <v>4.63051010663344</v>
      </c>
      <c r="E669" s="46" t="n">
        <f aca="false">(V$27+V$28*SIN(2*PI()/365*A669))*V$29/100*V$9*V$10/100</f>
        <v>0</v>
      </c>
      <c r="F669" s="46" t="n">
        <f aca="false">(V$27+V$28*SIN(2*PI()/365*A669))*V$29/100*V$11*(1-V$18/100)*(1-V$20/100)</f>
        <v>4.63051010663344</v>
      </c>
      <c r="G669" s="46" t="n">
        <f aca="false">IF(C669&gt;E669,100,C669/E669*100)</f>
        <v>100</v>
      </c>
      <c r="H669" s="46" t="n">
        <f aca="false">L669/F669*100</f>
        <v>100</v>
      </c>
      <c r="I669" s="47" t="n">
        <f aca="false">(V$27+V$28*SIN(2*PI()/365*A669))*V$29/100*V$9*V$10/100*(1-V$19/100)</f>
        <v>0</v>
      </c>
      <c r="J669" s="47" t="n">
        <f aca="false">(V$27+V$28*SIN(2*PI()/365*A669))*V$29/100*V$11*(1-V$18/100)</f>
        <v>5.08847264465214</v>
      </c>
      <c r="K669" s="48" t="n">
        <f aca="false">IF(E669/C669*100&lt;100,E669/C669*100,100)</f>
        <v>0</v>
      </c>
      <c r="L669" s="7" t="n">
        <f aca="false">IF(((C669-E669)&gt;0)*AND(F669&gt;(C669-E669)),(C669-E669),IF(C669&lt;E669,0,F669))</f>
        <v>4.63051010663344</v>
      </c>
      <c r="M669" s="7" t="n">
        <f aca="false">IF(C669&lt;(E669+F669),0,C669-E669-F669)</f>
        <v>26.1006350775646</v>
      </c>
      <c r="N669" s="7" t="n">
        <f aca="false">IF(C669&lt;(E669+F669),0,(C669-E669-F669)/(1-V$20/100))</f>
        <v>28.6820165687523</v>
      </c>
      <c r="O669" s="7" t="n">
        <f aca="false">L669+M669</f>
        <v>30.7311451841981</v>
      </c>
      <c r="P669" s="49" t="n">
        <f aca="false">IF(N669=0,I669*(1-G669/100)+J669*(1-H669/100),-N669)</f>
        <v>-28.6820165687523</v>
      </c>
      <c r="Q669" s="54" t="n">
        <f aca="false">IF(P668&gt;0,Q668+P668*(1-V$24/100),Q668+P668)</f>
        <v>1241.04424210053</v>
      </c>
      <c r="R669" s="55" t="n">
        <f aca="false">R$4+Q669/V$32</f>
        <v>52.0693914935393</v>
      </c>
    </row>
    <row r="670" customFormat="false" ht="12.8" hidden="false" customHeight="false" outlineLevel="0" collapsed="false">
      <c r="A670" s="1" t="n">
        <v>666</v>
      </c>
      <c r="B670" s="44" t="n">
        <v>44211</v>
      </c>
      <c r="C670" s="45" t="n">
        <f aca="false">V$30-V$30*SIN(2*PI()/365*A670)</f>
        <v>30.6073955591629</v>
      </c>
      <c r="D670" s="3" t="n">
        <f aca="false">IF((E670+F670)&gt;C670,C670,E670+F670)</f>
        <v>4.75493394754435</v>
      </c>
      <c r="E670" s="46" t="n">
        <f aca="false">(V$27+V$28*SIN(2*PI()/365*A670))*V$29/100*V$9*V$10/100</f>
        <v>0</v>
      </c>
      <c r="F670" s="46" t="n">
        <f aca="false">(V$27+V$28*SIN(2*PI()/365*A670))*V$29/100*V$11*(1-V$18/100)*(1-V$20/100)</f>
        <v>4.75493394754435</v>
      </c>
      <c r="G670" s="46" t="n">
        <f aca="false">IF(C670&gt;E670,100,C670/E670*100)</f>
        <v>100</v>
      </c>
      <c r="H670" s="46" t="n">
        <f aca="false">L670/F670*100</f>
        <v>100</v>
      </c>
      <c r="I670" s="47" t="n">
        <f aca="false">(V$27+V$28*SIN(2*PI()/365*A670))*V$29/100*V$9*V$10/100*(1-V$19/100)</f>
        <v>0</v>
      </c>
      <c r="J670" s="47" t="n">
        <f aca="false">(V$27+V$28*SIN(2*PI()/365*A670))*V$29/100*V$11*(1-V$18/100)</f>
        <v>5.22520214015863</v>
      </c>
      <c r="K670" s="48" t="n">
        <f aca="false">IF(E670/C670*100&lt;100,E670/C670*100,100)</f>
        <v>0</v>
      </c>
      <c r="L670" s="7" t="n">
        <f aca="false">IF(((C670-E670)&gt;0)*AND(F670&gt;(C670-E670)),(C670-E670),IF(C670&lt;E670,0,F670))</f>
        <v>4.75493394754435</v>
      </c>
      <c r="M670" s="7" t="n">
        <f aca="false">IF(C670&lt;(E670+F670),0,C670-E670-F670)</f>
        <v>25.8524616116186</v>
      </c>
      <c r="N670" s="7" t="n">
        <f aca="false">IF(C670&lt;(E670+F670),0,(C670-E670-F670)/(1-V$20/100))</f>
        <v>28.4092984743061</v>
      </c>
      <c r="O670" s="7" t="n">
        <f aca="false">L670+M670</f>
        <v>30.6073955591629</v>
      </c>
      <c r="P670" s="49" t="n">
        <f aca="false">IF(N670=0,I670*(1-G670/100)+J670*(1-H670/100),-N670)</f>
        <v>-28.4092984743061</v>
      </c>
      <c r="Q670" s="54" t="n">
        <f aca="false">IF(P669&gt;0,Q669+P669*(1-V$24/100),Q669+P669)</f>
        <v>1212.36222553178</v>
      </c>
      <c r="R670" s="55" t="n">
        <f aca="false">R$4+Q670/V$32</f>
        <v>51.7904534226398</v>
      </c>
    </row>
    <row r="671" customFormat="false" ht="12.8" hidden="false" customHeight="false" outlineLevel="0" collapsed="false">
      <c r="A671" s="1" t="n">
        <v>667</v>
      </c>
      <c r="B671" s="44" t="n">
        <v>44212</v>
      </c>
      <c r="C671" s="45" t="n">
        <f aca="false">V$30-V$30*SIN(2*PI()/365*A671)</f>
        <v>30.4793700238717</v>
      </c>
      <c r="D671" s="3" t="n">
        <f aca="false">IF((E671+F671)&gt;C671,C671,E671+F671)</f>
        <v>4.88365699483509</v>
      </c>
      <c r="E671" s="46" t="n">
        <f aca="false">(V$27+V$28*SIN(2*PI()/365*A671))*V$29/100*V$9*V$10/100</f>
        <v>0</v>
      </c>
      <c r="F671" s="46" t="n">
        <f aca="false">(V$27+V$28*SIN(2*PI()/365*A671))*V$29/100*V$11*(1-V$18/100)*(1-V$20/100)</f>
        <v>4.88365699483509</v>
      </c>
      <c r="G671" s="46" t="n">
        <f aca="false">IF(C671&gt;E671,100,C671/E671*100)</f>
        <v>100</v>
      </c>
      <c r="H671" s="46" t="n">
        <f aca="false">L671/F671*100</f>
        <v>100</v>
      </c>
      <c r="I671" s="47" t="n">
        <f aca="false">(V$27+V$28*SIN(2*PI()/365*A671))*V$29/100*V$9*V$10/100*(1-V$19/100)</f>
        <v>0</v>
      </c>
      <c r="J671" s="47" t="n">
        <f aca="false">(V$27+V$28*SIN(2*PI()/365*A671))*V$29/100*V$11*(1-V$18/100)</f>
        <v>5.36665603828032</v>
      </c>
      <c r="K671" s="48" t="n">
        <f aca="false">IF(E671/C671*100&lt;100,E671/C671*100,100)</f>
        <v>0</v>
      </c>
      <c r="L671" s="7" t="n">
        <f aca="false">IF(((C671-E671)&gt;0)*AND(F671&gt;(C671-E671)),(C671-E671),IF(C671&lt;E671,0,F671))</f>
        <v>4.88365699483509</v>
      </c>
      <c r="M671" s="7" t="n">
        <f aca="false">IF(C671&lt;(E671+F671),0,C671-E671-F671)</f>
        <v>25.5957130290367</v>
      </c>
      <c r="N671" s="7" t="n">
        <f aca="false">IF(C671&lt;(E671+F671),0,(C671-E671-F671)/(1-V$20/100))</f>
        <v>28.1271571747656</v>
      </c>
      <c r="O671" s="7" t="n">
        <f aca="false">L671+M671</f>
        <v>30.4793700238717</v>
      </c>
      <c r="P671" s="49" t="n">
        <f aca="false">IF(N671=0,I671*(1-G671/100)+J671*(1-H671/100),-N671)</f>
        <v>-28.1271571747656</v>
      </c>
      <c r="Q671" s="54" t="n">
        <f aca="false">IF(P670&gt;0,Q670+P670*(1-V$24/100),Q670+P670)</f>
        <v>1183.95292705747</v>
      </c>
      <c r="R671" s="55" t="n">
        <f aca="false">R$4+Q671/V$32</f>
        <v>51.514167587122</v>
      </c>
    </row>
    <row r="672" customFormat="false" ht="12.8" hidden="false" customHeight="false" outlineLevel="0" collapsed="false">
      <c r="A672" s="1" t="n">
        <v>668</v>
      </c>
      <c r="B672" s="44" t="n">
        <v>44213</v>
      </c>
      <c r="C672" s="45" t="n">
        <f aca="false">V$30-V$30*SIN(2*PI()/365*A672)</f>
        <v>30.3471065150536</v>
      </c>
      <c r="D672" s="3" t="n">
        <f aca="false">IF((E672+F672)&gt;C672,C672,E672+F672)</f>
        <v>5.01664110508864</v>
      </c>
      <c r="E672" s="46" t="n">
        <f aca="false">(V$27+V$28*SIN(2*PI()/365*A672))*V$29/100*V$9*V$10/100</f>
        <v>0</v>
      </c>
      <c r="F672" s="46" t="n">
        <f aca="false">(V$27+V$28*SIN(2*PI()/365*A672))*V$29/100*V$11*(1-V$18/100)*(1-V$20/100)</f>
        <v>5.01664110508864</v>
      </c>
      <c r="G672" s="46" t="n">
        <f aca="false">IF(C672&gt;E672,100,C672/E672*100)</f>
        <v>100</v>
      </c>
      <c r="H672" s="46" t="n">
        <f aca="false">L672/F672*100</f>
        <v>100</v>
      </c>
      <c r="I672" s="47" t="n">
        <f aca="false">(V$27+V$28*SIN(2*PI()/365*A672))*V$29/100*V$9*V$10/100*(1-V$19/100)</f>
        <v>0</v>
      </c>
      <c r="J672" s="47" t="n">
        <f aca="false">(V$27+V$28*SIN(2*PI()/365*A672))*V$29/100*V$11*(1-V$18/100)</f>
        <v>5.51279242317433</v>
      </c>
      <c r="K672" s="48" t="n">
        <f aca="false">IF(E672/C672*100&lt;100,E672/C672*100,100)</f>
        <v>0</v>
      </c>
      <c r="L672" s="7" t="n">
        <f aca="false">IF(((C672-E672)&gt;0)*AND(F672&gt;(C672-E672)),(C672-E672),IF(C672&lt;E672,0,F672))</f>
        <v>5.01664110508864</v>
      </c>
      <c r="M672" s="7" t="n">
        <f aca="false">IF(C672&lt;(E672+F672),0,C672-E672-F672)</f>
        <v>25.330465409965</v>
      </c>
      <c r="N672" s="7" t="n">
        <f aca="false">IF(C672&lt;(E672+F672),0,(C672-E672-F672)/(1-V$20/100))</f>
        <v>27.8356762746868</v>
      </c>
      <c r="O672" s="7" t="n">
        <f aca="false">L672+M672</f>
        <v>30.3471065150536</v>
      </c>
      <c r="P672" s="49" t="n">
        <f aca="false">IF(N672=0,I672*(1-G672/100)+J672*(1-H672/100),-N672)</f>
        <v>-27.8356762746868</v>
      </c>
      <c r="Q672" s="54" t="n">
        <f aca="false">IF(P671&gt;0,Q671+P671*(1-V$24/100),Q671+P671)</f>
        <v>1155.82576988271</v>
      </c>
      <c r="R672" s="55" t="n">
        <f aca="false">R$4+Q672/V$32</f>
        <v>51.2406256294494</v>
      </c>
    </row>
    <row r="673" customFormat="false" ht="12.8" hidden="false" customHeight="false" outlineLevel="0" collapsed="false">
      <c r="A673" s="1" t="n">
        <v>669</v>
      </c>
      <c r="B673" s="44" t="n">
        <v>44214</v>
      </c>
      <c r="C673" s="45" t="n">
        <f aca="false">V$30-V$30*SIN(2*PI()/365*A673)</f>
        <v>30.2106442252407</v>
      </c>
      <c r="D673" s="3" t="n">
        <f aca="false">IF((E673+F673)&gt;C673,C673,E673+F673)</f>
        <v>5.15384687224312</v>
      </c>
      <c r="E673" s="46" t="n">
        <f aca="false">(V$27+V$28*SIN(2*PI()/365*A673))*V$29/100*V$9*V$10/100</f>
        <v>0</v>
      </c>
      <c r="F673" s="46" t="n">
        <f aca="false">(V$27+V$28*SIN(2*PI()/365*A673))*V$29/100*V$11*(1-V$18/100)*(1-V$20/100)</f>
        <v>5.15384687224312</v>
      </c>
      <c r="G673" s="46" t="n">
        <f aca="false">IF(C673&gt;E673,100,C673/E673*100)</f>
        <v>100</v>
      </c>
      <c r="H673" s="46" t="n">
        <f aca="false">L673/F673*100</f>
        <v>100</v>
      </c>
      <c r="I673" s="47" t="n">
        <f aca="false">(V$27+V$28*SIN(2*PI()/365*A673))*V$29/100*V$9*V$10/100*(1-V$19/100)</f>
        <v>0</v>
      </c>
      <c r="J673" s="47" t="n">
        <f aca="false">(V$27+V$28*SIN(2*PI()/365*A673))*V$29/100*V$11*(1-V$18/100)</f>
        <v>5.66356799147596</v>
      </c>
      <c r="K673" s="48" t="n">
        <f aca="false">IF(E673/C673*100&lt;100,E673/C673*100,100)</f>
        <v>0</v>
      </c>
      <c r="L673" s="7" t="n">
        <f aca="false">IF(((C673-E673)&gt;0)*AND(F673&gt;(C673-E673)),(C673-E673),IF(C673&lt;E673,0,F673))</f>
        <v>5.15384687224312</v>
      </c>
      <c r="M673" s="7" t="n">
        <f aca="false">IF(C673&lt;(E673+F673),0,C673-E673-F673)</f>
        <v>25.0567973529976</v>
      </c>
      <c r="N673" s="7" t="n">
        <f aca="false">IF(C673&lt;(E673+F673),0,(C673-E673-F673)/(1-V$20/100))</f>
        <v>27.5349421461512</v>
      </c>
      <c r="O673" s="7" t="n">
        <f aca="false">L673+M673</f>
        <v>30.2106442252407</v>
      </c>
      <c r="P673" s="49" t="n">
        <f aca="false">IF(N673=0,I673*(1-G673/100)+J673*(1-H673/100),-N673)</f>
        <v>-27.5349421461512</v>
      </c>
      <c r="Q673" s="54" t="n">
        <f aca="false">IF(P672&gt;0,Q672+P672*(1-V$24/100),Q672+P672)</f>
        <v>1127.99009360802</v>
      </c>
      <c r="R673" s="55" t="n">
        <f aca="false">R$4+Q673/V$32</f>
        <v>50.9699183790149</v>
      </c>
    </row>
    <row r="674" customFormat="false" ht="12.8" hidden="false" customHeight="false" outlineLevel="0" collapsed="false">
      <c r="A674" s="1" t="n">
        <v>670</v>
      </c>
      <c r="B674" s="44" t="n">
        <v>44215</v>
      </c>
      <c r="C674" s="45" t="n">
        <f aca="false">V$30-V$30*SIN(2*PI()/365*A674)</f>
        <v>30.0700235911545</v>
      </c>
      <c r="D674" s="3" t="n">
        <f aca="false">IF((E674+F674)&gt;C674,C674,E674+F674)</f>
        <v>5.29523363926859</v>
      </c>
      <c r="E674" s="46" t="n">
        <f aca="false">(V$27+V$28*SIN(2*PI()/365*A674))*V$29/100*V$9*V$10/100</f>
        <v>0</v>
      </c>
      <c r="F674" s="46" t="n">
        <f aca="false">(V$27+V$28*SIN(2*PI()/365*A674))*V$29/100*V$11*(1-V$18/100)*(1-V$20/100)</f>
        <v>5.29523363926859</v>
      </c>
      <c r="G674" s="46" t="n">
        <f aca="false">IF(C674&gt;E674,100,C674/E674*100)</f>
        <v>100</v>
      </c>
      <c r="H674" s="46" t="n">
        <f aca="false">L674/F674*100</f>
        <v>100</v>
      </c>
      <c r="I674" s="47" t="n">
        <f aca="false">(V$27+V$28*SIN(2*PI()/365*A674))*V$29/100*V$9*V$10/100*(1-V$19/100)</f>
        <v>0</v>
      </c>
      <c r="J674" s="47" t="n">
        <f aca="false">(V$27+V$28*SIN(2*PI()/365*A674))*V$29/100*V$11*(1-V$18/100)</f>
        <v>5.81893806513032</v>
      </c>
      <c r="K674" s="48" t="n">
        <f aca="false">IF(E674/C674*100&lt;100,E674/C674*100,100)</f>
        <v>0</v>
      </c>
      <c r="L674" s="7" t="n">
        <f aca="false">IF(((C674-E674)&gt;0)*AND(F674&gt;(C674-E674)),(C674-E674),IF(C674&lt;E674,0,F674))</f>
        <v>5.29523363926859</v>
      </c>
      <c r="M674" s="7" t="n">
        <f aca="false">IF(C674&lt;(E674+F674),0,C674-E674-F674)</f>
        <v>24.7747899518859</v>
      </c>
      <c r="N674" s="7" t="n">
        <f aca="false">IF(C674&lt;(E674+F674),0,(C674-E674-F674)/(1-V$20/100))</f>
        <v>27.2250439031714</v>
      </c>
      <c r="O674" s="7" t="n">
        <f aca="false">L674+M674</f>
        <v>30.0700235911545</v>
      </c>
      <c r="P674" s="49" t="n">
        <f aca="false">IF(N674=0,I674*(1-G674/100)+J674*(1-H674/100),-N674)</f>
        <v>-27.2250439031714</v>
      </c>
      <c r="Q674" s="54" t="n">
        <f aca="false">IF(P673&gt;0,Q673+P673*(1-V$24/100),Q673+P673)</f>
        <v>1100.45515146187</v>
      </c>
      <c r="R674" s="55" t="n">
        <f aca="false">R$4+Q674/V$32</f>
        <v>50.7021358252266</v>
      </c>
    </row>
    <row r="675" customFormat="false" ht="12.8" hidden="false" customHeight="false" outlineLevel="0" collapsed="false">
      <c r="A675" s="1" t="n">
        <v>671</v>
      </c>
      <c r="B675" s="44" t="n">
        <v>44216</v>
      </c>
      <c r="C675" s="45" t="n">
        <f aca="false">V$30-V$30*SIN(2*PI()/365*A675)</f>
        <v>29.9252862817239</v>
      </c>
      <c r="D675" s="3" t="n">
        <f aca="false">IF((E675+F675)&gt;C675,C675,E675+F675)</f>
        <v>5.44075951021459</v>
      </c>
      <c r="E675" s="46" t="n">
        <f aca="false">(V$27+V$28*SIN(2*PI()/365*A675))*V$29/100*V$9*V$10/100</f>
        <v>0</v>
      </c>
      <c r="F675" s="46" t="n">
        <f aca="false">(V$27+V$28*SIN(2*PI()/365*A675))*V$29/100*V$11*(1-V$18/100)*(1-V$20/100)</f>
        <v>5.44075951021459</v>
      </c>
      <c r="G675" s="46" t="n">
        <f aca="false">IF(C675&gt;E675,100,C675/E675*100)</f>
        <v>100</v>
      </c>
      <c r="H675" s="46" t="n">
        <f aca="false">L675/F675*100</f>
        <v>100</v>
      </c>
      <c r="I675" s="47" t="n">
        <f aca="false">(V$27+V$28*SIN(2*PI()/365*A675))*V$29/100*V$9*V$10/100*(1-V$19/100)</f>
        <v>0</v>
      </c>
      <c r="J675" s="47" t="n">
        <f aca="false">(V$27+V$28*SIN(2*PI()/365*A675))*V$29/100*V$11*(1-V$18/100)</f>
        <v>5.97885660463141</v>
      </c>
      <c r="K675" s="48" t="n">
        <f aca="false">IF(E675/C675*100&lt;100,E675/C675*100,100)</f>
        <v>0</v>
      </c>
      <c r="L675" s="7" t="n">
        <f aca="false">IF(((C675-E675)&gt;0)*AND(F675&gt;(C675-E675)),(C675-E675),IF(C675&lt;E675,0,F675))</f>
        <v>5.44075951021459</v>
      </c>
      <c r="M675" s="7" t="n">
        <f aca="false">IF(C675&lt;(E675+F675),0,C675-E675-F675)</f>
        <v>24.4845267715093</v>
      </c>
      <c r="N675" s="7" t="n">
        <f aca="false">IF(C675&lt;(E675+F675),0,(C675-E675-F675)/(1-V$20/100))</f>
        <v>26.9060733752849</v>
      </c>
      <c r="O675" s="7" t="n">
        <f aca="false">L675+M675</f>
        <v>29.9252862817239</v>
      </c>
      <c r="P675" s="49" t="n">
        <f aca="false">IF(N675=0,I675*(1-G675/100)+J675*(1-H675/100),-N675)</f>
        <v>-26.9060733752849</v>
      </c>
      <c r="Q675" s="54" t="n">
        <f aca="false">IF(P674&gt;0,Q674+P674*(1-V$24/100),Q674+P674)</f>
        <v>1073.2301075587</v>
      </c>
      <c r="R675" s="55" t="n">
        <f aca="false">R$4+Q675/V$32</f>
        <v>50.4373670908421</v>
      </c>
    </row>
    <row r="676" customFormat="false" ht="12.8" hidden="false" customHeight="false" outlineLevel="0" collapsed="false">
      <c r="A676" s="1" t="n">
        <v>672</v>
      </c>
      <c r="B676" s="44" t="n">
        <v>44217</v>
      </c>
      <c r="C676" s="45" t="n">
        <f aca="false">V$30-V$30*SIN(2*PI()/365*A676)</f>
        <v>29.7764751857371</v>
      </c>
      <c r="D676" s="3" t="n">
        <f aca="false">IF((E676+F676)&gt;C676,C676,E676+F676)</f>
        <v>5.59038136262485</v>
      </c>
      <c r="E676" s="46" t="n">
        <f aca="false">(V$27+V$28*SIN(2*PI()/365*A676))*V$29/100*V$9*V$10/100</f>
        <v>0</v>
      </c>
      <c r="F676" s="46" t="n">
        <f aca="false">(V$27+V$28*SIN(2*PI()/365*A676))*V$29/100*V$11*(1-V$18/100)*(1-V$20/100)</f>
        <v>5.59038136262485</v>
      </c>
      <c r="G676" s="46" t="n">
        <f aca="false">IF(C676&gt;E676,100,C676/E676*100)</f>
        <v>100</v>
      </c>
      <c r="H676" s="46" t="n">
        <f aca="false">L676/F676*100</f>
        <v>100</v>
      </c>
      <c r="I676" s="47" t="n">
        <f aca="false">(V$27+V$28*SIN(2*PI()/365*A676))*V$29/100*V$9*V$10/100*(1-V$19/100)</f>
        <v>0</v>
      </c>
      <c r="J676" s="47" t="n">
        <f aca="false">(V$27+V$28*SIN(2*PI()/365*A676))*V$29/100*V$11*(1-V$18/100)</f>
        <v>6.14327622266466</v>
      </c>
      <c r="K676" s="48" t="n">
        <f aca="false">IF(E676/C676*100&lt;100,E676/C676*100,100)</f>
        <v>0</v>
      </c>
      <c r="L676" s="7" t="n">
        <f aca="false">IF(((C676-E676)&gt;0)*AND(F676&gt;(C676-E676)),(C676-E676),IF(C676&lt;E676,0,F676))</f>
        <v>5.59038136262485</v>
      </c>
      <c r="M676" s="7" t="n">
        <f aca="false">IF(C676&lt;(E676+F676),0,C676-E676-F676)</f>
        <v>24.1860938231123</v>
      </c>
      <c r="N676" s="7" t="n">
        <f aca="false">IF(C676&lt;(E676+F676),0,(C676-E676-F676)/(1-V$20/100))</f>
        <v>26.5781250803432</v>
      </c>
      <c r="O676" s="7" t="n">
        <f aca="false">L676+M676</f>
        <v>29.7764751857371</v>
      </c>
      <c r="P676" s="49" t="n">
        <f aca="false">IF(N676=0,I676*(1-G676/100)+J676*(1-H676/100),-N676)</f>
        <v>-26.5781250803432</v>
      </c>
      <c r="Q676" s="54" t="n">
        <f aca="false">IF(P675&gt;0,Q675+P675*(1-V$24/100),Q675+P675)</f>
        <v>1046.32403418341</v>
      </c>
      <c r="R676" s="55" t="n">
        <f aca="false">R$4+Q676/V$32</f>
        <v>50.1757004055589</v>
      </c>
    </row>
    <row r="677" customFormat="false" ht="12.8" hidden="false" customHeight="false" outlineLevel="0" collapsed="false">
      <c r="A677" s="1" t="n">
        <v>673</v>
      </c>
      <c r="B677" s="44" t="n">
        <v>44218</v>
      </c>
      <c r="C677" s="45" t="n">
        <f aca="false">V$30-V$30*SIN(2*PI()/365*A677)</f>
        <v>29.6236343991337</v>
      </c>
      <c r="D677" s="3" t="n">
        <f aca="false">IF((E677+F677)&gt;C677,C677,E677+F677)</f>
        <v>5.7440548603154</v>
      </c>
      <c r="E677" s="46" t="n">
        <f aca="false">(V$27+V$28*SIN(2*PI()/365*A677))*V$29/100*V$9*V$10/100</f>
        <v>0</v>
      </c>
      <c r="F677" s="46" t="n">
        <f aca="false">(V$27+V$28*SIN(2*PI()/365*A677))*V$29/100*V$11*(1-V$18/100)*(1-V$20/100)</f>
        <v>5.7440548603154</v>
      </c>
      <c r="G677" s="46" t="n">
        <f aca="false">IF(C677&gt;E677,100,C677/E677*100)</f>
        <v>100</v>
      </c>
      <c r="H677" s="46" t="n">
        <f aca="false">L677/F677*100</f>
        <v>100</v>
      </c>
      <c r="I677" s="47" t="n">
        <f aca="false">(V$27+V$28*SIN(2*PI()/365*A677))*V$29/100*V$9*V$10/100*(1-V$19/100)</f>
        <v>0</v>
      </c>
      <c r="J677" s="47" t="n">
        <f aca="false">(V$27+V$28*SIN(2*PI()/365*A677))*V$29/100*V$11*(1-V$18/100)</f>
        <v>6.31214819814879</v>
      </c>
      <c r="K677" s="48" t="n">
        <f aca="false">IF(E677/C677*100&lt;100,E677/C677*100,100)</f>
        <v>0</v>
      </c>
      <c r="L677" s="7" t="n">
        <f aca="false">IF(((C677-E677)&gt;0)*AND(F677&gt;(C677-E677)),(C677-E677),IF(C677&lt;E677,0,F677))</f>
        <v>5.7440548603154</v>
      </c>
      <c r="M677" s="7" t="n">
        <f aca="false">IF(C677&lt;(E677+F677),0,C677-E677-F677)</f>
        <v>23.8795795388183</v>
      </c>
      <c r="N677" s="7" t="n">
        <f aca="false">IF(C677&lt;(E677+F677),0,(C677-E677-F677)/(1-V$20/100))</f>
        <v>26.2412961965037</v>
      </c>
      <c r="O677" s="7" t="n">
        <f aca="false">L677+M677</f>
        <v>29.6236343991337</v>
      </c>
      <c r="P677" s="49" t="n">
        <f aca="false">IF(N677=0,I677*(1-G677/100)+J677*(1-H677/100),-N677)</f>
        <v>-26.2412961965037</v>
      </c>
      <c r="Q677" s="54" t="n">
        <f aca="false">IF(P676&gt;0,Q676+P676*(1-V$24/100),Q676+P676)</f>
        <v>1019.74590910307</v>
      </c>
      <c r="R677" s="55" t="n">
        <f aca="false">R$4+Q677/V$32</f>
        <v>49.9172230798707</v>
      </c>
    </row>
    <row r="678" customFormat="false" ht="12.8" hidden="false" customHeight="false" outlineLevel="0" collapsed="false">
      <c r="A678" s="1" t="n">
        <v>674</v>
      </c>
      <c r="B678" s="44" t="n">
        <v>44219</v>
      </c>
      <c r="C678" s="45" t="n">
        <f aca="false">V$30-V$30*SIN(2*PI()/365*A678)</f>
        <v>29.4668092119373</v>
      </c>
      <c r="D678" s="3" t="n">
        <f aca="false">IF((E678+F678)&gt;C678,C678,E678+F678)</f>
        <v>5.90173446651234</v>
      </c>
      <c r="E678" s="46" t="n">
        <f aca="false">(V$27+V$28*SIN(2*PI()/365*A678))*V$29/100*V$9*V$10/100</f>
        <v>0</v>
      </c>
      <c r="F678" s="46" t="n">
        <f aca="false">(V$27+V$28*SIN(2*PI()/365*A678))*V$29/100*V$11*(1-V$18/100)*(1-V$20/100)</f>
        <v>5.90173446651234</v>
      </c>
      <c r="G678" s="46" t="n">
        <f aca="false">IF(C678&gt;E678,100,C678/E678*100)</f>
        <v>100</v>
      </c>
      <c r="H678" s="46" t="n">
        <f aca="false">L678/F678*100</f>
        <v>100</v>
      </c>
      <c r="I678" s="47" t="n">
        <f aca="false">(V$27+V$28*SIN(2*PI()/365*A678))*V$29/100*V$9*V$10/100*(1-V$19/100)</f>
        <v>0</v>
      </c>
      <c r="J678" s="47" t="n">
        <f aca="false">(V$27+V$28*SIN(2*PI()/365*A678))*V$29/100*V$11*(1-V$18/100)</f>
        <v>6.4854224906729</v>
      </c>
      <c r="K678" s="48" t="n">
        <f aca="false">IF(E678/C678*100&lt;100,E678/C678*100,100)</f>
        <v>0</v>
      </c>
      <c r="L678" s="7" t="n">
        <f aca="false">IF(((C678-E678)&gt;0)*AND(F678&gt;(C678-E678)),(C678-E678),IF(C678&lt;E678,0,F678))</f>
        <v>5.90173446651234</v>
      </c>
      <c r="M678" s="7" t="n">
        <f aca="false">IF(C678&lt;(E678+F678),0,C678-E678-F678)</f>
        <v>23.5650747454249</v>
      </c>
      <c r="N678" s="7" t="n">
        <f aca="false">IF(C678&lt;(E678+F678),0,(C678-E678-F678)/(1-V$20/100))</f>
        <v>25.895686533434</v>
      </c>
      <c r="O678" s="7" t="n">
        <f aca="false">L678+M678</f>
        <v>29.4668092119373</v>
      </c>
      <c r="P678" s="49" t="n">
        <f aca="false">IF(N678=0,I678*(1-G678/100)+J678*(1-H678/100),-N678)</f>
        <v>-25.895686533434</v>
      </c>
      <c r="Q678" s="54" t="n">
        <f aca="false">IF(P677&gt;0,Q677+P677*(1-V$24/100),Q677+P677)</f>
        <v>993.504612906564</v>
      </c>
      <c r="R678" s="55" t="n">
        <f aca="false">R$4+Q678/V$32</f>
        <v>49.6620214791949</v>
      </c>
    </row>
    <row r="679" customFormat="false" ht="12.8" hidden="false" customHeight="false" outlineLevel="0" collapsed="false">
      <c r="A679" s="1" t="n">
        <v>675</v>
      </c>
      <c r="B679" s="44" t="n">
        <v>44220</v>
      </c>
      <c r="C679" s="45" t="n">
        <f aca="false">V$30-V$30*SIN(2*PI()/365*A679)</f>
        <v>29.3060460948353</v>
      </c>
      <c r="D679" s="3" t="n">
        <f aca="false">IF((E679+F679)&gt;C679,C679,E679+F679)</f>
        <v>6.06337345734533</v>
      </c>
      <c r="E679" s="46" t="n">
        <f aca="false">(V$27+V$28*SIN(2*PI()/365*A679))*V$29/100*V$9*V$10/100</f>
        <v>0</v>
      </c>
      <c r="F679" s="46" t="n">
        <f aca="false">(V$27+V$28*SIN(2*PI()/365*A679))*V$29/100*V$11*(1-V$18/100)*(1-V$20/100)</f>
        <v>6.06337345734533</v>
      </c>
      <c r="G679" s="46" t="n">
        <f aca="false">IF(C679&gt;E679,100,C679/E679*100)</f>
        <v>100</v>
      </c>
      <c r="H679" s="46" t="n">
        <f aca="false">L679/F679*100</f>
        <v>100</v>
      </c>
      <c r="I679" s="47" t="n">
        <f aca="false">(V$27+V$28*SIN(2*PI()/365*A679))*V$29/100*V$9*V$10/100*(1-V$19/100)</f>
        <v>0</v>
      </c>
      <c r="J679" s="47" t="n">
        <f aca="false">(V$27+V$28*SIN(2*PI()/365*A679))*V$29/100*V$11*(1-V$18/100)</f>
        <v>6.66304775532454</v>
      </c>
      <c r="K679" s="48" t="n">
        <f aca="false">IF(E679/C679*100&lt;100,E679/C679*100,100)</f>
        <v>0</v>
      </c>
      <c r="L679" s="7" t="n">
        <f aca="false">IF(((C679-E679)&gt;0)*AND(F679&gt;(C679-E679)),(C679-E679),IF(C679&lt;E679,0,F679))</f>
        <v>6.06337345734533</v>
      </c>
      <c r="M679" s="7" t="n">
        <f aca="false">IF(C679&lt;(E679+F679),0,C679-E679-F679)</f>
        <v>23.24267263749</v>
      </c>
      <c r="N679" s="7" t="n">
        <f aca="false">IF(C679&lt;(E679+F679),0,(C679-E679-F679)/(1-V$20/100))</f>
        <v>25.5413985027362</v>
      </c>
      <c r="O679" s="7" t="n">
        <f aca="false">L679+M679</f>
        <v>29.3060460948353</v>
      </c>
      <c r="P679" s="49" t="n">
        <f aca="false">IF(N679=0,I679*(1-G679/100)+J679*(1-H679/100),-N679)</f>
        <v>-25.5413985027362</v>
      </c>
      <c r="Q679" s="54" t="n">
        <f aca="false">IF(P678&gt;0,Q678+P678*(1-V$24/100),Q678+P678)</f>
        <v>967.60892637313</v>
      </c>
      <c r="R679" s="55" t="n">
        <f aca="false">R$4+Q679/V$32</f>
        <v>49.4101809982811</v>
      </c>
    </row>
    <row r="680" customFormat="false" ht="12.8" hidden="false" customHeight="false" outlineLevel="0" collapsed="false">
      <c r="A680" s="1" t="n">
        <v>676</v>
      </c>
      <c r="B680" s="44" t="n">
        <v>44221</v>
      </c>
      <c r="C680" s="45" t="n">
        <f aca="false">V$30-V$30*SIN(2*PI()/365*A680)</f>
        <v>29.141392685409</v>
      </c>
      <c r="D680" s="3" t="n">
        <f aca="false">IF((E680+F680)&gt;C680,C680,E680+F680)</f>
        <v>6.22892393569294</v>
      </c>
      <c r="E680" s="46" t="n">
        <f aca="false">(V$27+V$28*SIN(2*PI()/365*A680))*V$29/100*V$9*V$10/100</f>
        <v>0</v>
      </c>
      <c r="F680" s="46" t="n">
        <f aca="false">(V$27+V$28*SIN(2*PI()/365*A680))*V$29/100*V$11*(1-V$18/100)*(1-V$20/100)</f>
        <v>6.22892393569294</v>
      </c>
      <c r="G680" s="46" t="n">
        <f aca="false">IF(C680&gt;E680,100,C680/E680*100)</f>
        <v>100</v>
      </c>
      <c r="H680" s="46" t="n">
        <f aca="false">L680/F680*100</f>
        <v>100</v>
      </c>
      <c r="I680" s="47" t="n">
        <f aca="false">(V$27+V$28*SIN(2*PI()/365*A680))*V$29/100*V$9*V$10/100*(1-V$19/100)</f>
        <v>0</v>
      </c>
      <c r="J680" s="47" t="n">
        <f aca="false">(V$27+V$28*SIN(2*PI()/365*A680))*V$29/100*V$11*(1-V$18/100)</f>
        <v>6.84497135790434</v>
      </c>
      <c r="K680" s="48" t="n">
        <f aca="false">IF(E680/C680*100&lt;100,E680/C680*100,100)</f>
        <v>0</v>
      </c>
      <c r="L680" s="7" t="n">
        <f aca="false">IF(((C680-E680)&gt;0)*AND(F680&gt;(C680-E680)),(C680-E680),IF(C680&lt;E680,0,F680))</f>
        <v>6.22892393569294</v>
      </c>
      <c r="M680" s="7" t="n">
        <f aca="false">IF(C680&lt;(E680+F680),0,C680-E680-F680)</f>
        <v>22.912468749716</v>
      </c>
      <c r="N680" s="7" t="n">
        <f aca="false">IF(C680&lt;(E680+F680),0,(C680-E680-F680)/(1-V$20/100))</f>
        <v>25.1785370876</v>
      </c>
      <c r="O680" s="7" t="n">
        <f aca="false">L680+M680</f>
        <v>29.141392685409</v>
      </c>
      <c r="P680" s="49" t="n">
        <f aca="false">IF(N680=0,I680*(1-G680/100)+J680*(1-H680/100),-N680)</f>
        <v>-25.1785370876</v>
      </c>
      <c r="Q680" s="54" t="n">
        <f aca="false">IF(P679&gt;0,Q679+P679*(1-V$24/100),Q679+P679)</f>
        <v>942.067527870394</v>
      </c>
      <c r="R680" s="55" t="n">
        <f aca="false">R$4+Q680/V$32</f>
        <v>49.1617860359063</v>
      </c>
    </row>
    <row r="681" customFormat="false" ht="12.8" hidden="false" customHeight="false" outlineLevel="0" collapsed="false">
      <c r="A681" s="1" t="n">
        <v>677</v>
      </c>
      <c r="B681" s="44" t="n">
        <v>44222</v>
      </c>
      <c r="C681" s="45" t="n">
        <f aca="false">V$30-V$30*SIN(2*PI()/365*A681)</f>
        <v>28.972897774017</v>
      </c>
      <c r="D681" s="3" t="n">
        <f aca="false">IF((E681+F681)&gt;C681,C681,E681+F681)</f>
        <v>6.39833684537559</v>
      </c>
      <c r="E681" s="46" t="n">
        <f aca="false">(V$27+V$28*SIN(2*PI()/365*A681))*V$29/100*V$9*V$10/100</f>
        <v>0</v>
      </c>
      <c r="F681" s="46" t="n">
        <f aca="false">(V$27+V$28*SIN(2*PI()/365*A681))*V$29/100*V$11*(1-V$18/100)*(1-V$20/100)</f>
        <v>6.39833684537559</v>
      </c>
      <c r="G681" s="46" t="n">
        <f aca="false">IF(C681&gt;E681,100,C681/E681*100)</f>
        <v>100</v>
      </c>
      <c r="H681" s="46" t="n">
        <f aca="false">L681/F681*100</f>
        <v>100</v>
      </c>
      <c r="I681" s="47" t="n">
        <f aca="false">(V$27+V$28*SIN(2*PI()/365*A681))*V$29/100*V$9*V$10/100*(1-V$19/100)</f>
        <v>0</v>
      </c>
      <c r="J681" s="47" t="n">
        <f aca="false">(V$27+V$28*SIN(2*PI()/365*A681))*V$29/100*V$11*(1-V$18/100)</f>
        <v>7.03113939052263</v>
      </c>
      <c r="K681" s="48" t="n">
        <f aca="false">IF(E681/C681*100&lt;100,E681/C681*100,100)</f>
        <v>0</v>
      </c>
      <c r="L681" s="7" t="n">
        <f aca="false">IF(((C681-E681)&gt;0)*AND(F681&gt;(C681-E681)),(C681-E681),IF(C681&lt;E681,0,F681))</f>
        <v>6.39833684537559</v>
      </c>
      <c r="M681" s="7" t="n">
        <f aca="false">IF(C681&lt;(E681+F681),0,C681-E681-F681)</f>
        <v>22.5745609286414</v>
      </c>
      <c r="N681" s="7" t="n">
        <f aca="false">IF(C681&lt;(E681+F681),0,(C681-E681-F681)/(1-V$20/100))</f>
        <v>24.8072098116938</v>
      </c>
      <c r="O681" s="7" t="n">
        <f aca="false">L681+M681</f>
        <v>28.972897774017</v>
      </c>
      <c r="P681" s="49" t="n">
        <f aca="false">IF(N681=0,I681*(1-G681/100)+J681*(1-H681/100),-N681)</f>
        <v>-24.8072098116938</v>
      </c>
      <c r="Q681" s="54" t="n">
        <f aca="false">IF(P680&gt;0,Q680+P680*(1-V$24/100),Q680+P680)</f>
        <v>916.888990782794</v>
      </c>
      <c r="R681" s="55" t="n">
        <f aca="false">R$4+Q681/V$32</f>
        <v>48.9169199698662</v>
      </c>
    </row>
    <row r="682" customFormat="false" ht="12.8" hidden="false" customHeight="false" outlineLevel="0" collapsed="false">
      <c r="A682" s="1" t="n">
        <v>678</v>
      </c>
      <c r="B682" s="44" t="n">
        <v>44223</v>
      </c>
      <c r="C682" s="45" t="n">
        <f aca="false">V$30-V$30*SIN(2*PI()/365*A682)</f>
        <v>28.800611289338</v>
      </c>
      <c r="D682" s="3" t="n">
        <f aca="false">IF((E682+F682)&gt;C682,C682,E682+F682)</f>
        <v>6.57156198569187</v>
      </c>
      <c r="E682" s="46" t="n">
        <f aca="false">(V$27+V$28*SIN(2*PI()/365*A682))*V$29/100*V$9*V$10/100</f>
        <v>0</v>
      </c>
      <c r="F682" s="46" t="n">
        <f aca="false">(V$27+V$28*SIN(2*PI()/365*A682))*V$29/100*V$11*(1-V$18/100)*(1-V$20/100)</f>
        <v>6.57156198569187</v>
      </c>
      <c r="G682" s="46" t="n">
        <f aca="false">IF(C682&gt;E682,100,C682/E682*100)</f>
        <v>100</v>
      </c>
      <c r="H682" s="46" t="n">
        <f aca="false">L682/F682*100</f>
        <v>100</v>
      </c>
      <c r="I682" s="47" t="n">
        <f aca="false">(V$27+V$28*SIN(2*PI()/365*A682))*V$29/100*V$9*V$10/100*(1-V$19/100)</f>
        <v>0</v>
      </c>
      <c r="J682" s="47" t="n">
        <f aca="false">(V$27+V$28*SIN(2*PI()/365*A682))*V$29/100*V$11*(1-V$18/100)</f>
        <v>7.22149668757348</v>
      </c>
      <c r="K682" s="48" t="n">
        <f aca="false">IF(E682/C682*100&lt;100,E682/C682*100,100)</f>
        <v>0</v>
      </c>
      <c r="L682" s="7" t="n">
        <f aca="false">IF(((C682-E682)&gt;0)*AND(F682&gt;(C682-E682)),(C682-E682),IF(C682&lt;E682,0,F682))</f>
        <v>6.57156198569187</v>
      </c>
      <c r="M682" s="7" t="n">
        <f aca="false">IF(C682&lt;(E682+F682),0,C682-E682-F682)</f>
        <v>22.2290493036462</v>
      </c>
      <c r="N682" s="7" t="n">
        <f aca="false">IF(C682&lt;(E682+F682),0,(C682-E682-F682)/(1-V$20/100))</f>
        <v>24.4275267073035</v>
      </c>
      <c r="O682" s="7" t="n">
        <f aca="false">L682+M682</f>
        <v>28.800611289338</v>
      </c>
      <c r="P682" s="49" t="n">
        <f aca="false">IF(N682=0,I682*(1-G682/100)+J682*(1-H682/100),-N682)</f>
        <v>-24.4275267073035</v>
      </c>
      <c r="Q682" s="54" t="n">
        <f aca="false">IF(P681&gt;0,Q681+P681*(1-V$24/100),Q681+P681)</f>
        <v>892.0817809711</v>
      </c>
      <c r="R682" s="55" t="n">
        <f aca="false">R$4+Q682/V$32</f>
        <v>48.6756651322683</v>
      </c>
    </row>
    <row r="683" customFormat="false" ht="12.8" hidden="false" customHeight="false" outlineLevel="0" collapsed="false">
      <c r="A683" s="1" t="n">
        <v>679</v>
      </c>
      <c r="B683" s="44" t="n">
        <v>44224</v>
      </c>
      <c r="C683" s="45" t="n">
        <f aca="false">V$30-V$30*SIN(2*PI()/365*A683)</f>
        <v>28.6245842835758</v>
      </c>
      <c r="D683" s="3" t="n">
        <f aca="false">IF((E683+F683)&gt;C683,C683,E683+F683)</f>
        <v>6.74854802629421</v>
      </c>
      <c r="E683" s="46" t="n">
        <f aca="false">(V$27+V$28*SIN(2*PI()/365*A683))*V$29/100*V$9*V$10/100</f>
        <v>0</v>
      </c>
      <c r="F683" s="46" t="n">
        <f aca="false">(V$27+V$28*SIN(2*PI()/365*A683))*V$29/100*V$11*(1-V$18/100)*(1-V$20/100)</f>
        <v>6.74854802629421</v>
      </c>
      <c r="G683" s="46" t="n">
        <f aca="false">IF(C683&gt;E683,100,C683/E683*100)</f>
        <v>100</v>
      </c>
      <c r="H683" s="46" t="n">
        <f aca="false">L683/F683*100</f>
        <v>100</v>
      </c>
      <c r="I683" s="47" t="n">
        <f aca="false">(V$27+V$28*SIN(2*PI()/365*A683))*V$29/100*V$9*V$10/100*(1-V$19/100)</f>
        <v>0</v>
      </c>
      <c r="J683" s="47" t="n">
        <f aca="false">(V$27+V$28*SIN(2*PI()/365*A683))*V$29/100*V$11*(1-V$18/100)</f>
        <v>7.41598684208155</v>
      </c>
      <c r="K683" s="48" t="n">
        <f aca="false">IF(E683/C683*100&lt;100,E683/C683*100,100)</f>
        <v>0</v>
      </c>
      <c r="L683" s="7" t="n">
        <f aca="false">IF(((C683-E683)&gt;0)*AND(F683&gt;(C683-E683)),(C683-E683),IF(C683&lt;E683,0,F683))</f>
        <v>6.74854802629421</v>
      </c>
      <c r="M683" s="7" t="n">
        <f aca="false">IF(C683&lt;(E683+F683),0,C683-E683-F683)</f>
        <v>21.8760362572816</v>
      </c>
      <c r="N683" s="7" t="n">
        <f aca="false">IF(C683&lt;(E683+F683),0,(C683-E683-F683)/(1-V$20/100))</f>
        <v>24.039600282727</v>
      </c>
      <c r="O683" s="7" t="n">
        <f aca="false">L683+M683</f>
        <v>28.6245842835758</v>
      </c>
      <c r="P683" s="49" t="n">
        <f aca="false">IF(N683=0,I683*(1-G683/100)+J683*(1-H683/100),-N683)</f>
        <v>-24.039600282727</v>
      </c>
      <c r="Q683" s="54" t="n">
        <f aca="false">IF(P682&gt;0,Q682+P682*(1-V$24/100),Q682+P682)</f>
        <v>867.654254263796</v>
      </c>
      <c r="R683" s="55" t="n">
        <f aca="false">R$4+Q683/V$32</f>
        <v>48.4381027851353</v>
      </c>
    </row>
    <row r="684" customFormat="false" ht="12.8" hidden="false" customHeight="false" outlineLevel="0" collapsed="false">
      <c r="A684" s="1" t="n">
        <v>680</v>
      </c>
      <c r="B684" s="44" t="n">
        <v>44225</v>
      </c>
      <c r="C684" s="45" t="n">
        <f aca="false">V$30-V$30*SIN(2*PI()/365*A684)</f>
        <v>28.4448689173309</v>
      </c>
      <c r="D684" s="3" t="n">
        <f aca="false">IF((E684+F684)&gt;C684,C684,E684+F684)</f>
        <v>6.92924252239913</v>
      </c>
      <c r="E684" s="46" t="n">
        <f aca="false">(V$27+V$28*SIN(2*PI()/365*A684))*V$29/100*V$9*V$10/100</f>
        <v>0</v>
      </c>
      <c r="F684" s="46" t="n">
        <f aca="false">(V$27+V$28*SIN(2*PI()/365*A684))*V$29/100*V$11*(1-V$18/100)*(1-V$20/100)</f>
        <v>6.92924252239913</v>
      </c>
      <c r="G684" s="46" t="n">
        <f aca="false">IF(C684&gt;E684,100,C684/E684*100)</f>
        <v>100</v>
      </c>
      <c r="H684" s="46" t="n">
        <f aca="false">L684/F684*100</f>
        <v>100</v>
      </c>
      <c r="I684" s="47" t="n">
        <f aca="false">(V$27+V$28*SIN(2*PI()/365*A684))*V$29/100*V$9*V$10/100*(1-V$19/100)</f>
        <v>0</v>
      </c>
      <c r="J684" s="47" t="n">
        <f aca="false">(V$27+V$28*SIN(2*PI()/365*A684))*V$29/100*V$11*(1-V$18/100)</f>
        <v>7.61455222241663</v>
      </c>
      <c r="K684" s="48" t="n">
        <f aca="false">IF(E684/C684*100&lt;100,E684/C684*100,100)</f>
        <v>0</v>
      </c>
      <c r="L684" s="7" t="n">
        <f aca="false">IF(((C684-E684)&gt;0)*AND(F684&gt;(C684-E684)),(C684-E684),IF(C684&lt;E684,0,F684))</f>
        <v>6.92924252239913</v>
      </c>
      <c r="M684" s="7" t="n">
        <f aca="false">IF(C684&lt;(E684+F684),0,C684-E684-F684)</f>
        <v>21.5156263949318</v>
      </c>
      <c r="N684" s="7" t="n">
        <f aca="false">IF(C684&lt;(E684+F684),0,(C684-E684-F684)/(1-V$20/100))</f>
        <v>23.643545488936</v>
      </c>
      <c r="O684" s="7" t="n">
        <f aca="false">L684+M684</f>
        <v>28.4448689173309</v>
      </c>
      <c r="P684" s="49" t="n">
        <f aca="false">IF(N684=0,I684*(1-G684/100)+J684*(1-H684/100),-N684)</f>
        <v>-23.643545488936</v>
      </c>
      <c r="Q684" s="54" t="n">
        <f aca="false">IF(P683&gt;0,Q683+P683*(1-V$24/100),Q683+P683)</f>
        <v>843.614653981069</v>
      </c>
      <c r="R684" s="55" t="n">
        <f aca="false">R$4+Q684/V$32</f>
        <v>48.2043130963251</v>
      </c>
    </row>
    <row r="685" customFormat="false" ht="12.8" hidden="false" customHeight="false" outlineLevel="0" collapsed="false">
      <c r="A685" s="1" t="n">
        <v>681</v>
      </c>
      <c r="B685" s="44" t="n">
        <v>44226</v>
      </c>
      <c r="C685" s="45" t="n">
        <f aca="false">V$30-V$30*SIN(2*PI()/365*A685)</f>
        <v>28.2615184441452</v>
      </c>
      <c r="D685" s="3" t="n">
        <f aca="false">IF((E685+F685)&gt;C685,C685,E685+F685)</f>
        <v>7.1135919303277</v>
      </c>
      <c r="E685" s="46" t="n">
        <f aca="false">(V$27+V$28*SIN(2*PI()/365*A685))*V$29/100*V$9*V$10/100</f>
        <v>0</v>
      </c>
      <c r="F685" s="46" t="n">
        <f aca="false">(V$27+V$28*SIN(2*PI()/365*A685))*V$29/100*V$11*(1-V$18/100)*(1-V$20/100)</f>
        <v>7.1135919303277</v>
      </c>
      <c r="G685" s="46" t="n">
        <f aca="false">IF(C685&gt;E685,100,C685/E685*100)</f>
        <v>100</v>
      </c>
      <c r="H685" s="46" t="n">
        <f aca="false">L685/F685*100</f>
        <v>100</v>
      </c>
      <c r="I685" s="47" t="n">
        <f aca="false">(V$27+V$28*SIN(2*PI()/365*A685))*V$29/100*V$9*V$10/100*(1-V$19/100)</f>
        <v>0</v>
      </c>
      <c r="J685" s="47" t="n">
        <f aca="false">(V$27+V$28*SIN(2*PI()/365*A685))*V$29/100*V$11*(1-V$18/100)</f>
        <v>7.8171339893711</v>
      </c>
      <c r="K685" s="48" t="n">
        <f aca="false">IF(E685/C685*100&lt;100,E685/C685*100,100)</f>
        <v>0</v>
      </c>
      <c r="L685" s="7" t="n">
        <f aca="false">IF(((C685-E685)&gt;0)*AND(F685&gt;(C685-E685)),(C685-E685),IF(C685&lt;E685,0,F685))</f>
        <v>7.1135919303277</v>
      </c>
      <c r="M685" s="7" t="n">
        <f aca="false">IF(C685&lt;(E685+F685),0,C685-E685-F685)</f>
        <v>21.1479265138175</v>
      </c>
      <c r="N685" s="7" t="n">
        <f aca="false">IF(C685&lt;(E685+F685),0,(C685-E685-F685)/(1-V$20/100))</f>
        <v>23.2394796855137</v>
      </c>
      <c r="O685" s="7" t="n">
        <f aca="false">L685+M685</f>
        <v>28.2615184441452</v>
      </c>
      <c r="P685" s="49" t="n">
        <f aca="false">IF(N685=0,I685*(1-G685/100)+J685*(1-H685/100),-N685)</f>
        <v>-23.2394796855137</v>
      </c>
      <c r="Q685" s="54" t="n">
        <f aca="false">IF(P684&gt;0,Q684+P684*(1-V$24/100),Q684+P684)</f>
        <v>819.971108492133</v>
      </c>
      <c r="R685" s="55" t="n">
        <f aca="false">R$4+Q685/V$32</f>
        <v>47.9743751157755</v>
      </c>
    </row>
    <row r="686" customFormat="false" ht="12.8" hidden="false" customHeight="false" outlineLevel="0" collapsed="false">
      <c r="A686" s="1" t="n">
        <v>682</v>
      </c>
      <c r="B686" s="44" t="n">
        <v>44227</v>
      </c>
      <c r="C686" s="45" t="n">
        <f aca="false">V$30-V$30*SIN(2*PI()/365*A686)</f>
        <v>28.0745871947207</v>
      </c>
      <c r="D686" s="3" t="n">
        <f aca="false">IF((E686+F686)&gt;C686,C686,E686+F686)</f>
        <v>7.30154162337177</v>
      </c>
      <c r="E686" s="46" t="n">
        <f aca="false">(V$27+V$28*SIN(2*PI()/365*A686))*V$29/100*V$9*V$10/100</f>
        <v>0</v>
      </c>
      <c r="F686" s="46" t="n">
        <f aca="false">(V$27+V$28*SIN(2*PI()/365*A686))*V$29/100*V$11*(1-V$18/100)*(1-V$20/100)</f>
        <v>7.30154162337177</v>
      </c>
      <c r="G686" s="46" t="n">
        <f aca="false">IF(C686&gt;E686,100,C686/E686*100)</f>
        <v>100</v>
      </c>
      <c r="H686" s="46" t="n">
        <f aca="false">L686/F686*100</f>
        <v>100</v>
      </c>
      <c r="I686" s="47" t="n">
        <f aca="false">(V$27+V$28*SIN(2*PI()/365*A686))*V$29/100*V$9*V$10/100*(1-V$19/100)</f>
        <v>0</v>
      </c>
      <c r="J686" s="47" t="n">
        <f aca="false">(V$27+V$28*SIN(2*PI()/365*A686))*V$29/100*V$11*(1-V$18/100)</f>
        <v>8.02367211359535</v>
      </c>
      <c r="K686" s="48" t="n">
        <f aca="false">IF(E686/C686*100&lt;100,E686/C686*100,100)</f>
        <v>0</v>
      </c>
      <c r="L686" s="7" t="n">
        <f aca="false">IF(((C686-E686)&gt;0)*AND(F686&gt;(C686-E686)),(C686-E686),IF(C686&lt;E686,0,F686))</f>
        <v>7.30154162337177</v>
      </c>
      <c r="M686" s="7" t="n">
        <f aca="false">IF(C686&lt;(E686+F686),0,C686-E686-F686)</f>
        <v>20.7730455713489</v>
      </c>
      <c r="N686" s="7" t="n">
        <f aca="false">IF(C686&lt;(E686+F686),0,(C686-E686-F686)/(1-V$20/100))</f>
        <v>22.8275226058779</v>
      </c>
      <c r="O686" s="7" t="n">
        <f aca="false">L686+M686</f>
        <v>28.0745871947207</v>
      </c>
      <c r="P686" s="49" t="n">
        <f aca="false">IF(N686=0,I686*(1-G686/100)+J686*(1-H686/100),-N686)</f>
        <v>-22.8275226058779</v>
      </c>
      <c r="Q686" s="54" t="n">
        <f aca="false">IF(P685&gt;0,Q685+P685*(1-V$24/100),Q685+P685)</f>
        <v>796.731628806619</v>
      </c>
      <c r="R686" s="55" t="n">
        <f aca="false">R$4+Q686/V$32</f>
        <v>47.7483667520802</v>
      </c>
    </row>
    <row r="687" customFormat="false" ht="12.8" hidden="false" customHeight="false" outlineLevel="0" collapsed="false">
      <c r="A687" s="1" t="n">
        <v>683</v>
      </c>
      <c r="B687" s="44" t="n">
        <v>44228</v>
      </c>
      <c r="C687" s="45" t="n">
        <f aca="false">V$30-V$30*SIN(2*PI()/365*A687)</f>
        <v>27.884130560821</v>
      </c>
      <c r="D687" s="3" t="n">
        <f aca="false">IF((E687+F687)&gt;C687,C687,E687+F687)</f>
        <v>7.49303590798101</v>
      </c>
      <c r="E687" s="46" t="n">
        <f aca="false">(V$27+V$28*SIN(2*PI()/365*A687))*V$29/100*V$9*V$10/100</f>
        <v>0</v>
      </c>
      <c r="F687" s="46" t="n">
        <f aca="false">(V$27+V$28*SIN(2*PI()/365*A687))*V$29/100*V$11*(1-V$18/100)*(1-V$20/100)</f>
        <v>7.49303590798101</v>
      </c>
      <c r="G687" s="46" t="n">
        <f aca="false">IF(C687&gt;E687,100,C687/E687*100)</f>
        <v>100</v>
      </c>
      <c r="H687" s="46" t="n">
        <f aca="false">L687/F687*100</f>
        <v>100</v>
      </c>
      <c r="I687" s="47" t="n">
        <f aca="false">(V$27+V$28*SIN(2*PI()/365*A687))*V$29/100*V$9*V$10/100*(1-V$19/100)</f>
        <v>0</v>
      </c>
      <c r="J687" s="47" t="n">
        <f aca="false">(V$27+V$28*SIN(2*PI()/365*A687))*V$29/100*V$11*(1-V$18/100)</f>
        <v>8.23410539338572</v>
      </c>
      <c r="K687" s="48" t="n">
        <f aca="false">IF(E687/C687*100&lt;100,E687/C687*100,100)</f>
        <v>0</v>
      </c>
      <c r="L687" s="7" t="n">
        <f aca="false">IF(((C687-E687)&gt;0)*AND(F687&gt;(C687-E687)),(C687-E687),IF(C687&lt;E687,0,F687))</f>
        <v>7.49303590798101</v>
      </c>
      <c r="M687" s="7" t="n">
        <f aca="false">IF(C687&lt;(E687+F687),0,C687-E687-F687)</f>
        <v>20.39109465284</v>
      </c>
      <c r="N687" s="7" t="n">
        <f aca="false">IF(C687&lt;(E687+F687),0,(C687-E687-F687)/(1-V$20/100))</f>
        <v>22.4077963218022</v>
      </c>
      <c r="O687" s="7" t="n">
        <f aca="false">L687+M687</f>
        <v>27.884130560821</v>
      </c>
      <c r="P687" s="49" t="n">
        <f aca="false">IF(N687=0,I687*(1-G687/100)+J687*(1-H687/100),-N687)</f>
        <v>-22.4077963218022</v>
      </c>
      <c r="Q687" s="54" t="n">
        <f aca="false">IF(P686&gt;0,Q686+P686*(1-V$24/100),Q686+P686)</f>
        <v>773.904106200742</v>
      </c>
      <c r="R687" s="55" t="n">
        <f aca="false">R$4+Q687/V$32</f>
        <v>47.5263647494025</v>
      </c>
    </row>
    <row r="688" customFormat="false" ht="12.8" hidden="false" customHeight="false" outlineLevel="0" collapsed="false">
      <c r="A688" s="1" t="n">
        <v>684</v>
      </c>
      <c r="B688" s="44" t="n">
        <v>44229</v>
      </c>
      <c r="C688" s="45" t="n">
        <f aca="false">V$30-V$30*SIN(2*PI()/365*A688)</f>
        <v>27.6902049788571</v>
      </c>
      <c r="D688" s="3" t="n">
        <f aca="false">IF((E688+F688)&gt;C688,C688,E688+F688)</f>
        <v>7.68801804026613</v>
      </c>
      <c r="E688" s="46" t="n">
        <f aca="false">(V$27+V$28*SIN(2*PI()/365*A688))*V$29/100*V$9*V$10/100</f>
        <v>0</v>
      </c>
      <c r="F688" s="46" t="n">
        <f aca="false">(V$27+V$28*SIN(2*PI()/365*A688))*V$29/100*V$11*(1-V$18/100)*(1-V$20/100)</f>
        <v>7.68801804026613</v>
      </c>
      <c r="G688" s="46" t="n">
        <f aca="false">IF(C688&gt;E688,100,C688/E688*100)</f>
        <v>100</v>
      </c>
      <c r="H688" s="46" t="n">
        <f aca="false">L688/F688*100</f>
        <v>100</v>
      </c>
      <c r="I688" s="47" t="n">
        <f aca="false">(V$27+V$28*SIN(2*PI()/365*A688))*V$29/100*V$9*V$10/100*(1-V$19/100)</f>
        <v>0</v>
      </c>
      <c r="J688" s="47" t="n">
        <f aca="false">(V$27+V$28*SIN(2*PI()/365*A688))*V$29/100*V$11*(1-V$18/100)</f>
        <v>8.44837147281992</v>
      </c>
      <c r="K688" s="48" t="n">
        <f aca="false">IF(E688/C688*100&lt;100,E688/C688*100,100)</f>
        <v>0</v>
      </c>
      <c r="L688" s="7" t="n">
        <f aca="false">IF(((C688-E688)&gt;0)*AND(F688&gt;(C688-E688)),(C688-E688),IF(C688&lt;E688,0,F688))</f>
        <v>7.68801804026613</v>
      </c>
      <c r="M688" s="7" t="n">
        <f aca="false">IF(C688&lt;(E688+F688),0,C688-E688-F688)</f>
        <v>20.002186938591</v>
      </c>
      <c r="N688" s="7" t="n">
        <f aca="false">IF(C688&lt;(E688+F688),0,(C688-E688-F688)/(1-V$20/100))</f>
        <v>21.9804252072429</v>
      </c>
      <c r="O688" s="7" t="n">
        <f aca="false">L688+M688</f>
        <v>27.6902049788571</v>
      </c>
      <c r="P688" s="49" t="n">
        <f aca="false">IF(N688=0,I688*(1-G688/100)+J688*(1-H688/100),-N688)</f>
        <v>-21.9804252072429</v>
      </c>
      <c r="Q688" s="54" t="n">
        <f aca="false">IF(P687&gt;0,Q687+P687*(1-V$24/100),Q687+P687)</f>
        <v>751.496309878939</v>
      </c>
      <c r="R688" s="55" t="n">
        <f aca="false">R$4+Q688/V$32</f>
        <v>47.3084446647344</v>
      </c>
    </row>
    <row r="689" customFormat="false" ht="12.8" hidden="false" customHeight="false" outlineLevel="0" collapsed="false">
      <c r="A689" s="1" t="n">
        <v>685</v>
      </c>
      <c r="B689" s="44" t="n">
        <v>44230</v>
      </c>
      <c r="C689" s="45" t="n">
        <f aca="false">V$30-V$30*SIN(2*PI()/365*A689)</f>
        <v>27.4928679131643</v>
      </c>
      <c r="D689" s="3" t="n">
        <f aca="false">IF((E689+F689)&gt;C689,C689,E689+F689)</f>
        <v>7.88643024281322</v>
      </c>
      <c r="E689" s="46" t="n">
        <f aca="false">(V$27+V$28*SIN(2*PI()/365*A689))*V$29/100*V$9*V$10/100</f>
        <v>0</v>
      </c>
      <c r="F689" s="46" t="n">
        <f aca="false">(V$27+V$28*SIN(2*PI()/365*A689))*V$29/100*V$11*(1-V$18/100)*(1-V$20/100)</f>
        <v>7.88643024281322</v>
      </c>
      <c r="G689" s="46" t="n">
        <f aca="false">IF(C689&gt;E689,100,C689/E689*100)</f>
        <v>100</v>
      </c>
      <c r="H689" s="46" t="n">
        <f aca="false">L689/F689*100</f>
        <v>100</v>
      </c>
      <c r="I689" s="47" t="n">
        <f aca="false">(V$27+V$28*SIN(2*PI()/365*A689))*V$29/100*V$9*V$10/100*(1-V$19/100)</f>
        <v>0</v>
      </c>
      <c r="J689" s="47" t="n">
        <f aca="false">(V$27+V$28*SIN(2*PI()/365*A689))*V$29/100*V$11*(1-V$18/100)</f>
        <v>8.66640686023431</v>
      </c>
      <c r="K689" s="48" t="n">
        <f aca="false">IF(E689/C689*100&lt;100,E689/C689*100,100)</f>
        <v>0</v>
      </c>
      <c r="L689" s="7" t="n">
        <f aca="false">IF(((C689-E689)&gt;0)*AND(F689&gt;(C689-E689)),(C689-E689),IF(C689&lt;E689,0,F689))</f>
        <v>7.88643024281322</v>
      </c>
      <c r="M689" s="7" t="n">
        <f aca="false">IF(C689&lt;(E689+F689),0,C689-E689-F689)</f>
        <v>19.6064376703511</v>
      </c>
      <c r="N689" s="7" t="n">
        <f aca="false">IF(C689&lt;(E689+F689),0,(C689-E689-F689)/(1-V$20/100))</f>
        <v>21.5455359014847</v>
      </c>
      <c r="O689" s="7" t="n">
        <f aca="false">L689+M689</f>
        <v>27.4928679131643</v>
      </c>
      <c r="P689" s="49" t="n">
        <f aca="false">IF(N689=0,I689*(1-G689/100)+J689*(1-H689/100),-N689)</f>
        <v>-21.5455359014847</v>
      </c>
      <c r="Q689" s="54" t="n">
        <f aca="false">IF(P688&gt;0,Q688+P688*(1-V$24/100),Q688+P688)</f>
        <v>729.515884671696</v>
      </c>
      <c r="R689" s="55" t="n">
        <f aca="false">R$4+Q689/V$32</f>
        <v>47.0946808455078</v>
      </c>
    </row>
    <row r="690" customFormat="false" ht="12.8" hidden="false" customHeight="false" outlineLevel="0" collapsed="false">
      <c r="A690" s="1" t="n">
        <v>686</v>
      </c>
      <c r="B690" s="44" t="n">
        <v>44231</v>
      </c>
      <c r="C690" s="45" t="n">
        <f aca="false">V$30-V$30*SIN(2*PI()/365*A690)</f>
        <v>27.2921778389739</v>
      </c>
      <c r="D690" s="3" t="n">
        <f aca="false">IF((E690+F690)&gt;C690,C690,E690+F690)</f>
        <v>8.08821372180462</v>
      </c>
      <c r="E690" s="46" t="n">
        <f aca="false">(V$27+V$28*SIN(2*PI()/365*A690))*V$29/100*V$9*V$10/100</f>
        <v>0</v>
      </c>
      <c r="F690" s="46" t="n">
        <f aca="false">(V$27+V$28*SIN(2*PI()/365*A690))*V$29/100*V$11*(1-V$18/100)*(1-V$20/100)</f>
        <v>8.08821372180462</v>
      </c>
      <c r="G690" s="46" t="n">
        <f aca="false">IF(C690&gt;E690,100,C690/E690*100)</f>
        <v>100</v>
      </c>
      <c r="H690" s="46" t="n">
        <f aca="false">L690/F690*100</f>
        <v>100</v>
      </c>
      <c r="I690" s="47" t="n">
        <f aca="false">(V$27+V$28*SIN(2*PI()/365*A690))*V$29/100*V$9*V$10/100*(1-V$19/100)</f>
        <v>0</v>
      </c>
      <c r="J690" s="47" t="n">
        <f aca="false">(V$27+V$28*SIN(2*PI()/365*A690))*V$29/100*V$11*(1-V$18/100)</f>
        <v>8.88814694703804</v>
      </c>
      <c r="K690" s="48" t="n">
        <f aca="false">IF(E690/C690*100&lt;100,E690/C690*100,100)</f>
        <v>0</v>
      </c>
      <c r="L690" s="7" t="n">
        <f aca="false">IF(((C690-E690)&gt;0)*AND(F690&gt;(C690-E690)),(C690-E690),IF(C690&lt;E690,0,F690))</f>
        <v>8.08821372180462</v>
      </c>
      <c r="M690" s="7" t="n">
        <f aca="false">IF(C690&lt;(E690+F690),0,C690-E690-F690)</f>
        <v>19.2039641171693</v>
      </c>
      <c r="N690" s="7" t="n">
        <f aca="false">IF(C690&lt;(E690+F690),0,(C690-E690-F690)/(1-V$20/100))</f>
        <v>21.1032572716146</v>
      </c>
      <c r="O690" s="7" t="n">
        <f aca="false">L690+M690</f>
        <v>27.2921778389739</v>
      </c>
      <c r="P690" s="49" t="n">
        <f aca="false">IF(N690=0,I690*(1-G690/100)+J690*(1-H690/100),-N690)</f>
        <v>-21.1032572716146</v>
      </c>
      <c r="Q690" s="54" t="n">
        <f aca="false">IF(P689&gt;0,Q689+P689*(1-V$24/100),Q689+P689)</f>
        <v>707.970348770212</v>
      </c>
      <c r="R690" s="55" t="n">
        <f aca="false">R$4+Q690/V$32</f>
        <v>46.885146407563</v>
      </c>
    </row>
    <row r="691" customFormat="false" ht="12.8" hidden="false" customHeight="false" outlineLevel="0" collapsed="false">
      <c r="A691" s="1" t="n">
        <v>687</v>
      </c>
      <c r="B691" s="44" t="n">
        <v>44232</v>
      </c>
      <c r="C691" s="45" t="n">
        <f aca="false">V$30-V$30*SIN(2*PI()/365*A691)</f>
        <v>27.0881942250861</v>
      </c>
      <c r="D691" s="3" t="n">
        <f aca="false">IF((E691+F691)&gt;C691,C691,E691+F691)</f>
        <v>8.29330868444067</v>
      </c>
      <c r="E691" s="46" t="n">
        <f aca="false">(V$27+V$28*SIN(2*PI()/365*A691))*V$29/100*V$9*V$10/100</f>
        <v>0</v>
      </c>
      <c r="F691" s="46" t="n">
        <f aca="false">(V$27+V$28*SIN(2*PI()/365*A691))*V$29/100*V$11*(1-V$18/100)*(1-V$20/100)</f>
        <v>8.29330868444067</v>
      </c>
      <c r="G691" s="46" t="n">
        <f aca="false">IF(C691&gt;E691,100,C691/E691*100)</f>
        <v>100</v>
      </c>
      <c r="H691" s="46" t="n">
        <f aca="false">L691/F691*100</f>
        <v>100</v>
      </c>
      <c r="I691" s="47" t="n">
        <f aca="false">(V$27+V$28*SIN(2*PI()/365*A691))*V$29/100*V$9*V$10/100*(1-V$19/100)</f>
        <v>0</v>
      </c>
      <c r="J691" s="47" t="n">
        <f aca="false">(V$27+V$28*SIN(2*PI()/365*A691))*V$29/100*V$11*(1-V$18/100)</f>
        <v>9.11352602685788</v>
      </c>
      <c r="K691" s="48" t="n">
        <f aca="false">IF(E691/C691*100&lt;100,E691/C691*100,100)</f>
        <v>0</v>
      </c>
      <c r="L691" s="7" t="n">
        <f aca="false">IF(((C691-E691)&gt;0)*AND(F691&gt;(C691-E691)),(C691-E691),IF(C691&lt;E691,0,F691))</f>
        <v>8.29330868444067</v>
      </c>
      <c r="M691" s="7" t="n">
        <f aca="false">IF(C691&lt;(E691+F691),0,C691-E691-F691)</f>
        <v>18.7948855406455</v>
      </c>
      <c r="N691" s="7" t="n">
        <f aca="false">IF(C691&lt;(E691+F691),0,(C691-E691-F691)/(1-V$20/100))</f>
        <v>20.6537203743357</v>
      </c>
      <c r="O691" s="7" t="n">
        <f aca="false">L691+M691</f>
        <v>27.0881942250861</v>
      </c>
      <c r="P691" s="49" t="n">
        <f aca="false">IF(N691=0,I691*(1-G691/100)+J691*(1-H691/100),-N691)</f>
        <v>-20.6537203743357</v>
      </c>
      <c r="Q691" s="54" t="n">
        <f aca="false">IF(P690&gt;0,Q690+P690*(1-V$24/100),Q690+P690)</f>
        <v>686.867091498597</v>
      </c>
      <c r="R691" s="55" t="n">
        <f aca="false">R$4+Q691/V$32</f>
        <v>46.6799132134837</v>
      </c>
    </row>
    <row r="692" customFormat="false" ht="12.8" hidden="false" customHeight="false" outlineLevel="0" collapsed="false">
      <c r="A692" s="1" t="n">
        <v>688</v>
      </c>
      <c r="B692" s="44" t="n">
        <v>44233</v>
      </c>
      <c r="C692" s="45" t="n">
        <f aca="false">V$30-V$30*SIN(2*PI()/365*A692)</f>
        <v>26.8809775162482</v>
      </c>
      <c r="D692" s="3" t="n">
        <f aca="false">IF((E692+F692)&gt;C692,C692,E692+F692)</f>
        <v>8.50165435665759</v>
      </c>
      <c r="E692" s="46" t="n">
        <f aca="false">(V$27+V$28*SIN(2*PI()/365*A692))*V$29/100*V$9*V$10/100</f>
        <v>0</v>
      </c>
      <c r="F692" s="46" t="n">
        <f aca="false">(V$27+V$28*SIN(2*PI()/365*A692))*V$29/100*V$11*(1-V$18/100)*(1-V$20/100)</f>
        <v>8.50165435665759</v>
      </c>
      <c r="G692" s="46" t="n">
        <f aca="false">IF(C692&gt;E692,100,C692/E692*100)</f>
        <v>100</v>
      </c>
      <c r="H692" s="46" t="n">
        <f aca="false">L692/F692*100</f>
        <v>100</v>
      </c>
      <c r="I692" s="47" t="n">
        <f aca="false">(V$27+V$28*SIN(2*PI()/365*A692))*V$29/100*V$9*V$10/100*(1-V$19/100)</f>
        <v>0</v>
      </c>
      <c r="J692" s="47" t="n">
        <f aca="false">(V$27+V$28*SIN(2*PI()/365*A692))*V$29/100*V$11*(1-V$18/100)</f>
        <v>9.34247731500834</v>
      </c>
      <c r="K692" s="48" t="n">
        <f aca="false">IF(E692/C692*100&lt;100,E692/C692*100,100)</f>
        <v>0</v>
      </c>
      <c r="L692" s="7" t="n">
        <f aca="false">IF(((C692-E692)&gt;0)*AND(F692&gt;(C692-E692)),(C692-E692),IF(C692&lt;E692,0,F692))</f>
        <v>8.50165435665759</v>
      </c>
      <c r="M692" s="7" t="n">
        <f aca="false">IF(C692&lt;(E692+F692),0,C692-E692-F692)</f>
        <v>18.3793231595906</v>
      </c>
      <c r="N692" s="7" t="n">
        <f aca="false">IF(C692&lt;(E692+F692),0,(C692-E692-F692)/(1-V$20/100))</f>
        <v>20.1970584171325</v>
      </c>
      <c r="O692" s="7" t="n">
        <f aca="false">L692+M692</f>
        <v>26.8809775162482</v>
      </c>
      <c r="P692" s="49" t="n">
        <f aca="false">IF(N692=0,I692*(1-G692/100)+J692*(1-H692/100),-N692)</f>
        <v>-20.1970584171325</v>
      </c>
      <c r="Q692" s="54" t="n">
        <f aca="false">IF(P691&gt;0,Q691+P691*(1-V$24/100),Q691+P691)</f>
        <v>666.213371124262</v>
      </c>
      <c r="R692" s="55" t="n">
        <f aca="false">R$4+Q692/V$32</f>
        <v>46.4790518513021</v>
      </c>
    </row>
    <row r="693" customFormat="false" ht="12.8" hidden="false" customHeight="false" outlineLevel="0" collapsed="false">
      <c r="A693" s="1" t="n">
        <v>689</v>
      </c>
      <c r="B693" s="44" t="n">
        <v>44234</v>
      </c>
      <c r="C693" s="45" t="n">
        <f aca="false">V$30-V$30*SIN(2*PI()/365*A693)</f>
        <v>26.670589115243</v>
      </c>
      <c r="D693" s="3" t="n">
        <f aca="false">IF((E693+F693)&gt;C693,C693,E693+F693)</f>
        <v>8.71318900113625</v>
      </c>
      <c r="E693" s="46" t="n">
        <f aca="false">(V$27+V$28*SIN(2*PI()/365*A693))*V$29/100*V$9*V$10/100</f>
        <v>0</v>
      </c>
      <c r="F693" s="46" t="n">
        <f aca="false">(V$27+V$28*SIN(2*PI()/365*A693))*V$29/100*V$11*(1-V$18/100)*(1-V$20/100)</f>
        <v>8.71318900113625</v>
      </c>
      <c r="G693" s="46" t="n">
        <f aca="false">IF(C693&gt;E693,100,C693/E693*100)</f>
        <v>100</v>
      </c>
      <c r="H693" s="46" t="n">
        <f aca="false">L693/F693*100</f>
        <v>100</v>
      </c>
      <c r="I693" s="47" t="n">
        <f aca="false">(V$27+V$28*SIN(2*PI()/365*A693))*V$29/100*V$9*V$10/100*(1-V$19/100)</f>
        <v>0</v>
      </c>
      <c r="J693" s="47" t="n">
        <f aca="false">(V$27+V$28*SIN(2*PI()/365*A693))*V$29/100*V$11*(1-V$18/100)</f>
        <v>9.57493296828159</v>
      </c>
      <c r="K693" s="48" t="n">
        <f aca="false">IF(E693/C693*100&lt;100,E693/C693*100,100)</f>
        <v>0</v>
      </c>
      <c r="L693" s="7" t="n">
        <f aca="false">IF(((C693-E693)&gt;0)*AND(F693&gt;(C693-E693)),(C693-E693),IF(C693&lt;E693,0,F693))</f>
        <v>8.71318900113625</v>
      </c>
      <c r="M693" s="7" t="n">
        <f aca="false">IF(C693&lt;(E693+F693),0,C693-E693-F693)</f>
        <v>17.9574001141068</v>
      </c>
      <c r="N693" s="7" t="n">
        <f aca="false">IF(C693&lt;(E693+F693),0,(C693-E693-F693)/(1-V$20/100))</f>
        <v>19.7334067187986</v>
      </c>
      <c r="O693" s="7" t="n">
        <f aca="false">L693+M693</f>
        <v>26.670589115243</v>
      </c>
      <c r="P693" s="49" t="n">
        <f aca="false">IF(N693=0,I693*(1-G693/100)+J693*(1-H693/100),-N693)</f>
        <v>-19.7334067187986</v>
      </c>
      <c r="Q693" s="54" t="n">
        <f aca="false">IF(P692&gt;0,Q692+P692*(1-V$24/100),Q692+P692)</f>
        <v>646.016312707129</v>
      </c>
      <c r="R693" s="55" t="n">
        <f aca="false">R$4+Q693/V$32</f>
        <v>46.2826316135823</v>
      </c>
    </row>
    <row r="694" customFormat="false" ht="12.8" hidden="false" customHeight="false" outlineLevel="0" collapsed="false">
      <c r="A694" s="1" t="n">
        <v>690</v>
      </c>
      <c r="B694" s="44" t="n">
        <v>44235</v>
      </c>
      <c r="C694" s="45" t="n">
        <f aca="false">V$30-V$30*SIN(2*PI()/365*A694)</f>
        <v>26.4570913646943</v>
      </c>
      <c r="D694" s="3" t="n">
        <f aca="false">IF((E694+F694)&gt;C694,C694,E694+F694)</f>
        <v>8.92784993559622</v>
      </c>
      <c r="E694" s="46" t="n">
        <f aca="false">(V$27+V$28*SIN(2*PI()/365*A694))*V$29/100*V$9*V$10/100</f>
        <v>0</v>
      </c>
      <c r="F694" s="46" t="n">
        <f aca="false">(V$27+V$28*SIN(2*PI()/365*A694))*V$29/100*V$11*(1-V$18/100)*(1-V$20/100)</f>
        <v>8.92784993559622</v>
      </c>
      <c r="G694" s="46" t="n">
        <f aca="false">IF(C694&gt;E694,100,C694/E694*100)</f>
        <v>100</v>
      </c>
      <c r="H694" s="46" t="n">
        <f aca="false">L694/F694*100</f>
        <v>100</v>
      </c>
      <c r="I694" s="47" t="n">
        <f aca="false">(V$27+V$28*SIN(2*PI()/365*A694))*V$29/100*V$9*V$10/100*(1-V$19/100)</f>
        <v>0</v>
      </c>
      <c r="J694" s="47" t="n">
        <f aca="false">(V$27+V$28*SIN(2*PI()/365*A694))*V$29/100*V$11*(1-V$18/100)</f>
        <v>9.81082410505079</v>
      </c>
      <c r="K694" s="48" t="n">
        <f aca="false">IF(E694/C694*100&lt;100,E694/C694*100,100)</f>
        <v>0</v>
      </c>
      <c r="L694" s="7" t="n">
        <f aca="false">IF(((C694-E694)&gt;0)*AND(F694&gt;(C694-E694)),(C694-E694),IF(C694&lt;E694,0,F694))</f>
        <v>8.92784993559622</v>
      </c>
      <c r="M694" s="7" t="n">
        <f aca="false">IF(C694&lt;(E694+F694),0,C694-E694-F694)</f>
        <v>17.5292414290981</v>
      </c>
      <c r="N694" s="7" t="n">
        <f aca="false">IF(C694&lt;(E694+F694),0,(C694-E694-F694)/(1-V$20/100))</f>
        <v>19.2629026693386</v>
      </c>
      <c r="O694" s="7" t="n">
        <f aca="false">L694+M694</f>
        <v>26.4570913646943</v>
      </c>
      <c r="P694" s="49" t="n">
        <f aca="false">IF(N694=0,I694*(1-G694/100)+J694*(1-H694/100),-N694)</f>
        <v>-19.2629026693386</v>
      </c>
      <c r="Q694" s="54" t="n">
        <f aca="false">IF(P693&gt;0,Q693+P693*(1-V$24/100),Q693+P693)</f>
        <v>626.28290598833</v>
      </c>
      <c r="R694" s="55" t="n">
        <f aca="false">R$4+Q694/V$32</f>
        <v>46.0907204768872</v>
      </c>
    </row>
    <row r="695" customFormat="false" ht="12.8" hidden="false" customHeight="false" outlineLevel="0" collapsed="false">
      <c r="A695" s="1" t="n">
        <v>691</v>
      </c>
      <c r="B695" s="44" t="n">
        <v>44236</v>
      </c>
      <c r="C695" s="45" t="n">
        <f aca="false">V$30-V$30*SIN(2*PI()/365*A695)</f>
        <v>26.2405475285933</v>
      </c>
      <c r="D695" s="3" t="n">
        <f aca="false">IF((E695+F695)&gt;C695,C695,E695+F695)</f>
        <v>9.14557355136983</v>
      </c>
      <c r="E695" s="46" t="n">
        <f aca="false">(V$27+V$28*SIN(2*PI()/365*A695))*V$29/100*V$9*V$10/100</f>
        <v>0</v>
      </c>
      <c r="F695" s="46" t="n">
        <f aca="false">(V$27+V$28*SIN(2*PI()/365*A695))*V$29/100*V$11*(1-V$18/100)*(1-V$20/100)</f>
        <v>9.14557355136983</v>
      </c>
      <c r="G695" s="46" t="n">
        <f aca="false">IF(C695&gt;E695,100,C695/E695*100)</f>
        <v>100</v>
      </c>
      <c r="H695" s="46" t="n">
        <f aca="false">L695/F695*100</f>
        <v>100</v>
      </c>
      <c r="I695" s="47" t="n">
        <f aca="false">(V$27+V$28*SIN(2*PI()/365*A695))*V$29/100*V$9*V$10/100*(1-V$19/100)</f>
        <v>0</v>
      </c>
      <c r="J695" s="47" t="n">
        <f aca="false">(V$27+V$28*SIN(2*PI()/365*A695))*V$29/100*V$11*(1-V$18/100)</f>
        <v>10.0500808256811</v>
      </c>
      <c r="K695" s="48" t="n">
        <f aca="false">IF(E695/C695*100&lt;100,E695/C695*100,100)</f>
        <v>0</v>
      </c>
      <c r="L695" s="7" t="n">
        <f aca="false">IF(((C695-E695)&gt;0)*AND(F695&gt;(C695-E695)),(C695-E695),IF(C695&lt;E695,0,F695))</f>
        <v>9.14557355136983</v>
      </c>
      <c r="M695" s="7" t="n">
        <f aca="false">IF(C695&lt;(E695+F695),0,C695-E695-F695)</f>
        <v>17.0949739772235</v>
      </c>
      <c r="N695" s="7" t="n">
        <f aca="false">IF(C695&lt;(E695+F695),0,(C695-E695-F695)/(1-V$20/100))</f>
        <v>18.7856856892565</v>
      </c>
      <c r="O695" s="7" t="n">
        <f aca="false">L695+M695</f>
        <v>26.2405475285933</v>
      </c>
      <c r="P695" s="49" t="n">
        <f aca="false">IF(N695=0,I695*(1-G695/100)+J695*(1-H695/100),-N695)</f>
        <v>-18.7856856892565</v>
      </c>
      <c r="Q695" s="54" t="n">
        <f aca="false">IF(P694&gt;0,Q694+P694*(1-V$24/100),Q694+P694)</f>
        <v>607.020003318992</v>
      </c>
      <c r="R695" s="55" t="n">
        <f aca="false">R$4+Q695/V$32</f>
        <v>45.9033850816359</v>
      </c>
    </row>
    <row r="696" customFormat="false" ht="12.8" hidden="false" customHeight="false" outlineLevel="0" collapsed="false">
      <c r="A696" s="1" t="n">
        <v>692</v>
      </c>
      <c r="B696" s="44" t="n">
        <v>44237</v>
      </c>
      <c r="C696" s="45" t="n">
        <f aca="false">V$30-V$30*SIN(2*PI()/365*A696)</f>
        <v>26.0210217735519</v>
      </c>
      <c r="D696" s="3" t="n">
        <f aca="false">IF((E696+F696)&gt;C696,C696,E696+F696)</f>
        <v>9.36629533225087</v>
      </c>
      <c r="E696" s="46" t="n">
        <f aca="false">(V$27+V$28*SIN(2*PI()/365*A696))*V$29/100*V$9*V$10/100</f>
        <v>0</v>
      </c>
      <c r="F696" s="46" t="n">
        <f aca="false">(V$27+V$28*SIN(2*PI()/365*A696))*V$29/100*V$11*(1-V$18/100)*(1-V$20/100)</f>
        <v>9.36629533225087</v>
      </c>
      <c r="G696" s="46" t="n">
        <f aca="false">IF(C696&gt;E696,100,C696/E696*100)</f>
        <v>100</v>
      </c>
      <c r="H696" s="46" t="n">
        <f aca="false">L696/F696*100</f>
        <v>100</v>
      </c>
      <c r="I696" s="47" t="n">
        <f aca="false">(V$27+V$28*SIN(2*PI()/365*A696))*V$29/100*V$9*V$10/100*(1-V$19/100)</f>
        <v>0</v>
      </c>
      <c r="J696" s="47" t="n">
        <f aca="false">(V$27+V$28*SIN(2*PI()/365*A696))*V$29/100*V$11*(1-V$18/100)</f>
        <v>10.2926322332427</v>
      </c>
      <c r="K696" s="48" t="n">
        <f aca="false">IF(E696/C696*100&lt;100,E696/C696*100,100)</f>
        <v>0</v>
      </c>
      <c r="L696" s="7" t="n">
        <f aca="false">IF(((C696-E696)&gt;0)*AND(F696&gt;(C696-E696)),(C696-E696),IF(C696&lt;E696,0,F696))</f>
        <v>9.36629533225087</v>
      </c>
      <c r="M696" s="7" t="n">
        <f aca="false">IF(C696&lt;(E696+F696),0,C696-E696-F696)</f>
        <v>16.6547264413011</v>
      </c>
      <c r="N696" s="7" t="n">
        <f aca="false">IF(C696&lt;(E696+F696),0,(C696-E696-F696)/(1-V$20/100))</f>
        <v>18.3018971882429</v>
      </c>
      <c r="O696" s="7" t="n">
        <f aca="false">L696+M696</f>
        <v>26.0210217735519</v>
      </c>
      <c r="P696" s="49" t="n">
        <f aca="false">IF(N696=0,I696*(1-G696/100)+J696*(1-H696/100),-N696)</f>
        <v>-18.3018971882429</v>
      </c>
      <c r="Q696" s="54" t="n">
        <f aca="false">IF(P695&gt;0,Q695+P695*(1-V$24/100),Q695+P695)</f>
        <v>588.234317629735</v>
      </c>
      <c r="R696" s="55" t="n">
        <f aca="false">R$4+Q696/V$32</f>
        <v>45.7206907123567</v>
      </c>
    </row>
    <row r="697" customFormat="false" ht="12.8" hidden="false" customHeight="false" outlineLevel="0" collapsed="false">
      <c r="A697" s="1" t="n">
        <v>693</v>
      </c>
      <c r="B697" s="44" t="n">
        <v>44238</v>
      </c>
      <c r="C697" s="45" t="n">
        <f aca="false">V$30-V$30*SIN(2*PI()/365*A697)</f>
        <v>25.7985791497893</v>
      </c>
      <c r="D697" s="3" t="n">
        <f aca="false">IF((E697+F697)&gt;C697,C697,E697+F697)</f>
        <v>9.5899498736121</v>
      </c>
      <c r="E697" s="46" t="n">
        <f aca="false">(V$27+V$28*SIN(2*PI()/365*A697))*V$29/100*V$9*V$10/100</f>
        <v>0</v>
      </c>
      <c r="F697" s="46" t="n">
        <f aca="false">(V$27+V$28*SIN(2*PI()/365*A697))*V$29/100*V$11*(1-V$18/100)*(1-V$20/100)</f>
        <v>9.5899498736121</v>
      </c>
      <c r="G697" s="46" t="n">
        <f aca="false">IF(C697&gt;E697,100,C697/E697*100)</f>
        <v>100</v>
      </c>
      <c r="H697" s="46" t="n">
        <f aca="false">L697/F697*100</f>
        <v>100</v>
      </c>
      <c r="I697" s="47" t="n">
        <f aca="false">(V$27+V$28*SIN(2*PI()/365*A697))*V$29/100*V$9*V$10/100*(1-V$19/100)</f>
        <v>0</v>
      </c>
      <c r="J697" s="47" t="n">
        <f aca="false">(V$27+V$28*SIN(2*PI()/365*A697))*V$29/100*V$11*(1-V$18/100)</f>
        <v>10.5384064545188</v>
      </c>
      <c r="K697" s="48" t="n">
        <f aca="false">IF(E697/C697*100&lt;100,E697/C697*100,100)</f>
        <v>0</v>
      </c>
      <c r="L697" s="7" t="n">
        <f aca="false">IF(((C697-E697)&gt;0)*AND(F697&gt;(C697-E697)),(C697-E697),IF(C697&lt;E697,0,F697))</f>
        <v>9.5899498736121</v>
      </c>
      <c r="M697" s="7" t="n">
        <f aca="false">IF(C697&lt;(E697+F697),0,C697-E697-F697)</f>
        <v>16.2086292761772</v>
      </c>
      <c r="N697" s="7" t="n">
        <f aca="false">IF(C697&lt;(E697+F697),0,(C697-E697-F697)/(1-V$20/100))</f>
        <v>17.8116805232716</v>
      </c>
      <c r="O697" s="7" t="n">
        <f aca="false">L697+M697</f>
        <v>25.7985791497893</v>
      </c>
      <c r="P697" s="49" t="n">
        <f aca="false">IF(N697=0,I697*(1-G697/100)+J697*(1-H697/100),-N697)</f>
        <v>-17.8116805232716</v>
      </c>
      <c r="Q697" s="54" t="n">
        <f aca="false">IF(P696&gt;0,Q696+P696*(1-V$24/100),Q696+P696)</f>
        <v>569.932420441492</v>
      </c>
      <c r="R697" s="55" t="n">
        <f aca="false">R$4+Q697/V$32</f>
        <v>45.5427012783414</v>
      </c>
    </row>
    <row r="698" customFormat="false" ht="12.8" hidden="false" customHeight="false" outlineLevel="0" collapsed="false">
      <c r="A698" s="1" t="n">
        <v>694</v>
      </c>
      <c r="B698" s="44" t="n">
        <v>44239</v>
      </c>
      <c r="C698" s="45" t="n">
        <f aca="false">V$30-V$30*SIN(2*PI()/365*A698)</f>
        <v>25.5732855718553</v>
      </c>
      <c r="D698" s="3" t="n">
        <f aca="false">IF((E698+F698)&gt;C698,C698,E698+F698)</f>
        <v>9.81647090178609</v>
      </c>
      <c r="E698" s="46" t="n">
        <f aca="false">(V$27+V$28*SIN(2*PI()/365*A698))*V$29/100*V$9*V$10/100</f>
        <v>0</v>
      </c>
      <c r="F698" s="46" t="n">
        <f aca="false">(V$27+V$28*SIN(2*PI()/365*A698))*V$29/100*V$11*(1-V$18/100)*(1-V$20/100)</f>
        <v>9.81647090178609</v>
      </c>
      <c r="G698" s="46" t="n">
        <f aca="false">IF(C698&gt;E698,100,C698/E698*100)</f>
        <v>100</v>
      </c>
      <c r="H698" s="46" t="n">
        <f aca="false">L698/F698*100</f>
        <v>100</v>
      </c>
      <c r="I698" s="47" t="n">
        <f aca="false">(V$27+V$28*SIN(2*PI()/365*A698))*V$29/100*V$9*V$10/100*(1-V$19/100)</f>
        <v>0</v>
      </c>
      <c r="J698" s="47" t="n">
        <f aca="false">(V$27+V$28*SIN(2*PI()/365*A698))*V$29/100*V$11*(1-V$18/100)</f>
        <v>10.7873306613034</v>
      </c>
      <c r="K698" s="48" t="n">
        <f aca="false">IF(E698/C698*100&lt;100,E698/C698*100,100)</f>
        <v>0</v>
      </c>
      <c r="L698" s="7" t="n">
        <f aca="false">IF(((C698-E698)&gt;0)*AND(F698&gt;(C698-E698)),(C698-E698),IF(C698&lt;E698,0,F698))</f>
        <v>9.81647090178609</v>
      </c>
      <c r="M698" s="7" t="n">
        <f aca="false">IF(C698&lt;(E698+F698),0,C698-E698-F698)</f>
        <v>15.7568146700693</v>
      </c>
      <c r="N698" s="7" t="n">
        <f aca="false">IF(C698&lt;(E698+F698),0,(C698-E698-F698)/(1-V$20/100))</f>
        <v>17.3151809561201</v>
      </c>
      <c r="O698" s="7" t="n">
        <f aca="false">L698+M698</f>
        <v>25.5732855718553</v>
      </c>
      <c r="P698" s="49" t="n">
        <f aca="false">IF(N698=0,I698*(1-G698/100)+J698*(1-H698/100),-N698)</f>
        <v>-17.3151809561201</v>
      </c>
      <c r="Q698" s="54" t="n">
        <f aca="false">IF(P697&gt;0,Q697+P697*(1-V$24/100),Q697+P697)</f>
        <v>552.120739918221</v>
      </c>
      <c r="R698" s="55" t="n">
        <f aca="false">R$4+Q698/V$32</f>
        <v>45.3694792947082</v>
      </c>
    </row>
    <row r="699" customFormat="false" ht="12.8" hidden="false" customHeight="false" outlineLevel="0" collapsed="false">
      <c r="A699" s="1" t="n">
        <v>695</v>
      </c>
      <c r="B699" s="44" t="n">
        <v>44240</v>
      </c>
      <c r="C699" s="45" t="n">
        <f aca="false">V$30-V$30*SIN(2*PI()/365*A699)</f>
        <v>25.3452077990996</v>
      </c>
      <c r="D699" s="3" t="n">
        <f aca="false">IF((E699+F699)&gt;C699,C699,E699+F699)</f>
        <v>10.0457912937034</v>
      </c>
      <c r="E699" s="46" t="n">
        <f aca="false">(V$27+V$28*SIN(2*PI()/365*A699))*V$29/100*V$9*V$10/100</f>
        <v>0</v>
      </c>
      <c r="F699" s="46" t="n">
        <f aca="false">(V$27+V$28*SIN(2*PI()/365*A699))*V$29/100*V$11*(1-V$18/100)*(1-V$20/100)</f>
        <v>10.0457912937034</v>
      </c>
      <c r="G699" s="46" t="n">
        <f aca="false">IF(C699&gt;E699,100,C699/E699*100)</f>
        <v>100</v>
      </c>
      <c r="H699" s="46" t="n">
        <f aca="false">L699/F699*100</f>
        <v>100</v>
      </c>
      <c r="I699" s="47" t="n">
        <f aca="false">(V$27+V$28*SIN(2*PI()/365*A699))*V$29/100*V$9*V$10/100*(1-V$19/100)</f>
        <v>0</v>
      </c>
      <c r="J699" s="47" t="n">
        <f aca="false">(V$27+V$28*SIN(2*PI()/365*A699))*V$29/100*V$11*(1-V$18/100)</f>
        <v>11.0393310919818</v>
      </c>
      <c r="K699" s="48" t="n">
        <f aca="false">IF(E699/C699*100&lt;100,E699/C699*100,100)</f>
        <v>0</v>
      </c>
      <c r="L699" s="7" t="n">
        <f aca="false">IF(((C699-E699)&gt;0)*AND(F699&gt;(C699-E699)),(C699-E699),IF(C699&lt;E699,0,F699))</f>
        <v>10.0457912937034</v>
      </c>
      <c r="M699" s="7" t="n">
        <f aca="false">IF(C699&lt;(E699+F699),0,C699-E699-F699)</f>
        <v>15.2994165053962</v>
      </c>
      <c r="N699" s="7" t="n">
        <f aca="false">IF(C699&lt;(E699+F699),0,(C699-E699-F699)/(1-V$20/100))</f>
        <v>16.8125456103255</v>
      </c>
      <c r="O699" s="7" t="n">
        <f aca="false">L699+M699</f>
        <v>25.3452077990996</v>
      </c>
      <c r="P699" s="49" t="n">
        <f aca="false">IF(N699=0,I699*(1-G699/100)+J699*(1-H699/100),-N699)</f>
        <v>-16.8125456103255</v>
      </c>
      <c r="Q699" s="54" t="n">
        <f aca="false">IF(P698&gt;0,Q698+P698*(1-V$24/100),Q698+P698)</f>
        <v>534.805558962101</v>
      </c>
      <c r="R699" s="55" t="n">
        <f aca="false">R$4+Q699/V$32</f>
        <v>45.2010858638767</v>
      </c>
    </row>
    <row r="700" customFormat="false" ht="12.8" hidden="false" customHeight="false" outlineLevel="0" collapsed="false">
      <c r="A700" s="1" t="n">
        <v>696</v>
      </c>
      <c r="B700" s="44" t="n">
        <v>44241</v>
      </c>
      <c r="C700" s="45" t="n">
        <f aca="false">V$30-V$30*SIN(2*PI()/365*A700)</f>
        <v>25.1144134158884</v>
      </c>
      <c r="D700" s="3" t="n">
        <f aca="false">IF((E700+F700)&gt;C700,C700,E700+F700)</f>
        <v>10.2778430967828</v>
      </c>
      <c r="E700" s="46" t="n">
        <f aca="false">(V$27+V$28*SIN(2*PI()/365*A700))*V$29/100*V$9*V$10/100</f>
        <v>0</v>
      </c>
      <c r="F700" s="46" t="n">
        <f aca="false">(V$27+V$28*SIN(2*PI()/365*A700))*V$29/100*V$11*(1-V$18/100)*(1-V$20/100)</f>
        <v>10.2778430967828</v>
      </c>
      <c r="G700" s="46" t="n">
        <f aca="false">IF(C700&gt;E700,100,C700/E700*100)</f>
        <v>100</v>
      </c>
      <c r="H700" s="46" t="n">
        <f aca="false">L700/F700*100</f>
        <v>100</v>
      </c>
      <c r="I700" s="47" t="n">
        <f aca="false">(V$27+V$28*SIN(2*PI()/365*A700))*V$29/100*V$9*V$10/100*(1-V$19/100)</f>
        <v>0</v>
      </c>
      <c r="J700" s="47" t="n">
        <f aca="false">(V$27+V$28*SIN(2*PI()/365*A700))*V$29/100*V$11*(1-V$18/100)</f>
        <v>11.2943330733877</v>
      </c>
      <c r="K700" s="48" t="n">
        <f aca="false">IF(E700/C700*100&lt;100,E700/C700*100,100)</f>
        <v>0</v>
      </c>
      <c r="L700" s="7" t="n">
        <f aca="false">IF(((C700-E700)&gt;0)*AND(F700&gt;(C700-E700)),(C700-E700),IF(C700&lt;E700,0,F700))</f>
        <v>10.2778430967828</v>
      </c>
      <c r="M700" s="7" t="n">
        <f aca="false">IF(C700&lt;(E700+F700),0,C700-E700-F700)</f>
        <v>14.8365703191056</v>
      </c>
      <c r="N700" s="7" t="n">
        <f aca="false">IF(C700&lt;(E700+F700),0,(C700-E700-F700)/(1-V$20/100))</f>
        <v>16.3039234275886</v>
      </c>
      <c r="O700" s="7" t="n">
        <f aca="false">L700+M700</f>
        <v>25.1144134158884</v>
      </c>
      <c r="P700" s="49" t="n">
        <f aca="false">IF(N700=0,I700*(1-G700/100)+J700*(1-H700/100),-N700)</f>
        <v>-16.3039234275886</v>
      </c>
      <c r="Q700" s="54" t="n">
        <f aca="false">IF(P699&gt;0,Q699+P699*(1-V$24/100),Q699+P699)</f>
        <v>517.993013351775</v>
      </c>
      <c r="R700" s="55" t="n">
        <f aca="false">R$4+Q700/V$32</f>
        <v>45.0375806574624</v>
      </c>
    </row>
    <row r="701" customFormat="false" ht="12.8" hidden="false" customHeight="false" outlineLevel="0" collapsed="false">
      <c r="A701" s="1" t="n">
        <v>697</v>
      </c>
      <c r="B701" s="44" t="n">
        <v>44242</v>
      </c>
      <c r="C701" s="45" t="n">
        <f aca="false">V$30-V$30*SIN(2*PI()/365*A701)</f>
        <v>24.8809708115785</v>
      </c>
      <c r="D701" s="3" t="n">
        <f aca="false">IF((E701+F701)&gt;C701,C701,E701+F701)</f>
        <v>10.512557549067</v>
      </c>
      <c r="E701" s="46" t="n">
        <f aca="false">(V$27+V$28*SIN(2*PI()/365*A701))*V$29/100*V$9*V$10/100</f>
        <v>0</v>
      </c>
      <c r="F701" s="46" t="n">
        <f aca="false">(V$27+V$28*SIN(2*PI()/365*A701))*V$29/100*V$11*(1-V$18/100)*(1-V$20/100)</f>
        <v>10.512557549067</v>
      </c>
      <c r="G701" s="46" t="n">
        <f aca="false">IF(C701&gt;E701,100,C701/E701*100)</f>
        <v>100</v>
      </c>
      <c r="H701" s="46" t="n">
        <f aca="false">L701/F701*100</f>
        <v>100</v>
      </c>
      <c r="I701" s="47" t="n">
        <f aca="false">(V$27+V$28*SIN(2*PI()/365*A701))*V$29/100*V$9*V$10/100*(1-V$19/100)</f>
        <v>0</v>
      </c>
      <c r="J701" s="47" t="n">
        <f aca="false">(V$27+V$28*SIN(2*PI()/365*A701))*V$29/100*V$11*(1-V$18/100)</f>
        <v>11.5522610429308</v>
      </c>
      <c r="K701" s="48" t="n">
        <f aca="false">IF(E701/C701*100&lt;100,E701/C701*100,100)</f>
        <v>0</v>
      </c>
      <c r="L701" s="7" t="n">
        <f aca="false">IF(((C701-E701)&gt;0)*AND(F701&gt;(C701-E701)),(C701-E701),IF(C701&lt;E701,0,F701))</f>
        <v>10.512557549067</v>
      </c>
      <c r="M701" s="7" t="n">
        <f aca="false">IF(C701&lt;(E701+F701),0,C701-E701-F701)</f>
        <v>14.3684132625115</v>
      </c>
      <c r="N701" s="7" t="n">
        <f aca="false">IF(C701&lt;(E701+F701),0,(C701-E701-F701)/(1-V$20/100))</f>
        <v>15.789465123639</v>
      </c>
      <c r="O701" s="7" t="n">
        <f aca="false">L701+M701</f>
        <v>24.8809708115785</v>
      </c>
      <c r="P701" s="49" t="n">
        <f aca="false">IF(N701=0,I701*(1-G701/100)+J701*(1-H701/100),-N701)</f>
        <v>-15.789465123639</v>
      </c>
      <c r="Q701" s="54" t="n">
        <f aca="false">IF(P700&gt;0,Q700+P700*(1-V$24/100),Q700+P700)</f>
        <v>501.689089924187</v>
      </c>
      <c r="R701" s="55" t="n">
        <f aca="false">R$4+Q701/V$32</f>
        <v>44.879021898594</v>
      </c>
    </row>
    <row r="702" customFormat="false" ht="12.8" hidden="false" customHeight="false" outlineLevel="0" collapsed="false">
      <c r="A702" s="1" t="n">
        <v>698</v>
      </c>
      <c r="B702" s="44" t="n">
        <v>44243</v>
      </c>
      <c r="C702" s="45" t="n">
        <f aca="false">V$30-V$30*SIN(2*PI()/365*A702)</f>
        <v>24.6449491602516</v>
      </c>
      <c r="D702" s="3" t="n">
        <f aca="false">IF((E702+F702)&gt;C702,C702,E702+F702)</f>
        <v>10.7498650995982</v>
      </c>
      <c r="E702" s="46" t="n">
        <f aca="false">(V$27+V$28*SIN(2*PI()/365*A702))*V$29/100*V$9*V$10/100</f>
        <v>0</v>
      </c>
      <c r="F702" s="46" t="n">
        <f aca="false">(V$27+V$28*SIN(2*PI()/365*A702))*V$29/100*V$11*(1-V$18/100)*(1-V$20/100)</f>
        <v>10.7498650995982</v>
      </c>
      <c r="G702" s="46" t="n">
        <f aca="false">IF(C702&gt;E702,100,C702/E702*100)</f>
        <v>100</v>
      </c>
      <c r="H702" s="46" t="n">
        <f aca="false">L702/F702*100</f>
        <v>100</v>
      </c>
      <c r="I702" s="47" t="n">
        <f aca="false">(V$27+V$28*SIN(2*PI()/365*A702))*V$29/100*V$9*V$10/100*(1-V$19/100)</f>
        <v>0</v>
      </c>
      <c r="J702" s="47" t="n">
        <f aca="false">(V$27+V$28*SIN(2*PI()/365*A702))*V$29/100*V$11*(1-V$18/100)</f>
        <v>11.813038570987</v>
      </c>
      <c r="K702" s="48" t="n">
        <f aca="false">IF(E702/C702*100&lt;100,E702/C702*100,100)</f>
        <v>0</v>
      </c>
      <c r="L702" s="7" t="n">
        <f aca="false">IF(((C702-E702)&gt;0)*AND(F702&gt;(C702-E702)),(C702-E702),IF(C702&lt;E702,0,F702))</f>
        <v>10.7498650995982</v>
      </c>
      <c r="M702" s="7" t="n">
        <f aca="false">IF(C702&lt;(E702+F702),0,C702-E702-F702)</f>
        <v>13.8950840606534</v>
      </c>
      <c r="N702" s="7" t="n">
        <f aca="false">IF(C702&lt;(E702+F702),0,(C702-E702-F702)/(1-V$20/100))</f>
        <v>15.2693231435752</v>
      </c>
      <c r="O702" s="7" t="n">
        <f aca="false">L702+M702</f>
        <v>24.6449491602516</v>
      </c>
      <c r="P702" s="49" t="n">
        <f aca="false">IF(N702=0,I702*(1-G702/100)+J702*(1-H702/100),-N702)</f>
        <v>-15.2693231435752</v>
      </c>
      <c r="Q702" s="54" t="n">
        <f aca="false">IF(P701&gt;0,Q701+P701*(1-V$24/100),Q701+P701)</f>
        <v>485.899624800548</v>
      </c>
      <c r="R702" s="55" t="n">
        <f aca="false">R$4+Q702/V$32</f>
        <v>44.7254663446612</v>
      </c>
    </row>
    <row r="703" customFormat="false" ht="12.8" hidden="false" customHeight="false" outlineLevel="0" collapsed="false">
      <c r="A703" s="1" t="n">
        <v>699</v>
      </c>
      <c r="B703" s="44" t="n">
        <v>44244</v>
      </c>
      <c r="C703" s="45" t="n">
        <f aca="false">V$30-V$30*SIN(2*PI()/365*A703)</f>
        <v>24.4064184002167</v>
      </c>
      <c r="D703" s="3" t="n">
        <f aca="false">IF((E703+F703)&gt;C703,C703,E703+F703)</f>
        <v>10.9896954290276</v>
      </c>
      <c r="E703" s="46" t="n">
        <f aca="false">(V$27+V$28*SIN(2*PI()/365*A703))*V$29/100*V$9*V$10/100</f>
        <v>0</v>
      </c>
      <c r="F703" s="46" t="n">
        <f aca="false">(V$27+V$28*SIN(2*PI()/365*A703))*V$29/100*V$11*(1-V$18/100)*(1-V$20/100)</f>
        <v>10.9896954290276</v>
      </c>
      <c r="G703" s="46" t="n">
        <f aca="false">IF(C703&gt;E703,100,C703/E703*100)</f>
        <v>100</v>
      </c>
      <c r="H703" s="46" t="n">
        <f aca="false">L703/F703*100</f>
        <v>100</v>
      </c>
      <c r="I703" s="47" t="n">
        <f aca="false">(V$27+V$28*SIN(2*PI()/365*A703))*V$29/100*V$9*V$10/100*(1-V$19/100)</f>
        <v>0</v>
      </c>
      <c r="J703" s="47" t="n">
        <f aca="false">(V$27+V$28*SIN(2*PI()/365*A703))*V$29/100*V$11*(1-V$18/100)</f>
        <v>12.0765883835468</v>
      </c>
      <c r="K703" s="48" t="n">
        <f aca="false">IF(E703/C703*100&lt;100,E703/C703*100,100)</f>
        <v>0</v>
      </c>
      <c r="L703" s="7" t="n">
        <f aca="false">IF(((C703-E703)&gt;0)*AND(F703&gt;(C703-E703)),(C703-E703),IF(C703&lt;E703,0,F703))</f>
        <v>10.9896954290276</v>
      </c>
      <c r="M703" s="7" t="n">
        <f aca="false">IF(C703&lt;(E703+F703),0,C703-E703-F703)</f>
        <v>13.4167229711891</v>
      </c>
      <c r="N703" s="7" t="n">
        <f aca="false">IF(C703&lt;(E703+F703),0,(C703-E703-F703)/(1-V$20/100))</f>
        <v>14.7436516166913</v>
      </c>
      <c r="O703" s="7" t="n">
        <f aca="false">L703+M703</f>
        <v>24.4064184002167</v>
      </c>
      <c r="P703" s="49" t="n">
        <f aca="false">IF(N703=0,I703*(1-G703/100)+J703*(1-H703/100),-N703)</f>
        <v>-14.7436516166913</v>
      </c>
      <c r="Q703" s="54" t="n">
        <f aca="false">IF(P702&gt;0,Q702+P702*(1-V$24/100),Q702+P702)</f>
        <v>470.630301656972</v>
      </c>
      <c r="R703" s="55" t="n">
        <f aca="false">R$4+Q703/V$32</f>
        <v>44.5769692704963</v>
      </c>
    </row>
    <row r="704" customFormat="false" ht="12.8" hidden="false" customHeight="false" outlineLevel="0" collapsed="false">
      <c r="A704" s="1" t="n">
        <v>700</v>
      </c>
      <c r="B704" s="44" t="n">
        <v>44245</v>
      </c>
      <c r="C704" s="45" t="n">
        <f aca="false">V$30-V$30*SIN(2*PI()/365*A704)</f>
        <v>24.165449213286</v>
      </c>
      <c r="D704" s="3" t="n">
        <f aca="false">IF((E704+F704)&gt;C704,C704,E704+F704)</f>
        <v>11.2319774704527</v>
      </c>
      <c r="E704" s="46" t="n">
        <f aca="false">(V$27+V$28*SIN(2*PI()/365*A704))*V$29/100*V$9*V$10/100</f>
        <v>0</v>
      </c>
      <c r="F704" s="46" t="n">
        <f aca="false">(V$27+V$28*SIN(2*PI()/365*A704))*V$29/100*V$11*(1-V$18/100)*(1-V$20/100)</f>
        <v>11.2319774704527</v>
      </c>
      <c r="G704" s="46" t="n">
        <f aca="false">IF(C704&gt;E704,100,C704/E704*100)</f>
        <v>100</v>
      </c>
      <c r="H704" s="46" t="n">
        <f aca="false">L704/F704*100</f>
        <v>100</v>
      </c>
      <c r="I704" s="47" t="n">
        <f aca="false">(V$27+V$28*SIN(2*PI()/365*A704))*V$29/100*V$9*V$10/100*(1-V$19/100)</f>
        <v>0</v>
      </c>
      <c r="J704" s="47" t="n">
        <f aca="false">(V$27+V$28*SIN(2*PI()/365*A704))*V$29/100*V$11*(1-V$18/100)</f>
        <v>12.3428323851128</v>
      </c>
      <c r="K704" s="48" t="n">
        <f aca="false">IF(E704/C704*100&lt;100,E704/C704*100,100)</f>
        <v>0</v>
      </c>
      <c r="L704" s="7" t="n">
        <f aca="false">IF(((C704-E704)&gt;0)*AND(F704&gt;(C704-E704)),(C704-E704),IF(C704&lt;E704,0,F704))</f>
        <v>11.2319774704527</v>
      </c>
      <c r="M704" s="7" t="n">
        <f aca="false">IF(C704&lt;(E704+F704),0,C704-E704-F704)</f>
        <v>12.9334717428333</v>
      </c>
      <c r="N704" s="7" t="n">
        <f aca="false">IF(C704&lt;(E704+F704),0,(C704-E704-F704)/(1-V$20/100))</f>
        <v>14.2126063108058</v>
      </c>
      <c r="O704" s="7" t="n">
        <f aca="false">L704+M704</f>
        <v>24.165449213286</v>
      </c>
      <c r="P704" s="49" t="n">
        <f aca="false">IF(N704=0,I704*(1-G704/100)+J704*(1-H704/100),-N704)</f>
        <v>-14.2126063108058</v>
      </c>
      <c r="Q704" s="54" t="n">
        <f aca="false">IF(P703&gt;0,Q703+P703*(1-V$24/100),Q703+P703)</f>
        <v>455.886650040281</v>
      </c>
      <c r="R704" s="55" t="n">
        <f aca="false">R$4+Q704/V$32</f>
        <v>44.4335844519946</v>
      </c>
    </row>
    <row r="705" customFormat="false" ht="12.8" hidden="false" customHeight="false" outlineLevel="0" collapsed="false">
      <c r="A705" s="1" t="n">
        <v>701</v>
      </c>
      <c r="B705" s="44" t="n">
        <v>44246</v>
      </c>
      <c r="C705" s="45" t="n">
        <f aca="false">V$30-V$30*SIN(2*PI()/365*A705)</f>
        <v>23.9221130038301</v>
      </c>
      <c r="D705" s="3" t="n">
        <f aca="false">IF((E705+F705)&gt;C705,C705,E705+F705)</f>
        <v>11.4766394304757</v>
      </c>
      <c r="E705" s="46" t="n">
        <f aca="false">(V$27+V$28*SIN(2*PI()/365*A705))*V$29/100*V$9*V$10/100</f>
        <v>0</v>
      </c>
      <c r="F705" s="46" t="n">
        <f aca="false">(V$27+V$28*SIN(2*PI()/365*A705))*V$29/100*V$11*(1-V$18/100)*(1-V$20/100)</f>
        <v>11.4766394304757</v>
      </c>
      <c r="G705" s="46" t="n">
        <f aca="false">IF(C705&gt;E705,100,C705/E705*100)</f>
        <v>100</v>
      </c>
      <c r="H705" s="46" t="n">
        <f aca="false">L705/F705*100</f>
        <v>100</v>
      </c>
      <c r="I705" s="47" t="n">
        <f aca="false">(V$27+V$28*SIN(2*PI()/365*A705))*V$29/100*V$9*V$10/100*(1-V$19/100)</f>
        <v>0</v>
      </c>
      <c r="J705" s="47" t="n">
        <f aca="false">(V$27+V$28*SIN(2*PI()/365*A705))*V$29/100*V$11*(1-V$18/100)</f>
        <v>12.6116916818414</v>
      </c>
      <c r="K705" s="48" t="n">
        <f aca="false">IF(E705/C705*100&lt;100,E705/C705*100,100)</f>
        <v>0</v>
      </c>
      <c r="L705" s="7" t="n">
        <f aca="false">IF(((C705-E705)&gt;0)*AND(F705&gt;(C705-E705)),(C705-E705),IF(C705&lt;E705,0,F705))</f>
        <v>11.4766394304757</v>
      </c>
      <c r="M705" s="7" t="n">
        <f aca="false">IF(C705&lt;(E705+F705),0,C705-E705-F705)</f>
        <v>12.4454735733544</v>
      </c>
      <c r="N705" s="7" t="n">
        <f aca="false">IF(C705&lt;(E705+F705),0,(C705-E705-F705)/(1-V$20/100))</f>
        <v>13.6763445861038</v>
      </c>
      <c r="O705" s="7" t="n">
        <f aca="false">L705+M705</f>
        <v>23.9221130038301</v>
      </c>
      <c r="P705" s="49" t="n">
        <f aca="false">IF(N705=0,I705*(1-G705/100)+J705*(1-H705/100),-N705)</f>
        <v>-13.6763445861038</v>
      </c>
      <c r="Q705" s="54" t="n">
        <f aca="false">IF(P704&gt;0,Q704+P704*(1-V$24/100),Q704+P704)</f>
        <v>441.674043729475</v>
      </c>
      <c r="R705" s="55" t="n">
        <f aca="false">R$4+Q705/V$32</f>
        <v>44.2953641501798</v>
      </c>
    </row>
    <row r="706" customFormat="false" ht="12.8" hidden="false" customHeight="false" outlineLevel="0" collapsed="false">
      <c r="A706" s="1" t="n">
        <v>702</v>
      </c>
      <c r="B706" s="44" t="n">
        <v>44247</v>
      </c>
      <c r="C706" s="45" t="n">
        <f aca="false">V$30-V$30*SIN(2*PI()/365*A706)</f>
        <v>23.6764818776195</v>
      </c>
      <c r="D706" s="3" t="n">
        <f aca="false">IF((E706+F706)&gt;C706,C706,E706+F706)</f>
        <v>11.7236088104776</v>
      </c>
      <c r="E706" s="46" t="n">
        <f aca="false">(V$27+V$28*SIN(2*PI()/365*A706))*V$29/100*V$9*V$10/100</f>
        <v>0</v>
      </c>
      <c r="F706" s="46" t="n">
        <f aca="false">(V$27+V$28*SIN(2*PI()/365*A706))*V$29/100*V$11*(1-V$18/100)*(1-V$20/100)</f>
        <v>11.7236088104776</v>
      </c>
      <c r="G706" s="46" t="n">
        <f aca="false">IF(C706&gt;E706,100,C706/E706*100)</f>
        <v>100</v>
      </c>
      <c r="H706" s="46" t="n">
        <f aca="false">L706/F706*100</f>
        <v>100</v>
      </c>
      <c r="I706" s="47" t="n">
        <f aca="false">(V$27+V$28*SIN(2*PI()/365*A706))*V$29/100*V$9*V$10/100*(1-V$19/100)</f>
        <v>0</v>
      </c>
      <c r="J706" s="47" t="n">
        <f aca="false">(V$27+V$28*SIN(2*PI()/365*A706))*V$29/100*V$11*(1-V$18/100)</f>
        <v>12.8830866049205</v>
      </c>
      <c r="K706" s="48" t="n">
        <f aca="false">IF(E706/C706*100&lt;100,E706/C706*100,100)</f>
        <v>0</v>
      </c>
      <c r="L706" s="7" t="n">
        <f aca="false">IF(((C706-E706)&gt;0)*AND(F706&gt;(C706-E706)),(C706-E706),IF(C706&lt;E706,0,F706))</f>
        <v>11.7236088104776</v>
      </c>
      <c r="M706" s="7" t="n">
        <f aca="false">IF(C706&lt;(E706+F706),0,C706-E706-F706)</f>
        <v>11.9528730671419</v>
      </c>
      <c r="N706" s="7" t="n">
        <f aca="false">IF(C706&lt;(E706+F706),0,(C706-E706-F706)/(1-V$20/100))</f>
        <v>13.1350253485076</v>
      </c>
      <c r="O706" s="7" t="n">
        <f aca="false">L706+M706</f>
        <v>23.6764818776195</v>
      </c>
      <c r="P706" s="49" t="n">
        <f aca="false">IF(N706=0,I706*(1-G706/100)+J706*(1-H706/100),-N706)</f>
        <v>-13.1350253485076</v>
      </c>
      <c r="Q706" s="54" t="n">
        <f aca="false">IF(P705&gt;0,Q705+P705*(1-V$24/100),Q705+P705)</f>
        <v>427.997699143371</v>
      </c>
      <c r="R706" s="55" t="n">
        <f aca="false">R$4+Q706/V$32</f>
        <v>44.1623590957178</v>
      </c>
    </row>
    <row r="707" customFormat="false" ht="12.8" hidden="false" customHeight="false" outlineLevel="0" collapsed="false">
      <c r="A707" s="1" t="n">
        <v>703</v>
      </c>
      <c r="B707" s="44" t="n">
        <v>44248</v>
      </c>
      <c r="C707" s="45" t="n">
        <f aca="false">V$30-V$30*SIN(2*PI()/365*A707)</f>
        <v>23.4286286204581</v>
      </c>
      <c r="D707" s="3" t="n">
        <f aca="false">IF((E707+F707)&gt;C707,C707,E707+F707)</f>
        <v>11.9728124281012</v>
      </c>
      <c r="E707" s="46" t="n">
        <f aca="false">(V$27+V$28*SIN(2*PI()/365*A707))*V$29/100*V$9*V$10/100</f>
        <v>0</v>
      </c>
      <c r="F707" s="46" t="n">
        <f aca="false">(V$27+V$28*SIN(2*PI()/365*A707))*V$29/100*V$11*(1-V$18/100)*(1-V$20/100)</f>
        <v>11.9728124281012</v>
      </c>
      <c r="G707" s="46" t="n">
        <f aca="false">IF(C707&gt;E707,100,C707/E707*100)</f>
        <v>100</v>
      </c>
      <c r="H707" s="46" t="n">
        <f aca="false">L707/F707*100</f>
        <v>100</v>
      </c>
      <c r="I707" s="47" t="n">
        <f aca="false">(V$27+V$28*SIN(2*PI()/365*A707))*V$29/100*V$9*V$10/100*(1-V$19/100)</f>
        <v>0</v>
      </c>
      <c r="J707" s="47" t="n">
        <f aca="false">(V$27+V$28*SIN(2*PI()/365*A707))*V$29/100*V$11*(1-V$18/100)</f>
        <v>13.1569367341771</v>
      </c>
      <c r="K707" s="48" t="n">
        <f aca="false">IF(E707/C707*100&lt;100,E707/C707*100,100)</f>
        <v>0</v>
      </c>
      <c r="L707" s="7" t="n">
        <f aca="false">IF(((C707-E707)&gt;0)*AND(F707&gt;(C707-E707)),(C707-E707),IF(C707&lt;E707,0,F707))</f>
        <v>11.9728124281012</v>
      </c>
      <c r="M707" s="7" t="n">
        <f aca="false">IF(C707&lt;(E707+F707),0,C707-E707-F707)</f>
        <v>11.4558161923569</v>
      </c>
      <c r="N707" s="7" t="n">
        <f aca="false">IF(C707&lt;(E707+F707),0,(C707-E707-F707)/(1-V$20/100))</f>
        <v>12.58880900259</v>
      </c>
      <c r="O707" s="7" t="n">
        <f aca="false">L707+M707</f>
        <v>23.4286286204581</v>
      </c>
      <c r="P707" s="49" t="n">
        <f aca="false">IF(N707=0,I707*(1-G707/100)+J707*(1-H707/100),-N707)</f>
        <v>-12.58880900259</v>
      </c>
      <c r="Q707" s="54" t="n">
        <f aca="false">IF(P706&gt;0,Q706+P706*(1-V$24/100),Q706+P706)</f>
        <v>414.862673794864</v>
      </c>
      <c r="R707" s="55" t="n">
        <f aca="false">R$4+Q707/V$32</f>
        <v>44.0346184738844</v>
      </c>
    </row>
    <row r="708" customFormat="false" ht="12.8" hidden="false" customHeight="false" outlineLevel="0" collapsed="false">
      <c r="A708" s="1" t="n">
        <v>704</v>
      </c>
      <c r="B708" s="44" t="n">
        <v>44249</v>
      </c>
      <c r="C708" s="45" t="n">
        <f aca="false">V$30-V$30*SIN(2*PI()/365*A708)</f>
        <v>23.1786266766149</v>
      </c>
      <c r="D708" s="3" t="n">
        <f aca="false">IF((E708+F708)&gt;C708,C708,E708+F708)</f>
        <v>12.2241764389362</v>
      </c>
      <c r="E708" s="46" t="n">
        <f aca="false">(V$27+V$28*SIN(2*PI()/365*A708))*V$29/100*V$9*V$10/100</f>
        <v>0</v>
      </c>
      <c r="F708" s="46" t="n">
        <f aca="false">(V$27+V$28*SIN(2*PI()/365*A708))*V$29/100*V$11*(1-V$18/100)*(1-V$20/100)</f>
        <v>12.2241764389362</v>
      </c>
      <c r="G708" s="46" t="n">
        <f aca="false">IF(C708&gt;E708,100,C708/E708*100)</f>
        <v>100</v>
      </c>
      <c r="H708" s="46" t="n">
        <f aca="false">L708/F708*100</f>
        <v>100</v>
      </c>
      <c r="I708" s="47" t="n">
        <f aca="false">(V$27+V$28*SIN(2*PI()/365*A708))*V$29/100*V$9*V$10/100*(1-V$19/100)</f>
        <v>0</v>
      </c>
      <c r="J708" s="47" t="n">
        <f aca="false">(V$27+V$28*SIN(2*PI()/365*A708))*V$29/100*V$11*(1-V$18/100)</f>
        <v>13.4331609219079</v>
      </c>
      <c r="K708" s="48" t="n">
        <f aca="false">IF(E708/C708*100&lt;100,E708/C708*100,100)</f>
        <v>0</v>
      </c>
      <c r="L708" s="7" t="n">
        <f aca="false">IF(((C708-E708)&gt;0)*AND(F708&gt;(C708-E708)),(C708-E708),IF(C708&lt;E708,0,F708))</f>
        <v>12.2241764389362</v>
      </c>
      <c r="M708" s="7" t="n">
        <f aca="false">IF(C708&lt;(E708+F708),0,C708-E708-F708)</f>
        <v>10.9544502376787</v>
      </c>
      <c r="N708" s="7" t="n">
        <f aca="false">IF(C708&lt;(E708+F708),0,(C708-E708-F708)/(1-V$20/100))</f>
        <v>12.0378574040426</v>
      </c>
      <c r="O708" s="7" t="n">
        <f aca="false">L708+M708</f>
        <v>23.1786266766149</v>
      </c>
      <c r="P708" s="49" t="n">
        <f aca="false">IF(N708=0,I708*(1-G708/100)+J708*(1-H708/100),-N708)</f>
        <v>-12.0378574040426</v>
      </c>
      <c r="Q708" s="54" t="n">
        <f aca="false">IF(P707&gt;0,Q707+P707*(1-V$24/100),Q707+P707)</f>
        <v>402.273864792274</v>
      </c>
      <c r="R708" s="55" t="n">
        <f aca="false">R$4+Q708/V$32</f>
        <v>43.9121899099901</v>
      </c>
    </row>
    <row r="709" customFormat="false" ht="12.8" hidden="false" customHeight="false" outlineLevel="0" collapsed="false">
      <c r="A709" s="1" t="n">
        <v>705</v>
      </c>
      <c r="B709" s="44" t="n">
        <v>44250</v>
      </c>
      <c r="C709" s="45" t="n">
        <f aca="false">V$30-V$30*SIN(2*PI()/365*A709)</f>
        <v>22.9265501270616</v>
      </c>
      <c r="D709" s="3" t="n">
        <f aca="false">IF((E709+F709)&gt;C709,C709,E709+F709)</f>
        <v>12.4776263584013</v>
      </c>
      <c r="E709" s="46" t="n">
        <f aca="false">(V$27+V$28*SIN(2*PI()/365*A709))*V$29/100*V$9*V$10/100</f>
        <v>0</v>
      </c>
      <c r="F709" s="46" t="n">
        <f aca="false">(V$27+V$28*SIN(2*PI()/365*A709))*V$29/100*V$11*(1-V$18/100)*(1-V$20/100)</f>
        <v>12.4776263584013</v>
      </c>
      <c r="G709" s="46" t="n">
        <f aca="false">IF(C709&gt;E709,100,C709/E709*100)</f>
        <v>100</v>
      </c>
      <c r="H709" s="46" t="n">
        <f aca="false">L709/F709*100</f>
        <v>100</v>
      </c>
      <c r="I709" s="47" t="n">
        <f aca="false">(V$27+V$28*SIN(2*PI()/365*A709))*V$29/100*V$9*V$10/100*(1-V$19/100)</f>
        <v>0</v>
      </c>
      <c r="J709" s="47" t="n">
        <f aca="false">(V$27+V$28*SIN(2*PI()/365*A709))*V$29/100*V$11*(1-V$18/100)</f>
        <v>13.7116773169245</v>
      </c>
      <c r="K709" s="48" t="n">
        <f aca="false">IF(E709/C709*100&lt;100,E709/C709*100,100)</f>
        <v>0</v>
      </c>
      <c r="L709" s="7" t="n">
        <f aca="false">IF(((C709-E709)&gt;0)*AND(F709&gt;(C709-E709)),(C709-E709),IF(C709&lt;E709,0,F709))</f>
        <v>12.4776263584013</v>
      </c>
      <c r="M709" s="7" t="n">
        <f aca="false">IF(C709&lt;(E709+F709),0,C709-E709-F709)</f>
        <v>10.4489237686603</v>
      </c>
      <c r="N709" s="7" t="n">
        <f aca="false">IF(C709&lt;(E709+F709),0,(C709-E709-F709)/(1-V$20/100))</f>
        <v>11.4823338117146</v>
      </c>
      <c r="O709" s="7" t="n">
        <f aca="false">L709+M709</f>
        <v>22.9265501270616</v>
      </c>
      <c r="P709" s="49" t="n">
        <f aca="false">IF(N709=0,I709*(1-G709/100)+J709*(1-H709/100),-N709)</f>
        <v>-11.4823338117146</v>
      </c>
      <c r="Q709" s="54" t="n">
        <f aca="false">IF(P708&gt;0,Q708+P708*(1-V$24/100),Q708+P708)</f>
        <v>390.236007388231</v>
      </c>
      <c r="R709" s="55" t="n">
        <f aca="false">R$4+Q709/V$32</f>
        <v>43.7951194552682</v>
      </c>
    </row>
    <row r="710" customFormat="false" ht="12.8" hidden="false" customHeight="false" outlineLevel="0" collapsed="false">
      <c r="A710" s="1" t="n">
        <v>706</v>
      </c>
      <c r="B710" s="44" t="n">
        <v>44251</v>
      </c>
      <c r="C710" s="45" t="n">
        <f aca="false">V$30-V$30*SIN(2*PI()/365*A710)</f>
        <v>22.67247366752</v>
      </c>
      <c r="D710" s="3" t="n">
        <f aca="false">IF((E710+F710)&gt;C710,C710,E710+F710)</f>
        <v>12.7330870838156</v>
      </c>
      <c r="E710" s="46" t="n">
        <f aca="false">(V$27+V$28*SIN(2*PI()/365*A710))*V$29/100*V$9*V$10/100</f>
        <v>0</v>
      </c>
      <c r="F710" s="46" t="n">
        <f aca="false">(V$27+V$28*SIN(2*PI()/365*A710))*V$29/100*V$11*(1-V$18/100)*(1-V$20/100)</f>
        <v>12.7330870838156</v>
      </c>
      <c r="G710" s="46" t="n">
        <f aca="false">IF(C710&gt;E710,100,C710/E710*100)</f>
        <v>100</v>
      </c>
      <c r="H710" s="46" t="n">
        <f aca="false">L710/F710*100</f>
        <v>100</v>
      </c>
      <c r="I710" s="47" t="n">
        <f aca="false">(V$27+V$28*SIN(2*PI()/365*A710))*V$29/100*V$9*V$10/100*(1-V$19/100)</f>
        <v>0</v>
      </c>
      <c r="J710" s="47" t="n">
        <f aca="false">(V$27+V$28*SIN(2*PI()/365*A710))*V$29/100*V$11*(1-V$18/100)</f>
        <v>13.9924033888084</v>
      </c>
      <c r="K710" s="48" t="n">
        <f aca="false">IF(E710/C710*100&lt;100,E710/C710*100,100)</f>
        <v>0</v>
      </c>
      <c r="L710" s="7" t="n">
        <f aca="false">IF(((C710-E710)&gt;0)*AND(F710&gt;(C710-E710)),(C710-E710),IF(C710&lt;E710,0,F710))</f>
        <v>12.7330870838156</v>
      </c>
      <c r="M710" s="7" t="n">
        <f aca="false">IF(C710&lt;(E710+F710),0,C710-E710-F710)</f>
        <v>9.93938658370438</v>
      </c>
      <c r="N710" s="7" t="n">
        <f aca="false">IF(C710&lt;(E710+F710),0,(C710-E710-F710)/(1-V$20/100))</f>
        <v>10.9224028392356</v>
      </c>
      <c r="O710" s="7" t="n">
        <f aca="false">L710+M710</f>
        <v>22.67247366752</v>
      </c>
      <c r="P710" s="49" t="n">
        <f aca="false">IF(N710=0,I710*(1-G710/100)+J710*(1-H710/100),-N710)</f>
        <v>-10.9224028392356</v>
      </c>
      <c r="Q710" s="54" t="n">
        <f aca="false">IF(P709&gt;0,Q709+P709*(1-V$24/100),Q709+P709)</f>
        <v>378.753673576517</v>
      </c>
      <c r="R710" s="55" t="n">
        <f aca="false">R$4+Q710/V$32</f>
        <v>43.6834515732283</v>
      </c>
    </row>
    <row r="711" customFormat="false" ht="12.8" hidden="false" customHeight="false" outlineLevel="0" collapsed="false">
      <c r="A711" s="1" t="n">
        <v>707</v>
      </c>
      <c r="B711" s="44" t="n">
        <v>44252</v>
      </c>
      <c r="C711" s="45" t="n">
        <f aca="false">V$30-V$30*SIN(2*PI()/365*A711)</f>
        <v>22.4164725863284</v>
      </c>
      <c r="D711" s="3" t="n">
        <f aca="false">IF((E711+F711)&gt;C711,C711,E711+F711)</f>
        <v>12.9904829166528</v>
      </c>
      <c r="E711" s="46" t="n">
        <f aca="false">(V$27+V$28*SIN(2*PI()/365*A711))*V$29/100*V$9*V$10/100</f>
        <v>0</v>
      </c>
      <c r="F711" s="46" t="n">
        <f aca="false">(V$27+V$28*SIN(2*PI()/365*A711))*V$29/100*V$11*(1-V$18/100)*(1-V$20/100)</f>
        <v>12.9904829166528</v>
      </c>
      <c r="G711" s="46" t="n">
        <f aca="false">IF(C711&gt;E711,100,C711/E711*100)</f>
        <v>100</v>
      </c>
      <c r="H711" s="46" t="n">
        <f aca="false">L711/F711*100</f>
        <v>100</v>
      </c>
      <c r="I711" s="47" t="n">
        <f aca="false">(V$27+V$28*SIN(2*PI()/365*A711))*V$29/100*V$9*V$10/100*(1-V$19/100)</f>
        <v>0</v>
      </c>
      <c r="J711" s="47" t="n">
        <f aca="false">(V$27+V$28*SIN(2*PI()/365*A711))*V$29/100*V$11*(1-V$18/100)</f>
        <v>14.2752559523657</v>
      </c>
      <c r="K711" s="48" t="n">
        <f aca="false">IF(E711/C711*100&lt;100,E711/C711*100,100)</f>
        <v>0</v>
      </c>
      <c r="L711" s="7" t="n">
        <f aca="false">IF(((C711-E711)&gt;0)*AND(F711&gt;(C711-E711)),(C711-E711),IF(C711&lt;E711,0,F711))</f>
        <v>12.9904829166528</v>
      </c>
      <c r="M711" s="7" t="n">
        <f aca="false">IF(C711&lt;(E711+F711),0,C711-E711-F711)</f>
        <v>9.42598966967561</v>
      </c>
      <c r="N711" s="7" t="n">
        <f aca="false">IF(C711&lt;(E711+F711),0,(C711-E711-F711)/(1-V$20/100))</f>
        <v>10.3582304062369</v>
      </c>
      <c r="O711" s="7" t="n">
        <f aca="false">L711+M711</f>
        <v>22.4164725863284</v>
      </c>
      <c r="P711" s="49" t="n">
        <f aca="false">IF(N711=0,I711*(1-G711/100)+J711*(1-H711/100),-N711)</f>
        <v>-10.3582304062369</v>
      </c>
      <c r="Q711" s="54" t="n">
        <f aca="false">IF(P710&gt;0,Q710+P710*(1-V$24/100),Q710+P710)</f>
        <v>367.831270737281</v>
      </c>
      <c r="R711" s="55" t="n">
        <f aca="false">R$4+Q711/V$32</f>
        <v>43.5772291264816</v>
      </c>
    </row>
    <row r="712" customFormat="false" ht="12.8" hidden="false" customHeight="false" outlineLevel="0" collapsed="false">
      <c r="A712" s="1" t="n">
        <v>708</v>
      </c>
      <c r="B712" s="44" t="n">
        <v>44253</v>
      </c>
      <c r="C712" s="45" t="n">
        <f aca="false">V$30-V$30*SIN(2*PI()/365*A712)</f>
        <v>22.1586227421322</v>
      </c>
      <c r="D712" s="3" t="n">
        <f aca="false">IF((E712+F712)&gt;C712,C712,E712+F712)</f>
        <v>13.2497375849725</v>
      </c>
      <c r="E712" s="46" t="n">
        <f aca="false">(V$27+V$28*SIN(2*PI()/365*A712))*V$29/100*V$9*V$10/100</f>
        <v>0</v>
      </c>
      <c r="F712" s="46" t="n">
        <f aca="false">(V$27+V$28*SIN(2*PI()/365*A712))*V$29/100*V$11*(1-V$18/100)*(1-V$20/100)</f>
        <v>13.2497375849725</v>
      </c>
      <c r="G712" s="46" t="n">
        <f aca="false">IF(C712&gt;E712,100,C712/E712*100)</f>
        <v>100</v>
      </c>
      <c r="H712" s="46" t="n">
        <f aca="false">L712/F712*100</f>
        <v>100</v>
      </c>
      <c r="I712" s="47" t="n">
        <f aca="false">(V$27+V$28*SIN(2*PI()/365*A712))*V$29/100*V$9*V$10/100*(1-V$19/100)</f>
        <v>0</v>
      </c>
      <c r="J712" s="47" t="n">
        <f aca="false">(V$27+V$28*SIN(2*PI()/365*A712))*V$29/100*V$11*(1-V$18/100)</f>
        <v>14.5601511922775</v>
      </c>
      <c r="K712" s="48" t="n">
        <f aca="false">IF(E712/C712*100&lt;100,E712/C712*100,100)</f>
        <v>0</v>
      </c>
      <c r="L712" s="7" t="n">
        <f aca="false">IF(((C712-E712)&gt;0)*AND(F712&gt;(C712-E712)),(C712-E712),IF(C712&lt;E712,0,F712))</f>
        <v>13.2497375849725</v>
      </c>
      <c r="M712" s="7" t="n">
        <f aca="false">IF(C712&lt;(E712+F712),0,C712-E712-F712)</f>
        <v>8.9088851571597</v>
      </c>
      <c r="N712" s="7" t="n">
        <f aca="false">IF(C712&lt;(E712+F712),0,(C712-E712-F712)/(1-V$20/100))</f>
        <v>9.78998368918648</v>
      </c>
      <c r="O712" s="7" t="n">
        <f aca="false">L712+M712</f>
        <v>22.1586227421322</v>
      </c>
      <c r="P712" s="49" t="n">
        <f aca="false">IF(N712=0,I712*(1-G712/100)+J712*(1-H712/100),-N712)</f>
        <v>-9.78998368918648</v>
      </c>
      <c r="Q712" s="54" t="n">
        <f aca="false">IF(P711&gt;0,Q711+P711*(1-V$24/100),Q711+P711)</f>
        <v>357.473040331044</v>
      </c>
      <c r="R712" s="55" t="n">
        <f aca="false">R$4+Q712/V$32</f>
        <v>43.4764933640389</v>
      </c>
    </row>
    <row r="713" customFormat="false" ht="12.8" hidden="false" customHeight="false" outlineLevel="0" collapsed="false">
      <c r="A713" s="1" t="n">
        <v>709</v>
      </c>
      <c r="B713" s="44" t="n">
        <v>44254</v>
      </c>
      <c r="C713" s="45" t="n">
        <f aca="false">V$30-V$30*SIN(2*PI()/365*A713)</f>
        <v>21.8990005414051</v>
      </c>
      <c r="D713" s="3" t="n">
        <f aca="false">IF((E713+F713)&gt;C713,C713,E713+F713)</f>
        <v>13.5107742660214</v>
      </c>
      <c r="E713" s="46" t="n">
        <f aca="false">(V$27+V$28*SIN(2*PI()/365*A713))*V$29/100*V$9*V$10/100</f>
        <v>0</v>
      </c>
      <c r="F713" s="46" t="n">
        <f aca="false">(V$27+V$28*SIN(2*PI()/365*A713))*V$29/100*V$11*(1-V$18/100)*(1-V$20/100)</f>
        <v>13.5107742660214</v>
      </c>
      <c r="G713" s="46" t="n">
        <f aca="false">IF(C713&gt;E713,100,C713/E713*100)</f>
        <v>100</v>
      </c>
      <c r="H713" s="46" t="n">
        <f aca="false">L713/F713*100</f>
        <v>100</v>
      </c>
      <c r="I713" s="47" t="n">
        <f aca="false">(V$27+V$28*SIN(2*PI()/365*A713))*V$29/100*V$9*V$10/100*(1-V$19/100)</f>
        <v>0</v>
      </c>
      <c r="J713" s="47" t="n">
        <f aca="false">(V$27+V$28*SIN(2*PI()/365*A713))*V$29/100*V$11*(1-V$18/100)</f>
        <v>14.8470046879356</v>
      </c>
      <c r="K713" s="48" t="n">
        <f aca="false">IF(E713/C713*100&lt;100,E713/C713*100,100)</f>
        <v>0</v>
      </c>
      <c r="L713" s="7" t="n">
        <f aca="false">IF(((C713-E713)&gt;0)*AND(F713&gt;(C713-E713)),(C713-E713),IF(C713&lt;E713,0,F713))</f>
        <v>13.5107742660214</v>
      </c>
      <c r="M713" s="7" t="n">
        <f aca="false">IF(C713&lt;(E713+F713),0,C713-E713-F713)</f>
        <v>8.38822627538369</v>
      </c>
      <c r="N713" s="7" t="n">
        <f aca="false">IF(C713&lt;(E713+F713),0,(C713-E713-F713)/(1-V$20/100))</f>
        <v>9.21783107185021</v>
      </c>
      <c r="O713" s="7" t="n">
        <f aca="false">L713+M713</f>
        <v>21.8990005414051</v>
      </c>
      <c r="P713" s="49" t="n">
        <f aca="false">IF(N713=0,I713*(1-G713/100)+J713*(1-H713/100),-N713)</f>
        <v>-9.21783107185021</v>
      </c>
      <c r="Q713" s="54" t="n">
        <f aca="false">IF(P712&gt;0,Q712+P712*(1-V$24/100),Q712+P712)</f>
        <v>347.683056641858</v>
      </c>
      <c r="R713" s="55" t="n">
        <f aca="false">R$4+Q713/V$32</f>
        <v>43.3812839090881</v>
      </c>
    </row>
    <row r="714" customFormat="false" ht="12.8" hidden="false" customHeight="false" outlineLevel="0" collapsed="false">
      <c r="A714" s="1" t="n">
        <v>710</v>
      </c>
      <c r="B714" s="44" t="n">
        <v>44255</v>
      </c>
      <c r="C714" s="45" t="n">
        <f aca="false">V$30-V$30*SIN(2*PI()/365*A714)</f>
        <v>21.6376829158082</v>
      </c>
      <c r="D714" s="3" t="n">
        <f aca="false">IF((E714+F714)&gt;C714,C714,E714+F714)</f>
        <v>13.7735156089973</v>
      </c>
      <c r="E714" s="46" t="n">
        <f aca="false">(V$27+V$28*SIN(2*PI()/365*A714))*V$29/100*V$9*V$10/100</f>
        <v>0</v>
      </c>
      <c r="F714" s="46" t="n">
        <f aca="false">(V$27+V$28*SIN(2*PI()/365*A714))*V$29/100*V$11*(1-V$18/100)*(1-V$20/100)</f>
        <v>13.7735156089973</v>
      </c>
      <c r="G714" s="46" t="n">
        <f aca="false">IF(C714&gt;E714,100,C714/E714*100)</f>
        <v>100</v>
      </c>
      <c r="H714" s="46" t="n">
        <f aca="false">L714/F714*100</f>
        <v>100</v>
      </c>
      <c r="I714" s="47" t="n">
        <f aca="false">(V$27+V$28*SIN(2*PI()/365*A714))*V$29/100*V$9*V$10/100*(1-V$19/100)</f>
        <v>0</v>
      </c>
      <c r="J714" s="47" t="n">
        <f aca="false">(V$27+V$28*SIN(2*PI()/365*A714))*V$29/100*V$11*(1-V$18/100)</f>
        <v>15.1357314384585</v>
      </c>
      <c r="K714" s="48" t="n">
        <f aca="false">IF(E714/C714*100&lt;100,E714/C714*100,100)</f>
        <v>0</v>
      </c>
      <c r="L714" s="7" t="n">
        <f aca="false">IF(((C714-E714)&gt;0)*AND(F714&gt;(C714-E714)),(C714-E714),IF(C714&lt;E714,0,F714))</f>
        <v>13.7735156089973</v>
      </c>
      <c r="M714" s="7" t="n">
        <f aca="false">IF(C714&lt;(E714+F714),0,C714-E714-F714)</f>
        <v>7.86416730681094</v>
      </c>
      <c r="N714" s="7" t="n">
        <f aca="false">IF(C714&lt;(E714+F714),0,(C714-E714-F714)/(1-V$20/100))</f>
        <v>8.64194209539664</v>
      </c>
      <c r="O714" s="7" t="n">
        <f aca="false">L714+M714</f>
        <v>21.6376829158082</v>
      </c>
      <c r="P714" s="49" t="n">
        <f aca="false">IF(N714=0,I714*(1-G714/100)+J714*(1-H714/100),-N714)</f>
        <v>-8.64194209539664</v>
      </c>
      <c r="Q714" s="54" t="n">
        <f aca="false">IF(P713&gt;0,Q713+P713*(1-V$24/100),Q713+P713)</f>
        <v>338.465225570007</v>
      </c>
      <c r="R714" s="55" t="n">
        <f aca="false">R$4+Q714/V$32</f>
        <v>43.2916387472531</v>
      </c>
    </row>
    <row r="715" customFormat="false" ht="12.8" hidden="false" customHeight="false" outlineLevel="0" collapsed="false">
      <c r="A715" s="1" t="n">
        <v>711</v>
      </c>
      <c r="B715" s="44" t="n">
        <v>44256</v>
      </c>
      <c r="C715" s="45" t="n">
        <f aca="false">V$30-V$30*SIN(2*PI()/365*A715)</f>
        <v>21.3747472993938</v>
      </c>
      <c r="D715" s="3" t="n">
        <f aca="false">IF((E715+F715)&gt;C715,C715,E715+F715)</f>
        <v>14.0378837579697</v>
      </c>
      <c r="E715" s="46" t="n">
        <f aca="false">(V$27+V$28*SIN(2*PI()/365*A715))*V$29/100*V$9*V$10/100</f>
        <v>0</v>
      </c>
      <c r="F715" s="46" t="n">
        <f aca="false">(V$27+V$28*SIN(2*PI()/365*A715))*V$29/100*V$11*(1-V$18/100)*(1-V$20/100)</f>
        <v>14.0378837579697</v>
      </c>
      <c r="G715" s="46" t="n">
        <f aca="false">IF(C715&gt;E715,100,C715/E715*100)</f>
        <v>100</v>
      </c>
      <c r="H715" s="46" t="n">
        <f aca="false">L715/F715*100</f>
        <v>100</v>
      </c>
      <c r="I715" s="47" t="n">
        <f aca="false">(V$27+V$28*SIN(2*PI()/365*A715))*V$29/100*V$9*V$10/100*(1-V$19/100)</f>
        <v>0</v>
      </c>
      <c r="J715" s="47" t="n">
        <f aca="false">(V$27+V$28*SIN(2*PI()/365*A715))*V$29/100*V$11*(1-V$18/100)</f>
        <v>15.4262458878788</v>
      </c>
      <c r="K715" s="48" t="n">
        <f aca="false">IF(E715/C715*100&lt;100,E715/C715*100,100)</f>
        <v>0</v>
      </c>
      <c r="L715" s="7" t="n">
        <f aca="false">IF(((C715-E715)&gt;0)*AND(F715&gt;(C715-E715)),(C715-E715),IF(C715&lt;E715,0,F715))</f>
        <v>14.0378837579697</v>
      </c>
      <c r="M715" s="7" t="n">
        <f aca="false">IF(C715&lt;(E715+F715),0,C715-E715-F715)</f>
        <v>7.33686354142406</v>
      </c>
      <c r="N715" s="7" t="n">
        <f aca="false">IF(C715&lt;(E715+F715),0,(C715-E715-F715)/(1-V$20/100))</f>
        <v>8.06248740815831</v>
      </c>
      <c r="O715" s="7" t="n">
        <f aca="false">L715+M715</f>
        <v>21.3747472993938</v>
      </c>
      <c r="P715" s="49" t="n">
        <f aca="false">IF(N715=0,I715*(1-G715/100)+J715*(1-H715/100),-N715)</f>
        <v>-8.06248740815831</v>
      </c>
      <c r="Q715" s="54" t="n">
        <f aca="false">IF(P714&gt;0,Q714+P714*(1-V$24/100),Q714+P714)</f>
        <v>329.823283474611</v>
      </c>
      <c r="R715" s="55" t="n">
        <f aca="false">R$4+Q715/V$32</f>
        <v>43.2075942153376</v>
      </c>
    </row>
    <row r="716" customFormat="false" ht="12.8" hidden="false" customHeight="false" outlineLevel="0" collapsed="false">
      <c r="A716" s="1" t="n">
        <v>712</v>
      </c>
      <c r="B716" s="44" t="n">
        <v>44257</v>
      </c>
      <c r="C716" s="45" t="n">
        <f aca="false">V$30-V$30*SIN(2*PI()/365*A716)</f>
        <v>21.1102716056595</v>
      </c>
      <c r="D716" s="3" t="n">
        <f aca="false">IF((E716+F716)&gt;C716,C716,E716+F716)</f>
        <v>14.3038003749506</v>
      </c>
      <c r="E716" s="46" t="n">
        <f aca="false">(V$27+V$28*SIN(2*PI()/365*A716))*V$29/100*V$9*V$10/100</f>
        <v>0</v>
      </c>
      <c r="F716" s="46" t="n">
        <f aca="false">(V$27+V$28*SIN(2*PI()/365*A716))*V$29/100*V$11*(1-V$18/100)*(1-V$20/100)</f>
        <v>14.3038003749506</v>
      </c>
      <c r="G716" s="46" t="n">
        <f aca="false">IF(C716&gt;E716,100,C716/E716*100)</f>
        <v>100</v>
      </c>
      <c r="H716" s="46" t="n">
        <f aca="false">L716/F716*100</f>
        <v>100</v>
      </c>
      <c r="I716" s="47" t="n">
        <f aca="false">(V$27+V$28*SIN(2*PI()/365*A716))*V$29/100*V$9*V$10/100*(1-V$19/100)</f>
        <v>0</v>
      </c>
      <c r="J716" s="47" t="n">
        <f aca="false">(V$27+V$28*SIN(2*PI()/365*A716))*V$29/100*V$11*(1-V$18/100)</f>
        <v>15.7184619504952</v>
      </c>
      <c r="K716" s="48" t="n">
        <f aca="false">IF(E716/C716*100&lt;100,E716/C716*100,100)</f>
        <v>0</v>
      </c>
      <c r="L716" s="7" t="n">
        <f aca="false">IF(((C716-E716)&gt;0)*AND(F716&gt;(C716-E716)),(C716-E716),IF(C716&lt;E716,0,F716))</f>
        <v>14.3038003749506</v>
      </c>
      <c r="M716" s="7" t="n">
        <f aca="false">IF(C716&lt;(E716+F716),0,C716-E716-F716)</f>
        <v>6.80647123070884</v>
      </c>
      <c r="N716" s="7" t="n">
        <f aca="false">IF(C716&lt;(E716+F716),0,(C716-E716-F716)/(1-V$20/100))</f>
        <v>7.47963871506466</v>
      </c>
      <c r="O716" s="7" t="n">
        <f aca="false">L716+M716</f>
        <v>21.1102716056595</v>
      </c>
      <c r="P716" s="49" t="n">
        <f aca="false">IF(N716=0,I716*(1-G716/100)+J716*(1-H716/100),-N716)</f>
        <v>-7.47963871506466</v>
      </c>
      <c r="Q716" s="54" t="n">
        <f aca="false">IF(P715&gt;0,Q715+P715*(1-V$24/100),Q715+P715)</f>
        <v>321.760796066453</v>
      </c>
      <c r="R716" s="55" t="n">
        <f aca="false">R$4+Q716/V$32</f>
        <v>43.1291849905576</v>
      </c>
    </row>
    <row r="717" customFormat="false" ht="12.8" hidden="false" customHeight="false" outlineLevel="0" collapsed="false">
      <c r="A717" s="1" t="n">
        <v>713</v>
      </c>
      <c r="B717" s="44" t="n">
        <v>44258</v>
      </c>
      <c r="C717" s="45" t="n">
        <f aca="false">V$30-V$30*SIN(2*PI()/365*A717)</f>
        <v>20.8443342044613</v>
      </c>
      <c r="D717" s="3" t="n">
        <f aca="false">IF((E717+F717)&gt;C717,C717,E717+F717)</f>
        <v>14.5711866631075</v>
      </c>
      <c r="E717" s="46" t="n">
        <f aca="false">(V$27+V$28*SIN(2*PI()/365*A717))*V$29/100*V$9*V$10/100</f>
        <v>0</v>
      </c>
      <c r="F717" s="46" t="n">
        <f aca="false">(V$27+V$28*SIN(2*PI()/365*A717))*V$29/100*V$11*(1-V$18/100)*(1-V$20/100)</f>
        <v>14.5711866631075</v>
      </c>
      <c r="G717" s="46" t="n">
        <f aca="false">IF(C717&gt;E717,100,C717/E717*100)</f>
        <v>100</v>
      </c>
      <c r="H717" s="46" t="n">
        <f aca="false">L717/F717*100</f>
        <v>100</v>
      </c>
      <c r="I717" s="47" t="n">
        <f aca="false">(V$27+V$28*SIN(2*PI()/365*A717))*V$29/100*V$9*V$10/100*(1-V$19/100)</f>
        <v>0</v>
      </c>
      <c r="J717" s="47" t="n">
        <f aca="false">(V$27+V$28*SIN(2*PI()/365*A717))*V$29/100*V$11*(1-V$18/100)</f>
        <v>16.0122930363819</v>
      </c>
      <c r="K717" s="48" t="n">
        <f aca="false">IF(E717/C717*100&lt;100,E717/C717*100,100)</f>
        <v>0</v>
      </c>
      <c r="L717" s="7" t="n">
        <f aca="false">IF(((C717-E717)&gt;0)*AND(F717&gt;(C717-E717)),(C717-E717),IF(C717&lt;E717,0,F717))</f>
        <v>14.5711866631075</v>
      </c>
      <c r="M717" s="7" t="n">
        <f aca="false">IF(C717&lt;(E717+F717),0,C717-E717-F717)</f>
        <v>6.27314754135374</v>
      </c>
      <c r="N717" s="7" t="n">
        <f aca="false">IF(C717&lt;(E717+F717),0,(C717-E717-F717)/(1-V$20/100))</f>
        <v>6.89356872676235</v>
      </c>
      <c r="O717" s="7" t="n">
        <f aca="false">L717+M717</f>
        <v>20.8443342044613</v>
      </c>
      <c r="P717" s="49" t="n">
        <f aca="false">IF(N717=0,I717*(1-G717/100)+J717*(1-H717/100),-N717)</f>
        <v>-6.89356872676235</v>
      </c>
      <c r="Q717" s="54" t="n">
        <f aca="false">IF(P716&gt;0,Q716+P716*(1-V$24/100),Q716+P716)</f>
        <v>314.281157351388</v>
      </c>
      <c r="R717" s="55" t="n">
        <f aca="false">R$4+Q717/V$32</f>
        <v>43.0564440802661</v>
      </c>
    </row>
    <row r="718" customFormat="false" ht="12.8" hidden="false" customHeight="false" outlineLevel="0" collapsed="false">
      <c r="A718" s="1" t="n">
        <v>714</v>
      </c>
      <c r="B718" s="44" t="n">
        <v>44259</v>
      </c>
      <c r="C718" s="45" t="n">
        <f aca="false">V$30-V$30*SIN(2*PI()/365*A718)</f>
        <v>20.5770138987905</v>
      </c>
      <c r="D718" s="3" t="n">
        <f aca="false">IF((E718+F718)&gt;C718,C718,E718+F718)</f>
        <v>14.8399633901126</v>
      </c>
      <c r="E718" s="46" t="n">
        <f aca="false">(V$27+V$28*SIN(2*PI()/365*A718))*V$29/100*V$9*V$10/100</f>
        <v>0</v>
      </c>
      <c r="F718" s="46" t="n">
        <f aca="false">(V$27+V$28*SIN(2*PI()/365*A718))*V$29/100*V$11*(1-V$18/100)*(1-V$20/100)</f>
        <v>14.8399633901126</v>
      </c>
      <c r="G718" s="46" t="n">
        <f aca="false">IF(C718&gt;E718,100,C718/E718*100)</f>
        <v>100</v>
      </c>
      <c r="H718" s="46" t="n">
        <f aca="false">L718/F718*100</f>
        <v>100</v>
      </c>
      <c r="I718" s="47" t="n">
        <f aca="false">(V$27+V$28*SIN(2*PI()/365*A718))*V$29/100*V$9*V$10/100*(1-V$19/100)</f>
        <v>0</v>
      </c>
      <c r="J718" s="47" t="n">
        <f aca="false">(V$27+V$28*SIN(2*PI()/365*A718))*V$29/100*V$11*(1-V$18/100)</f>
        <v>16.3076520770468</v>
      </c>
      <c r="K718" s="48" t="n">
        <f aca="false">IF(E718/C718*100&lt;100,E718/C718*100,100)</f>
        <v>0</v>
      </c>
      <c r="L718" s="7" t="n">
        <f aca="false">IF(((C718-E718)&gt;0)*AND(F718&gt;(C718-E718)),(C718-E718),IF(C718&lt;E718,0,F718))</f>
        <v>14.8399633901126</v>
      </c>
      <c r="M718" s="7" t="n">
        <f aca="false">IF(C718&lt;(E718+F718),0,C718-E718-F718)</f>
        <v>5.73705050867792</v>
      </c>
      <c r="N718" s="7" t="n">
        <f aca="false">IF(C718&lt;(E718+F718),0,(C718-E718-F718)/(1-V$20/100))</f>
        <v>6.30445110843728</v>
      </c>
      <c r="O718" s="7" t="n">
        <f aca="false">L718+M718</f>
        <v>20.5770138987905</v>
      </c>
      <c r="P718" s="49" t="n">
        <f aca="false">IF(N718=0,I718*(1-G718/100)+J718*(1-H718/100),-N718)</f>
        <v>-6.30445110843728</v>
      </c>
      <c r="Q718" s="54" t="n">
        <f aca="false">IF(P717&gt;0,Q717+P717*(1-V$24/100),Q717+P717)</f>
        <v>307.387588624626</v>
      </c>
      <c r="R718" s="55" t="n">
        <f aca="false">R$4+Q718/V$32</f>
        <v>42.9894028121723</v>
      </c>
    </row>
    <row r="719" customFormat="false" ht="12.8" hidden="false" customHeight="false" outlineLevel="0" collapsed="false">
      <c r="A719" s="1" t="n">
        <v>715</v>
      </c>
      <c r="B719" s="44" t="n">
        <v>44260</v>
      </c>
      <c r="C719" s="45" t="n">
        <f aca="false">V$30-V$30*SIN(2*PI()/365*A719)</f>
        <v>20.308389901423</v>
      </c>
      <c r="D719" s="3" t="n">
        <f aca="false">IF((E719+F719)&gt;C719,C719,E719+F719)</f>
        <v>15.1100509116208</v>
      </c>
      <c r="E719" s="46" t="n">
        <f aca="false">(V$27+V$28*SIN(2*PI()/365*A719))*V$29/100*V$9*V$10/100</f>
        <v>0</v>
      </c>
      <c r="F719" s="46" t="n">
        <f aca="false">(V$27+V$28*SIN(2*PI()/365*A719))*V$29/100*V$11*(1-V$18/100)*(1-V$20/100)</f>
        <v>15.1100509116208</v>
      </c>
      <c r="G719" s="46" t="n">
        <f aca="false">IF(C719&gt;E719,100,C719/E719*100)</f>
        <v>100</v>
      </c>
      <c r="H719" s="46" t="n">
        <f aca="false">L719/F719*100</f>
        <v>100</v>
      </c>
      <c r="I719" s="47" t="n">
        <f aca="false">(V$27+V$28*SIN(2*PI()/365*A719))*V$29/100*V$9*V$10/100*(1-V$19/100)</f>
        <v>0</v>
      </c>
      <c r="J719" s="47" t="n">
        <f aca="false">(V$27+V$28*SIN(2*PI()/365*A719))*V$29/100*V$11*(1-V$18/100)</f>
        <v>16.6044515512316</v>
      </c>
      <c r="K719" s="48" t="n">
        <f aca="false">IF(E719/C719*100&lt;100,E719/C719*100,100)</f>
        <v>0</v>
      </c>
      <c r="L719" s="7" t="n">
        <f aca="false">IF(((C719-E719)&gt;0)*AND(F719&gt;(C719-E719)),(C719-E719),IF(C719&lt;E719,0,F719))</f>
        <v>15.1100509116208</v>
      </c>
      <c r="M719" s="7" t="n">
        <f aca="false">IF(C719&lt;(E719+F719),0,C719-E719-F719)</f>
        <v>5.19833898980221</v>
      </c>
      <c r="N719" s="7" t="n">
        <f aca="false">IF(C719&lt;(E719+F719),0,(C719-E719-F719)/(1-V$20/100))</f>
        <v>5.71246042835407</v>
      </c>
      <c r="O719" s="7" t="n">
        <f aca="false">L719+M719</f>
        <v>20.308389901423</v>
      </c>
      <c r="P719" s="49" t="n">
        <f aca="false">IF(N719=0,I719*(1-G719/100)+J719*(1-H719/100),-N719)</f>
        <v>-5.71246042835407</v>
      </c>
      <c r="Q719" s="54" t="n">
        <f aca="false">IF(P718&gt;0,Q718+P718*(1-V$24/100),Q718+P718)</f>
        <v>301.083137516188</v>
      </c>
      <c r="R719" s="55" t="n">
        <f aca="false">R$4+Q719/V$32</f>
        <v>42.9280908250583</v>
      </c>
    </row>
    <row r="720" customFormat="false" ht="12.8" hidden="false" customHeight="false" outlineLevel="0" collapsed="false">
      <c r="A720" s="1" t="n">
        <v>716</v>
      </c>
      <c r="B720" s="44" t="n">
        <v>44261</v>
      </c>
      <c r="C720" s="45" t="n">
        <f aca="false">V$30-V$30*SIN(2*PI()/365*A720)</f>
        <v>20.0385418114466</v>
      </c>
      <c r="D720" s="3" t="n">
        <f aca="false">IF((E720+F720)&gt;C720,C720,E720+F720)</f>
        <v>15.3813691948706</v>
      </c>
      <c r="E720" s="46" t="n">
        <f aca="false">(V$27+V$28*SIN(2*PI()/365*A720))*V$29/100*V$9*V$10/100</f>
        <v>0</v>
      </c>
      <c r="F720" s="46" t="n">
        <f aca="false">(V$27+V$28*SIN(2*PI()/365*A720))*V$29/100*V$11*(1-V$18/100)*(1-V$20/100)</f>
        <v>15.3813691948706</v>
      </c>
      <c r="G720" s="46" t="n">
        <f aca="false">IF(C720&gt;E720,100,C720/E720*100)</f>
        <v>100</v>
      </c>
      <c r="H720" s="46" t="n">
        <f aca="false">L720/F720*100</f>
        <v>100</v>
      </c>
      <c r="I720" s="47" t="n">
        <f aca="false">(V$27+V$28*SIN(2*PI()/365*A720))*V$29/100*V$9*V$10/100*(1-V$19/100)</f>
        <v>0</v>
      </c>
      <c r="J720" s="47" t="n">
        <f aca="false">(V$27+V$28*SIN(2*PI()/365*A720))*V$29/100*V$11*(1-V$18/100)</f>
        <v>16.9026035108469</v>
      </c>
      <c r="K720" s="48" t="n">
        <f aca="false">IF(E720/C720*100&lt;100,E720/C720*100,100)</f>
        <v>0</v>
      </c>
      <c r="L720" s="7" t="n">
        <f aca="false">IF(((C720-E720)&gt;0)*AND(F720&gt;(C720-E720)),(C720-E720),IF(C720&lt;E720,0,F720))</f>
        <v>15.3813691948706</v>
      </c>
      <c r="M720" s="7" t="n">
        <f aca="false">IF(C720&lt;(E720+F720),0,C720-E720-F720)</f>
        <v>4.65717261657593</v>
      </c>
      <c r="N720" s="7" t="n">
        <f aca="false">IF(C720&lt;(E720+F720),0,(C720-E720-F720)/(1-V$20/100))</f>
        <v>5.11777210612739</v>
      </c>
      <c r="O720" s="7" t="n">
        <f aca="false">L720+M720</f>
        <v>20.0385418114466</v>
      </c>
      <c r="P720" s="49" t="n">
        <f aca="false">IF(N720=0,I720*(1-G720/100)+J720*(1-H720/100),-N720)</f>
        <v>-5.11777210612739</v>
      </c>
      <c r="Q720" s="54" t="n">
        <f aca="false">IF(P719&gt;0,Q719+P719*(1-V$24/100),Q719+P719)</f>
        <v>295.370677087834</v>
      </c>
      <c r="R720" s="55" t="n">
        <f aca="false">R$4+Q720/V$32</f>
        <v>42.8725360599965</v>
      </c>
    </row>
    <row r="721" customFormat="false" ht="12.8" hidden="false" customHeight="false" outlineLevel="0" collapsed="false">
      <c r="A721" s="1" t="n">
        <v>717</v>
      </c>
      <c r="B721" s="44" t="n">
        <v>44262</v>
      </c>
      <c r="C721" s="45" t="n">
        <f aca="false">V$30-V$30*SIN(2*PI()/365*A721)</f>
        <v>19.767549590674</v>
      </c>
      <c r="D721" s="3" t="n">
        <f aca="false">IF((E721+F721)&gt;C721,C721,E721+F721)</f>
        <v>15.6538378423993</v>
      </c>
      <c r="E721" s="46" t="n">
        <f aca="false">(V$27+V$28*SIN(2*PI()/365*A721))*V$29/100*V$9*V$10/100</f>
        <v>0</v>
      </c>
      <c r="F721" s="46" t="n">
        <f aca="false">(V$27+V$28*SIN(2*PI()/365*A721))*V$29/100*V$11*(1-V$18/100)*(1-V$20/100)</f>
        <v>15.6538378423993</v>
      </c>
      <c r="G721" s="46" t="n">
        <f aca="false">IF(C721&gt;E721,100,C721/E721*100)</f>
        <v>100</v>
      </c>
      <c r="H721" s="46" t="n">
        <f aca="false">L721/F721*100</f>
        <v>100</v>
      </c>
      <c r="I721" s="47" t="n">
        <f aca="false">(V$27+V$28*SIN(2*PI()/365*A721))*V$29/100*V$9*V$10/100*(1-V$19/100)</f>
        <v>0</v>
      </c>
      <c r="J721" s="47" t="n">
        <f aca="false">(V$27+V$28*SIN(2*PI()/365*A721))*V$29/100*V$11*(1-V$18/100)</f>
        <v>17.2020196070322</v>
      </c>
      <c r="K721" s="48" t="n">
        <f aca="false">IF(E721/C721*100&lt;100,E721/C721*100,100)</f>
        <v>0</v>
      </c>
      <c r="L721" s="7" t="n">
        <f aca="false">IF(((C721-E721)&gt;0)*AND(F721&gt;(C721-E721)),(C721-E721),IF(C721&lt;E721,0,F721))</f>
        <v>15.6538378423993</v>
      </c>
      <c r="M721" s="7" t="n">
        <f aca="false">IF(C721&lt;(E721+F721),0,C721-E721-F721)</f>
        <v>4.11371174827474</v>
      </c>
      <c r="N721" s="7" t="n">
        <f aca="false">IF(C721&lt;(E721+F721),0,(C721-E721-F721)/(1-V$20/100))</f>
        <v>4.52056236074148</v>
      </c>
      <c r="O721" s="7" t="n">
        <f aca="false">L721+M721</f>
        <v>19.767549590674</v>
      </c>
      <c r="P721" s="49" t="n">
        <f aca="false">IF(N721=0,I721*(1-G721/100)+J721*(1-H721/100),-N721)</f>
        <v>-4.52056236074148</v>
      </c>
      <c r="Q721" s="54" t="n">
        <f aca="false">IF(P720&gt;0,Q720+P720*(1-V$24/100),Q720+P720)</f>
        <v>290.252904981707</v>
      </c>
      <c r="R721" s="55" t="n">
        <f aca="false">R$4+Q721/V$32</f>
        <v>42.8227647520704</v>
      </c>
    </row>
    <row r="722" customFormat="false" ht="12.8" hidden="false" customHeight="false" outlineLevel="0" collapsed="false">
      <c r="A722" s="1" t="n">
        <v>718</v>
      </c>
      <c r="B722" s="44" t="n">
        <v>44263</v>
      </c>
      <c r="C722" s="45" t="n">
        <f aca="false">V$30-V$30*SIN(2*PI()/365*A722)</f>
        <v>19.495493539949</v>
      </c>
      <c r="D722" s="3" t="n">
        <f aca="false">IF((E722+F722)&gt;C722,C722,E722+F722)</f>
        <v>15.9273761158661</v>
      </c>
      <c r="E722" s="46" t="n">
        <f aca="false">(V$27+V$28*SIN(2*PI()/365*A722))*V$29/100*V$9*V$10/100</f>
        <v>0</v>
      </c>
      <c r="F722" s="46" t="n">
        <f aca="false">(V$27+V$28*SIN(2*PI()/365*A722))*V$29/100*V$11*(1-V$18/100)*(1-V$20/100)</f>
        <v>15.9273761158661</v>
      </c>
      <c r="G722" s="46" t="n">
        <f aca="false">IF(C722&gt;E722,100,C722/E722*100)</f>
        <v>100</v>
      </c>
      <c r="H722" s="46" t="n">
        <f aca="false">L722/F722*100</f>
        <v>100</v>
      </c>
      <c r="I722" s="47" t="n">
        <f aca="false">(V$27+V$28*SIN(2*PI()/365*A722))*V$29/100*V$9*V$10/100*(1-V$19/100)</f>
        <v>0</v>
      </c>
      <c r="J722" s="47" t="n">
        <f aca="false">(V$27+V$28*SIN(2*PI()/365*A722))*V$29/100*V$11*(1-V$18/100)</f>
        <v>17.5026111163363</v>
      </c>
      <c r="K722" s="48" t="n">
        <f aca="false">IF(E722/C722*100&lt;100,E722/C722*100,100)</f>
        <v>0</v>
      </c>
      <c r="L722" s="7" t="n">
        <f aca="false">IF(((C722-E722)&gt;0)*AND(F722&gt;(C722-E722)),(C722-E722),IF(C722&lt;E722,0,F722))</f>
        <v>15.9273761158661</v>
      </c>
      <c r="M722" s="7" t="n">
        <f aca="false">IF(C722&lt;(E722+F722),0,C722-E722-F722)</f>
        <v>3.56811742408289</v>
      </c>
      <c r="N722" s="7" t="n">
        <f aca="false">IF(C722&lt;(E722+F722),0,(C722-E722-F722)/(1-V$20/100))</f>
        <v>3.92100815833284</v>
      </c>
      <c r="O722" s="7" t="n">
        <f aca="false">L722+M722</f>
        <v>19.495493539949</v>
      </c>
      <c r="P722" s="49" t="n">
        <f aca="false">IF(N722=0,I722*(1-G722/100)+J722*(1-H722/100),-N722)</f>
        <v>-3.92100815833284</v>
      </c>
      <c r="Q722" s="54" t="n">
        <f aca="false">IF(P721&gt;0,Q721+P721*(1-V$24/100),Q721+P721)</f>
        <v>285.732342620965</v>
      </c>
      <c r="R722" s="55" t="n">
        <f aca="false">R$4+Q722/V$32</f>
        <v>42.7788014226</v>
      </c>
    </row>
    <row r="723" customFormat="false" ht="12.8" hidden="false" customHeight="false" outlineLevel="0" collapsed="false">
      <c r="A723" s="1" t="n">
        <v>719</v>
      </c>
      <c r="B723" s="44" t="n">
        <v>44264</v>
      </c>
      <c r="C723" s="45" t="n">
        <f aca="false">V$30-V$30*SIN(2*PI()/365*A723)</f>
        <v>19.2224542753506</v>
      </c>
      <c r="D723" s="3" t="n">
        <f aca="false">IF((E723+F723)&gt;C723,C723,E723+F723)</f>
        <v>16.2019029599771</v>
      </c>
      <c r="E723" s="46" t="n">
        <f aca="false">(V$27+V$28*SIN(2*PI()/365*A723))*V$29/100*V$9*V$10/100</f>
        <v>0</v>
      </c>
      <c r="F723" s="46" t="n">
        <f aca="false">(V$27+V$28*SIN(2*PI()/365*A723))*V$29/100*V$11*(1-V$18/100)*(1-V$20/100)</f>
        <v>16.2019029599771</v>
      </c>
      <c r="G723" s="46" t="n">
        <f aca="false">IF(C723&gt;E723,100,C723/E723*100)</f>
        <v>100</v>
      </c>
      <c r="H723" s="46" t="n">
        <f aca="false">L723/F723*100</f>
        <v>100</v>
      </c>
      <c r="I723" s="47" t="n">
        <f aca="false">(V$27+V$28*SIN(2*PI()/365*A723))*V$29/100*V$9*V$10/100*(1-V$19/100)</f>
        <v>0</v>
      </c>
      <c r="J723" s="47" t="n">
        <f aca="false">(V$27+V$28*SIN(2*PI()/365*A723))*V$29/100*V$11*(1-V$18/100)</f>
        <v>17.8042889670079</v>
      </c>
      <c r="K723" s="48" t="n">
        <f aca="false">IF(E723/C723*100&lt;100,E723/C723*100,100)</f>
        <v>0</v>
      </c>
      <c r="L723" s="7" t="n">
        <f aca="false">IF(((C723-E723)&gt;0)*AND(F723&gt;(C723-E723)),(C723-E723),IF(C723&lt;E723,0,F723))</f>
        <v>16.2019029599771</v>
      </c>
      <c r="M723" s="7" t="n">
        <f aca="false">IF(C723&lt;(E723+F723),0,C723-E723-F723)</f>
        <v>3.02055131537346</v>
      </c>
      <c r="N723" s="7" t="n">
        <f aca="false">IF(C723&lt;(E723+F723),0,(C723-E723-F723)/(1-V$20/100))</f>
        <v>3.31928715975105</v>
      </c>
      <c r="O723" s="7" t="n">
        <f aca="false">L723+M723</f>
        <v>19.2224542753506</v>
      </c>
      <c r="P723" s="49" t="n">
        <f aca="false">IF(N723=0,I723*(1-G723/100)+J723*(1-H723/100),-N723)</f>
        <v>-3.31928715975105</v>
      </c>
      <c r="Q723" s="54" t="n">
        <f aca="false">IF(P722&gt;0,Q722+P722*(1-V$24/100),Q722+P722)</f>
        <v>281.811334462633</v>
      </c>
      <c r="R723" s="55" t="n">
        <f aca="false">R$4+Q723/V$32</f>
        <v>42.7406688718763</v>
      </c>
    </row>
    <row r="724" customFormat="false" ht="12.8" hidden="false" customHeight="false" outlineLevel="0" collapsed="false">
      <c r="A724" s="1" t="n">
        <v>720</v>
      </c>
      <c r="B724" s="44" t="n">
        <v>44265</v>
      </c>
      <c r="C724" s="45" t="n">
        <f aca="false">V$30-V$30*SIN(2*PI()/365*A724)</f>
        <v>18.9485127043057</v>
      </c>
      <c r="D724" s="3" t="n">
        <f aca="false">IF((E724+F724)&gt;C724,C724,E724+F724)</f>
        <v>16.4773370265039</v>
      </c>
      <c r="E724" s="46" t="n">
        <f aca="false">(V$27+V$28*SIN(2*PI()/365*A724))*V$29/100*V$9*V$10/100</f>
        <v>0</v>
      </c>
      <c r="F724" s="46" t="n">
        <f aca="false">(V$27+V$28*SIN(2*PI()/365*A724))*V$29/100*V$11*(1-V$18/100)*(1-V$20/100)</f>
        <v>16.4773370265039</v>
      </c>
      <c r="G724" s="46" t="n">
        <f aca="false">IF(C724&gt;E724,100,C724/E724*100)</f>
        <v>100</v>
      </c>
      <c r="H724" s="46" t="n">
        <f aca="false">L724/F724*100</f>
        <v>100</v>
      </c>
      <c r="I724" s="47" t="n">
        <f aca="false">(V$27+V$28*SIN(2*PI()/365*A724))*V$29/100*V$9*V$10/100*(1-V$19/100)</f>
        <v>0</v>
      </c>
      <c r="J724" s="47" t="n">
        <f aca="false">(V$27+V$28*SIN(2*PI()/365*A724))*V$29/100*V$11*(1-V$18/100)</f>
        <v>18.1069637653888</v>
      </c>
      <c r="K724" s="48" t="n">
        <f aca="false">IF(E724/C724*100&lt;100,E724/C724*100,100)</f>
        <v>0</v>
      </c>
      <c r="L724" s="7" t="n">
        <f aca="false">IF(((C724-E724)&gt;0)*AND(F724&gt;(C724-E724)),(C724-E724),IF(C724&lt;E724,0,F724))</f>
        <v>16.4773370265039</v>
      </c>
      <c r="M724" s="7" t="n">
        <f aca="false">IF(C724&lt;(E724+F724),0,C724-E724-F724)</f>
        <v>2.47117567780184</v>
      </c>
      <c r="N724" s="7" t="n">
        <f aca="false">IF(C724&lt;(E724+F724),0,(C724-E724-F724)/(1-V$20/100))</f>
        <v>2.71557766791411</v>
      </c>
      <c r="O724" s="7" t="n">
        <f aca="false">L724+M724</f>
        <v>18.9485127043057</v>
      </c>
      <c r="P724" s="49" t="n">
        <f aca="false">IF(N724=0,I724*(1-G724/100)+J724*(1-H724/100),-N724)</f>
        <v>-2.71557766791411</v>
      </c>
      <c r="Q724" s="54" t="n">
        <f aca="false">IF(P723&gt;0,Q723+P723*(1-V$24/100),Q723+P723)</f>
        <v>278.492047302881</v>
      </c>
      <c r="R724" s="55" t="n">
        <f aca="false">R$4+Q724/V$32</f>
        <v>42.7083881724045</v>
      </c>
    </row>
    <row r="725" customFormat="false" ht="12.8" hidden="false" customHeight="false" outlineLevel="0" collapsed="false">
      <c r="A725" s="1" t="n">
        <v>721</v>
      </c>
      <c r="B725" s="44" t="n">
        <v>44266</v>
      </c>
      <c r="C725" s="45" t="n">
        <f aca="false">V$30-V$30*SIN(2*PI()/365*A725)</f>
        <v>18.6737500016139</v>
      </c>
      <c r="D725" s="3" t="n">
        <f aca="false">IF((E725+F725)&gt;C725,C725,E725+F725)</f>
        <v>16.7535966983879</v>
      </c>
      <c r="E725" s="46" t="n">
        <f aca="false">(V$27+V$28*SIN(2*PI()/365*A725))*V$29/100*V$9*V$10/100</f>
        <v>0</v>
      </c>
      <c r="F725" s="46" t="n">
        <f aca="false">(V$27+V$28*SIN(2*PI()/365*A725))*V$29/100*V$11*(1-V$18/100)*(1-V$20/100)</f>
        <v>16.7535966983879</v>
      </c>
      <c r="G725" s="46" t="n">
        <f aca="false">IF(C725&gt;E725,100,C725/E725*100)</f>
        <v>100</v>
      </c>
      <c r="H725" s="46" t="n">
        <f aca="false">L725/F725*100</f>
        <v>100</v>
      </c>
      <c r="I725" s="47" t="n">
        <f aca="false">(V$27+V$28*SIN(2*PI()/365*A725))*V$29/100*V$9*V$10/100*(1-V$19/100)</f>
        <v>0</v>
      </c>
      <c r="J725" s="47" t="n">
        <f aca="false">(V$27+V$28*SIN(2*PI()/365*A725))*V$29/100*V$11*(1-V$18/100)</f>
        <v>18.4105458224043</v>
      </c>
      <c r="K725" s="48" t="n">
        <f aca="false">IF(E725/C725*100&lt;100,E725/C725*100,100)</f>
        <v>0</v>
      </c>
      <c r="L725" s="7" t="n">
        <f aca="false">IF(((C725-E725)&gt;0)*AND(F725&gt;(C725-E725)),(C725-E725),IF(C725&lt;E725,0,F725))</f>
        <v>16.7535966983879</v>
      </c>
      <c r="M725" s="7" t="n">
        <f aca="false">IF(C725&lt;(E725+F725),0,C725-E725-F725)</f>
        <v>1.92015330322607</v>
      </c>
      <c r="N725" s="7" t="n">
        <f aca="false">IF(C725&lt;(E725+F725),0,(C725-E725-F725)/(1-V$20/100))</f>
        <v>2.1100585749737</v>
      </c>
      <c r="O725" s="7" t="n">
        <f aca="false">L725+M725</f>
        <v>18.6737500016139</v>
      </c>
      <c r="P725" s="49" t="n">
        <f aca="false">IF(N725=0,I725*(1-G725/100)+J725*(1-H725/100),-N725)</f>
        <v>-2.1100585749737</v>
      </c>
      <c r="Q725" s="54" t="n">
        <f aca="false">IF(P724&gt;0,Q724+P724*(1-V$24/100),Q724+P724)</f>
        <v>275.776469634967</v>
      </c>
      <c r="R725" s="55" t="n">
        <f aca="false">R$4+Q725/V$32</f>
        <v>42.6819786626599</v>
      </c>
    </row>
    <row r="726" customFormat="false" ht="12.8" hidden="false" customHeight="false" outlineLevel="0" collapsed="false">
      <c r="A726" s="1" t="n">
        <v>722</v>
      </c>
      <c r="B726" s="44" t="n">
        <v>44267</v>
      </c>
      <c r="C726" s="45" t="n">
        <f aca="false">V$30-V$30*SIN(2*PI()/365*A726)</f>
        <v>18.398247585394</v>
      </c>
      <c r="D726" s="3" t="n">
        <f aca="false">IF((E726+F726)&gt;C726,C726,E726+F726)</f>
        <v>17.0306001139263</v>
      </c>
      <c r="E726" s="46" t="n">
        <f aca="false">(V$27+V$28*SIN(2*PI()/365*A726))*V$29/100*V$9*V$10/100</f>
        <v>0</v>
      </c>
      <c r="F726" s="46" t="n">
        <f aca="false">(V$27+V$28*SIN(2*PI()/365*A726))*V$29/100*V$11*(1-V$18/100)*(1-V$20/100)</f>
        <v>17.0306001139263</v>
      </c>
      <c r="G726" s="46" t="n">
        <f aca="false">IF(C726&gt;E726,100,C726/E726*100)</f>
        <v>100</v>
      </c>
      <c r="H726" s="46" t="n">
        <f aca="false">L726/F726*100</f>
        <v>100</v>
      </c>
      <c r="I726" s="47" t="n">
        <f aca="false">(V$27+V$28*SIN(2*PI()/365*A726))*V$29/100*V$9*V$10/100*(1-V$19/100)</f>
        <v>0</v>
      </c>
      <c r="J726" s="47" t="n">
        <f aca="false">(V$27+V$28*SIN(2*PI()/365*A726))*V$29/100*V$11*(1-V$18/100)</f>
        <v>18.7149451801388</v>
      </c>
      <c r="K726" s="48" t="n">
        <f aca="false">IF(E726/C726*100&lt;100,E726/C726*100,100)</f>
        <v>0</v>
      </c>
      <c r="L726" s="7" t="n">
        <f aca="false">IF(((C726-E726)&gt;0)*AND(F726&gt;(C726-E726)),(C726-E726),IF(C726&lt;E726,0,F726))</f>
        <v>17.0306001139263</v>
      </c>
      <c r="M726" s="7" t="n">
        <f aca="false">IF(C726&lt;(E726+F726),0,C726-E726-F726)</f>
        <v>1.36764747146771</v>
      </c>
      <c r="N726" s="7" t="n">
        <f aca="false">IF(C726&lt;(E726+F726),0,(C726-E726-F726)/(1-V$20/100))</f>
        <v>1.50290930930518</v>
      </c>
      <c r="O726" s="7" t="n">
        <f aca="false">L726+M726</f>
        <v>18.398247585394</v>
      </c>
      <c r="P726" s="49" t="n">
        <f aca="false">IF(N726=0,I726*(1-G726/100)+J726*(1-H726/100),-N726)</f>
        <v>-1.50290930930518</v>
      </c>
      <c r="Q726" s="54" t="n">
        <f aca="false">IF(P725&gt;0,Q725+P725*(1-V$24/100),Q725+P725)</f>
        <v>273.666411059994</v>
      </c>
      <c r="R726" s="55" t="n">
        <f aca="false">R$4+Q726/V$32</f>
        <v>42.6614579413579</v>
      </c>
      <c r="S726" s="86" t="s">
        <v>1</v>
      </c>
    </row>
    <row r="727" customFormat="false" ht="12.45" hidden="false" customHeight="true" outlineLevel="0" collapsed="false">
      <c r="A727" s="1" t="n">
        <v>723</v>
      </c>
      <c r="B727" s="44" t="n">
        <v>44268</v>
      </c>
      <c r="C727" s="45" t="n">
        <f aca="false">V$30-V$30*SIN(2*PI()/365*A727)</f>
        <v>18.1220870929576</v>
      </c>
      <c r="D727" s="3" t="n">
        <f aca="false">IF((E727+F727)&gt;C727,C727,E727+F727)</f>
        <v>17.3082651910288</v>
      </c>
      <c r="E727" s="46" t="n">
        <f aca="false">(V$27+V$28*SIN(2*PI()/365*A727))*V$29/100*V$9*V$10/100</f>
        <v>0</v>
      </c>
      <c r="F727" s="46" t="n">
        <f aca="false">(V$27+V$28*SIN(2*PI()/365*A727))*V$29/100*V$11*(1-V$18/100)*(1-V$20/100)</f>
        <v>17.3082651910288</v>
      </c>
      <c r="G727" s="46" t="n">
        <f aca="false">IF(C727&gt;E727,100,C727/E727*100)</f>
        <v>100</v>
      </c>
      <c r="H727" s="46" t="n">
        <f aca="false">L727/F727*100</f>
        <v>100</v>
      </c>
      <c r="I727" s="47" t="n">
        <f aca="false">(V$27+V$28*SIN(2*PI()/365*A727))*V$29/100*V$9*V$10/100*(1-V$19/100)</f>
        <v>0</v>
      </c>
      <c r="J727" s="47" t="n">
        <f aca="false">(V$27+V$28*SIN(2*PI()/365*A727))*V$29/100*V$11*(1-V$18/100)</f>
        <v>19.0200716384932</v>
      </c>
      <c r="K727" s="48" t="n">
        <f aca="false">IF(E727/C727*100&lt;100,E727/C727*100,100)</f>
        <v>0</v>
      </c>
      <c r="L727" s="7" t="n">
        <f aca="false">IF(((C727-E727)&gt;0)*AND(F727&gt;(C727-E727)),(C727-E727),IF(C727&lt;E727,0,F727))</f>
        <v>17.3082651910288</v>
      </c>
      <c r="M727" s="7" t="n">
        <f aca="false">IF(C727&lt;(E727+F727),0,C727-E727-F727)</f>
        <v>0.813821901928758</v>
      </c>
      <c r="N727" s="7" t="n">
        <f aca="false">IF(C727&lt;(E727+F727),0,(C727-E727-F727)/(1-V$20/100))</f>
        <v>0.894309782339295</v>
      </c>
      <c r="O727" s="7" t="n">
        <f aca="false">L727+M727</f>
        <v>18.1220870929576</v>
      </c>
      <c r="P727" s="49" t="n">
        <f aca="false">IF(N727=0,I727*(1-G727/100)+J727*(1-H727/100),-N727)</f>
        <v>-0.894309782339295</v>
      </c>
      <c r="Q727" s="54" t="n">
        <f aca="false">IF(P726&gt;0,Q726+P726*(1-V$24/100),Q726+P726)</f>
        <v>272.163501750688</v>
      </c>
      <c r="R727" s="55" t="n">
        <f aca="false">R$4+Q727/V$32</f>
        <v>42.6468418622384</v>
      </c>
    </row>
    <row r="728" customFormat="false" ht="12.8" hidden="false" customHeight="false" outlineLevel="0" collapsed="false">
      <c r="A728" s="1" t="n">
        <v>724</v>
      </c>
      <c r="B728" s="44" t="n">
        <v>44269</v>
      </c>
      <c r="C728" s="45" t="n">
        <f aca="false">V$30-V$30*SIN(2*PI()/365*A728)</f>
        <v>17.8453503566186</v>
      </c>
      <c r="D728" s="3" t="n">
        <f aca="false">IF((E728+F728)&gt;C728,C728,E728+F728)</f>
        <v>17.5865096515407</v>
      </c>
      <c r="E728" s="46" t="n">
        <f aca="false">(V$27+V$28*SIN(2*PI()/365*A728))*V$29/100*V$9*V$10/100</f>
        <v>0</v>
      </c>
      <c r="F728" s="46" t="n">
        <f aca="false">(V$27+V$28*SIN(2*PI()/365*A728))*V$29/100*V$11*(1-V$18/100)*(1-V$20/100)</f>
        <v>17.5865096515407</v>
      </c>
      <c r="G728" s="46" t="n">
        <f aca="false">IF(C728&gt;E728,100,C728/E728*100)</f>
        <v>100</v>
      </c>
      <c r="H728" s="46" t="n">
        <f aca="false">L728/F728*100</f>
        <v>100</v>
      </c>
      <c r="I728" s="47" t="n">
        <f aca="false">(V$27+V$28*SIN(2*PI()/365*A728))*V$29/100*V$9*V$10/100*(1-V$19/100)</f>
        <v>0</v>
      </c>
      <c r="J728" s="47" t="n">
        <f aca="false">(V$27+V$28*SIN(2*PI()/365*A728))*V$29/100*V$11*(1-V$18/100)</f>
        <v>19.3258347819128</v>
      </c>
      <c r="K728" s="48" t="n">
        <f aca="false">IF(E728/C728*100&lt;100,E728/C728*100,100)</f>
        <v>0</v>
      </c>
      <c r="L728" s="7" t="n">
        <f aca="false">IF(((C728-E728)&gt;0)*AND(F728&gt;(C728-E728)),(C728-E728),IF(C728&lt;E728,0,F728))</f>
        <v>17.5865096515407</v>
      </c>
      <c r="M728" s="7" t="n">
        <f aca="false">IF(C728&lt;(E728+F728),0,C728-E728-F728)</f>
        <v>0.258840705077962</v>
      </c>
      <c r="N728" s="7" t="n">
        <f aca="false">IF(C728&lt;(E728+F728),0,(C728-E728-F728)/(1-V$20/100))</f>
        <v>0.284440335250507</v>
      </c>
      <c r="O728" s="7" t="n">
        <f aca="false">L728+M728</f>
        <v>17.8453503566186</v>
      </c>
      <c r="P728" s="49" t="n">
        <f aca="false">IF(N728=0,I728*(1-G728/100)+J728*(1-H728/100),-N728)</f>
        <v>-0.284440335250507</v>
      </c>
      <c r="Q728" s="54" t="n">
        <f aca="false">IF(P727&gt;0,Q727+P727*(1-V$24/100),Q727+P727)</f>
        <v>271.269191968349</v>
      </c>
      <c r="R728" s="55" t="n">
        <f aca="false">R$4+Q728/V$32</f>
        <v>42.6381445293687</v>
      </c>
    </row>
    <row r="729" customFormat="false" ht="12.8" hidden="false" customHeight="false" outlineLevel="0" collapsed="false">
      <c r="A729" s="1" t="n">
        <v>725</v>
      </c>
      <c r="B729" s="44" t="n">
        <v>44270</v>
      </c>
      <c r="C729" s="45" t="n">
        <f aca="false">V$30-V$30*SIN(2*PI()/365*A729)</f>
        <v>17.5681193794447</v>
      </c>
      <c r="D729" s="3" t="n">
        <f aca="false">IF((E729+F729)&gt;C729,C729,E729+F729)</f>
        <v>17.5681193794447</v>
      </c>
      <c r="E729" s="46" t="n">
        <f aca="false">(V$27+V$28*SIN(2*PI()/365*A729))*V$29/100*V$9*V$10/100</f>
        <v>0</v>
      </c>
      <c r="F729" s="46" t="n">
        <f aca="false">(V$27+V$28*SIN(2*PI()/365*A729))*V$29/100*V$11*(1-V$18/100)*(1-V$20/100)</f>
        <v>17.8652510456232</v>
      </c>
      <c r="G729" s="46" t="n">
        <f aca="false">IF(C729&gt;E729,100,C729/E729*100)</f>
        <v>100</v>
      </c>
      <c r="H729" s="46" t="n">
        <f aca="false">L729/F729*100</f>
        <v>98.3368178514834</v>
      </c>
      <c r="I729" s="47" t="n">
        <f aca="false">(V$27+V$28*SIN(2*PI()/365*A729))*V$29/100*V$9*V$10/100*(1-V$19/100)</f>
        <v>0</v>
      </c>
      <c r="J729" s="47" t="n">
        <f aca="false">(V$27+V$28*SIN(2*PI()/365*A729))*V$29/100*V$11*(1-V$18/100)</f>
        <v>19.6321440061793</v>
      </c>
      <c r="K729" s="48" t="n">
        <f aca="false">IF(E729/C729*100&lt;100,E729/C729*100,100)</f>
        <v>0</v>
      </c>
      <c r="L729" s="7" t="n">
        <f aca="false">IF(((C729-E729)&gt;0)*AND(F729&gt;(C729-E729)),(C729-E729),IF(C729&lt;E729,0,F729))</f>
        <v>17.5681193794447</v>
      </c>
      <c r="M729" s="7" t="n">
        <f aca="false">IF(C729&lt;(E729+F729),0,C729-E729-F729)</f>
        <v>0</v>
      </c>
      <c r="N729" s="7" t="n">
        <f aca="false">IF(C729&lt;(E729+F729),0,(C729-E729-F729)/(1-V$20/100))</f>
        <v>0</v>
      </c>
      <c r="O729" s="7" t="n">
        <f aca="false">L729+M729</f>
        <v>17.5681193794447</v>
      </c>
      <c r="P729" s="49" t="n">
        <f aca="false">IF(N729=0,I729*(1-G729/100)+J729*(1-H729/100),-N729)</f>
        <v>0.326518314481842</v>
      </c>
      <c r="Q729" s="54" t="n">
        <f aca="false">IF(P728&gt;0,Q728+P728*(1-V$24/100),Q728+P728)</f>
        <v>270.984751633099</v>
      </c>
      <c r="R729" s="55" t="n">
        <f aca="false">R$4+Q729/V$32</f>
        <v>42.6353782929637</v>
      </c>
    </row>
    <row r="730" customFormat="false" ht="12.8" hidden="false" customHeight="false" outlineLevel="0" collapsed="false">
      <c r="A730" s="1" t="n">
        <v>726</v>
      </c>
      <c r="B730" s="44" t="n">
        <v>44271</v>
      </c>
      <c r="C730" s="45" t="n">
        <f aca="false">V$30-V$30*SIN(2*PI()/365*A730)</f>
        <v>17.2904763109573</v>
      </c>
      <c r="D730" s="3" t="n">
        <f aca="false">IF((E730+F730)&gt;C730,C730,E730+F730)</f>
        <v>17.2904763109573</v>
      </c>
      <c r="E730" s="46" t="n">
        <f aca="false">(V$27+V$28*SIN(2*PI()/365*A730))*V$29/100*V$9*V$10/100</f>
        <v>0</v>
      </c>
      <c r="F730" s="46" t="n">
        <f aca="false">(V$27+V$28*SIN(2*PI()/365*A730))*V$29/100*V$11*(1-V$18/100)*(1-V$20/100)</f>
        <v>18.1444067761855</v>
      </c>
      <c r="G730" s="46" t="n">
        <f aca="false">IF(C730&gt;E730,100,C730/E730*100)</f>
        <v>100</v>
      </c>
      <c r="H730" s="46" t="n">
        <f aca="false">L730/F730*100</f>
        <v>95.293698627012</v>
      </c>
      <c r="I730" s="47" t="n">
        <f aca="false">(V$27+V$28*SIN(2*PI()/365*A730))*V$29/100*V$9*V$10/100*(1-V$19/100)</f>
        <v>0</v>
      </c>
      <c r="J730" s="47" t="n">
        <f aca="false">(V$27+V$28*SIN(2*PI()/365*A730))*V$29/100*V$11*(1-V$18/100)</f>
        <v>19.9389085452587</v>
      </c>
      <c r="K730" s="48" t="n">
        <f aca="false">IF(E730/C730*100&lt;100,E730/C730*100,100)</f>
        <v>0</v>
      </c>
      <c r="L730" s="7" t="n">
        <f aca="false">IF(((C730-E730)&gt;0)*AND(F730&gt;(C730-E730)),(C730-E730),IF(C730&lt;E730,0,F730))</f>
        <v>17.2904763109573</v>
      </c>
      <c r="M730" s="7" t="n">
        <f aca="false">IF(C730&lt;(E730+F730),0,C730-E730-F730)</f>
        <v>0</v>
      </c>
      <c r="N730" s="7" t="n">
        <f aca="false">IF(C730&lt;(E730+F730),0,(C730-E730-F730)/(1-V$20/100))</f>
        <v>0</v>
      </c>
      <c r="O730" s="7" t="n">
        <f aca="false">L730+M730</f>
        <v>17.2904763109573</v>
      </c>
      <c r="P730" s="49" t="n">
        <f aca="false">IF(N730=0,I730*(1-G730/100)+J730*(1-H730/100),-N730)</f>
        <v>0.938385126624336</v>
      </c>
      <c r="Q730" s="54" t="n">
        <f aca="false">IF(P729&gt;0,Q729+P729*(1-V$24/100),Q729+P729)</f>
        <v>271.23617073525</v>
      </c>
      <c r="R730" s="55" t="n">
        <f aca="false">R$4+Q730/V$32</f>
        <v>42.6378233915911</v>
      </c>
    </row>
    <row r="731" customFormat="false" ht="12.8" hidden="false" customHeight="false" outlineLevel="0" collapsed="false">
      <c r="A731" s="1" t="n">
        <v>727</v>
      </c>
      <c r="B731" s="44" t="n">
        <v>44272</v>
      </c>
      <c r="C731" s="45" t="n">
        <f aca="false">V$30-V$30*SIN(2*PI()/365*A731)</f>
        <v>17.0125034227898</v>
      </c>
      <c r="D731" s="3" t="n">
        <f aca="false">IF((E731+F731)&gt;C731,C731,E731+F731)</f>
        <v>17.0125034227898</v>
      </c>
      <c r="E731" s="46" t="n">
        <f aca="false">(V$27+V$28*SIN(2*PI()/365*A731))*V$29/100*V$9*V$10/100</f>
        <v>0</v>
      </c>
      <c r="F731" s="46" t="n">
        <f aca="false">(V$27+V$28*SIN(2*PI()/365*A731))*V$29/100*V$11*(1-V$18/100)*(1-V$20/100)</f>
        <v>18.42389412336</v>
      </c>
      <c r="G731" s="46" t="n">
        <f aca="false">IF(C731&gt;E731,100,C731/E731*100)</f>
        <v>100</v>
      </c>
      <c r="H731" s="46" t="n">
        <f aca="false">L731/F731*100</f>
        <v>92.3393464426139</v>
      </c>
      <c r="I731" s="47" t="n">
        <f aca="false">(V$27+V$28*SIN(2*PI()/365*A731))*V$29/100*V$9*V$10/100*(1-V$19/100)</f>
        <v>0</v>
      </c>
      <c r="J731" s="47" t="n">
        <f aca="false">(V$27+V$28*SIN(2*PI()/365*A731))*V$29/100*V$11*(1-V$18/100)</f>
        <v>20.2460374981978</v>
      </c>
      <c r="K731" s="48" t="n">
        <f aca="false">IF(E731/C731*100&lt;100,E731/C731*100,100)</f>
        <v>0</v>
      </c>
      <c r="L731" s="7" t="n">
        <f aca="false">IF(((C731-E731)&gt;0)*AND(F731&gt;(C731-E731)),(C731-E731),IF(C731&lt;E731,0,F731))</f>
        <v>17.0125034227898</v>
      </c>
      <c r="M731" s="7" t="n">
        <f aca="false">IF(C731&lt;(E731+F731),0,C731-E731-F731)</f>
        <v>0</v>
      </c>
      <c r="N731" s="7" t="n">
        <f aca="false">IF(C731&lt;(E731+F731),0,(C731-E731-F731)/(1-V$20/100))</f>
        <v>0</v>
      </c>
      <c r="O731" s="7" t="n">
        <f aca="false">L731+M731</f>
        <v>17.0125034227898</v>
      </c>
      <c r="P731" s="49" t="n">
        <f aca="false">IF(N731=0,I731*(1-G731/100)+J731*(1-H731/100),-N731)</f>
        <v>1.55097879183542</v>
      </c>
      <c r="Q731" s="54" t="n">
        <f aca="false">IF(P730&gt;0,Q730+P730*(1-V$24/100),Q730+P730)</f>
        <v>271.95872728275</v>
      </c>
      <c r="R731" s="55" t="n">
        <f aca="false">R$4+Q731/V$32</f>
        <v>42.6448503915578</v>
      </c>
    </row>
    <row r="732" customFormat="false" ht="12.8" hidden="false" customHeight="false" outlineLevel="0" collapsed="false">
      <c r="A732" s="1" t="n">
        <v>728</v>
      </c>
      <c r="B732" s="44" t="n">
        <v>44273</v>
      </c>
      <c r="C732" s="45" t="n">
        <f aca="false">V$30-V$30*SIN(2*PI()/365*A732)</f>
        <v>16.734283084308</v>
      </c>
      <c r="D732" s="3" t="n">
        <f aca="false">IF((E732+F732)&gt;C732,C732,E732+F732)</f>
        <v>16.734283084308</v>
      </c>
      <c r="E732" s="46" t="n">
        <f aca="false">(V$27+V$28*SIN(2*PI()/365*A732))*V$29/100*V$9*V$10/100</f>
        <v>0</v>
      </c>
      <c r="F732" s="46" t="n">
        <f aca="false">(V$27+V$28*SIN(2*PI()/365*A732))*V$29/100*V$11*(1-V$18/100)*(1-V$20/100)</f>
        <v>18.7036302690139</v>
      </c>
      <c r="G732" s="46" t="n">
        <f aca="false">IF(C732&gt;E732,100,C732/E732*100)</f>
        <v>100</v>
      </c>
      <c r="H732" s="46" t="n">
        <f aca="false">L732/F732*100</f>
        <v>89.4707756923076</v>
      </c>
      <c r="I732" s="47" t="n">
        <f aca="false">(V$27+V$28*SIN(2*PI()/365*A732))*V$29/100*V$9*V$10/100*(1-V$19/100)</f>
        <v>0</v>
      </c>
      <c r="J732" s="47" t="n">
        <f aca="false">(V$27+V$28*SIN(2*PI()/365*A732))*V$29/100*V$11*(1-V$18/100)</f>
        <v>20.5534398560592</v>
      </c>
      <c r="K732" s="48" t="n">
        <f aca="false">IF(E732/C732*100&lt;100,E732/C732*100,100)</f>
        <v>0</v>
      </c>
      <c r="L732" s="7" t="n">
        <f aca="false">IF(((C732-E732)&gt;0)*AND(F732&gt;(C732-E732)),(C732-E732),IF(C732&lt;E732,0,F732))</f>
        <v>16.734283084308</v>
      </c>
      <c r="M732" s="7" t="n">
        <f aca="false">IF(C732&lt;(E732+F732),0,C732-E732-F732)</f>
        <v>0</v>
      </c>
      <c r="N732" s="7" t="n">
        <f aca="false">IF(C732&lt;(E732+F732),0,(C732-E732-F732)/(1-V$20/100))</f>
        <v>0</v>
      </c>
      <c r="O732" s="7" t="n">
        <f aca="false">L732+M732</f>
        <v>16.734283084308</v>
      </c>
      <c r="P732" s="49" t="n">
        <f aca="false">IF(N732=0,I732*(1-G732/100)+J732*(1-H732/100),-N732)</f>
        <v>2.16411778539113</v>
      </c>
      <c r="Q732" s="54" t="n">
        <f aca="false">IF(P731&gt;0,Q731+P731*(1-V$24/100),Q731+P731)</f>
        <v>273.152980952464</v>
      </c>
      <c r="R732" s="55" t="n">
        <f aca="false">R$4+Q732/V$32</f>
        <v>42.6564647358281</v>
      </c>
    </row>
    <row r="733" customFormat="false" ht="12.8" hidden="false" customHeight="false" outlineLevel="0" collapsed="false">
      <c r="A733" s="1" t="n">
        <v>729</v>
      </c>
      <c r="B733" s="44" t="n">
        <v>44274</v>
      </c>
      <c r="C733" s="45" t="n">
        <f aca="false">V$30-V$30*SIN(2*PI()/365*A733)</f>
        <v>16.4558977382027</v>
      </c>
      <c r="D733" s="3" t="n">
        <f aca="false">IF((E733+F733)&gt;C733,C733,E733+F733)</f>
        <v>16.4558977382027</v>
      </c>
      <c r="E733" s="46" t="n">
        <f aca="false">(V$27+V$28*SIN(2*PI()/365*A733))*V$29/100*V$9*V$10/100</f>
        <v>0</v>
      </c>
      <c r="F733" s="46" t="n">
        <f aca="false">(V$27+V$28*SIN(2*PI()/365*A733))*V$29/100*V$11*(1-V$18/100)*(1-V$20/100)</f>
        <v>18.98353232129</v>
      </c>
      <c r="G733" s="46" t="n">
        <f aca="false">IF(C733&gt;E733,100,C733/E733*100)</f>
        <v>100</v>
      </c>
      <c r="H733" s="46" t="n">
        <f aca="false">L733/F733*100</f>
        <v>86.6851198169658</v>
      </c>
      <c r="I733" s="47" t="n">
        <f aca="false">(V$27+V$28*SIN(2*PI()/365*A733))*V$29/100*V$9*V$10/100*(1-V$19/100)</f>
        <v>0</v>
      </c>
      <c r="J733" s="47" t="n">
        <f aca="false">(V$27+V$28*SIN(2*PI()/365*A733))*V$29/100*V$11*(1-V$18/100)</f>
        <v>20.8610245288901</v>
      </c>
      <c r="K733" s="48" t="n">
        <f aca="false">IF(E733/C733*100&lt;100,E733/C733*100,100)</f>
        <v>0</v>
      </c>
      <c r="L733" s="7" t="n">
        <f aca="false">IF(((C733-E733)&gt;0)*AND(F733&gt;(C733-E733)),(C733-E733),IF(C733&lt;E733,0,F733))</f>
        <v>16.4558977382027</v>
      </c>
      <c r="M733" s="7" t="n">
        <f aca="false">IF(C733&lt;(E733+F733),0,C733-E733-F733)</f>
        <v>0</v>
      </c>
      <c r="N733" s="7" t="n">
        <f aca="false">IF(C733&lt;(E733+F733),0,(C733-E733-F733)/(1-V$20/100))</f>
        <v>0</v>
      </c>
      <c r="O733" s="7" t="n">
        <f aca="false">L733+M733</f>
        <v>16.4558977382027</v>
      </c>
      <c r="P733" s="49" t="n">
        <f aca="false">IF(N733=0,I733*(1-G733/100)+J733*(1-H733/100),-N733)</f>
        <v>2.7776204209751</v>
      </c>
      <c r="Q733" s="54" t="n">
        <f aca="false">IF(P732&gt;0,Q732+P732*(1-V$24/100),Q732+P732)</f>
        <v>274.819351647215</v>
      </c>
      <c r="R733" s="55" t="n">
        <f aca="false">R$4+Q733/V$32</f>
        <v>42.6726705080367</v>
      </c>
    </row>
    <row r="734" customFormat="false" ht="12.8" hidden="false" customHeight="false" outlineLevel="0" collapsed="false">
      <c r="A734" s="1" t="n">
        <v>730</v>
      </c>
      <c r="B734" s="44" t="n">
        <v>44275</v>
      </c>
      <c r="C734" s="45" t="n">
        <f aca="false">V$30-V$30*SIN(2*PI()/365*A734)</f>
        <v>16.17742987606</v>
      </c>
      <c r="D734" s="3" t="n">
        <f aca="false">IF((E734+F734)&gt;C734,C734,E734+F734)</f>
        <v>16.17742987606</v>
      </c>
      <c r="E734" s="46" t="n">
        <f aca="false">(V$27+V$28*SIN(2*PI()/365*A734))*V$29/100*V$9*V$10/100</f>
        <v>0</v>
      </c>
      <c r="F734" s="46" t="n">
        <f aca="false">(V$27+V$28*SIN(2*PI()/365*A734))*V$29/100*V$11*(1-V$18/100)*(1-V$20/100)</f>
        <v>19.2635173391696</v>
      </c>
      <c r="G734" s="46" t="n">
        <f aca="false">IF(C734&gt;E734,100,C734/E734*100)</f>
        <v>100</v>
      </c>
      <c r="H734" s="46" t="n">
        <f aca="false">L734/F734*100</f>
        <v>83.9796263124053</v>
      </c>
      <c r="I734" s="47" t="n">
        <f aca="false">(V$27+V$28*SIN(2*PI()/365*A734))*V$29/100*V$9*V$10/100*(1-V$19/100)</f>
        <v>0</v>
      </c>
      <c r="J734" s="47" t="n">
        <f aca="false">(V$27+V$28*SIN(2*PI()/365*A734))*V$29/100*V$11*(1-V$18/100)</f>
        <v>21.1687003727138</v>
      </c>
      <c r="K734" s="48" t="n">
        <f aca="false">IF(E734/C734*100&lt;100,E734/C734*100,100)</f>
        <v>0</v>
      </c>
      <c r="L734" s="7" t="n">
        <f aca="false">IF(((C734-E734)&gt;0)*AND(F734&gt;(C734-E734)),(C734-E734),IF(C734&lt;E734,0,F734))</f>
        <v>16.17742987606</v>
      </c>
      <c r="M734" s="7" t="n">
        <f aca="false">IF(C734&lt;(E734+F734),0,C734-E734-F734)</f>
        <v>0</v>
      </c>
      <c r="N734" s="7" t="n">
        <f aca="false">IF(C734&lt;(E734+F734),0,(C734-E734-F734)/(1-V$20/100))</f>
        <v>0</v>
      </c>
      <c r="O734" s="7" t="n">
        <f aca="false">L734+M734</f>
        <v>16.17742987606</v>
      </c>
      <c r="P734" s="49" t="n">
        <f aca="false">IF(N734=0,I734*(1-G734/100)+J734*(1-H734/100),-N734)</f>
        <v>3.391304904516</v>
      </c>
      <c r="Q734" s="54" t="n">
        <f aca="false">IF(P733&gt;0,Q733+P733*(1-V$24/100),Q733+P733)</f>
        <v>276.958119371366</v>
      </c>
      <c r="R734" s="55" t="n">
        <f aca="false">R$4+Q734/V$32</f>
        <v>42.6934704312795</v>
      </c>
    </row>
    <row r="735" customFormat="false" ht="12.8" hidden="false" customHeight="false" outlineLevel="0" collapsed="false">
      <c r="A735" s="1" t="n">
        <v>731</v>
      </c>
      <c r="B735" s="44" t="n">
        <v>44276</v>
      </c>
      <c r="C735" s="45" t="n">
        <f aca="false">V$30-V$30*SIN(2*PI()/365*A735)</f>
        <v>15.8989620139174</v>
      </c>
      <c r="D735" s="3" t="n">
        <f aca="false">IF((E735+F735)&gt;C735,C735,E735+F735)</f>
        <v>15.8989620139174</v>
      </c>
      <c r="E735" s="46" t="n">
        <f aca="false">(V$27+V$28*SIN(2*PI()/365*A735))*V$29/100*V$9*V$10/100</f>
        <v>0</v>
      </c>
      <c r="F735" s="46" t="n">
        <f aca="false">(V$27+V$28*SIN(2*PI()/365*A735))*V$29/100*V$11*(1-V$18/100)*(1-V$20/100)</f>
        <v>19.5435023570491</v>
      </c>
      <c r="G735" s="46" t="n">
        <f aca="false">IF(C735&gt;E735,100,C735/E735*100)</f>
        <v>100</v>
      </c>
      <c r="H735" s="46" t="n">
        <f aca="false">L735/F735*100</f>
        <v>81.35165193757</v>
      </c>
      <c r="I735" s="47" t="n">
        <f aca="false">(V$27+V$28*SIN(2*PI()/365*A735))*V$29/100*V$9*V$10/100*(1-V$19/100)</f>
        <v>0</v>
      </c>
      <c r="J735" s="47" t="n">
        <f aca="false">(V$27+V$28*SIN(2*PI()/365*A735))*V$29/100*V$11*(1-V$18/100)</f>
        <v>21.4763762165374</v>
      </c>
      <c r="K735" s="48" t="n">
        <f aca="false">IF(E735/C735*100&lt;100,E735/C735*100,100)</f>
        <v>0</v>
      </c>
      <c r="L735" s="7" t="n">
        <f aca="false">IF(((C735-E735)&gt;0)*AND(F735&gt;(C735-E735)),(C735-E735),IF(C735&lt;E735,0,F735))</f>
        <v>15.8989620139174</v>
      </c>
      <c r="M735" s="7" t="n">
        <f aca="false">IF(C735&lt;(E735+F735),0,C735-E735-F735)</f>
        <v>0</v>
      </c>
      <c r="N735" s="7" t="n">
        <f aca="false">IF(C735&lt;(E735+F735),0,(C735-E735-F735)/(1-V$20/100))</f>
        <v>0</v>
      </c>
      <c r="O735" s="7" t="n">
        <f aca="false">L735+M735</f>
        <v>15.8989620139174</v>
      </c>
      <c r="P735" s="49" t="n">
        <f aca="false">IF(N735=0,I735*(1-G735/100)+J735*(1-H735/100),-N735)</f>
        <v>4.00498938805684</v>
      </c>
      <c r="Q735" s="54" t="n">
        <f aca="false">IF(P734&gt;0,Q734+P734*(1-V$24/100),Q734+P734)</f>
        <v>279.569424147843</v>
      </c>
      <c r="R735" s="55" t="n">
        <f aca="false">R$4+Q735/V$32</f>
        <v>42.7188658673059</v>
      </c>
      <c r="S735" s="87" t="s">
        <v>1</v>
      </c>
    </row>
    <row r="736" customFormat="false" ht="12.8" hidden="false" customHeight="false" outlineLevel="0" collapsed="false">
      <c r="A736" s="88" t="s">
        <v>97</v>
      </c>
      <c r="B736" s="89"/>
      <c r="C736" s="90" t="n">
        <f aca="false">SUM(C4:C734)/2</f>
        <v>5912.85061969993</v>
      </c>
      <c r="D736" s="91" t="n">
        <f aca="false">SUM(D4:D734)/2</f>
        <v>2689.68132755656</v>
      </c>
      <c r="E736" s="92" t="n">
        <f aca="false">SUM(E4:E734)/2</f>
        <v>0</v>
      </c>
      <c r="F736" s="92" t="n">
        <f aca="false">SUM(F4:F734)/2</f>
        <v>7040.81558746646</v>
      </c>
      <c r="G736" s="92"/>
      <c r="H736" s="92"/>
      <c r="I736" s="93"/>
      <c r="J736" s="93"/>
      <c r="K736" s="89"/>
      <c r="L736" s="94"/>
      <c r="M736" s="94"/>
      <c r="N736" s="94"/>
      <c r="O736" s="95" t="n">
        <f aca="false">SUM(O4:O734)/2</f>
        <v>5912.85061969993</v>
      </c>
      <c r="P736" s="96"/>
      <c r="Q736" s="96"/>
      <c r="R736" s="96"/>
      <c r="S736" s="89" t="s">
        <v>98</v>
      </c>
    </row>
    <row r="737" customFormat="false" ht="12.8" hidden="false" customHeight="false" outlineLevel="0" collapsed="false">
      <c r="C737" s="97" t="s">
        <v>99</v>
      </c>
      <c r="D737" s="91" t="n">
        <f aca="false">D736/C736*100</f>
        <v>45.4887413964984</v>
      </c>
      <c r="E737" s="98" t="s">
        <v>27</v>
      </c>
      <c r="S737" s="9"/>
    </row>
    <row r="739" customFormat="false" ht="94.15" hidden="false" customHeight="true" outlineLevel="0" collapsed="false">
      <c r="A739" s="20" t="s">
        <v>3</v>
      </c>
      <c r="B739" s="20" t="s">
        <v>4</v>
      </c>
      <c r="C739" s="21" t="s">
        <v>5</v>
      </c>
      <c r="D739" s="22" t="s">
        <v>6</v>
      </c>
      <c r="E739" s="23" t="s">
        <v>7</v>
      </c>
      <c r="F739" s="23" t="s">
        <v>8</v>
      </c>
      <c r="G739" s="23" t="s">
        <v>9</v>
      </c>
      <c r="H739" s="23" t="s">
        <v>10</v>
      </c>
      <c r="I739" s="24" t="s">
        <v>11</v>
      </c>
      <c r="J739" s="24" t="s">
        <v>12</v>
      </c>
      <c r="K739" s="25" t="s">
        <v>13</v>
      </c>
      <c r="L739" s="26" t="s">
        <v>14</v>
      </c>
      <c r="M739" s="26" t="s">
        <v>15</v>
      </c>
      <c r="N739" s="26" t="s">
        <v>16</v>
      </c>
      <c r="O739" s="26" t="s">
        <v>17</v>
      </c>
      <c r="P739" s="27" t="s">
        <v>18</v>
      </c>
      <c r="Q739" s="28" t="s">
        <v>19</v>
      </c>
      <c r="R739" s="28" t="s">
        <v>20</v>
      </c>
      <c r="S739" s="29" t="s">
        <v>21</v>
      </c>
    </row>
    <row r="741" customFormat="false" ht="12.8" hidden="false" customHeight="false" outlineLevel="0" collapsed="false">
      <c r="T741" s="9"/>
    </row>
  </sheetData>
  <mergeCells count="1">
    <mergeCell ref="A1:E1"/>
  </mergeCells>
  <hyperlinks>
    <hyperlink ref="X5" r:id="rId1" display="https://heliogaia.de/Heizspiegel-fuer-Deutschland-2018.pdf"/>
    <hyperlink ref="X7" r:id="rId2" display="https://heliogaia.de/9254_Gebaeudereport_dena_kompakt_2018.pdf; S. 7"/>
    <hyperlink ref="X12" r:id="rId3" display="https://www.dwd.de/DE/leistungen/solarenergie/strahlungskarten_sum.html?nn=16102"/>
    <hyperlink ref="X13" r:id="rId4" display="https://www.dwd.de/DE/leistungen/solarenergie/strahlungskarten_sum.html?nn=16102"/>
    <hyperlink ref="X14" r:id="rId5" display="http://www.solarkeymark.nl/DBF/PDF_Downloads/DS_47.pdf; S.2;Annual output per m2 gross area"/>
    <hyperlink ref="X15" r:id="rId6" display="http://www.solarkeymark.nl/DBF/PDF_Downloads/DS_1575.pdf"/>
    <hyperlink ref="X19" r:id="rId7" display="https://irp.cdn-website.com/d00f2507/files/uploaded/RisikenUndWirtschaftlichkeitVonNWP.pdf; S. 10f"/>
    <hyperlink ref="X25" r:id="rId8" display="https://heliogaia.de/Geothermisches_Potenzial_spezifische_Wärmeleitfähigkeit_und_spezifische_Entzugsleistung_Berlin_k218.pdf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tToWidth="1" fitToHeight="4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M2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3" width="13.47"/>
    <col collapsed="false" customWidth="true" hidden="false" outlineLevel="0" max="2" min="2" style="1" width="15.97"/>
    <col collapsed="false" customWidth="true" hidden="false" outlineLevel="0" max="3" min="3" style="51" width="50.02"/>
    <col collapsed="false" customWidth="false" hidden="false" outlineLevel="0" max="4" min="4" style="99" width="11.53"/>
    <col collapsed="false" customWidth="true" hidden="false" outlineLevel="0" max="5" min="5" style="1" width="11.85"/>
    <col collapsed="false" customWidth="true" hidden="false" outlineLevel="0" max="6" min="6" style="53" width="7.49"/>
    <col collapsed="false" customWidth="true" hidden="false" outlineLevel="0" max="7" min="7" style="53" width="107.87"/>
    <col collapsed="false" customWidth="true" hidden="false" outlineLevel="0" max="8" min="8" style="51" width="30.43"/>
    <col collapsed="false" customWidth="false" hidden="false" outlineLevel="0" max="10" min="9" style="53" width="11.52"/>
    <col collapsed="false" customWidth="true" hidden="false" outlineLevel="0" max="11" min="11" style="53" width="13.86"/>
    <col collapsed="false" customWidth="false" hidden="false" outlineLevel="0" max="64" min="12" style="53" width="11.52"/>
  </cols>
  <sheetData>
    <row r="1" customFormat="false" ht="29.85" hidden="false" customHeight="true" outlineLevel="0" collapsed="false">
      <c r="A1" s="100" t="s">
        <v>100</v>
      </c>
      <c r="B1" s="101"/>
      <c r="C1" s="100" t="s">
        <v>101</v>
      </c>
      <c r="D1" s="100" t="s">
        <v>102</v>
      </c>
      <c r="E1" s="100" t="s">
        <v>103</v>
      </c>
      <c r="F1" s="100" t="s">
        <v>104</v>
      </c>
      <c r="G1" s="102" t="s">
        <v>105</v>
      </c>
      <c r="H1" s="102" t="s">
        <v>105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</row>
    <row r="2" s="17" customFormat="true" ht="13.45" hidden="false" customHeight="true" outlineLevel="0" collapsed="false">
      <c r="A2" s="100" t="s">
        <v>1</v>
      </c>
      <c r="B2" s="101"/>
      <c r="C2" s="100" t="s">
        <v>1</v>
      </c>
      <c r="D2" s="103"/>
      <c r="E2" s="100"/>
      <c r="F2" s="100" t="s">
        <v>106</v>
      </c>
      <c r="G2" s="102" t="s">
        <v>107</v>
      </c>
      <c r="H2" s="104" t="s">
        <v>108</v>
      </c>
    </row>
    <row r="3" s="53" customFormat="true" ht="12.8" hidden="false" customHeight="false" outlineLevel="0" collapsed="false">
      <c r="A3" s="14"/>
      <c r="B3" s="1" t="s">
        <v>1</v>
      </c>
      <c r="C3" s="61" t="s">
        <v>109</v>
      </c>
      <c r="D3" s="61" t="s">
        <v>110</v>
      </c>
      <c r="E3" s="105" t="n">
        <f aca="false">e!V4</f>
        <v>7518</v>
      </c>
      <c r="F3" s="106" t="n">
        <f aca="false">s!Q32/1000000</f>
        <v>8.11044795918367</v>
      </c>
      <c r="G3" s="107" t="n">
        <f aca="false">E3*D32</f>
        <v>44392000</v>
      </c>
      <c r="H3" s="108" t="n">
        <f aca="false">G3/1000000</f>
        <v>44.392</v>
      </c>
    </row>
    <row r="4" s="53" customFormat="true" ht="38.2" hidden="false" customHeight="true" outlineLevel="0" collapsed="false">
      <c r="A4" s="109" t="s">
        <v>111</v>
      </c>
      <c r="B4" s="109" t="s">
        <v>1</v>
      </c>
      <c r="C4" s="110" t="s">
        <v>112</v>
      </c>
      <c r="D4" s="111"/>
      <c r="E4" s="109"/>
      <c r="F4" s="109"/>
      <c r="G4" s="109"/>
      <c r="H4" s="110"/>
    </row>
    <row r="5" s="53" customFormat="true" ht="22.85" hidden="false" customHeight="false" outlineLevel="0" collapsed="false">
      <c r="A5" s="112" t="s">
        <v>113</v>
      </c>
      <c r="B5" s="1"/>
      <c r="C5" s="113" t="s">
        <v>22</v>
      </c>
      <c r="D5" s="114" t="s">
        <v>23</v>
      </c>
      <c r="E5" s="114" t="s">
        <v>24</v>
      </c>
      <c r="F5" s="114" t="s">
        <v>114</v>
      </c>
      <c r="G5" s="113" t="s">
        <v>115</v>
      </c>
      <c r="H5" s="115" t="s">
        <v>116</v>
      </c>
    </row>
    <row r="6" customFormat="false" ht="12.8" hidden="false" customHeight="false" outlineLevel="0" collapsed="false">
      <c r="A6" s="14" t="s">
        <v>117</v>
      </c>
      <c r="B6" s="65" t="s">
        <v>118</v>
      </c>
      <c r="C6" s="59"/>
      <c r="D6" s="60" t="s">
        <v>119</v>
      </c>
      <c r="E6" s="61"/>
      <c r="F6" s="61"/>
      <c r="G6" s="59"/>
      <c r="K6" s="53" t="s">
        <v>120</v>
      </c>
      <c r="L6" s="53" t="s">
        <v>1</v>
      </c>
    </row>
    <row r="7" customFormat="false" ht="12.8" hidden="false" customHeight="false" outlineLevel="0" collapsed="false">
      <c r="A7" s="14" t="s">
        <v>1</v>
      </c>
      <c r="B7" s="61" t="s">
        <v>1</v>
      </c>
      <c r="C7" s="51" t="s">
        <v>31</v>
      </c>
      <c r="D7" s="116" t="n">
        <f aca="false">e!V4</f>
        <v>7518</v>
      </c>
      <c r="E7" s="1" t="s">
        <v>32</v>
      </c>
      <c r="F7" s="51" t="s">
        <v>1</v>
      </c>
      <c r="G7" s="51" t="s">
        <v>33</v>
      </c>
      <c r="K7" s="53" t="s">
        <v>120</v>
      </c>
      <c r="L7" s="53" t="s">
        <v>1</v>
      </c>
    </row>
    <row r="8" customFormat="false" ht="12.8" hidden="false" customHeight="false" outlineLevel="0" collapsed="false">
      <c r="A8" s="14"/>
      <c r="B8" s="61" t="s">
        <v>1</v>
      </c>
      <c r="C8" s="51" t="s">
        <v>34</v>
      </c>
      <c r="D8" s="116" t="n">
        <f aca="false">e!V5</f>
        <v>80</v>
      </c>
      <c r="E8" s="1" t="s">
        <v>35</v>
      </c>
      <c r="F8" s="51" t="s">
        <v>1</v>
      </c>
      <c r="G8" s="57" t="s">
        <v>36</v>
      </c>
      <c r="H8" s="51" t="s">
        <v>121</v>
      </c>
      <c r="K8" s="53" t="s">
        <v>120</v>
      </c>
      <c r="L8" s="53" t="s">
        <v>1</v>
      </c>
    </row>
    <row r="9" customFormat="false" ht="13.7" hidden="false" customHeight="true" outlineLevel="0" collapsed="false">
      <c r="A9" s="14"/>
      <c r="B9" s="61" t="s">
        <v>1</v>
      </c>
      <c r="C9" s="59" t="s">
        <v>38</v>
      </c>
      <c r="D9" s="117" t="n">
        <f aca="false">e!V6</f>
        <v>46.5</v>
      </c>
      <c r="E9" s="61" t="s">
        <v>39</v>
      </c>
      <c r="F9" s="61"/>
      <c r="G9" s="51"/>
      <c r="H9" s="59" t="s">
        <v>1</v>
      </c>
      <c r="K9" s="53" t="s">
        <v>120</v>
      </c>
      <c r="L9" s="53" t="s">
        <v>1</v>
      </c>
    </row>
    <row r="10" customFormat="false" ht="12.8" hidden="false" customHeight="false" outlineLevel="0" collapsed="false">
      <c r="A10" s="14"/>
      <c r="B10" s="61" t="s">
        <v>1</v>
      </c>
      <c r="C10" s="51" t="s">
        <v>40</v>
      </c>
      <c r="D10" s="116" t="n">
        <f aca="false">e!V7</f>
        <v>37</v>
      </c>
      <c r="E10" s="1" t="s">
        <v>27</v>
      </c>
      <c r="F10" s="53" t="s">
        <v>1</v>
      </c>
      <c r="G10" s="53" t="s">
        <v>122</v>
      </c>
      <c r="K10" s="53" t="s">
        <v>120</v>
      </c>
      <c r="L10" s="53" t="s">
        <v>1</v>
      </c>
    </row>
    <row r="11" customFormat="false" ht="12.8" hidden="false" customHeight="false" outlineLevel="0" collapsed="false">
      <c r="A11" s="14"/>
      <c r="B11" s="61" t="s">
        <v>1</v>
      </c>
      <c r="C11" s="51" t="s">
        <v>42</v>
      </c>
      <c r="D11" s="117" t="n">
        <f aca="false">e!V8</f>
        <v>73.8095238095238</v>
      </c>
      <c r="E11" s="1" t="s">
        <v>43</v>
      </c>
      <c r="F11" s="51" t="s">
        <v>1</v>
      </c>
      <c r="G11" s="51" t="s">
        <v>44</v>
      </c>
      <c r="K11" s="53" t="s">
        <v>120</v>
      </c>
      <c r="L11" s="53" t="s">
        <v>1</v>
      </c>
    </row>
    <row r="12" customFormat="false" ht="12.8" hidden="false" customHeight="false" outlineLevel="0" collapsed="false">
      <c r="A12" s="14" t="s">
        <v>123</v>
      </c>
      <c r="B12" s="61" t="s">
        <v>1</v>
      </c>
      <c r="C12" s="51" t="s">
        <v>47</v>
      </c>
      <c r="D12" s="118" t="n">
        <f aca="false">e!V9</f>
        <v>0</v>
      </c>
      <c r="E12" s="48" t="s">
        <v>39</v>
      </c>
      <c r="F12" s="51" t="s">
        <v>1</v>
      </c>
      <c r="G12" s="53" t="s">
        <v>48</v>
      </c>
      <c r="H12" s="51" t="s">
        <v>1</v>
      </c>
      <c r="K12" s="53" t="s">
        <v>120</v>
      </c>
      <c r="L12" s="53" t="s">
        <v>1</v>
      </c>
    </row>
    <row r="13" customFormat="false" ht="12.8" hidden="false" customHeight="false" outlineLevel="0" collapsed="false">
      <c r="A13" s="14"/>
      <c r="B13" s="61" t="s">
        <v>1</v>
      </c>
      <c r="C13" s="51" t="s">
        <v>49</v>
      </c>
      <c r="D13" s="116" t="n">
        <f aca="false">e!V10</f>
        <v>80</v>
      </c>
      <c r="E13" s="48" t="s">
        <v>27</v>
      </c>
      <c r="F13" s="51" t="s">
        <v>1</v>
      </c>
      <c r="G13" s="51" t="s">
        <v>50</v>
      </c>
      <c r="K13" s="53" t="s">
        <v>120</v>
      </c>
      <c r="L13" s="53" t="s">
        <v>1</v>
      </c>
    </row>
    <row r="14" customFormat="false" ht="12.8" hidden="false" customHeight="false" outlineLevel="0" collapsed="false">
      <c r="A14" s="14"/>
      <c r="B14" s="61" t="s">
        <v>1</v>
      </c>
      <c r="C14" s="51" t="s">
        <v>124</v>
      </c>
      <c r="D14" s="117" t="n">
        <f aca="false">e!V11</f>
        <v>28</v>
      </c>
      <c r="E14" s="48" t="s">
        <v>39</v>
      </c>
      <c r="F14" s="51" t="s">
        <v>1</v>
      </c>
      <c r="G14" s="51" t="s">
        <v>53</v>
      </c>
      <c r="K14" s="53" t="s">
        <v>120</v>
      </c>
      <c r="L14" s="53" t="s">
        <v>1</v>
      </c>
    </row>
    <row r="15" customFormat="false" ht="12.8" hidden="false" customHeight="false" outlineLevel="0" collapsed="false">
      <c r="A15" s="14"/>
      <c r="B15" s="61" t="s">
        <v>1</v>
      </c>
      <c r="C15" s="53" t="s">
        <v>125</v>
      </c>
      <c r="D15" s="116" t="n">
        <f aca="false">e!V12</f>
        <v>13</v>
      </c>
      <c r="E15" s="1" t="s">
        <v>56</v>
      </c>
      <c r="F15" s="51" t="s">
        <v>1</v>
      </c>
      <c r="G15" s="51"/>
      <c r="K15" s="53" t="s">
        <v>120</v>
      </c>
      <c r="L15" s="53" t="s">
        <v>1</v>
      </c>
    </row>
    <row r="16" customFormat="false" ht="12.8" hidden="false" customHeight="false" outlineLevel="0" collapsed="false">
      <c r="A16" s="14"/>
      <c r="B16" s="61" t="s">
        <v>1</v>
      </c>
      <c r="C16" s="53" t="s">
        <v>126</v>
      </c>
      <c r="D16" s="116" t="n">
        <f aca="false">e!V13</f>
        <v>166</v>
      </c>
      <c r="E16" s="1" t="s">
        <v>56</v>
      </c>
      <c r="F16" s="51" t="s">
        <v>1</v>
      </c>
      <c r="G16" s="51"/>
      <c r="K16" s="53" t="s">
        <v>120</v>
      </c>
      <c r="L16" s="53" t="s">
        <v>1</v>
      </c>
    </row>
    <row r="17" customFormat="false" ht="12.8" hidden="false" customHeight="false" outlineLevel="0" collapsed="false">
      <c r="A17" s="119"/>
      <c r="B17" s="61" t="s">
        <v>1</v>
      </c>
      <c r="C17" s="70" t="s">
        <v>59</v>
      </c>
      <c r="D17" s="116" t="n">
        <f aca="false">e!V14</f>
        <v>529</v>
      </c>
      <c r="E17" s="1" t="s">
        <v>35</v>
      </c>
      <c r="F17" s="51" t="s">
        <v>1</v>
      </c>
      <c r="G17" s="71" t="s">
        <v>60</v>
      </c>
      <c r="K17" s="53" t="s">
        <v>120</v>
      </c>
      <c r="L17" s="53" t="s">
        <v>1</v>
      </c>
    </row>
    <row r="18" customFormat="false" ht="12.8" hidden="false" customHeight="false" outlineLevel="0" collapsed="false">
      <c r="A18" s="119"/>
      <c r="B18" s="61" t="s">
        <v>1</v>
      </c>
      <c r="C18" s="70" t="s">
        <v>62</v>
      </c>
      <c r="D18" s="116" t="n">
        <f aca="false">e!V15</f>
        <v>370</v>
      </c>
      <c r="E18" s="1" t="s">
        <v>35</v>
      </c>
      <c r="F18" s="1"/>
      <c r="G18" s="71" t="s">
        <v>63</v>
      </c>
      <c r="I18" s="51"/>
      <c r="K18" s="53" t="s">
        <v>120</v>
      </c>
      <c r="L18" s="53" t="s">
        <v>1</v>
      </c>
    </row>
    <row r="19" customFormat="false" ht="12.8" hidden="false" customHeight="false" outlineLevel="0" collapsed="false">
      <c r="A19" s="14"/>
      <c r="B19" s="61" t="s">
        <v>1</v>
      </c>
      <c r="C19" s="51" t="s">
        <v>64</v>
      </c>
      <c r="D19" s="116" t="n">
        <f aca="false">e!V16</f>
        <v>30</v>
      </c>
      <c r="E19" s="1" t="s">
        <v>27</v>
      </c>
      <c r="F19" s="1"/>
      <c r="G19" s="51" t="s">
        <v>65</v>
      </c>
      <c r="H19" s="53"/>
      <c r="I19" s="51"/>
      <c r="K19" s="53" t="s">
        <v>120</v>
      </c>
      <c r="L19" s="53" t="s">
        <v>1</v>
      </c>
    </row>
    <row r="20" customFormat="false" ht="12.8" hidden="false" customHeight="false" outlineLevel="0" collapsed="false">
      <c r="A20" s="14"/>
      <c r="B20" s="61" t="s">
        <v>1</v>
      </c>
      <c r="C20" s="51" t="s">
        <v>66</v>
      </c>
      <c r="D20" s="116" t="n">
        <f aca="false">e!V17</f>
        <v>85</v>
      </c>
      <c r="E20" s="1" t="s">
        <v>27</v>
      </c>
      <c r="F20" s="51" t="s">
        <v>1</v>
      </c>
      <c r="G20" s="51" t="s">
        <v>65</v>
      </c>
      <c r="K20" s="53" t="s">
        <v>120</v>
      </c>
      <c r="L20" s="53" t="s">
        <v>1</v>
      </c>
    </row>
    <row r="21" customFormat="false" ht="12.8" hidden="false" customHeight="false" outlineLevel="0" collapsed="false">
      <c r="A21" s="14"/>
      <c r="B21" s="61" t="s">
        <v>1</v>
      </c>
      <c r="C21" s="51" t="s">
        <v>67</v>
      </c>
      <c r="D21" s="116" t="n">
        <f aca="false">e!V18</f>
        <v>11</v>
      </c>
      <c r="E21" s="1" t="s">
        <v>27</v>
      </c>
      <c r="F21" s="1"/>
      <c r="G21" s="51" t="s">
        <v>68</v>
      </c>
      <c r="I21" s="51"/>
      <c r="K21" s="53" t="s">
        <v>120</v>
      </c>
      <c r="L21" s="53" t="s">
        <v>1</v>
      </c>
      <c r="BM21" s="53"/>
    </row>
    <row r="22" customFormat="false" ht="12.8" hidden="false" customHeight="false" outlineLevel="0" collapsed="false">
      <c r="A22" s="14" t="s">
        <v>123</v>
      </c>
      <c r="B22" s="61" t="s">
        <v>1</v>
      </c>
      <c r="C22" s="51" t="s">
        <v>69</v>
      </c>
      <c r="D22" s="116" t="n">
        <f aca="false">e!V19</f>
        <v>20</v>
      </c>
      <c r="E22" s="1" t="s">
        <v>27</v>
      </c>
      <c r="F22" s="51" t="s">
        <v>1</v>
      </c>
      <c r="G22" s="71" t="s">
        <v>70</v>
      </c>
      <c r="K22" s="53" t="s">
        <v>120</v>
      </c>
      <c r="L22" s="53" t="s">
        <v>1</v>
      </c>
    </row>
    <row r="23" customFormat="false" ht="12.8" hidden="false" customHeight="false" outlineLevel="0" collapsed="false">
      <c r="A23" s="14"/>
      <c r="B23" s="61" t="s">
        <v>1</v>
      </c>
      <c r="C23" s="51" t="s">
        <v>72</v>
      </c>
      <c r="D23" s="116" t="n">
        <f aca="false">e!V20</f>
        <v>9</v>
      </c>
      <c r="E23" s="1" t="s">
        <v>27</v>
      </c>
      <c r="F23" s="51" t="s">
        <v>1</v>
      </c>
      <c r="G23" s="75" t="s">
        <v>73</v>
      </c>
      <c r="K23" s="53" t="s">
        <v>120</v>
      </c>
      <c r="L23" s="53" t="s">
        <v>1</v>
      </c>
    </row>
    <row r="24" customFormat="false" ht="12.8" hidden="false" customHeight="false" outlineLevel="0" collapsed="false">
      <c r="A24" s="14"/>
      <c r="B24" s="61" t="s">
        <v>1</v>
      </c>
      <c r="C24" s="51" t="s">
        <v>74</v>
      </c>
      <c r="D24" s="116" t="n">
        <f aca="false">e!V21</f>
        <v>40</v>
      </c>
      <c r="E24" s="1" t="s">
        <v>29</v>
      </c>
      <c r="F24" s="51" t="s">
        <v>1</v>
      </c>
      <c r="G24" s="51" t="s">
        <v>65</v>
      </c>
      <c r="K24" s="53" t="s">
        <v>120</v>
      </c>
      <c r="L24" s="53" t="s">
        <v>1</v>
      </c>
    </row>
    <row r="25" customFormat="false" ht="12.8" hidden="false" customHeight="false" outlineLevel="0" collapsed="false">
      <c r="A25" s="14"/>
      <c r="B25" s="61" t="s">
        <v>1</v>
      </c>
      <c r="C25" s="51" t="s">
        <v>76</v>
      </c>
      <c r="D25" s="116" t="n">
        <f aca="false">e!V22</f>
        <v>116</v>
      </c>
      <c r="E25" s="1" t="s">
        <v>77</v>
      </c>
      <c r="F25" s="51" t="s">
        <v>1</v>
      </c>
      <c r="G25" s="51" t="s">
        <v>127</v>
      </c>
      <c r="K25" s="53" t="s">
        <v>120</v>
      </c>
      <c r="L25" s="53" t="s">
        <v>1</v>
      </c>
    </row>
    <row r="26" customFormat="false" ht="12.8" hidden="false" customHeight="false" outlineLevel="0" collapsed="false">
      <c r="A26" s="14"/>
      <c r="B26" s="61" t="s">
        <v>1</v>
      </c>
      <c r="C26" s="51" t="s">
        <v>79</v>
      </c>
      <c r="D26" s="116" t="n">
        <f aca="false">e!V23</f>
        <v>117.844024285219</v>
      </c>
      <c r="E26" s="48" t="s">
        <v>77</v>
      </c>
      <c r="F26" s="51" t="s">
        <v>1</v>
      </c>
      <c r="G26" s="51" t="s">
        <v>128</v>
      </c>
      <c r="K26" s="53" t="s">
        <v>120</v>
      </c>
      <c r="L26" s="53" t="s">
        <v>1</v>
      </c>
    </row>
    <row r="27" customFormat="false" ht="12.8" hidden="false" customHeight="false" outlineLevel="0" collapsed="false">
      <c r="A27" s="14"/>
      <c r="B27" s="61" t="s">
        <v>1</v>
      </c>
      <c r="C27" s="51" t="s">
        <v>129</v>
      </c>
      <c r="D27" s="116" t="n">
        <f aca="false">e!V24</f>
        <v>23</v>
      </c>
      <c r="E27" s="48" t="s">
        <v>27</v>
      </c>
      <c r="F27" s="51" t="s">
        <v>1</v>
      </c>
      <c r="G27" s="51" t="s">
        <v>130</v>
      </c>
      <c r="K27" s="53" t="s">
        <v>120</v>
      </c>
      <c r="L27" s="53" t="s">
        <v>1</v>
      </c>
    </row>
    <row r="28" customFormat="false" ht="12.8" hidden="false" customHeight="false" outlineLevel="0" collapsed="false">
      <c r="A28" s="14"/>
      <c r="B28" s="61" t="s">
        <v>1</v>
      </c>
      <c r="C28" s="51" t="s">
        <v>83</v>
      </c>
      <c r="D28" s="120" t="n">
        <f aca="false">e!V25</f>
        <v>0.611</v>
      </c>
      <c r="E28" s="1" t="s">
        <v>84</v>
      </c>
      <c r="F28" s="51" t="s">
        <v>1</v>
      </c>
      <c r="G28" s="62" t="s">
        <v>131</v>
      </c>
      <c r="H28" s="51" t="s">
        <v>132</v>
      </c>
      <c r="K28" s="53" t="s">
        <v>120</v>
      </c>
      <c r="L28" s="53" t="s">
        <v>1</v>
      </c>
    </row>
    <row r="29" customFormat="false" ht="12.8" hidden="false" customHeight="false" outlineLevel="0" collapsed="false">
      <c r="A29" s="14"/>
      <c r="B29" s="61" t="s">
        <v>1</v>
      </c>
      <c r="C29" s="53" t="s">
        <v>96</v>
      </c>
      <c r="D29" s="116" t="n">
        <f aca="false">e!V33</f>
        <v>1086.36559139785</v>
      </c>
      <c r="E29" s="1" t="s">
        <v>35</v>
      </c>
      <c r="G29" s="59" t="s">
        <v>133</v>
      </c>
      <c r="K29" s="53" t="s">
        <v>120</v>
      </c>
      <c r="L29" s="53" t="s">
        <v>1</v>
      </c>
    </row>
    <row r="30" customFormat="false" ht="12.8" hidden="false" customHeight="false" outlineLevel="0" collapsed="false">
      <c r="A30" s="65" t="s">
        <v>134</v>
      </c>
      <c r="B30" s="1" t="s">
        <v>135</v>
      </c>
      <c r="C30" s="59"/>
      <c r="D30" s="121"/>
      <c r="E30" s="61"/>
      <c r="F30" s="61"/>
      <c r="G30" s="59" t="s">
        <v>1</v>
      </c>
      <c r="K30" s="53" t="s">
        <v>120</v>
      </c>
      <c r="L30" s="53" t="s">
        <v>1</v>
      </c>
    </row>
    <row r="31" customFormat="false" ht="12.8" hidden="false" customHeight="false" outlineLevel="0" collapsed="false">
      <c r="A31" s="14" t="s">
        <v>1</v>
      </c>
      <c r="B31" s="61" t="s">
        <v>1</v>
      </c>
      <c r="C31" s="51" t="s">
        <v>136</v>
      </c>
      <c r="D31" s="118" t="n">
        <f aca="false">s!Q32/1000000</f>
        <v>8.11044795918367</v>
      </c>
      <c r="E31" s="1" t="s">
        <v>106</v>
      </c>
      <c r="F31" s="51"/>
      <c r="G31" s="51" t="s">
        <v>137</v>
      </c>
      <c r="K31" s="53" t="s">
        <v>120</v>
      </c>
      <c r="L31" s="53" t="s">
        <v>1</v>
      </c>
    </row>
    <row r="32" customFormat="false" ht="12.8" hidden="false" customHeight="false" outlineLevel="0" collapsed="false">
      <c r="A32" s="14"/>
      <c r="B32" s="61" t="s">
        <v>1</v>
      </c>
      <c r="C32" s="51" t="s">
        <v>138</v>
      </c>
      <c r="D32" s="122" t="n">
        <f aca="false">D8*D11</f>
        <v>5904.7619047619</v>
      </c>
      <c r="E32" s="1" t="s">
        <v>139</v>
      </c>
      <c r="F32" s="1"/>
      <c r="G32" s="51"/>
      <c r="K32" s="53" t="s">
        <v>120</v>
      </c>
      <c r="L32" s="53" t="s">
        <v>1</v>
      </c>
    </row>
    <row r="33" customFormat="false" ht="12.8" hidden="false" customHeight="false" outlineLevel="0" collapsed="false">
      <c r="A33" s="14" t="s">
        <v>1</v>
      </c>
      <c r="B33" s="61" t="s">
        <v>1</v>
      </c>
      <c r="C33" s="51" t="s">
        <v>140</v>
      </c>
      <c r="D33" s="123" t="n">
        <v>10641</v>
      </c>
      <c r="E33" s="1" t="s">
        <v>139</v>
      </c>
      <c r="F33" s="1"/>
      <c r="G33" s="62" t="s">
        <v>141</v>
      </c>
      <c r="H33" s="51" t="s">
        <v>142</v>
      </c>
      <c r="K33" s="53" t="s">
        <v>120</v>
      </c>
      <c r="L33" s="53" t="s">
        <v>1</v>
      </c>
    </row>
    <row r="34" customFormat="false" ht="12.8" hidden="false" customHeight="false" outlineLevel="0" collapsed="false">
      <c r="A34" s="14"/>
      <c r="B34" s="61" t="s">
        <v>1</v>
      </c>
      <c r="C34" s="51" t="s">
        <v>143</v>
      </c>
      <c r="D34" s="124" t="n">
        <v>1437</v>
      </c>
      <c r="E34" s="1" t="s">
        <v>139</v>
      </c>
      <c r="G34" s="62" t="s">
        <v>144</v>
      </c>
      <c r="K34" s="53" t="s">
        <v>120</v>
      </c>
      <c r="L34" s="53" t="s">
        <v>1</v>
      </c>
    </row>
    <row r="35" customFormat="false" ht="12.8" hidden="false" customHeight="false" outlineLevel="0" collapsed="false">
      <c r="A35" s="14" t="s">
        <v>1</v>
      </c>
      <c r="B35" s="61" t="s">
        <v>1</v>
      </c>
      <c r="C35" s="51" t="s">
        <v>145</v>
      </c>
      <c r="D35" s="125" t="n">
        <f aca="false">e!D737</f>
        <v>45.4887413964984</v>
      </c>
      <c r="E35" s="1" t="s">
        <v>27</v>
      </c>
      <c r="F35" s="1"/>
      <c r="G35" s="51" t="s">
        <v>146</v>
      </c>
      <c r="K35" s="53" t="s">
        <v>120</v>
      </c>
      <c r="L35" s="53" t="s">
        <v>1</v>
      </c>
    </row>
    <row r="36" customFormat="false" ht="12.8" hidden="false" customHeight="false" outlineLevel="0" collapsed="false">
      <c r="A36" s="14" t="s">
        <v>1</v>
      </c>
      <c r="B36" s="61" t="s">
        <v>1</v>
      </c>
      <c r="C36" s="51" t="s">
        <v>147</v>
      </c>
      <c r="D36" s="125" t="n">
        <f aca="false">(D32-D34*6/12)/180/24*2</f>
        <v>2.40104717813051</v>
      </c>
      <c r="E36" s="1" t="s">
        <v>148</v>
      </c>
      <c r="F36" s="1"/>
      <c r="G36" s="51"/>
      <c r="K36" s="53" t="s">
        <v>120</v>
      </c>
      <c r="L36" s="53" t="s">
        <v>1</v>
      </c>
    </row>
    <row r="37" customFormat="false" ht="12.8" hidden="false" customHeight="false" outlineLevel="0" collapsed="false">
      <c r="A37" s="14"/>
      <c r="B37" s="61" t="s">
        <v>1</v>
      </c>
      <c r="C37" s="51" t="s">
        <v>149</v>
      </c>
      <c r="D37" s="126" t="n">
        <v>20</v>
      </c>
      <c r="E37" s="1" t="s">
        <v>27</v>
      </c>
      <c r="F37" s="1"/>
      <c r="G37" s="71" t="s">
        <v>150</v>
      </c>
      <c r="K37" s="53" t="s">
        <v>120</v>
      </c>
      <c r="L37" s="53" t="s">
        <v>1</v>
      </c>
    </row>
    <row r="38" customFormat="false" ht="12.95" hidden="false" customHeight="true" outlineLevel="0" collapsed="false">
      <c r="A38" s="14"/>
      <c r="D38" s="127"/>
      <c r="F38" s="1"/>
      <c r="G38" s="53" t="s">
        <v>1</v>
      </c>
      <c r="I38" s="14"/>
      <c r="J38" s="14"/>
      <c r="K38" s="53" t="s">
        <v>120</v>
      </c>
      <c r="L38" s="53" t="s">
        <v>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</row>
    <row r="39" customFormat="false" ht="13.6" hidden="false" customHeight="true" outlineLevel="0" collapsed="false">
      <c r="A39" s="14"/>
      <c r="B39" s="1" t="s">
        <v>151</v>
      </c>
      <c r="C39" s="51" t="s">
        <v>152</v>
      </c>
      <c r="D39" s="128" t="n">
        <v>1141</v>
      </c>
      <c r="E39" s="1" t="s">
        <v>56</v>
      </c>
      <c r="F39" s="51"/>
      <c r="G39" s="71" t="s">
        <v>153</v>
      </c>
      <c r="K39" s="53" t="s">
        <v>120</v>
      </c>
      <c r="L39" s="53" t="s">
        <v>1</v>
      </c>
    </row>
    <row r="40" customFormat="false" ht="12.8" hidden="false" customHeight="false" outlineLevel="0" collapsed="false">
      <c r="A40" s="14"/>
      <c r="B40" s="129" t="s">
        <v>151</v>
      </c>
      <c r="C40" s="51" t="s">
        <v>154</v>
      </c>
      <c r="D40" s="126" t="n">
        <v>7.5</v>
      </c>
      <c r="E40" s="1" t="s">
        <v>155</v>
      </c>
      <c r="F40" s="51" t="s">
        <v>1</v>
      </c>
      <c r="G40" s="71" t="s">
        <v>57</v>
      </c>
      <c r="H40" s="130" t="s">
        <v>156</v>
      </c>
      <c r="K40" s="53" t="s">
        <v>120</v>
      </c>
      <c r="L40" s="53" t="s">
        <v>1</v>
      </c>
    </row>
    <row r="41" customFormat="false" ht="12.8" hidden="false" customHeight="false" outlineLevel="0" collapsed="false">
      <c r="A41" s="119" t="s">
        <v>1</v>
      </c>
      <c r="B41" s="129" t="s">
        <v>151</v>
      </c>
      <c r="C41" s="70" t="s">
        <v>157</v>
      </c>
      <c r="D41" s="126" t="n">
        <v>360</v>
      </c>
      <c r="E41" s="1" t="s">
        <v>158</v>
      </c>
      <c r="F41" s="131" t="n">
        <v>25</v>
      </c>
      <c r="G41" s="71" t="s">
        <v>159</v>
      </c>
      <c r="H41" s="71" t="s">
        <v>160</v>
      </c>
      <c r="K41" s="53" t="s">
        <v>120</v>
      </c>
      <c r="L41" s="53" t="s">
        <v>1</v>
      </c>
    </row>
    <row r="42" customFormat="false" ht="12.8" hidden="false" customHeight="false" outlineLevel="0" collapsed="false">
      <c r="A42" s="119" t="s">
        <v>1</v>
      </c>
      <c r="B42" s="129" t="s">
        <v>151</v>
      </c>
      <c r="C42" s="70" t="s">
        <v>161</v>
      </c>
      <c r="D42" s="126" t="n">
        <v>124</v>
      </c>
      <c r="E42" s="1" t="s">
        <v>158</v>
      </c>
      <c r="F42" s="131" t="n">
        <v>25</v>
      </c>
      <c r="G42" s="71" t="s">
        <v>162</v>
      </c>
      <c r="H42" s="71" t="s">
        <v>163</v>
      </c>
      <c r="K42" s="53" t="s">
        <v>120</v>
      </c>
      <c r="L42" s="53" t="s">
        <v>1</v>
      </c>
    </row>
    <row r="43" customFormat="false" ht="12.8" hidden="false" customHeight="false" outlineLevel="0" collapsed="false">
      <c r="A43" s="14" t="s">
        <v>1</v>
      </c>
      <c r="C43" s="51" t="s">
        <v>1</v>
      </c>
      <c r="D43" s="126" t="s">
        <v>1</v>
      </c>
      <c r="E43" s="1" t="s">
        <v>1</v>
      </c>
      <c r="F43" s="1"/>
      <c r="H43" s="51" t="s">
        <v>1</v>
      </c>
      <c r="K43" s="53" t="s">
        <v>120</v>
      </c>
      <c r="L43" s="53" t="s">
        <v>1</v>
      </c>
    </row>
    <row r="44" customFormat="false" ht="12.8" hidden="false" customHeight="false" outlineLevel="0" collapsed="false">
      <c r="A44" s="14" t="s">
        <v>1</v>
      </c>
      <c r="B44" s="129" t="s">
        <v>151</v>
      </c>
      <c r="C44" s="51" t="s">
        <v>164</v>
      </c>
      <c r="D44" s="126" t="n">
        <v>2.75</v>
      </c>
      <c r="F44" s="1"/>
      <c r="G44" s="51" t="s">
        <v>165</v>
      </c>
      <c r="H44" s="51" t="s">
        <v>1</v>
      </c>
      <c r="K44" s="53" t="s">
        <v>120</v>
      </c>
      <c r="L44" s="53" t="s">
        <v>1</v>
      </c>
    </row>
    <row r="45" customFormat="false" ht="12.8" hidden="false" customHeight="false" outlineLevel="0" collapsed="false">
      <c r="A45" s="14"/>
      <c r="B45" s="129" t="s">
        <v>151</v>
      </c>
      <c r="C45" s="51" t="s">
        <v>166</v>
      </c>
      <c r="D45" s="126" t="n">
        <v>188</v>
      </c>
      <c r="E45" s="1" t="s">
        <v>158</v>
      </c>
      <c r="F45" s="131" t="n">
        <v>40</v>
      </c>
      <c r="G45" s="71" t="s">
        <v>167</v>
      </c>
      <c r="H45" s="51" t="s">
        <v>1</v>
      </c>
      <c r="K45" s="53" t="s">
        <v>120</v>
      </c>
      <c r="L45" s="53" t="s">
        <v>1</v>
      </c>
    </row>
    <row r="46" customFormat="false" ht="12.8" hidden="false" customHeight="false" outlineLevel="0" collapsed="false">
      <c r="A46" s="14"/>
      <c r="B46" s="129" t="s">
        <v>151</v>
      </c>
      <c r="C46" s="51" t="s">
        <v>168</v>
      </c>
      <c r="D46" s="126" t="n">
        <v>20</v>
      </c>
      <c r="E46" s="1" t="s">
        <v>27</v>
      </c>
      <c r="F46" s="1"/>
      <c r="G46" s="51" t="s">
        <v>169</v>
      </c>
      <c r="K46" s="53" t="s">
        <v>120</v>
      </c>
      <c r="L46" s="53" t="s">
        <v>1</v>
      </c>
    </row>
    <row r="47" customFormat="false" ht="12.8" hidden="false" customHeight="false" outlineLevel="0" collapsed="false">
      <c r="A47" s="14" t="s">
        <v>1</v>
      </c>
      <c r="B47" s="129" t="s">
        <v>151</v>
      </c>
      <c r="C47" s="51" t="s">
        <v>170</v>
      </c>
      <c r="D47" s="132" t="n">
        <v>0.5</v>
      </c>
      <c r="E47" s="1" t="s">
        <v>158</v>
      </c>
      <c r="F47" s="1"/>
      <c r="G47" s="71" t="s">
        <v>171</v>
      </c>
      <c r="H47" s="51" t="s">
        <v>1</v>
      </c>
      <c r="K47" s="53" t="s">
        <v>120</v>
      </c>
      <c r="L47" s="53" t="s">
        <v>1</v>
      </c>
    </row>
    <row r="48" customFormat="false" ht="12.8" hidden="false" customHeight="false" outlineLevel="0" collapsed="false">
      <c r="A48" s="14" t="s">
        <v>1</v>
      </c>
      <c r="B48" s="129" t="s">
        <v>151</v>
      </c>
      <c r="C48" s="51" t="s">
        <v>172</v>
      </c>
      <c r="D48" s="122" t="n">
        <f aca="false">D40*D12*D13/100*D17/D39*D20/100*3600/4.2/40*18/24</f>
        <v>0</v>
      </c>
      <c r="E48" s="1" t="s">
        <v>173</v>
      </c>
      <c r="F48" s="1"/>
      <c r="G48" s="51"/>
      <c r="K48" s="53" t="s">
        <v>120</v>
      </c>
      <c r="L48" s="53" t="s">
        <v>1</v>
      </c>
    </row>
    <row r="49" customFormat="false" ht="12.8" hidden="false" customHeight="false" outlineLevel="0" collapsed="false">
      <c r="A49" s="14"/>
      <c r="B49" s="129" t="s">
        <v>151</v>
      </c>
      <c r="C49" s="51" t="s">
        <v>174</v>
      </c>
      <c r="D49" s="126" t="n">
        <v>4.2</v>
      </c>
      <c r="E49" s="1" t="s">
        <v>175</v>
      </c>
      <c r="F49" s="131" t="n">
        <v>25</v>
      </c>
      <c r="G49" s="71" t="s">
        <v>176</v>
      </c>
      <c r="K49" s="53" t="s">
        <v>120</v>
      </c>
      <c r="L49" s="53" t="s">
        <v>1</v>
      </c>
    </row>
    <row r="50" customFormat="false" ht="12.8" hidden="false" customHeight="false" outlineLevel="0" collapsed="false">
      <c r="A50" s="14" t="s">
        <v>1</v>
      </c>
      <c r="F50" s="1"/>
      <c r="G50" s="51"/>
      <c r="H50" s="133" t="s">
        <v>1</v>
      </c>
      <c r="K50" s="53" t="s">
        <v>120</v>
      </c>
      <c r="L50" s="53" t="s">
        <v>1</v>
      </c>
    </row>
    <row r="51" customFormat="false" ht="12.8" hidden="false" customHeight="false" outlineLevel="0" collapsed="false">
      <c r="A51" s="14"/>
      <c r="B51" s="1" t="s">
        <v>177</v>
      </c>
      <c r="C51" s="51" t="s">
        <v>178</v>
      </c>
      <c r="D51" s="126" t="n">
        <v>2.7</v>
      </c>
      <c r="E51" s="1" t="s">
        <v>179</v>
      </c>
      <c r="F51" s="1"/>
      <c r="G51" s="62" t="s">
        <v>85</v>
      </c>
      <c r="K51" s="53" t="s">
        <v>120</v>
      </c>
      <c r="L51" s="53" t="s">
        <v>1</v>
      </c>
    </row>
    <row r="52" customFormat="false" ht="12.8" hidden="false" customHeight="false" outlineLevel="0" collapsed="false">
      <c r="A52" s="14"/>
      <c r="B52" s="129" t="s">
        <v>177</v>
      </c>
      <c r="C52" s="51" t="s">
        <v>180</v>
      </c>
      <c r="D52" s="126" t="n">
        <v>0.4</v>
      </c>
      <c r="E52" s="1" t="s">
        <v>179</v>
      </c>
      <c r="F52" s="1"/>
      <c r="G52" s="62" t="s">
        <v>85</v>
      </c>
      <c r="K52" s="53" t="s">
        <v>120</v>
      </c>
      <c r="L52" s="53" t="s">
        <v>1</v>
      </c>
    </row>
    <row r="53" customFormat="false" ht="12.8" hidden="false" customHeight="false" outlineLevel="0" collapsed="false">
      <c r="A53" s="14"/>
      <c r="B53" s="129" t="s">
        <v>177</v>
      </c>
      <c r="C53" s="51" t="s">
        <v>181</v>
      </c>
      <c r="D53" s="126" t="n">
        <v>0.05</v>
      </c>
      <c r="E53" s="1" t="s">
        <v>182</v>
      </c>
      <c r="F53" s="1"/>
      <c r="G53" s="51" t="s">
        <v>183</v>
      </c>
      <c r="K53" s="53" t="s">
        <v>120</v>
      </c>
      <c r="L53" s="53" t="s">
        <v>1</v>
      </c>
    </row>
    <row r="54" customFormat="false" ht="12.8" hidden="false" customHeight="false" outlineLevel="0" collapsed="false">
      <c r="A54" s="14"/>
      <c r="B54" s="129" t="s">
        <v>177</v>
      </c>
      <c r="C54" s="51" t="s">
        <v>184</v>
      </c>
      <c r="D54" s="126" t="n">
        <v>0.005</v>
      </c>
      <c r="E54" s="1" t="s">
        <v>182</v>
      </c>
      <c r="F54" s="1"/>
      <c r="G54" s="51" t="s">
        <v>183</v>
      </c>
      <c r="K54" s="53" t="s">
        <v>120</v>
      </c>
      <c r="L54" s="53" t="s">
        <v>1</v>
      </c>
    </row>
    <row r="55" customFormat="false" ht="12.8" hidden="false" customHeight="false" outlineLevel="0" collapsed="false">
      <c r="A55" s="14"/>
      <c r="B55" s="129" t="s">
        <v>177</v>
      </c>
      <c r="C55" s="51" t="s">
        <v>185</v>
      </c>
      <c r="D55" s="126" t="n">
        <v>15</v>
      </c>
      <c r="E55" s="1" t="s">
        <v>27</v>
      </c>
      <c r="F55" s="1"/>
      <c r="G55" s="51" t="s">
        <v>183</v>
      </c>
      <c r="K55" s="53" t="s">
        <v>120</v>
      </c>
      <c r="L55" s="53" t="s">
        <v>1</v>
      </c>
    </row>
    <row r="56" customFormat="false" ht="12.8" hidden="false" customHeight="false" outlineLevel="0" collapsed="false">
      <c r="A56" s="14"/>
      <c r="B56" s="129" t="s">
        <v>177</v>
      </c>
      <c r="C56" s="51" t="s">
        <v>186</v>
      </c>
      <c r="D56" s="126" t="n">
        <v>0.0001</v>
      </c>
      <c r="E56" s="1" t="s">
        <v>187</v>
      </c>
      <c r="F56" s="1"/>
      <c r="G56" s="51" t="s">
        <v>188</v>
      </c>
      <c r="K56" s="53" t="s">
        <v>120</v>
      </c>
      <c r="L56" s="53" t="s">
        <v>1</v>
      </c>
    </row>
    <row r="57" customFormat="false" ht="12.8" hidden="false" customHeight="false" outlineLevel="0" collapsed="false">
      <c r="A57" s="14"/>
      <c r="B57" s="129" t="s">
        <v>177</v>
      </c>
      <c r="C57" s="51" t="s">
        <v>189</v>
      </c>
      <c r="D57" s="126" t="n">
        <v>0.57</v>
      </c>
      <c r="E57" s="1" t="s">
        <v>190</v>
      </c>
      <c r="F57" s="1"/>
      <c r="G57" s="62" t="s">
        <v>191</v>
      </c>
      <c r="K57" s="53" t="s">
        <v>120</v>
      </c>
      <c r="L57" s="53" t="s">
        <v>1</v>
      </c>
    </row>
    <row r="58" customFormat="false" ht="12.8" hidden="false" customHeight="false" outlineLevel="0" collapsed="false">
      <c r="A58" s="14"/>
      <c r="B58" s="129" t="s">
        <v>177</v>
      </c>
      <c r="C58" s="51" t="s">
        <v>192</v>
      </c>
      <c r="D58" s="126" t="n">
        <v>9.72</v>
      </c>
      <c r="E58" s="1" t="s">
        <v>29</v>
      </c>
      <c r="F58" s="1"/>
      <c r="G58" s="71" t="s">
        <v>193</v>
      </c>
      <c r="K58" s="53" t="s">
        <v>120</v>
      </c>
      <c r="L58" s="53" t="s">
        <v>1</v>
      </c>
    </row>
    <row r="59" customFormat="false" ht="12.8" hidden="false" customHeight="false" outlineLevel="0" collapsed="false">
      <c r="A59" s="14"/>
      <c r="B59" s="129" t="s">
        <v>177</v>
      </c>
      <c r="C59" s="51" t="s">
        <v>194</v>
      </c>
      <c r="D59" s="126" t="n">
        <v>12</v>
      </c>
      <c r="E59" s="1" t="s">
        <v>29</v>
      </c>
      <c r="F59" s="1"/>
      <c r="G59" s="51" t="s">
        <v>183</v>
      </c>
      <c r="K59" s="53" t="s">
        <v>120</v>
      </c>
      <c r="L59" s="53" t="s">
        <v>1</v>
      </c>
    </row>
    <row r="60" customFormat="false" ht="12.8" hidden="false" customHeight="false" outlineLevel="0" collapsed="false">
      <c r="A60" s="14"/>
      <c r="B60" s="129" t="s">
        <v>177</v>
      </c>
      <c r="C60" s="51" t="s">
        <v>195</v>
      </c>
      <c r="D60" s="126" t="n">
        <v>40</v>
      </c>
      <c r="E60" s="1" t="s">
        <v>196</v>
      </c>
      <c r="F60" s="1"/>
      <c r="G60" s="51" t="s">
        <v>183</v>
      </c>
      <c r="K60" s="53" t="s">
        <v>120</v>
      </c>
      <c r="L60" s="53" t="s">
        <v>1</v>
      </c>
    </row>
    <row r="61" customFormat="false" ht="12.8" hidden="false" customHeight="false" outlineLevel="0" collapsed="false">
      <c r="A61" s="14" t="s">
        <v>1</v>
      </c>
      <c r="B61" s="129" t="s">
        <v>177</v>
      </c>
      <c r="C61" s="51" t="s">
        <v>197</v>
      </c>
      <c r="D61" s="126" t="n">
        <v>60</v>
      </c>
      <c r="E61" s="1" t="s">
        <v>29</v>
      </c>
      <c r="F61" s="1"/>
      <c r="G61" s="51" t="s">
        <v>183</v>
      </c>
      <c r="K61" s="53" t="s">
        <v>120</v>
      </c>
      <c r="L61" s="53" t="s">
        <v>1</v>
      </c>
    </row>
    <row r="62" customFormat="false" ht="12.8" hidden="false" customHeight="false" outlineLevel="0" collapsed="false">
      <c r="A62" s="14"/>
      <c r="B62" s="129" t="s">
        <v>177</v>
      </c>
      <c r="C62" s="51" t="s">
        <v>198</v>
      </c>
      <c r="D62" s="126" t="n">
        <v>10</v>
      </c>
      <c r="E62" s="1" t="s">
        <v>77</v>
      </c>
      <c r="F62" s="1"/>
      <c r="G62" s="51" t="s">
        <v>183</v>
      </c>
      <c r="K62" s="53" t="s">
        <v>120</v>
      </c>
      <c r="L62" s="53" t="s">
        <v>1</v>
      </c>
    </row>
    <row r="63" customFormat="false" ht="12.8" hidden="false" customHeight="false" outlineLevel="0" collapsed="false">
      <c r="A63" s="14"/>
      <c r="B63" s="129" t="s">
        <v>177</v>
      </c>
      <c r="C63" s="51" t="s">
        <v>199</v>
      </c>
      <c r="D63" s="126" t="n">
        <v>2</v>
      </c>
      <c r="E63" s="1" t="s">
        <v>77</v>
      </c>
      <c r="F63" s="1"/>
      <c r="G63" s="51" t="s">
        <v>183</v>
      </c>
      <c r="H63" s="51" t="s">
        <v>1</v>
      </c>
      <c r="K63" s="53" t="s">
        <v>120</v>
      </c>
      <c r="L63" s="53" t="s">
        <v>1</v>
      </c>
    </row>
    <row r="64" customFormat="false" ht="12.8" hidden="false" customHeight="false" outlineLevel="0" collapsed="false">
      <c r="A64" s="14" t="s">
        <v>1</v>
      </c>
      <c r="B64" s="129" t="s">
        <v>177</v>
      </c>
      <c r="C64" s="51" t="s">
        <v>200</v>
      </c>
      <c r="D64" s="122" t="n">
        <f aca="false">D36*E3/(1-D159/100)/4.2/(55-28)/1000*3600/D66</f>
        <v>24.1416272197367</v>
      </c>
      <c r="E64" s="1" t="s">
        <v>201</v>
      </c>
      <c r="F64" s="1"/>
      <c r="G64" s="51" t="s">
        <v>202</v>
      </c>
      <c r="K64" s="53" t="s">
        <v>120</v>
      </c>
      <c r="L64" s="53" t="s">
        <v>1</v>
      </c>
    </row>
    <row r="65" customFormat="false" ht="12.8" hidden="false" customHeight="false" outlineLevel="0" collapsed="false">
      <c r="A65" s="14" t="s">
        <v>1</v>
      </c>
      <c r="B65" s="129" t="s">
        <v>177</v>
      </c>
      <c r="C65" s="51" t="s">
        <v>203</v>
      </c>
      <c r="D65" s="122" t="n">
        <f aca="false">D64*(D105*1.2)</f>
        <v>3360.51450898734</v>
      </c>
      <c r="E65" s="1" t="s">
        <v>77</v>
      </c>
      <c r="F65" s="1" t="s">
        <v>1</v>
      </c>
      <c r="G65" s="53" t="s">
        <v>204</v>
      </c>
      <c r="K65" s="53" t="s">
        <v>120</v>
      </c>
      <c r="L65" s="53" t="s">
        <v>1</v>
      </c>
    </row>
    <row r="66" customFormat="false" ht="12.8" hidden="false" customHeight="false" outlineLevel="0" collapsed="false">
      <c r="A66" s="14"/>
      <c r="B66" s="129" t="s">
        <v>177</v>
      </c>
      <c r="C66" s="51" t="s">
        <v>205</v>
      </c>
      <c r="D66" s="126" t="n">
        <v>30</v>
      </c>
      <c r="E66" s="1" t="s">
        <v>206</v>
      </c>
      <c r="F66" s="1"/>
      <c r="G66" s="71" t="s">
        <v>207</v>
      </c>
      <c r="H66" s="51" t="s">
        <v>208</v>
      </c>
      <c r="K66" s="53" t="s">
        <v>120</v>
      </c>
      <c r="L66" s="53" t="s">
        <v>1</v>
      </c>
    </row>
    <row r="67" customFormat="false" ht="12.8" hidden="false" customHeight="false" outlineLevel="0" collapsed="false">
      <c r="A67" s="14"/>
      <c r="B67" s="129" t="s">
        <v>177</v>
      </c>
      <c r="C67" s="51" t="s">
        <v>209</v>
      </c>
      <c r="D67" s="126" t="n">
        <v>5.7</v>
      </c>
      <c r="E67" s="1" t="s">
        <v>210</v>
      </c>
      <c r="F67" s="1"/>
      <c r="G67" s="71" t="s">
        <v>211</v>
      </c>
      <c r="K67" s="53" t="s">
        <v>120</v>
      </c>
      <c r="L67" s="53" t="s">
        <v>1</v>
      </c>
    </row>
    <row r="68" customFormat="false" ht="12.8" hidden="false" customHeight="false" outlineLevel="0" collapsed="false">
      <c r="A68" s="14"/>
      <c r="B68" s="129" t="s">
        <v>177</v>
      </c>
      <c r="C68" s="51" t="s">
        <v>212</v>
      </c>
      <c r="D68" s="126" t="n">
        <v>16</v>
      </c>
      <c r="E68" s="1" t="s">
        <v>158</v>
      </c>
      <c r="F68" s="131" t="n">
        <v>50</v>
      </c>
      <c r="G68" s="51" t="s">
        <v>213</v>
      </c>
      <c r="K68" s="53" t="s">
        <v>120</v>
      </c>
      <c r="L68" s="53" t="s">
        <v>1</v>
      </c>
    </row>
    <row r="69" customFormat="false" ht="12.8" hidden="false" customHeight="false" outlineLevel="0" collapsed="false">
      <c r="A69" s="14"/>
      <c r="B69" s="129" t="s">
        <v>177</v>
      </c>
      <c r="C69" s="51" t="s">
        <v>214</v>
      </c>
      <c r="D69" s="126" t="n">
        <v>80</v>
      </c>
      <c r="E69" s="1" t="s">
        <v>158</v>
      </c>
      <c r="F69" s="131" t="n">
        <v>50</v>
      </c>
      <c r="G69" s="51" t="s">
        <v>215</v>
      </c>
      <c r="H69" s="62" t="s">
        <v>216</v>
      </c>
      <c r="K69" s="53" t="s">
        <v>120</v>
      </c>
      <c r="L69" s="53" t="s">
        <v>1</v>
      </c>
    </row>
    <row r="70" customFormat="false" ht="12.8" hidden="false" customHeight="false" outlineLevel="0" collapsed="false">
      <c r="A70" s="14"/>
      <c r="B70" s="129" t="s">
        <v>177</v>
      </c>
      <c r="C70" s="51" t="s">
        <v>217</v>
      </c>
      <c r="D70" s="126" t="n">
        <v>300</v>
      </c>
      <c r="E70" s="1" t="s">
        <v>218</v>
      </c>
      <c r="F70" s="131" t="n">
        <v>50</v>
      </c>
      <c r="G70" s="71" t="s">
        <v>219</v>
      </c>
      <c r="H70" s="71" t="s">
        <v>220</v>
      </c>
      <c r="K70" s="53" t="s">
        <v>120</v>
      </c>
      <c r="L70" s="53" t="s">
        <v>1</v>
      </c>
    </row>
    <row r="71" customFormat="false" ht="12.8" hidden="false" customHeight="false" outlineLevel="0" collapsed="false">
      <c r="A71" s="14"/>
      <c r="B71" s="129" t="s">
        <v>177</v>
      </c>
      <c r="C71" s="51" t="s">
        <v>221</v>
      </c>
      <c r="D71" s="126" t="n">
        <v>40</v>
      </c>
      <c r="E71" s="1" t="s">
        <v>27</v>
      </c>
      <c r="F71" s="1"/>
      <c r="G71" s="51" t="s">
        <v>169</v>
      </c>
      <c r="K71" s="53" t="s">
        <v>120</v>
      </c>
      <c r="L71" s="53" t="s">
        <v>1</v>
      </c>
    </row>
    <row r="72" customFormat="false" ht="12.8" hidden="false" customHeight="false" outlineLevel="0" collapsed="false">
      <c r="A72" s="14"/>
      <c r="B72" s="129" t="s">
        <v>177</v>
      </c>
      <c r="C72" s="51" t="s">
        <v>222</v>
      </c>
      <c r="D72" s="126" t="n">
        <v>100</v>
      </c>
      <c r="E72" s="1" t="s">
        <v>210</v>
      </c>
      <c r="F72" s="131" t="n">
        <v>50</v>
      </c>
      <c r="G72" s="51" t="s">
        <v>223</v>
      </c>
      <c r="H72" s="71" t="s">
        <v>224</v>
      </c>
      <c r="K72" s="53" t="s">
        <v>120</v>
      </c>
      <c r="L72" s="53" t="s">
        <v>1</v>
      </c>
    </row>
    <row r="73" customFormat="false" ht="12.8" hidden="false" customHeight="false" outlineLevel="0" collapsed="false">
      <c r="A73" s="14"/>
      <c r="B73" s="129" t="s">
        <v>177</v>
      </c>
      <c r="C73" s="51" t="s">
        <v>225</v>
      </c>
      <c r="D73" s="134" t="n">
        <v>400000</v>
      </c>
      <c r="E73" s="1" t="s">
        <v>226</v>
      </c>
      <c r="F73" s="131" t="n">
        <v>50</v>
      </c>
      <c r="G73" s="51" t="s">
        <v>227</v>
      </c>
      <c r="K73" s="53" t="s">
        <v>120</v>
      </c>
      <c r="L73" s="53" t="s">
        <v>1</v>
      </c>
    </row>
    <row r="74" s="53" customFormat="true" ht="12.8" hidden="false" customHeight="false" outlineLevel="0" collapsed="false">
      <c r="A74" s="14"/>
      <c r="B74" s="1"/>
      <c r="C74" s="51"/>
      <c r="D74" s="122"/>
      <c r="E74" s="1"/>
      <c r="F74" s="1"/>
      <c r="G74" s="51"/>
      <c r="H74" s="51"/>
      <c r="K74" s="53" t="s">
        <v>120</v>
      </c>
      <c r="L74" s="53" t="s">
        <v>1</v>
      </c>
    </row>
    <row r="75" customFormat="false" ht="12.8" hidden="false" customHeight="false" outlineLevel="0" collapsed="false">
      <c r="A75" s="14"/>
      <c r="B75" s="1" t="s">
        <v>228</v>
      </c>
      <c r="C75" s="51" t="s">
        <v>229</v>
      </c>
      <c r="D75" s="126" t="n">
        <v>500</v>
      </c>
      <c r="E75" s="1" t="s">
        <v>218</v>
      </c>
      <c r="F75" s="131" t="n">
        <v>25</v>
      </c>
      <c r="G75" s="62" t="s">
        <v>230</v>
      </c>
      <c r="H75" s="51" t="s">
        <v>1</v>
      </c>
      <c r="K75" s="53" t="s">
        <v>120</v>
      </c>
      <c r="L75" s="53" t="s">
        <v>1</v>
      </c>
    </row>
    <row r="76" customFormat="false" ht="12.8" hidden="false" customHeight="false" outlineLevel="0" collapsed="false">
      <c r="A76" s="14"/>
      <c r="B76" s="129" t="s">
        <v>228</v>
      </c>
      <c r="C76" s="51" t="s">
        <v>231</v>
      </c>
      <c r="D76" s="126" t="n">
        <v>222</v>
      </c>
      <c r="E76" s="1" t="s">
        <v>218</v>
      </c>
      <c r="F76" s="131" t="n">
        <v>25</v>
      </c>
      <c r="G76" s="62" t="s">
        <v>232</v>
      </c>
      <c r="H76" s="51" t="s">
        <v>233</v>
      </c>
      <c r="K76" s="53" t="s">
        <v>120</v>
      </c>
      <c r="L76" s="53" t="s">
        <v>1</v>
      </c>
    </row>
    <row r="77" customFormat="false" ht="12.8" hidden="false" customHeight="false" outlineLevel="0" collapsed="false">
      <c r="A77" s="14"/>
      <c r="B77" s="129" t="s">
        <v>228</v>
      </c>
      <c r="C77" s="51" t="s">
        <v>234</v>
      </c>
      <c r="D77" s="134" t="n">
        <v>3171</v>
      </c>
      <c r="E77" s="1" t="s">
        <v>226</v>
      </c>
      <c r="F77" s="131" t="n">
        <v>25</v>
      </c>
      <c r="G77" s="62" t="s">
        <v>232</v>
      </c>
      <c r="H77" s="51" t="s">
        <v>235</v>
      </c>
      <c r="K77" s="53" t="s">
        <v>120</v>
      </c>
      <c r="L77" s="53" t="s">
        <v>1</v>
      </c>
    </row>
    <row r="78" customFormat="false" ht="12.8" hidden="false" customHeight="false" outlineLevel="0" collapsed="false">
      <c r="A78" s="16" t="s">
        <v>1</v>
      </c>
      <c r="B78" s="129" t="s">
        <v>228</v>
      </c>
      <c r="C78" s="51" t="s">
        <v>236</v>
      </c>
      <c r="D78" s="126" t="n">
        <v>1</v>
      </c>
      <c r="E78" s="1" t="s">
        <v>237</v>
      </c>
      <c r="F78" s="131" t="n">
        <v>1</v>
      </c>
      <c r="G78" s="51" t="s">
        <v>238</v>
      </c>
      <c r="H78" s="51" t="s">
        <v>1</v>
      </c>
      <c r="K78" s="53" t="s">
        <v>120</v>
      </c>
      <c r="L78" s="53" t="s">
        <v>1</v>
      </c>
    </row>
    <row r="79" customFormat="false" ht="12.8" hidden="false" customHeight="false" outlineLevel="0" collapsed="false">
      <c r="A79" s="14" t="s">
        <v>1</v>
      </c>
      <c r="B79" s="129" t="s">
        <v>228</v>
      </c>
      <c r="C79" s="51" t="s">
        <v>239</v>
      </c>
      <c r="D79" s="126" t="n">
        <v>75</v>
      </c>
      <c r="E79" s="1" t="s">
        <v>27</v>
      </c>
      <c r="F79" s="1"/>
      <c r="G79" s="71" t="s">
        <v>240</v>
      </c>
      <c r="K79" s="53" t="s">
        <v>120</v>
      </c>
      <c r="L79" s="53" t="s">
        <v>1</v>
      </c>
    </row>
    <row r="80" customFormat="false" ht="12.8" hidden="false" customHeight="false" outlineLevel="0" collapsed="false">
      <c r="A80" s="14"/>
      <c r="B80" s="129" t="s">
        <v>228</v>
      </c>
      <c r="C80" s="51" t="s">
        <v>241</v>
      </c>
      <c r="D80" s="126" t="n">
        <v>216</v>
      </c>
      <c r="E80" s="1" t="s">
        <v>237</v>
      </c>
      <c r="F80" s="131" t="n">
        <v>20</v>
      </c>
      <c r="G80" s="71" t="s">
        <v>242</v>
      </c>
      <c r="H80" s="135" t="s">
        <v>243</v>
      </c>
      <c r="K80" s="53" t="s">
        <v>120</v>
      </c>
      <c r="L80" s="53" t="s">
        <v>1</v>
      </c>
    </row>
    <row r="81" customFormat="false" ht="12.8" hidden="false" customHeight="false" outlineLevel="0" collapsed="false">
      <c r="A81" s="136"/>
      <c r="B81" s="129" t="s">
        <v>228</v>
      </c>
      <c r="C81" s="51" t="s">
        <v>244</v>
      </c>
      <c r="D81" s="126" t="n">
        <v>585</v>
      </c>
      <c r="E81" s="1" t="s">
        <v>237</v>
      </c>
      <c r="F81" s="131" t="n">
        <v>30</v>
      </c>
      <c r="G81" s="71" t="s">
        <v>245</v>
      </c>
      <c r="H81" s="62" t="s">
        <v>246</v>
      </c>
      <c r="K81" s="53" t="s">
        <v>120</v>
      </c>
      <c r="L81" s="53" t="s">
        <v>1</v>
      </c>
    </row>
    <row r="82" s="53" customFormat="true" ht="12.8" hidden="false" customHeight="false" outlineLevel="0" collapsed="false">
      <c r="A82" s="14" t="s">
        <v>247</v>
      </c>
      <c r="B82" s="1" t="s">
        <v>248</v>
      </c>
      <c r="C82" s="51"/>
      <c r="D82" s="99"/>
      <c r="E82" s="1"/>
      <c r="F82" s="1"/>
      <c r="H82" s="51"/>
      <c r="K82" s="53" t="s">
        <v>120</v>
      </c>
      <c r="L82" s="53" t="s">
        <v>1</v>
      </c>
    </row>
    <row r="83" customFormat="false" ht="12.8" hidden="false" customHeight="false" outlineLevel="0" collapsed="false">
      <c r="A83" s="137" t="s">
        <v>1</v>
      </c>
      <c r="B83" s="61" t="s">
        <v>1</v>
      </c>
      <c r="C83" s="138" t="s">
        <v>249</v>
      </c>
      <c r="D83" s="139" t="n">
        <f aca="false">D101</f>
        <v>14.4377662936063</v>
      </c>
      <c r="E83" s="1" t="s">
        <v>250</v>
      </c>
      <c r="F83" s="1"/>
      <c r="G83" s="53" t="s">
        <v>1</v>
      </c>
      <c r="K83" s="53" t="s">
        <v>120</v>
      </c>
      <c r="L83" s="53" t="s">
        <v>1</v>
      </c>
    </row>
    <row r="84" customFormat="false" ht="12.8" hidden="false" customHeight="false" outlineLevel="0" collapsed="false">
      <c r="A84" s="137" t="s">
        <v>1</v>
      </c>
      <c r="B84" s="61" t="s">
        <v>1</v>
      </c>
      <c r="C84" s="138" t="s">
        <v>251</v>
      </c>
      <c r="D84" s="134" t="n">
        <v>39</v>
      </c>
      <c r="E84" s="1" t="s">
        <v>27</v>
      </c>
      <c r="F84" s="1"/>
      <c r="G84" s="62" t="s">
        <v>252</v>
      </c>
      <c r="K84" s="53" t="s">
        <v>120</v>
      </c>
      <c r="L84" s="53" t="s">
        <v>1</v>
      </c>
    </row>
    <row r="85" customFormat="false" ht="12.8" hidden="false" customHeight="false" outlineLevel="0" collapsed="false">
      <c r="A85" s="140" t="s">
        <v>1</v>
      </c>
      <c r="B85" s="61" t="s">
        <v>1</v>
      </c>
      <c r="C85" s="138" t="s">
        <v>253</v>
      </c>
      <c r="D85" s="139" t="n">
        <f aca="false">D83/(100-D84)*D84</f>
        <v>9.23070304017455</v>
      </c>
      <c r="E85" s="1" t="s">
        <v>254</v>
      </c>
      <c r="F85" s="1"/>
      <c r="K85" s="53" t="s">
        <v>120</v>
      </c>
      <c r="L85" s="53" t="s">
        <v>1</v>
      </c>
    </row>
    <row r="86" customFormat="false" ht="12.8" hidden="false" customHeight="false" outlineLevel="0" collapsed="false">
      <c r="A86" s="140" t="s">
        <v>1</v>
      </c>
      <c r="B86" s="61" t="s">
        <v>1</v>
      </c>
      <c r="C86" s="138" t="s">
        <v>255</v>
      </c>
      <c r="D86" s="141" t="n">
        <f aca="false">D85*1000*D81/1000000</f>
        <v>5.39996127850211</v>
      </c>
      <c r="E86" s="1" t="s">
        <v>256</v>
      </c>
      <c r="F86" s="1" t="s">
        <v>1</v>
      </c>
      <c r="G86" s="51" t="s">
        <v>1</v>
      </c>
      <c r="K86" s="53" t="s">
        <v>120</v>
      </c>
      <c r="L86" s="53" t="s">
        <v>1</v>
      </c>
    </row>
    <row r="87" customFormat="false" ht="12.8" hidden="false" customHeight="false" outlineLevel="0" collapsed="false">
      <c r="A87" s="14" t="s">
        <v>1</v>
      </c>
      <c r="C87" s="51" t="s">
        <v>257</v>
      </c>
      <c r="D87" s="122" t="n">
        <f aca="false">D36*E3</f>
        <v>18051.0726851852</v>
      </c>
      <c r="E87" s="1" t="s">
        <v>258</v>
      </c>
      <c r="G87" s="51" t="s">
        <v>1</v>
      </c>
      <c r="K87" s="53" t="s">
        <v>120</v>
      </c>
      <c r="L87" s="53" t="s">
        <v>1</v>
      </c>
    </row>
    <row r="88" customFormat="false" ht="12.8" hidden="false" customHeight="false" outlineLevel="0" collapsed="false">
      <c r="B88" s="61" t="s">
        <v>259</v>
      </c>
      <c r="K88" s="53" t="s">
        <v>120</v>
      </c>
      <c r="L88" s="53" t="s">
        <v>1</v>
      </c>
    </row>
    <row r="89" customFormat="false" ht="12.8" hidden="false" customHeight="false" outlineLevel="0" collapsed="false">
      <c r="A89" s="14" t="s">
        <v>1</v>
      </c>
      <c r="B89" s="61" t="s">
        <v>1</v>
      </c>
      <c r="C89" s="51" t="s">
        <v>260</v>
      </c>
      <c r="D89" s="122" t="n">
        <f aca="false">D98/((D17*D19/100+D18*(1-D19/100))*(D20/100)*(1-D21/100)*(D29/D39))</f>
        <v>188544.656030118</v>
      </c>
      <c r="E89" s="1" t="s">
        <v>43</v>
      </c>
      <c r="G89" s="51"/>
      <c r="K89" s="53" t="s">
        <v>120</v>
      </c>
      <c r="L89" s="53" t="s">
        <v>1</v>
      </c>
    </row>
    <row r="90" customFormat="false" ht="12.8" hidden="false" customHeight="false" outlineLevel="0" collapsed="false">
      <c r="A90" s="14"/>
      <c r="B90" s="61" t="s">
        <v>1</v>
      </c>
      <c r="C90" s="51" t="s">
        <v>261</v>
      </c>
      <c r="D90" s="139" t="n">
        <f aca="false">D89/D7</f>
        <v>25.0790976363552</v>
      </c>
      <c r="E90" s="1" t="s">
        <v>39</v>
      </c>
      <c r="G90" s="51"/>
      <c r="K90" s="53" t="s">
        <v>120</v>
      </c>
      <c r="L90" s="53" t="s">
        <v>1</v>
      </c>
    </row>
    <row r="91" customFormat="false" ht="12.8" hidden="false" customHeight="false" outlineLevel="0" collapsed="false">
      <c r="A91" s="14" t="s">
        <v>1</v>
      </c>
      <c r="B91" s="61" t="s">
        <v>1</v>
      </c>
      <c r="C91" s="51" t="s">
        <v>262</v>
      </c>
      <c r="D91" s="139" t="n">
        <f aca="false">D12*D13/100</f>
        <v>0</v>
      </c>
      <c r="E91" s="1" t="s">
        <v>39</v>
      </c>
      <c r="G91" s="51"/>
      <c r="K91" s="53" t="s">
        <v>120</v>
      </c>
      <c r="L91" s="53" t="s">
        <v>1</v>
      </c>
    </row>
    <row r="92" customFormat="false" ht="12.8" hidden="false" customHeight="false" outlineLevel="0" collapsed="false">
      <c r="A92" s="14"/>
      <c r="B92" s="61" t="s">
        <v>1</v>
      </c>
      <c r="C92" s="51" t="s">
        <v>263</v>
      </c>
      <c r="D92" s="139" t="n">
        <f aca="false">D90-D91</f>
        <v>25.0790976363552</v>
      </c>
      <c r="E92" s="1" t="s">
        <v>39</v>
      </c>
      <c r="G92" s="51" t="s">
        <v>264</v>
      </c>
      <c r="K92" s="53" t="s">
        <v>120</v>
      </c>
      <c r="L92" s="53" t="s">
        <v>1</v>
      </c>
    </row>
    <row r="93" customFormat="false" ht="12.8" hidden="false" customHeight="false" outlineLevel="0" collapsed="false">
      <c r="A93" s="14"/>
      <c r="B93" s="61" t="s">
        <v>1</v>
      </c>
      <c r="C93" s="51" t="s">
        <v>265</v>
      </c>
      <c r="D93" s="141" t="n">
        <f aca="false">D92*E3*D44/1000000</f>
        <v>0.518497804082825</v>
      </c>
      <c r="E93" s="1" t="s">
        <v>106</v>
      </c>
      <c r="G93" s="133" t="s">
        <v>1</v>
      </c>
      <c r="K93" s="53" t="s">
        <v>120</v>
      </c>
      <c r="L93" s="53" t="s">
        <v>1</v>
      </c>
    </row>
    <row r="94" customFormat="false" ht="12.8" hidden="false" customHeight="false" outlineLevel="0" collapsed="false">
      <c r="A94" s="14"/>
      <c r="B94" s="61" t="s">
        <v>1</v>
      </c>
      <c r="C94" s="51" t="s">
        <v>266</v>
      </c>
      <c r="D94" s="141" t="n">
        <f aca="false">D93^0.5</f>
        <v>0.720067916298751</v>
      </c>
      <c r="E94" s="1" t="s">
        <v>75</v>
      </c>
      <c r="G94" s="51"/>
      <c r="K94" s="53" t="s">
        <v>120</v>
      </c>
      <c r="L94" s="53" t="s">
        <v>1</v>
      </c>
    </row>
    <row r="95" customFormat="false" ht="12.8" hidden="false" customHeight="false" outlineLevel="0" collapsed="false">
      <c r="A95" s="14"/>
      <c r="B95" s="61" t="s">
        <v>1</v>
      </c>
      <c r="C95" s="51" t="s">
        <v>267</v>
      </c>
      <c r="D95" s="139" t="n">
        <f aca="false">D93/D31*100</f>
        <v>6.39296135912834</v>
      </c>
      <c r="E95" s="1" t="s">
        <v>27</v>
      </c>
      <c r="G95" s="51"/>
      <c r="K95" s="53" t="s">
        <v>120</v>
      </c>
      <c r="L95" s="53" t="s">
        <v>1</v>
      </c>
    </row>
    <row r="96" customFormat="false" ht="12.8" hidden="false" customHeight="false" outlineLevel="0" collapsed="false">
      <c r="A96" s="14"/>
      <c r="B96" s="61" t="s">
        <v>1</v>
      </c>
      <c r="C96" s="51" t="s">
        <v>268</v>
      </c>
      <c r="D96" s="122" t="n">
        <f aca="false">D93*1000000/E3</f>
        <v>68.9675184999767</v>
      </c>
      <c r="E96" s="1" t="s">
        <v>39</v>
      </c>
      <c r="F96" s="142"/>
      <c r="G96" s="51" t="s">
        <v>1</v>
      </c>
      <c r="K96" s="53" t="s">
        <v>120</v>
      </c>
      <c r="L96" s="53" t="s">
        <v>1</v>
      </c>
    </row>
    <row r="97" customFormat="false" ht="12.8" hidden="false" customHeight="false" outlineLevel="0" collapsed="false">
      <c r="A97" s="14"/>
      <c r="B97" s="61" t="s">
        <v>269</v>
      </c>
      <c r="D97" s="122"/>
      <c r="F97" s="142"/>
      <c r="G97" s="51"/>
      <c r="K97" s="53" t="s">
        <v>120</v>
      </c>
      <c r="L97" s="53" t="s">
        <v>1</v>
      </c>
    </row>
    <row r="98" customFormat="false" ht="12.8" hidden="false" customHeight="false" outlineLevel="0" collapsed="false">
      <c r="A98" s="14" t="s">
        <v>1</v>
      </c>
      <c r="B98" s="61" t="s">
        <v>1</v>
      </c>
      <c r="C98" s="51" t="s">
        <v>270</v>
      </c>
      <c r="D98" s="122" t="n">
        <f aca="false">E3*D32/(1-D23/100)*((1-D35/100)/(1-D27/100)+D35/100)</f>
        <v>56725455.5750411</v>
      </c>
      <c r="E98" s="1" t="s">
        <v>107</v>
      </c>
      <c r="F98" s="1"/>
      <c r="G98" s="51" t="s">
        <v>271</v>
      </c>
      <c r="K98" s="53" t="s">
        <v>120</v>
      </c>
      <c r="L98" s="53" t="s">
        <v>1</v>
      </c>
    </row>
    <row r="99" customFormat="false" ht="12.8" hidden="false" customHeight="false" outlineLevel="0" collapsed="false">
      <c r="A99" s="14"/>
      <c r="B99" s="61" t="s">
        <v>1</v>
      </c>
      <c r="C99" s="51" t="s">
        <v>272</v>
      </c>
      <c r="D99" s="122" t="n">
        <f aca="false">D98*(1-D35/100)</f>
        <v>30921759.782525</v>
      </c>
      <c r="E99" s="1" t="s">
        <v>107</v>
      </c>
      <c r="K99" s="53" t="s">
        <v>120</v>
      </c>
      <c r="L99" s="53" t="s">
        <v>1</v>
      </c>
    </row>
    <row r="100" customFormat="false" ht="12.8" hidden="false" customHeight="false" outlineLevel="0" collapsed="false">
      <c r="A100" s="14"/>
      <c r="B100" s="61" t="s">
        <v>1</v>
      </c>
      <c r="C100" s="51" t="s">
        <v>273</v>
      </c>
      <c r="D100" s="122" t="n">
        <f aca="false">D33*E3/(1-D23/100)</f>
        <v>87911030.7692308</v>
      </c>
      <c r="E100" s="1" t="s">
        <v>107</v>
      </c>
      <c r="G100" s="51" t="s">
        <v>274</v>
      </c>
      <c r="K100" s="53" t="s">
        <v>120</v>
      </c>
      <c r="L100" s="53" t="s">
        <v>1</v>
      </c>
    </row>
    <row r="101" customFormat="false" ht="12.8" hidden="false" customHeight="false" outlineLevel="0" collapsed="false">
      <c r="A101" s="14" t="s">
        <v>1</v>
      </c>
      <c r="B101" s="61" t="s">
        <v>1</v>
      </c>
      <c r="C101" s="51" t="s">
        <v>275</v>
      </c>
      <c r="D101" s="122" t="n">
        <f aca="false">(D100-D98)/(180*24)/1000*2</f>
        <v>14.4377662936063</v>
      </c>
      <c r="E101" s="1" t="s">
        <v>250</v>
      </c>
      <c r="G101" s="51" t="s">
        <v>276</v>
      </c>
      <c r="K101" s="53" t="s">
        <v>120</v>
      </c>
      <c r="L101" s="53" t="s">
        <v>1</v>
      </c>
    </row>
    <row r="102" customFormat="false" ht="12.8" hidden="false" customHeight="false" outlineLevel="0" collapsed="false">
      <c r="A102" s="14"/>
      <c r="D102" s="122"/>
      <c r="G102" s="51"/>
      <c r="K102" s="53" t="s">
        <v>120</v>
      </c>
      <c r="L102" s="53" t="s">
        <v>1</v>
      </c>
    </row>
    <row r="103" customFormat="false" ht="12.8" hidden="false" customHeight="false" outlineLevel="0" collapsed="false">
      <c r="A103" s="14" t="s">
        <v>1</v>
      </c>
      <c r="B103" s="61" t="s">
        <v>1</v>
      </c>
      <c r="C103" s="51" t="s">
        <v>277</v>
      </c>
      <c r="D103" s="122" t="n">
        <f aca="false">D99/D28/D60</f>
        <v>1265211.12039791</v>
      </c>
      <c r="E103" s="1" t="s">
        <v>278</v>
      </c>
      <c r="G103" s="51" t="s">
        <v>279</v>
      </c>
      <c r="K103" s="53" t="s">
        <v>120</v>
      </c>
      <c r="L103" s="53" t="s">
        <v>1</v>
      </c>
    </row>
    <row r="104" customFormat="false" ht="12.8" hidden="false" customHeight="false" outlineLevel="0" collapsed="false">
      <c r="A104" s="143" t="s">
        <v>1</v>
      </c>
      <c r="B104" s="4" t="s">
        <v>280</v>
      </c>
      <c r="C104" s="144" t="s">
        <v>281</v>
      </c>
      <c r="D104" s="145" t="n">
        <f aca="false">(4*D103/3.14)^(1/3)</f>
        <v>117.245931457848</v>
      </c>
      <c r="E104" s="4" t="s">
        <v>77</v>
      </c>
      <c r="F104" s="4" t="s">
        <v>1</v>
      </c>
      <c r="G104" s="144" t="s">
        <v>282</v>
      </c>
      <c r="H104" s="144"/>
      <c r="K104" s="53" t="s">
        <v>120</v>
      </c>
      <c r="L104" s="53" t="s">
        <v>1</v>
      </c>
    </row>
    <row r="105" customFormat="false" ht="12.8" hidden="false" customHeight="false" outlineLevel="0" collapsed="false">
      <c r="A105" s="143" t="s">
        <v>1</v>
      </c>
      <c r="B105" s="61" t="s">
        <v>1</v>
      </c>
      <c r="C105" s="144" t="s">
        <v>283</v>
      </c>
      <c r="D105" s="145" t="n">
        <v>116</v>
      </c>
      <c r="E105" s="4" t="s">
        <v>77</v>
      </c>
      <c r="F105" s="4" t="s">
        <v>1</v>
      </c>
      <c r="G105" s="144" t="s">
        <v>284</v>
      </c>
      <c r="H105" s="144"/>
      <c r="K105" s="53" t="s">
        <v>120</v>
      </c>
      <c r="L105" s="53" t="s">
        <v>1</v>
      </c>
    </row>
    <row r="106" s="53" customFormat="true" ht="12.8" hidden="false" customHeight="false" outlineLevel="0" collapsed="false">
      <c r="A106" s="14"/>
      <c r="B106" s="61" t="s">
        <v>1</v>
      </c>
      <c r="C106" s="51" t="s">
        <v>285</v>
      </c>
      <c r="D106" s="122" t="n">
        <f aca="false">(D103/D105*4/PI())^0.5</f>
        <v>117.844024285219</v>
      </c>
      <c r="E106" s="1" t="s">
        <v>77</v>
      </c>
      <c r="G106" s="51" t="s">
        <v>286</v>
      </c>
      <c r="H106" s="51"/>
      <c r="K106" s="53" t="s">
        <v>120</v>
      </c>
      <c r="L106" s="53" t="s">
        <v>1</v>
      </c>
    </row>
    <row r="107" customFormat="false" ht="12.8" hidden="false" customHeight="false" outlineLevel="0" collapsed="false">
      <c r="A107" s="14"/>
      <c r="B107" s="61" t="s">
        <v>1</v>
      </c>
      <c r="C107" s="51" t="s">
        <v>287</v>
      </c>
      <c r="D107" s="122" t="n">
        <f aca="false">D106^2*PI()/4</f>
        <v>10906.9924172234</v>
      </c>
      <c r="E107" s="1" t="s">
        <v>43</v>
      </c>
      <c r="G107" s="51"/>
      <c r="K107" s="53" t="s">
        <v>120</v>
      </c>
      <c r="L107" s="53" t="s">
        <v>1</v>
      </c>
    </row>
    <row r="108" customFormat="false" ht="12.8" hidden="false" customHeight="false" outlineLevel="0" collapsed="false">
      <c r="A108" s="14" t="s">
        <v>1</v>
      </c>
      <c r="B108" s="61" t="s">
        <v>1</v>
      </c>
      <c r="C108" s="51" t="s">
        <v>288</v>
      </c>
      <c r="D108" s="141" t="n">
        <f aca="false">D107/D31/1000000*100</f>
        <v>0.134480764467185</v>
      </c>
      <c r="E108" s="1" t="s">
        <v>27</v>
      </c>
      <c r="G108" s="51"/>
      <c r="K108" s="53" t="s">
        <v>120</v>
      </c>
      <c r="L108" s="53" t="s">
        <v>1</v>
      </c>
    </row>
    <row r="109" customFormat="false" ht="12.8" hidden="false" customHeight="false" outlineLevel="0" collapsed="false">
      <c r="A109" s="146"/>
      <c r="B109" s="61" t="s">
        <v>1</v>
      </c>
      <c r="C109" s="138" t="s">
        <v>289</v>
      </c>
      <c r="D109" s="122" t="n">
        <f aca="false">D52/D63*PI()/4*D106^2*(D61-D58)*24*365/1000</f>
        <v>960803.069948963</v>
      </c>
      <c r="E109" s="1" t="s">
        <v>107</v>
      </c>
      <c r="G109" s="51" t="s">
        <v>290</v>
      </c>
      <c r="K109" s="53" t="s">
        <v>120</v>
      </c>
      <c r="L109" s="53" t="s">
        <v>1</v>
      </c>
    </row>
    <row r="110" customFormat="false" ht="12.8" hidden="false" customHeight="false" outlineLevel="0" collapsed="false">
      <c r="A110" s="146"/>
      <c r="B110" s="61" t="s">
        <v>1</v>
      </c>
      <c r="C110" s="138" t="s">
        <v>291</v>
      </c>
      <c r="D110" s="122" t="n">
        <v>5000000</v>
      </c>
      <c r="E110" s="1" t="s">
        <v>107</v>
      </c>
      <c r="G110" s="51" t="s">
        <v>290</v>
      </c>
      <c r="K110" s="53" t="s">
        <v>120</v>
      </c>
      <c r="L110" s="53" t="s">
        <v>1</v>
      </c>
    </row>
    <row r="111" customFormat="false" ht="12.8" hidden="false" customHeight="false" outlineLevel="0" collapsed="false">
      <c r="A111" s="146"/>
      <c r="B111" s="61" t="s">
        <v>1</v>
      </c>
      <c r="C111" s="138" t="s">
        <v>292</v>
      </c>
      <c r="D111" s="122" t="n">
        <f aca="false">PI()*((D106/2+40)^2-(D106/2+D62)^2)*D57*1000*4.2*((D61/2+D59)/3-D58)/3600</f>
        <v>45023.8289153947</v>
      </c>
      <c r="E111" s="1" t="s">
        <v>107</v>
      </c>
      <c r="F111" s="53" t="s">
        <v>1</v>
      </c>
      <c r="G111" s="51" t="s">
        <v>290</v>
      </c>
      <c r="K111" s="53" t="s">
        <v>120</v>
      </c>
      <c r="L111" s="53" t="s">
        <v>1</v>
      </c>
    </row>
    <row r="112" customFormat="false" ht="12.8" hidden="false" customHeight="false" outlineLevel="0" collapsed="false">
      <c r="A112" s="146"/>
      <c r="B112" s="61" t="s">
        <v>1</v>
      </c>
      <c r="C112" s="138" t="s">
        <v>293</v>
      </c>
      <c r="D112" s="122" t="n">
        <f aca="false">((D105+40)*(D106+80)-(D105*D106))*(D53+D54)/2*365*D55/100*1000*4.2*((D61+D59)/3-D59)/3600</f>
        <v>362422.989076083</v>
      </c>
      <c r="E112" s="1" t="s">
        <v>107</v>
      </c>
      <c r="G112" s="51" t="s">
        <v>290</v>
      </c>
      <c r="K112" s="53" t="s">
        <v>120</v>
      </c>
      <c r="L112" s="53" t="s">
        <v>1</v>
      </c>
    </row>
    <row r="113" customFormat="false" ht="12.8" hidden="false" customHeight="false" outlineLevel="0" collapsed="false">
      <c r="A113" s="146"/>
      <c r="B113" s="61" t="s">
        <v>1</v>
      </c>
      <c r="C113" s="138" t="s">
        <v>294</v>
      </c>
      <c r="D113" s="122" t="n">
        <f aca="false">-D56*D105/1000/30*((-0.0040125*23^2-0.028625*23+1000.3875)-(-0.0040125*D59^2-0.028625*D59+1000.3875))*PI()*((D106/2+30)^2-(D106/2)^2)*1000*D55/100 *4.2 *(23-D59) *24*365</f>
        <v>608259.569301488</v>
      </c>
      <c r="E113" s="1" t="s">
        <v>107</v>
      </c>
      <c r="G113" s="51" t="s">
        <v>290</v>
      </c>
      <c r="K113" s="53" t="s">
        <v>120</v>
      </c>
      <c r="L113" s="53" t="s">
        <v>1</v>
      </c>
    </row>
    <row r="114" customFormat="false" ht="12.8" hidden="false" customHeight="false" outlineLevel="0" collapsed="false">
      <c r="A114" s="51"/>
      <c r="B114" s="61" t="s">
        <v>1</v>
      </c>
      <c r="C114" s="51" t="s">
        <v>295</v>
      </c>
      <c r="D114" s="122" t="n">
        <f aca="false">SUM(D109:D113)</f>
        <v>6976509.45724193</v>
      </c>
      <c r="E114" s="1" t="s">
        <v>296</v>
      </c>
      <c r="F114" s="147" t="n">
        <f aca="false">D114/D99</f>
        <v>0.225618124786824</v>
      </c>
      <c r="G114" s="51"/>
      <c r="K114" s="53" t="s">
        <v>120</v>
      </c>
      <c r="L114" s="53" t="s">
        <v>1</v>
      </c>
    </row>
    <row r="115" customFormat="false" ht="12.8" hidden="false" customHeight="false" outlineLevel="0" collapsed="false">
      <c r="A115" s="14"/>
      <c r="B115" s="61" t="s">
        <v>1</v>
      </c>
      <c r="C115" s="51" t="s">
        <v>297</v>
      </c>
      <c r="D115" s="122" t="n">
        <f aca="false">((D40*(D17*D19/100+D18*(1-D19/100))/D39*D92*E3-D34/365*E3)*18/24*3600/4.2/55/1000)</f>
        <v>5704.7530392769</v>
      </c>
      <c r="E115" s="1" t="s">
        <v>278</v>
      </c>
      <c r="G115" s="133" t="s">
        <v>1</v>
      </c>
      <c r="H115" s="133" t="s">
        <v>1</v>
      </c>
      <c r="K115" s="53" t="s">
        <v>120</v>
      </c>
      <c r="L115" s="53" t="s">
        <v>1</v>
      </c>
    </row>
    <row r="116" customFormat="false" ht="12.8" hidden="false" customHeight="false" outlineLevel="0" collapsed="false">
      <c r="A116" s="14" t="s">
        <v>1</v>
      </c>
      <c r="D116" s="122"/>
      <c r="G116" s="133"/>
      <c r="H116" s="133"/>
      <c r="K116" s="53" t="s">
        <v>120</v>
      </c>
      <c r="L116" s="53" t="s">
        <v>1</v>
      </c>
    </row>
    <row r="117" customFormat="false" ht="12.8" hidden="false" customHeight="false" outlineLevel="0" collapsed="false">
      <c r="A117" s="137"/>
      <c r="B117" s="2" t="s">
        <v>228</v>
      </c>
      <c r="C117" s="138" t="s">
        <v>298</v>
      </c>
      <c r="D117" s="122" t="n">
        <f aca="false">s!I32</f>
        <v>1347</v>
      </c>
      <c r="E117" s="1" t="s">
        <v>299</v>
      </c>
      <c r="G117" s="133"/>
      <c r="H117" s="133"/>
      <c r="K117" s="53" t="s">
        <v>120</v>
      </c>
      <c r="L117" s="53" t="s">
        <v>1</v>
      </c>
    </row>
    <row r="118" customFormat="false" ht="12.8" hidden="false" customHeight="false" outlineLevel="0" collapsed="false">
      <c r="A118" s="137"/>
      <c r="B118" s="148" t="s">
        <v>228</v>
      </c>
      <c r="C118" s="138" t="s">
        <v>300</v>
      </c>
      <c r="D118" s="122" t="n">
        <f aca="false">D31*1000000/D117</f>
        <v>6021.11949456843</v>
      </c>
      <c r="E118" s="1" t="s">
        <v>43</v>
      </c>
      <c r="G118" s="133"/>
      <c r="H118" s="133"/>
      <c r="K118" s="53" t="s">
        <v>120</v>
      </c>
      <c r="L118" s="53" t="s">
        <v>1</v>
      </c>
    </row>
    <row r="119" customFormat="false" ht="12.8" hidden="false" customHeight="false" outlineLevel="0" collapsed="false">
      <c r="A119" s="137"/>
      <c r="B119" s="148" t="s">
        <v>228</v>
      </c>
      <c r="C119" s="138" t="s">
        <v>301</v>
      </c>
      <c r="D119" s="149" t="n">
        <f aca="false">D118^0.5</f>
        <v>77.5958729222658</v>
      </c>
      <c r="E119" s="1" t="s">
        <v>77</v>
      </c>
      <c r="G119" s="133"/>
      <c r="H119" s="133"/>
      <c r="K119" s="53" t="s">
        <v>120</v>
      </c>
      <c r="L119" s="53" t="s">
        <v>1</v>
      </c>
    </row>
    <row r="120" customFormat="false" ht="12.8" hidden="false" customHeight="false" outlineLevel="0" collapsed="false">
      <c r="A120" s="137"/>
      <c r="B120" s="148" t="s">
        <v>228</v>
      </c>
      <c r="C120" s="138" t="s">
        <v>302</v>
      </c>
      <c r="D120" s="122" t="n">
        <f aca="false">s!O34</f>
        <v>500.678571428572</v>
      </c>
      <c r="E120" s="1" t="s">
        <v>303</v>
      </c>
      <c r="G120" s="133"/>
      <c r="H120" s="133"/>
      <c r="K120" s="53" t="s">
        <v>120</v>
      </c>
      <c r="L120" s="53" t="s">
        <v>1</v>
      </c>
    </row>
    <row r="121" customFormat="false" ht="12.8" hidden="false" customHeight="false" outlineLevel="0" collapsed="false">
      <c r="A121" s="137"/>
      <c r="B121" s="148" t="s">
        <v>228</v>
      </c>
      <c r="C121" s="138" t="s">
        <v>304</v>
      </c>
      <c r="D121" s="139" t="n">
        <f aca="false">D120/D119</f>
        <v>6.45238660991858</v>
      </c>
      <c r="E121" s="1" t="s">
        <v>305</v>
      </c>
      <c r="G121" s="133"/>
      <c r="H121" s="133"/>
      <c r="K121" s="53" t="s">
        <v>120</v>
      </c>
      <c r="L121" s="53" t="s">
        <v>1</v>
      </c>
    </row>
    <row r="122" customFormat="false" ht="12.8" hidden="false" customHeight="false" outlineLevel="0" collapsed="false">
      <c r="A122" s="137"/>
      <c r="B122" s="148" t="s">
        <v>228</v>
      </c>
      <c r="C122" s="138" t="s">
        <v>306</v>
      </c>
      <c r="D122" s="149" t="n">
        <f aca="false">D117/D121</f>
        <v>208.759964557827</v>
      </c>
      <c r="E122" s="1" t="s">
        <v>307</v>
      </c>
      <c r="G122" s="133"/>
      <c r="H122" s="133"/>
      <c r="K122" s="53" t="s">
        <v>120</v>
      </c>
      <c r="L122" s="53" t="s">
        <v>1</v>
      </c>
    </row>
    <row r="123" customFormat="false" ht="12.8" hidden="false" customHeight="false" outlineLevel="0" collapsed="false">
      <c r="A123" s="137"/>
      <c r="B123" s="148" t="s">
        <v>228</v>
      </c>
      <c r="C123" s="138" t="s">
        <v>308</v>
      </c>
      <c r="D123" s="150" t="n">
        <f aca="false">s!I35</f>
        <v>5.58129175946548</v>
      </c>
      <c r="G123" s="133"/>
      <c r="H123" s="133"/>
      <c r="K123" s="53" t="s">
        <v>120</v>
      </c>
      <c r="L123" s="53" t="s">
        <v>1</v>
      </c>
    </row>
    <row r="124" customFormat="false" ht="12.8" hidden="false" customHeight="false" outlineLevel="0" collapsed="false">
      <c r="A124" s="137"/>
      <c r="B124" s="148" t="s">
        <v>228</v>
      </c>
      <c r="C124" s="138" t="s">
        <v>309</v>
      </c>
      <c r="D124" s="151" t="n">
        <f aca="false">D36/2*D123</f>
        <v>6.70047241469383</v>
      </c>
      <c r="E124" s="1" t="s">
        <v>310</v>
      </c>
      <c r="G124" s="133"/>
      <c r="H124" s="133"/>
      <c r="K124" s="53" t="s">
        <v>120</v>
      </c>
      <c r="L124" s="53" t="s">
        <v>1</v>
      </c>
    </row>
    <row r="125" customFormat="false" ht="12.8" hidden="false" customHeight="false" outlineLevel="0" collapsed="false">
      <c r="A125" s="137"/>
      <c r="B125" s="148" t="s">
        <v>228</v>
      </c>
      <c r="C125" s="138" t="s">
        <v>311</v>
      </c>
      <c r="D125" s="125" t="n">
        <f aca="false">D124*2</f>
        <v>13.4009448293877</v>
      </c>
      <c r="E125" s="1" t="s">
        <v>310</v>
      </c>
      <c r="G125" s="133"/>
      <c r="H125" s="133"/>
      <c r="K125" s="53" t="s">
        <v>120</v>
      </c>
      <c r="L125" s="53" t="s">
        <v>1</v>
      </c>
    </row>
    <row r="126" customFormat="false" ht="12.8" hidden="false" customHeight="false" outlineLevel="0" collapsed="false">
      <c r="A126" s="137"/>
      <c r="B126" s="2"/>
      <c r="C126" s="138"/>
      <c r="G126" s="133"/>
      <c r="H126" s="133"/>
      <c r="K126" s="53" t="s">
        <v>120</v>
      </c>
      <c r="L126" s="53" t="s">
        <v>1</v>
      </c>
    </row>
    <row r="127" customFormat="false" ht="12.8" hidden="false" customHeight="false" outlineLevel="0" collapsed="false">
      <c r="A127" s="137"/>
      <c r="B127" s="152" t="s">
        <v>312</v>
      </c>
      <c r="C127" s="138" t="s">
        <v>313</v>
      </c>
      <c r="D127" s="149" t="n">
        <f aca="false">D120*D122/1000</f>
        <v>104.521640826292</v>
      </c>
      <c r="E127" s="1" t="s">
        <v>75</v>
      </c>
      <c r="G127" s="133"/>
      <c r="H127" s="133"/>
      <c r="K127" s="53" t="s">
        <v>120</v>
      </c>
      <c r="L127" s="53" t="s">
        <v>1</v>
      </c>
    </row>
    <row r="128" customFormat="false" ht="12.8" hidden="false" customHeight="false" outlineLevel="0" collapsed="false">
      <c r="A128" s="137"/>
      <c r="B128" s="148" t="s">
        <v>312</v>
      </c>
      <c r="C128" s="138" t="s">
        <v>314</v>
      </c>
      <c r="D128" s="127" t="n">
        <f aca="false">D127*1000/D7</f>
        <v>13.9028519322017</v>
      </c>
      <c r="E128" s="1" t="s">
        <v>315</v>
      </c>
      <c r="G128" s="133"/>
      <c r="H128" s="133"/>
      <c r="K128" s="53" t="s">
        <v>120</v>
      </c>
      <c r="L128" s="53" t="s">
        <v>1</v>
      </c>
    </row>
    <row r="129" customFormat="false" ht="12.8" hidden="false" customHeight="false" outlineLevel="0" collapsed="false">
      <c r="A129" s="137"/>
      <c r="B129" s="148" t="s">
        <v>312</v>
      </c>
      <c r="C129" s="138" t="s">
        <v>316</v>
      </c>
      <c r="D129" s="141" t="n">
        <f aca="false">u!I25*D122</f>
        <v>79.4477911522569</v>
      </c>
      <c r="E129" s="1" t="s">
        <v>310</v>
      </c>
      <c r="G129" s="133"/>
      <c r="H129" s="133"/>
      <c r="K129" s="53" t="s">
        <v>120</v>
      </c>
      <c r="L129" s="53" t="s">
        <v>1</v>
      </c>
    </row>
    <row r="130" customFormat="false" ht="12.8" hidden="false" customHeight="false" outlineLevel="0" collapsed="false">
      <c r="A130" s="137"/>
      <c r="B130" s="148" t="s">
        <v>312</v>
      </c>
      <c r="C130" s="138" t="s">
        <v>317</v>
      </c>
      <c r="D130" s="127" t="n">
        <f aca="false">u!I18*D122</f>
        <v>276.65327736092</v>
      </c>
      <c r="E130" s="1" t="s">
        <v>310</v>
      </c>
      <c r="G130" s="133"/>
      <c r="H130" s="133"/>
      <c r="K130" s="53" t="s">
        <v>120</v>
      </c>
      <c r="L130" s="53" t="s">
        <v>1</v>
      </c>
    </row>
    <row r="131" customFormat="false" ht="12.8" hidden="false" customHeight="false" outlineLevel="0" collapsed="false">
      <c r="A131" s="137"/>
      <c r="B131" s="148" t="s">
        <v>312</v>
      </c>
      <c r="C131" s="138" t="s">
        <v>318</v>
      </c>
      <c r="D131" s="122" t="n">
        <f aca="false">u!L25*D122</f>
        <v>2851506.75932736</v>
      </c>
      <c r="E131" s="1" t="s">
        <v>107</v>
      </c>
      <c r="G131" s="133"/>
      <c r="H131" s="133"/>
      <c r="K131" s="53" t="s">
        <v>120</v>
      </c>
      <c r="L131" s="53" t="s">
        <v>1</v>
      </c>
    </row>
    <row r="132" customFormat="false" ht="12.8" hidden="false" customHeight="false" outlineLevel="0" collapsed="false">
      <c r="A132" s="137"/>
      <c r="B132" s="2"/>
      <c r="C132" s="138"/>
      <c r="G132" s="133"/>
      <c r="H132" s="133"/>
      <c r="K132" s="53" t="s">
        <v>120</v>
      </c>
      <c r="L132" s="53" t="s">
        <v>1</v>
      </c>
    </row>
    <row r="133" customFormat="false" ht="12.8" hidden="false" customHeight="false" outlineLevel="0" collapsed="false">
      <c r="A133" s="137"/>
      <c r="B133" s="152" t="s">
        <v>319</v>
      </c>
      <c r="C133" s="138" t="s">
        <v>320</v>
      </c>
      <c r="D133" s="122" t="n">
        <f aca="false">h!E32/1000</f>
        <v>27.67</v>
      </c>
      <c r="E133" s="1" t="s">
        <v>75</v>
      </c>
      <c r="G133" s="133"/>
      <c r="H133" s="133"/>
      <c r="K133" s="53" t="s">
        <v>120</v>
      </c>
      <c r="L133" s="53" t="s">
        <v>1</v>
      </c>
    </row>
    <row r="134" customFormat="false" ht="12.8" hidden="false" customHeight="false" outlineLevel="0" collapsed="false">
      <c r="A134" s="137"/>
      <c r="B134" s="148" t="s">
        <v>319</v>
      </c>
      <c r="C134" s="138" t="s">
        <v>321</v>
      </c>
      <c r="D134" s="127" t="n">
        <f aca="false">h!E32/D7</f>
        <v>3.6805001330141</v>
      </c>
      <c r="E134" s="1" t="s">
        <v>315</v>
      </c>
      <c r="G134" s="133"/>
      <c r="H134" s="133"/>
      <c r="K134" s="53" t="s">
        <v>120</v>
      </c>
      <c r="L134" s="53" t="s">
        <v>1</v>
      </c>
    </row>
    <row r="135" customFormat="false" ht="12.8" hidden="false" customHeight="false" outlineLevel="0" collapsed="false">
      <c r="A135" s="137"/>
      <c r="B135" s="148" t="s">
        <v>319</v>
      </c>
      <c r="C135" s="138" t="s">
        <v>322</v>
      </c>
      <c r="D135" s="127" t="n">
        <f aca="false">h!K32</f>
        <v>91.2852661294032</v>
      </c>
      <c r="E135" s="1" t="s">
        <v>310</v>
      </c>
      <c r="G135" s="133"/>
      <c r="H135" s="133"/>
      <c r="K135" s="53" t="s">
        <v>120</v>
      </c>
      <c r="L135" s="53" t="s">
        <v>1</v>
      </c>
    </row>
    <row r="136" customFormat="false" ht="12.8" hidden="false" customHeight="false" outlineLevel="0" collapsed="false">
      <c r="A136" s="137"/>
      <c r="B136" s="148" t="s">
        <v>319</v>
      </c>
      <c r="C136" s="138" t="s">
        <v>323</v>
      </c>
      <c r="D136" s="127" t="n">
        <f aca="false">h!L32</f>
        <v>690.888992440823</v>
      </c>
      <c r="E136" s="1" t="s">
        <v>310</v>
      </c>
      <c r="G136" s="133"/>
      <c r="H136" s="133"/>
      <c r="K136" s="53" t="s">
        <v>120</v>
      </c>
      <c r="L136" s="53" t="s">
        <v>1</v>
      </c>
    </row>
    <row r="137" customFormat="false" ht="12.8" hidden="false" customHeight="false" outlineLevel="0" collapsed="false">
      <c r="A137" s="137"/>
      <c r="B137" s="148" t="s">
        <v>319</v>
      </c>
      <c r="C137" s="138" t="s">
        <v>324</v>
      </c>
      <c r="D137" s="122" t="n">
        <f aca="false">h!Q32</f>
        <v>2014358.5662973</v>
      </c>
      <c r="E137" s="1" t="s">
        <v>107</v>
      </c>
      <c r="G137" s="133"/>
      <c r="H137" s="133"/>
      <c r="K137" s="53" t="s">
        <v>120</v>
      </c>
      <c r="L137" s="53" t="s">
        <v>1</v>
      </c>
    </row>
    <row r="138" customFormat="false" ht="12.8" hidden="false" customHeight="false" outlineLevel="0" collapsed="false">
      <c r="A138" s="137"/>
      <c r="B138" s="152"/>
      <c r="C138" s="138"/>
      <c r="G138" s="133"/>
      <c r="H138" s="133"/>
      <c r="K138" s="53" t="s">
        <v>120</v>
      </c>
      <c r="L138" s="53" t="s">
        <v>1</v>
      </c>
    </row>
    <row r="139" customFormat="false" ht="12.8" hidden="false" customHeight="false" outlineLevel="0" collapsed="false">
      <c r="A139" s="137"/>
      <c r="B139" s="152" t="s">
        <v>325</v>
      </c>
      <c r="C139" s="138" t="s">
        <v>326</v>
      </c>
      <c r="D139" s="122" t="n">
        <f aca="false">D129+D135</f>
        <v>170.73305728166</v>
      </c>
      <c r="E139" s="1" t="s">
        <v>310</v>
      </c>
      <c r="G139" s="133"/>
      <c r="H139" s="133"/>
      <c r="K139" s="53" t="s">
        <v>120</v>
      </c>
      <c r="L139" s="53" t="s">
        <v>1</v>
      </c>
    </row>
    <row r="140" customFormat="false" ht="12.8" hidden="false" customHeight="false" outlineLevel="0" collapsed="false">
      <c r="A140" s="137"/>
      <c r="B140" s="148" t="s">
        <v>325</v>
      </c>
      <c r="C140" s="138" t="s">
        <v>327</v>
      </c>
      <c r="D140" s="122" t="n">
        <f aca="false">D130+D136</f>
        <v>967.542269801743</v>
      </c>
      <c r="E140" s="1" t="s">
        <v>310</v>
      </c>
      <c r="G140" s="133"/>
      <c r="H140" s="133"/>
      <c r="K140" s="53" t="s">
        <v>120</v>
      </c>
      <c r="L140" s="53" t="s">
        <v>1</v>
      </c>
    </row>
    <row r="141" customFormat="false" ht="12.8" hidden="false" customHeight="false" outlineLevel="0" collapsed="false">
      <c r="A141" s="137"/>
      <c r="B141" s="148" t="s">
        <v>325</v>
      </c>
      <c r="C141" s="138" t="s">
        <v>328</v>
      </c>
      <c r="D141" s="122" t="n">
        <f aca="false">D139/D7*1000</f>
        <v>22.7099038682708</v>
      </c>
      <c r="E141" s="1" t="s">
        <v>329</v>
      </c>
      <c r="G141" s="133"/>
      <c r="H141" s="133"/>
      <c r="K141" s="53" t="s">
        <v>120</v>
      </c>
      <c r="L141" s="53" t="s">
        <v>1</v>
      </c>
    </row>
    <row r="142" customFormat="false" ht="12.8" hidden="false" customHeight="false" outlineLevel="0" collapsed="false">
      <c r="A142" s="137"/>
      <c r="B142" s="148" t="s">
        <v>325</v>
      </c>
      <c r="C142" s="138" t="s">
        <v>330</v>
      </c>
      <c r="D142" s="122" t="n">
        <f aca="false">D140/D7*1000</f>
        <v>128.696763740588</v>
      </c>
      <c r="E142" s="1" t="s">
        <v>329</v>
      </c>
      <c r="G142" s="133"/>
      <c r="H142" s="133"/>
      <c r="K142" s="53" t="s">
        <v>120</v>
      </c>
      <c r="L142" s="53" t="s">
        <v>1</v>
      </c>
    </row>
    <row r="143" customFormat="false" ht="12.8" hidden="false" customHeight="false" outlineLevel="0" collapsed="false">
      <c r="A143" s="137"/>
      <c r="B143" s="148" t="s">
        <v>325</v>
      </c>
      <c r="C143" s="138" t="s">
        <v>331</v>
      </c>
      <c r="D143" s="122" t="n">
        <f aca="false">D139*24*180</f>
        <v>737566.807456772</v>
      </c>
      <c r="E143" s="1" t="s">
        <v>107</v>
      </c>
      <c r="G143" s="133"/>
      <c r="H143" s="133"/>
      <c r="K143" s="53" t="s">
        <v>120</v>
      </c>
      <c r="L143" s="53" t="s">
        <v>1</v>
      </c>
    </row>
    <row r="144" customFormat="false" ht="12.8" hidden="false" customHeight="false" outlineLevel="0" collapsed="false">
      <c r="A144" s="137"/>
      <c r="B144" s="148" t="s">
        <v>325</v>
      </c>
      <c r="C144" s="138" t="s">
        <v>332</v>
      </c>
      <c r="D144" s="122" t="n">
        <f aca="false">D143/D7</f>
        <v>98.10678471093</v>
      </c>
      <c r="E144" s="1" t="s">
        <v>139</v>
      </c>
      <c r="G144" s="133"/>
      <c r="H144" s="133"/>
      <c r="K144" s="53" t="s">
        <v>120</v>
      </c>
      <c r="L144" s="53" t="s">
        <v>1</v>
      </c>
    </row>
    <row r="145" customFormat="false" ht="12.8" hidden="false" customHeight="false" outlineLevel="0" collapsed="false">
      <c r="A145" s="137"/>
      <c r="B145" s="148" t="s">
        <v>325</v>
      </c>
      <c r="C145" s="138" t="s">
        <v>333</v>
      </c>
      <c r="D145" s="122" t="n">
        <f aca="false">D131+D137</f>
        <v>4865865.32562466</v>
      </c>
      <c r="E145" s="1" t="s">
        <v>107</v>
      </c>
      <c r="G145" s="133"/>
      <c r="H145" s="133"/>
      <c r="K145" s="53" t="s">
        <v>120</v>
      </c>
      <c r="L145" s="53" t="s">
        <v>1</v>
      </c>
    </row>
    <row r="146" customFormat="false" ht="12.8" hidden="false" customHeight="false" outlineLevel="0" collapsed="false">
      <c r="A146" s="137"/>
      <c r="B146" s="148" t="s">
        <v>325</v>
      </c>
      <c r="C146" s="138" t="s">
        <v>334</v>
      </c>
      <c r="D146" s="122" t="n">
        <f aca="false">D145/D7</f>
        <v>647.228694549701</v>
      </c>
      <c r="E146" s="1" t="s">
        <v>139</v>
      </c>
      <c r="G146" s="133"/>
      <c r="H146" s="133"/>
      <c r="K146" s="53" t="s">
        <v>120</v>
      </c>
      <c r="L146" s="53" t="s">
        <v>1</v>
      </c>
    </row>
    <row r="147" customFormat="false" ht="12.8" hidden="false" customHeight="false" outlineLevel="0" collapsed="false">
      <c r="A147" s="137"/>
      <c r="B147" s="148" t="s">
        <v>325</v>
      </c>
      <c r="C147" s="138" t="s">
        <v>335</v>
      </c>
      <c r="D147" s="139" t="n">
        <f aca="false">D145/(E3*D32/(1-D23/100))*100</f>
        <v>9.97462931681032</v>
      </c>
      <c r="E147" s="1" t="s">
        <v>27</v>
      </c>
      <c r="G147" s="133" t="s">
        <v>336</v>
      </c>
      <c r="H147" s="133"/>
      <c r="K147" s="53" t="s">
        <v>120</v>
      </c>
      <c r="L147" s="53" t="s">
        <v>1</v>
      </c>
    </row>
    <row r="148" customFormat="false" ht="12.8" hidden="false" customHeight="false" outlineLevel="0" collapsed="false">
      <c r="A148" s="137"/>
      <c r="B148" s="148" t="s">
        <v>325</v>
      </c>
      <c r="C148" s="138"/>
      <c r="G148" s="133"/>
      <c r="H148" s="133"/>
      <c r="K148" s="53" t="s">
        <v>120</v>
      </c>
      <c r="L148" s="53" t="s">
        <v>1</v>
      </c>
    </row>
    <row r="149" customFormat="false" ht="12.8" hidden="false" customHeight="false" outlineLevel="0" collapsed="false">
      <c r="A149" s="137"/>
      <c r="B149" s="148" t="s">
        <v>325</v>
      </c>
      <c r="C149" s="138" t="s">
        <v>337</v>
      </c>
      <c r="D149" s="122" t="n">
        <f aca="false">D143*1.3</f>
        <v>958836.849693803</v>
      </c>
      <c r="E149" s="1" t="s">
        <v>107</v>
      </c>
      <c r="G149" s="133"/>
      <c r="H149" s="133"/>
      <c r="K149" s="53" t="s">
        <v>120</v>
      </c>
      <c r="L149" s="53" t="s">
        <v>1</v>
      </c>
    </row>
    <row r="150" customFormat="false" ht="12.8" hidden="false" customHeight="false" outlineLevel="0" collapsed="false">
      <c r="A150" s="137"/>
      <c r="B150" s="148" t="s">
        <v>325</v>
      </c>
      <c r="C150" s="138" t="s">
        <v>338</v>
      </c>
      <c r="D150" s="122" t="n">
        <f aca="false">D149/D7</f>
        <v>127.538820124209</v>
      </c>
      <c r="E150" s="1" t="s">
        <v>139</v>
      </c>
      <c r="G150" s="133"/>
      <c r="H150" s="133"/>
      <c r="K150" s="53" t="s">
        <v>120</v>
      </c>
      <c r="L150" s="53" t="s">
        <v>1</v>
      </c>
    </row>
    <row r="151" customFormat="false" ht="12.8" hidden="false" customHeight="false" outlineLevel="0" collapsed="false">
      <c r="A151" s="137"/>
      <c r="B151" s="148" t="s">
        <v>325</v>
      </c>
      <c r="C151" s="138" t="s">
        <v>339</v>
      </c>
      <c r="D151" s="139" t="n">
        <f aca="false">D149/D98*100</f>
        <v>1.69031141305754</v>
      </c>
      <c r="E151" s="1" t="s">
        <v>27</v>
      </c>
      <c r="G151" s="133"/>
      <c r="H151" s="133"/>
      <c r="K151" s="53" t="s">
        <v>120</v>
      </c>
      <c r="L151" s="53" t="s">
        <v>1</v>
      </c>
    </row>
    <row r="152" customFormat="false" ht="12.8" hidden="false" customHeight="false" outlineLevel="0" collapsed="false">
      <c r="A152" s="14"/>
      <c r="B152" s="1" t="s">
        <v>340</v>
      </c>
      <c r="D152" s="122"/>
      <c r="F152" s="1"/>
      <c r="G152" s="51"/>
      <c r="K152" s="53" t="s">
        <v>120</v>
      </c>
      <c r="L152" s="53" t="s">
        <v>1</v>
      </c>
    </row>
    <row r="153" customFormat="false" ht="12.8" hidden="false" customHeight="false" outlineLevel="0" collapsed="false">
      <c r="A153" s="14"/>
      <c r="B153" s="1" t="s">
        <v>1</v>
      </c>
      <c r="C153" s="51" t="s">
        <v>341</v>
      </c>
      <c r="D153" s="122" t="n">
        <f aca="false">D114</f>
        <v>6976509.45724193</v>
      </c>
      <c r="E153" s="1" t="s">
        <v>107</v>
      </c>
      <c r="F153" s="1"/>
      <c r="G153" s="51"/>
      <c r="K153" s="53" t="s">
        <v>120</v>
      </c>
      <c r="L153" s="53" t="s">
        <v>1</v>
      </c>
    </row>
    <row r="154" customFormat="false" ht="12.8" hidden="false" customHeight="false" outlineLevel="0" collapsed="false">
      <c r="A154" s="14"/>
      <c r="B154" s="1" t="s">
        <v>1</v>
      </c>
      <c r="C154" s="51" t="s">
        <v>333</v>
      </c>
      <c r="D154" s="122" t="n">
        <f aca="false">D145</f>
        <v>4865865.32562466</v>
      </c>
      <c r="E154" s="1" t="s">
        <v>107</v>
      </c>
      <c r="F154" s="1"/>
      <c r="G154" s="51" t="s">
        <v>1</v>
      </c>
      <c r="K154" s="53" t="s">
        <v>120</v>
      </c>
      <c r="L154" s="53" t="s">
        <v>1</v>
      </c>
    </row>
    <row r="155" customFormat="false" ht="12.8" hidden="false" customHeight="false" outlineLevel="0" collapsed="false">
      <c r="A155" s="153"/>
      <c r="B155" s="154" t="s">
        <v>1</v>
      </c>
      <c r="C155" s="155" t="s">
        <v>342</v>
      </c>
      <c r="D155" s="156" t="n">
        <f aca="false">SUM(D153:D154)</f>
        <v>11842374.7828666</v>
      </c>
      <c r="E155" s="154" t="s">
        <v>107</v>
      </c>
      <c r="F155" s="154"/>
      <c r="G155" s="155"/>
      <c r="H155" s="155"/>
      <c r="K155" s="53" t="s">
        <v>120</v>
      </c>
      <c r="L155" s="53" t="s">
        <v>1</v>
      </c>
    </row>
    <row r="156" customFormat="false" ht="12.8" hidden="false" customHeight="false" outlineLevel="0" collapsed="false">
      <c r="A156" s="14"/>
      <c r="D156" s="122"/>
      <c r="F156" s="1"/>
      <c r="G156" s="51"/>
      <c r="K156" s="53" t="s">
        <v>120</v>
      </c>
      <c r="L156" s="53" t="s">
        <v>1</v>
      </c>
    </row>
    <row r="157" customFormat="false" ht="12.8" hidden="false" customHeight="false" outlineLevel="0" collapsed="false">
      <c r="A157" s="14"/>
      <c r="B157" s="1" t="s">
        <v>1</v>
      </c>
      <c r="C157" s="51" t="s">
        <v>341</v>
      </c>
      <c r="D157" s="139" t="n">
        <f aca="false">D153/D$98*100</f>
        <v>12.2987279458916</v>
      </c>
      <c r="E157" s="1" t="s">
        <v>27</v>
      </c>
      <c r="F157" s="1"/>
      <c r="G157" s="51"/>
      <c r="K157" s="53" t="s">
        <v>120</v>
      </c>
      <c r="L157" s="53" t="s">
        <v>1</v>
      </c>
    </row>
    <row r="158" customFormat="false" ht="12.8" hidden="false" customHeight="false" outlineLevel="0" collapsed="false">
      <c r="A158" s="14"/>
      <c r="B158" s="1" t="s">
        <v>1</v>
      </c>
      <c r="C158" s="51" t="s">
        <v>343</v>
      </c>
      <c r="D158" s="139" t="n">
        <f aca="false">D154/D$98*100</f>
        <v>8.57792198634296</v>
      </c>
      <c r="E158" s="1" t="s">
        <v>27</v>
      </c>
      <c r="F158" s="1"/>
      <c r="G158" s="51"/>
      <c r="K158" s="53" t="s">
        <v>120</v>
      </c>
      <c r="L158" s="53" t="s">
        <v>1</v>
      </c>
    </row>
    <row r="159" customFormat="false" ht="12.8" hidden="false" customHeight="false" outlineLevel="0" collapsed="false">
      <c r="A159" s="153" t="s">
        <v>1</v>
      </c>
      <c r="B159" s="154" t="s">
        <v>1</v>
      </c>
      <c r="C159" s="155" t="s">
        <v>344</v>
      </c>
      <c r="D159" s="157" t="n">
        <f aca="false">D155/D$98*100</f>
        <v>20.8766499322346</v>
      </c>
      <c r="E159" s="154" t="s">
        <v>27</v>
      </c>
      <c r="F159" s="154"/>
      <c r="G159" s="155"/>
      <c r="H159" s="155"/>
      <c r="K159" s="53" t="s">
        <v>120</v>
      </c>
      <c r="L159" s="53" t="s">
        <v>1</v>
      </c>
    </row>
    <row r="160" s="53" customFormat="true" ht="12.8" hidden="false" customHeight="false" outlineLevel="0" collapsed="false">
      <c r="A160" s="14" t="s">
        <v>345</v>
      </c>
      <c r="B160" s="1" t="s">
        <v>346</v>
      </c>
      <c r="C160" s="51"/>
      <c r="D160" s="125"/>
      <c r="E160" s="1"/>
      <c r="F160" s="1"/>
      <c r="G160" s="51"/>
      <c r="H160" s="51"/>
      <c r="K160" s="53" t="s">
        <v>120</v>
      </c>
      <c r="L160" s="53" t="s">
        <v>1</v>
      </c>
    </row>
    <row r="161" customFormat="false" ht="12.8" hidden="false" customHeight="false" outlineLevel="0" collapsed="false">
      <c r="A161" s="14"/>
      <c r="B161" s="1" t="s">
        <v>1</v>
      </c>
      <c r="C161" s="51" t="s">
        <v>347</v>
      </c>
      <c r="D161" s="158" t="n">
        <v>0.05</v>
      </c>
      <c r="E161" s="1" t="s">
        <v>348</v>
      </c>
      <c r="G161" s="51"/>
      <c r="K161" s="53" t="s">
        <v>120</v>
      </c>
      <c r="L161" s="53" t="s">
        <v>1</v>
      </c>
    </row>
    <row r="162" customFormat="false" ht="12.8" hidden="false" customHeight="false" outlineLevel="0" collapsed="false">
      <c r="A162" s="16" t="s">
        <v>1</v>
      </c>
      <c r="B162" s="1" t="s">
        <v>1</v>
      </c>
      <c r="C162" s="51" t="s">
        <v>349</v>
      </c>
      <c r="D162" s="158" t="n">
        <v>0.22</v>
      </c>
      <c r="E162" s="1" t="s">
        <v>348</v>
      </c>
      <c r="F162" s="1"/>
      <c r="K162" s="53" t="s">
        <v>120</v>
      </c>
      <c r="L162" s="53" t="s">
        <v>1</v>
      </c>
    </row>
    <row r="163" customFormat="false" ht="12.8" hidden="false" customHeight="false" outlineLevel="0" collapsed="false">
      <c r="A163" s="16"/>
      <c r="B163" s="1" t="s">
        <v>1</v>
      </c>
      <c r="C163" s="51" t="s">
        <v>350</v>
      </c>
      <c r="D163" s="158" t="n">
        <v>0.05</v>
      </c>
      <c r="E163" s="1" t="s">
        <v>348</v>
      </c>
      <c r="F163" s="1"/>
      <c r="K163" s="53" t="s">
        <v>120</v>
      </c>
      <c r="L163" s="53" t="s">
        <v>1</v>
      </c>
    </row>
    <row r="164" customFormat="false" ht="12.8" hidden="false" customHeight="false" outlineLevel="0" collapsed="false">
      <c r="A164" s="16"/>
      <c r="B164" s="1" t="s">
        <v>1</v>
      </c>
      <c r="C164" s="51" t="s">
        <v>351</v>
      </c>
      <c r="D164" s="126" t="n">
        <v>160</v>
      </c>
      <c r="E164" s="1" t="s">
        <v>352</v>
      </c>
      <c r="F164" s="1"/>
      <c r="G164" s="62" t="s">
        <v>353</v>
      </c>
      <c r="H164" s="51" t="s">
        <v>354</v>
      </c>
      <c r="K164" s="53" t="s">
        <v>120</v>
      </c>
      <c r="L164" s="53" t="s">
        <v>1</v>
      </c>
    </row>
    <row r="165" customFormat="false" ht="12.8" hidden="false" customHeight="false" outlineLevel="0" collapsed="false">
      <c r="A165" s="16"/>
      <c r="F165" s="1"/>
      <c r="K165" s="53" t="s">
        <v>120</v>
      </c>
      <c r="L165" s="53" t="s">
        <v>1</v>
      </c>
    </row>
    <row r="166" customFormat="false" ht="12.8" hidden="false" customHeight="false" outlineLevel="0" collapsed="false">
      <c r="A166" s="16" t="s">
        <v>1</v>
      </c>
      <c r="B166" s="1" t="s">
        <v>355</v>
      </c>
      <c r="C166" s="51" t="s">
        <v>356</v>
      </c>
      <c r="D166" s="122" t="n">
        <f aca="false">PI()/4*(D106+D62*2)^2*(D68+D67*D63)</f>
        <v>408899.266446867</v>
      </c>
      <c r="E166" s="1" t="s">
        <v>226</v>
      </c>
      <c r="G166" s="76" t="s">
        <v>1</v>
      </c>
      <c r="H166" s="133"/>
      <c r="K166" s="53" t="s">
        <v>120</v>
      </c>
      <c r="L166" s="53" t="s">
        <v>1</v>
      </c>
    </row>
    <row r="167" customFormat="false" ht="12.8" hidden="false" customHeight="false" outlineLevel="0" collapsed="false">
      <c r="A167" s="14"/>
      <c r="B167" s="159" t="s">
        <v>355</v>
      </c>
      <c r="C167" s="51" t="s">
        <v>357</v>
      </c>
      <c r="D167" s="122" t="n">
        <f aca="false">D65*D70*(1-D71/100)</f>
        <v>604892.611617722</v>
      </c>
      <c r="E167" s="1" t="s">
        <v>226</v>
      </c>
      <c r="G167" s="76" t="s">
        <v>1</v>
      </c>
      <c r="K167" s="53" t="s">
        <v>120</v>
      </c>
      <c r="L167" s="53" t="s">
        <v>1</v>
      </c>
    </row>
    <row r="168" customFormat="false" ht="12.8" hidden="false" customHeight="false" outlineLevel="0" collapsed="false">
      <c r="A168" s="14"/>
      <c r="B168" s="159" t="s">
        <v>355</v>
      </c>
      <c r="C168" s="51" t="s">
        <v>358</v>
      </c>
      <c r="D168" s="122" t="n">
        <f aca="false">PI()*D106*D105*D69</f>
        <v>3435622.30654502</v>
      </c>
      <c r="E168" s="1" t="s">
        <v>226</v>
      </c>
      <c r="F168" s="1"/>
      <c r="G168" s="76" t="s">
        <v>1</v>
      </c>
      <c r="K168" s="53" t="s">
        <v>120</v>
      </c>
      <c r="L168" s="53" t="s">
        <v>1</v>
      </c>
    </row>
    <row r="169" customFormat="false" ht="12.8" hidden="false" customHeight="false" outlineLevel="0" collapsed="false">
      <c r="A169" s="14"/>
      <c r="B169" s="159" t="s">
        <v>355</v>
      </c>
      <c r="C169" s="51" t="s">
        <v>359</v>
      </c>
      <c r="D169" s="122" t="n">
        <f aca="false">D72*D115*2</f>
        <v>1140950.60785538</v>
      </c>
      <c r="E169" s="1" t="s">
        <v>226</v>
      </c>
      <c r="F169" s="1"/>
      <c r="G169" s="76" t="s">
        <v>360</v>
      </c>
      <c r="K169" s="53" t="s">
        <v>120</v>
      </c>
      <c r="L169" s="53" t="s">
        <v>1</v>
      </c>
    </row>
    <row r="170" customFormat="false" ht="12.8" hidden="false" customHeight="false" outlineLevel="0" collapsed="false">
      <c r="A170" s="14"/>
      <c r="B170" s="159" t="s">
        <v>355</v>
      </c>
      <c r="C170" s="51" t="s">
        <v>361</v>
      </c>
      <c r="D170" s="122" t="n">
        <f aca="false">D73</f>
        <v>400000</v>
      </c>
      <c r="E170" s="1" t="s">
        <v>226</v>
      </c>
      <c r="F170" s="1" t="n">
        <f aca="false">F73</f>
        <v>50</v>
      </c>
      <c r="G170" s="76" t="s">
        <v>1</v>
      </c>
      <c r="K170" s="53" t="s">
        <v>120</v>
      </c>
      <c r="L170" s="53" t="s">
        <v>1</v>
      </c>
    </row>
    <row r="171" customFormat="false" ht="12.8" hidden="false" customHeight="false" outlineLevel="0" collapsed="false">
      <c r="A171" s="16"/>
      <c r="B171" s="159" t="s">
        <v>355</v>
      </c>
      <c r="C171" s="19" t="s">
        <v>362</v>
      </c>
      <c r="D171" s="160" t="n">
        <f aca="false">SUM(D166:D170)</f>
        <v>5990364.79246498</v>
      </c>
      <c r="E171" s="1" t="s">
        <v>226</v>
      </c>
      <c r="F171" s="161" t="n">
        <v>50</v>
      </c>
      <c r="G171" s="51"/>
      <c r="K171" s="53" t="s">
        <v>120</v>
      </c>
      <c r="L171" s="53" t="s">
        <v>1</v>
      </c>
    </row>
    <row r="172" customFormat="false" ht="12.8" hidden="false" customHeight="false" outlineLevel="0" collapsed="false">
      <c r="A172" s="14" t="s">
        <v>1</v>
      </c>
      <c r="B172" s="159" t="s">
        <v>355</v>
      </c>
      <c r="C172" s="51" t="s">
        <v>363</v>
      </c>
      <c r="D172" s="122" t="n">
        <f aca="false">D130*D80</f>
        <v>59757.1079099588</v>
      </c>
      <c r="E172" s="1" t="s">
        <v>226</v>
      </c>
      <c r="F172" s="1" t="n">
        <f aca="false">F80</f>
        <v>20</v>
      </c>
      <c r="G172" s="51"/>
      <c r="K172" s="53" t="s">
        <v>120</v>
      </c>
      <c r="L172" s="53" t="s">
        <v>1</v>
      </c>
    </row>
    <row r="173" customFormat="false" ht="12.8" hidden="false" customHeight="false" outlineLevel="0" collapsed="false">
      <c r="A173" s="14"/>
      <c r="B173" s="159" t="s">
        <v>355</v>
      </c>
      <c r="C173" s="51" t="s">
        <v>364</v>
      </c>
      <c r="D173" s="122" t="n">
        <f aca="false">D136*D80</f>
        <v>149232.022367218</v>
      </c>
      <c r="E173" s="1" t="s">
        <v>226</v>
      </c>
      <c r="F173" s="1" t="n">
        <f aca="false">F80</f>
        <v>20</v>
      </c>
      <c r="G173" s="51"/>
      <c r="K173" s="53" t="s">
        <v>120</v>
      </c>
      <c r="L173" s="53" t="s">
        <v>1</v>
      </c>
    </row>
    <row r="174" customFormat="false" ht="12.8" hidden="false" customHeight="false" outlineLevel="0" collapsed="false">
      <c r="A174" s="14"/>
      <c r="B174" s="159" t="s">
        <v>355</v>
      </c>
      <c r="C174" s="51" t="s">
        <v>151</v>
      </c>
      <c r="D174" s="122" t="n">
        <f aca="false">D89*(D41*D19/100+D42*(1-D19/100))*(1-D46/100)</f>
        <v>29382799.1957336</v>
      </c>
      <c r="E174" s="1" t="s">
        <v>226</v>
      </c>
      <c r="F174" s="48" t="n">
        <f aca="false">F41</f>
        <v>25</v>
      </c>
      <c r="G174" s="51"/>
      <c r="K174" s="53" t="s">
        <v>120</v>
      </c>
      <c r="L174" s="53" t="s">
        <v>1</v>
      </c>
    </row>
    <row r="175" customFormat="false" ht="12.8" hidden="false" customHeight="false" outlineLevel="0" collapsed="false">
      <c r="A175" s="14"/>
      <c r="B175" s="159" t="s">
        <v>355</v>
      </c>
      <c r="C175" s="51" t="s">
        <v>365</v>
      </c>
      <c r="D175" s="122" t="n">
        <f aca="false">D89*D45*(1-D46/100)</f>
        <v>28357116.2669298</v>
      </c>
      <c r="E175" s="1" t="s">
        <v>226</v>
      </c>
      <c r="F175" s="48" t="n">
        <f aca="false">F45</f>
        <v>40</v>
      </c>
      <c r="G175" s="51"/>
      <c r="K175" s="53" t="s">
        <v>120</v>
      </c>
      <c r="L175" s="53" t="s">
        <v>1</v>
      </c>
    </row>
    <row r="176" customFormat="false" ht="12.8" hidden="false" customHeight="false" outlineLevel="0" collapsed="false">
      <c r="A176" s="14"/>
      <c r="B176" s="159" t="s">
        <v>355</v>
      </c>
      <c r="C176" s="51" t="s">
        <v>366</v>
      </c>
      <c r="D176" s="122" t="n">
        <f aca="false">D48*D49*E3</f>
        <v>0</v>
      </c>
      <c r="E176" s="1" t="s">
        <v>226</v>
      </c>
      <c r="F176" s="48" t="n">
        <f aca="false">F49</f>
        <v>25</v>
      </c>
      <c r="G176" s="51"/>
      <c r="K176" s="53" t="s">
        <v>120</v>
      </c>
      <c r="L176" s="53" t="s">
        <v>1</v>
      </c>
    </row>
    <row r="177" customFormat="false" ht="12.8" hidden="false" customHeight="false" outlineLevel="0" collapsed="false">
      <c r="A177" s="14"/>
      <c r="B177" s="159" t="s">
        <v>355</v>
      </c>
      <c r="C177" s="51" t="s">
        <v>367</v>
      </c>
      <c r="D177" s="122" t="n">
        <f aca="false">D47*D93*1000000</f>
        <v>259248.902041412</v>
      </c>
      <c r="E177" s="1" t="s">
        <v>226</v>
      </c>
      <c r="F177" s="56" t="n">
        <v>100</v>
      </c>
      <c r="G177" s="51"/>
      <c r="K177" s="53" t="s">
        <v>120</v>
      </c>
      <c r="L177" s="53" t="s">
        <v>1</v>
      </c>
    </row>
    <row r="178" customFormat="false" ht="12.8" hidden="false" customHeight="false" outlineLevel="0" collapsed="false">
      <c r="A178" s="14"/>
      <c r="B178" s="159" t="s">
        <v>355</v>
      </c>
      <c r="C178" s="51" t="s">
        <v>368</v>
      </c>
      <c r="D178" s="122" t="n">
        <f aca="false">(D76*D127*1000)+D77*D117</f>
        <v>27475141.2634368</v>
      </c>
      <c r="E178" s="1" t="s">
        <v>226</v>
      </c>
      <c r="F178" s="48" t="n">
        <f aca="false">F77</f>
        <v>25</v>
      </c>
      <c r="G178" s="51"/>
      <c r="K178" s="53" t="s">
        <v>120</v>
      </c>
      <c r="L178" s="53" t="s">
        <v>1</v>
      </c>
    </row>
    <row r="179" customFormat="false" ht="12.8" hidden="false" customHeight="false" outlineLevel="0" collapsed="false">
      <c r="A179" s="14"/>
      <c r="B179" s="159" t="s">
        <v>355</v>
      </c>
      <c r="C179" s="51" t="s">
        <v>369</v>
      </c>
      <c r="D179" s="122" t="n">
        <f aca="false">D75*D133*1000</f>
        <v>13835000</v>
      </c>
      <c r="E179" s="1" t="s">
        <v>226</v>
      </c>
      <c r="F179" s="48" t="n">
        <f aca="false">F75</f>
        <v>25</v>
      </c>
      <c r="G179" s="51"/>
      <c r="K179" s="53" t="s">
        <v>120</v>
      </c>
      <c r="L179" s="53" t="s">
        <v>1</v>
      </c>
    </row>
    <row r="180" customFormat="false" ht="12.8" hidden="false" customHeight="false" outlineLevel="0" collapsed="false">
      <c r="A180" s="14" t="s">
        <v>1</v>
      </c>
      <c r="B180" s="159" t="s">
        <v>355</v>
      </c>
      <c r="C180" s="51" t="s">
        <v>370</v>
      </c>
      <c r="D180" s="122" t="n">
        <f aca="false">D86*1000000</f>
        <v>5399961.27850211</v>
      </c>
      <c r="E180" s="1" t="s">
        <v>226</v>
      </c>
      <c r="F180" s="48" t="n">
        <f aca="false">F81</f>
        <v>30</v>
      </c>
      <c r="G180" s="51"/>
      <c r="K180" s="53" t="s">
        <v>120</v>
      </c>
      <c r="L180" s="53" t="s">
        <v>1</v>
      </c>
    </row>
    <row r="181" customFormat="false" ht="12.8" hidden="false" customHeight="false" outlineLevel="0" collapsed="false">
      <c r="A181" s="16" t="s">
        <v>1</v>
      </c>
      <c r="B181" s="159" t="s">
        <v>355</v>
      </c>
      <c r="C181" s="19" t="s">
        <v>371</v>
      </c>
      <c r="D181" s="160" t="n">
        <f aca="false">SUM(171:180)/(1-D37/100)</f>
        <v>138636226.036732</v>
      </c>
      <c r="E181" s="1" t="s">
        <v>226</v>
      </c>
      <c r="F181" s="48"/>
      <c r="G181" s="51"/>
      <c r="K181" s="53" t="s">
        <v>120</v>
      </c>
      <c r="L181" s="53" t="s">
        <v>1</v>
      </c>
    </row>
    <row r="182" customFormat="false" ht="12.8" hidden="false" customHeight="false" outlineLevel="0" collapsed="false">
      <c r="A182" s="16" t="s">
        <v>1</v>
      </c>
      <c r="D182" s="122"/>
      <c r="F182" s="48"/>
      <c r="G182" s="51"/>
      <c r="K182" s="53" t="s">
        <v>120</v>
      </c>
      <c r="L182" s="53" t="s">
        <v>1</v>
      </c>
    </row>
    <row r="183" customFormat="false" ht="12.8" hidden="false" customHeight="false" outlineLevel="0" collapsed="false">
      <c r="A183" s="16"/>
      <c r="B183" s="1" t="s">
        <v>372</v>
      </c>
      <c r="C183" s="51" t="s">
        <v>373</v>
      </c>
      <c r="D183" s="122" t="n">
        <f aca="false">D149*D162</f>
        <v>210944.106932637</v>
      </c>
      <c r="E183" s="1" t="s">
        <v>374</v>
      </c>
      <c r="F183" s="1" t="s">
        <v>1</v>
      </c>
      <c r="G183" s="51"/>
      <c r="K183" s="53" t="s">
        <v>120</v>
      </c>
      <c r="L183" s="53" t="s">
        <v>1</v>
      </c>
    </row>
    <row r="184" customFormat="false" ht="12.8" hidden="false" customHeight="false" outlineLevel="0" collapsed="false">
      <c r="A184" s="16"/>
      <c r="B184" s="159" t="s">
        <v>372</v>
      </c>
      <c r="C184" s="51" t="s">
        <v>375</v>
      </c>
      <c r="D184" s="122" t="n">
        <f aca="false">(D100-D98)*(100/(100-D84))*D161</f>
        <v>2556194.68804834</v>
      </c>
      <c r="E184" s="1" t="s">
        <v>374</v>
      </c>
      <c r="F184" s="48" t="s">
        <v>1</v>
      </c>
      <c r="G184" s="51"/>
      <c r="K184" s="53" t="s">
        <v>120</v>
      </c>
      <c r="L184" s="53" t="s">
        <v>1</v>
      </c>
    </row>
    <row r="185" customFormat="false" ht="12.8" hidden="false" customHeight="false" outlineLevel="0" collapsed="false">
      <c r="A185" s="16"/>
      <c r="B185" s="159" t="s">
        <v>372</v>
      </c>
      <c r="C185" s="51" t="s">
        <v>376</v>
      </c>
      <c r="D185" s="122" t="n">
        <f aca="false">-(D100-D98)*(D84/(100-D84))*D163</f>
        <v>-996915.928338852</v>
      </c>
      <c r="E185" s="1" t="s">
        <v>374</v>
      </c>
      <c r="F185" s="48" t="s">
        <v>1</v>
      </c>
      <c r="G185" s="51" t="s">
        <v>377</v>
      </c>
      <c r="K185" s="53" t="s">
        <v>120</v>
      </c>
      <c r="L185" s="53" t="s">
        <v>1</v>
      </c>
    </row>
    <row r="186" customFormat="false" ht="12.8" hidden="false" customHeight="false" outlineLevel="0" collapsed="false">
      <c r="A186" s="16"/>
      <c r="B186" s="159" t="s">
        <v>372</v>
      </c>
      <c r="C186" s="51" t="s">
        <v>378</v>
      </c>
      <c r="D186" s="122" t="n">
        <f aca="false">D87*D78</f>
        <v>18051.0726851852</v>
      </c>
      <c r="E186" s="1" t="s">
        <v>374</v>
      </c>
      <c r="F186" s="1" t="s">
        <v>1</v>
      </c>
      <c r="G186" s="51" t="s">
        <v>1</v>
      </c>
      <c r="K186" s="53" t="s">
        <v>120</v>
      </c>
      <c r="L186" s="53" t="s">
        <v>1</v>
      </c>
    </row>
    <row r="187" customFormat="false" ht="12.8" hidden="false" customHeight="false" outlineLevel="0" collapsed="false">
      <c r="A187" s="16" t="s">
        <v>1</v>
      </c>
      <c r="B187" s="159" t="s">
        <v>372</v>
      </c>
      <c r="C187" s="51" t="s">
        <v>379</v>
      </c>
      <c r="D187" s="122" t="n">
        <f aca="false">D164/1.97*E3</f>
        <v>610598.984771574</v>
      </c>
      <c r="E187" s="1" t="s">
        <v>374</v>
      </c>
      <c r="F187" s="1"/>
      <c r="G187" s="53" t="s">
        <v>380</v>
      </c>
      <c r="H187" s="162"/>
      <c r="K187" s="53" t="s">
        <v>120</v>
      </c>
      <c r="L187" s="53" t="s">
        <v>1</v>
      </c>
    </row>
    <row r="188" customFormat="false" ht="12.8" hidden="false" customHeight="false" outlineLevel="0" collapsed="false">
      <c r="A188" s="16"/>
      <c r="D188" s="122" t="s">
        <v>1</v>
      </c>
      <c r="F188" s="1"/>
      <c r="G188" s="108"/>
      <c r="K188" s="53" t="s">
        <v>120</v>
      </c>
      <c r="L188" s="53" t="s">
        <v>1</v>
      </c>
    </row>
    <row r="189" customFormat="false" ht="13.7" hidden="false" customHeight="true" outlineLevel="0" collapsed="false">
      <c r="A189" s="16"/>
      <c r="B189" s="61" t="s">
        <v>381</v>
      </c>
      <c r="C189" s="51" t="s">
        <v>362</v>
      </c>
      <c r="D189" s="127" t="n">
        <f aca="false">D171/F171/E$3</f>
        <v>15.9360595702713</v>
      </c>
      <c r="E189" s="1" t="s">
        <v>51</v>
      </c>
      <c r="F189" s="1" t="s">
        <v>382</v>
      </c>
      <c r="G189" s="163" t="n">
        <f aca="false">D189/D$210</f>
        <v>0.0218967598214096</v>
      </c>
      <c r="H189" s="51" t="s">
        <v>383</v>
      </c>
      <c r="K189" s="53" t="s">
        <v>120</v>
      </c>
      <c r="L189" s="53" t="s">
        <v>1</v>
      </c>
    </row>
    <row r="190" customFormat="false" ht="12.8" hidden="false" customHeight="false" outlineLevel="0" collapsed="false">
      <c r="A190" s="16"/>
      <c r="B190" s="164" t="s">
        <v>381</v>
      </c>
      <c r="C190" s="51" t="s">
        <v>363</v>
      </c>
      <c r="D190" s="127" t="n">
        <f aca="false">D172/F172/E$3</f>
        <v>0.39742689485208</v>
      </c>
      <c r="E190" s="1" t="s">
        <v>51</v>
      </c>
      <c r="F190" s="1" t="s">
        <v>382</v>
      </c>
      <c r="G190" s="163" t="n">
        <f aca="false">D190/D$210</f>
        <v>0.00054607986527478</v>
      </c>
      <c r="H190" s="51" t="s">
        <v>383</v>
      </c>
      <c r="K190" s="53" t="s">
        <v>120</v>
      </c>
      <c r="L190" s="53" t="s">
        <v>1</v>
      </c>
    </row>
    <row r="191" customFormat="false" ht="12.8" hidden="false" customHeight="false" outlineLevel="0" collapsed="false">
      <c r="A191" s="16"/>
      <c r="B191" s="164" t="s">
        <v>381</v>
      </c>
      <c r="C191" s="51" t="s">
        <v>364</v>
      </c>
      <c r="D191" s="127" t="n">
        <f aca="false">D173/F173/E$3</f>
        <v>0.992498153546276</v>
      </c>
      <c r="E191" s="1" t="s">
        <v>51</v>
      </c>
      <c r="F191" s="1" t="s">
        <v>382</v>
      </c>
      <c r="G191" s="163" t="n">
        <f aca="false">D191/D$210</f>
        <v>0.00136373070115383</v>
      </c>
      <c r="H191" s="51" t="s">
        <v>383</v>
      </c>
      <c r="K191" s="53" t="s">
        <v>120</v>
      </c>
      <c r="L191" s="53" t="s">
        <v>1</v>
      </c>
    </row>
    <row r="192" customFormat="false" ht="12.8" hidden="false" customHeight="false" outlineLevel="0" collapsed="false">
      <c r="A192" s="16"/>
      <c r="B192" s="164" t="s">
        <v>381</v>
      </c>
      <c r="C192" s="51" t="s">
        <v>151</v>
      </c>
      <c r="D192" s="127" t="n">
        <f aca="false">D174/F174/E$3</f>
        <v>156.333063025983</v>
      </c>
      <c r="E192" s="1" t="s">
        <v>51</v>
      </c>
      <c r="F192" s="1" t="s">
        <v>382</v>
      </c>
      <c r="G192" s="163" t="n">
        <f aca="false">D192/D$210</f>
        <v>0.214807651673893</v>
      </c>
      <c r="H192" s="51" t="s">
        <v>383</v>
      </c>
      <c r="K192" s="53" t="s">
        <v>120</v>
      </c>
      <c r="L192" s="53" t="s">
        <v>1</v>
      </c>
    </row>
    <row r="193" customFormat="false" ht="12.8" hidden="false" customHeight="false" outlineLevel="0" collapsed="false">
      <c r="A193" s="16"/>
      <c r="B193" s="164" t="s">
        <v>381</v>
      </c>
      <c r="C193" s="51" t="s">
        <v>365</v>
      </c>
      <c r="D193" s="127" t="n">
        <f aca="false">D175/F175/E$3</f>
        <v>94.2974071126955</v>
      </c>
      <c r="E193" s="1" t="s">
        <v>51</v>
      </c>
      <c r="F193" s="1" t="s">
        <v>382</v>
      </c>
      <c r="G193" s="163" t="n">
        <f aca="false">D193/D$210</f>
        <v>0.129568270388514</v>
      </c>
      <c r="H193" s="51" t="s">
        <v>383</v>
      </c>
      <c r="K193" s="53" t="s">
        <v>120</v>
      </c>
      <c r="L193" s="53" t="s">
        <v>1</v>
      </c>
    </row>
    <row r="194" customFormat="false" ht="12.8" hidden="false" customHeight="false" outlineLevel="0" collapsed="false">
      <c r="A194" s="16"/>
      <c r="B194" s="164" t="s">
        <v>381</v>
      </c>
      <c r="C194" s="51" t="s">
        <v>366</v>
      </c>
      <c r="D194" s="127" t="n">
        <f aca="false">D176/F176/E$3</f>
        <v>0</v>
      </c>
      <c r="E194" s="1" t="s">
        <v>51</v>
      </c>
      <c r="F194" s="1" t="s">
        <v>382</v>
      </c>
      <c r="G194" s="163" t="n">
        <f aca="false">D194/D$210</f>
        <v>0</v>
      </c>
      <c r="H194" s="51" t="s">
        <v>383</v>
      </c>
      <c r="K194" s="53" t="s">
        <v>120</v>
      </c>
      <c r="L194" s="53" t="s">
        <v>1</v>
      </c>
    </row>
    <row r="195" customFormat="false" ht="12.8" hidden="false" customHeight="false" outlineLevel="0" collapsed="false">
      <c r="A195" s="16"/>
      <c r="B195" s="164" t="s">
        <v>381</v>
      </c>
      <c r="C195" s="51" t="s">
        <v>367</v>
      </c>
      <c r="D195" s="127" t="n">
        <f aca="false">D177/F177/E$3</f>
        <v>0.344837592499883</v>
      </c>
      <c r="E195" s="1" t="s">
        <v>51</v>
      </c>
      <c r="F195" s="1" t="s">
        <v>382</v>
      </c>
      <c r="G195" s="163" t="n">
        <f aca="false">D195/D$210</f>
        <v>0.000473820137723952</v>
      </c>
      <c r="H195" s="51" t="s">
        <v>383</v>
      </c>
      <c r="K195" s="53" t="s">
        <v>120</v>
      </c>
      <c r="L195" s="53" t="s">
        <v>1</v>
      </c>
    </row>
    <row r="196" customFormat="false" ht="12.8" hidden="false" customHeight="false" outlineLevel="0" collapsed="false">
      <c r="A196" s="16"/>
      <c r="B196" s="164" t="s">
        <v>381</v>
      </c>
      <c r="C196" s="51" t="s">
        <v>368</v>
      </c>
      <c r="D196" s="127" t="n">
        <f aca="false">D178/F178/E$3</f>
        <v>146.18324694566</v>
      </c>
      <c r="E196" s="1" t="s">
        <v>51</v>
      </c>
      <c r="F196" s="1" t="s">
        <v>382</v>
      </c>
      <c r="G196" s="163" t="n">
        <f aca="false">D196/D$210</f>
        <v>0.200861413335469</v>
      </c>
      <c r="H196" s="51" t="s">
        <v>383</v>
      </c>
      <c r="K196" s="53" t="s">
        <v>120</v>
      </c>
      <c r="L196" s="53" t="s">
        <v>1</v>
      </c>
    </row>
    <row r="197" customFormat="false" ht="12.8" hidden="false" customHeight="false" outlineLevel="0" collapsed="false">
      <c r="A197" s="16"/>
      <c r="B197" s="164" t="s">
        <v>381</v>
      </c>
      <c r="C197" s="51" t="s">
        <v>369</v>
      </c>
      <c r="D197" s="127" t="n">
        <f aca="false">D179/F179/E$3</f>
        <v>73.610002660282</v>
      </c>
      <c r="E197" s="1" t="s">
        <v>51</v>
      </c>
      <c r="F197" s="1" t="s">
        <v>382</v>
      </c>
      <c r="G197" s="163" t="n">
        <f aca="false">D197/D$210</f>
        <v>0.101142979642996</v>
      </c>
      <c r="H197" s="51" t="s">
        <v>383</v>
      </c>
      <c r="K197" s="53" t="s">
        <v>120</v>
      </c>
      <c r="L197" s="53" t="s">
        <v>1</v>
      </c>
    </row>
    <row r="198" customFormat="false" ht="12.8" hidden="false" customHeight="false" outlineLevel="0" collapsed="false">
      <c r="A198" s="16" t="s">
        <v>1</v>
      </c>
      <c r="B198" s="164" t="s">
        <v>381</v>
      </c>
      <c r="C198" s="51" t="s">
        <v>370</v>
      </c>
      <c r="D198" s="127" t="n">
        <f aca="false">D180/F180/E$3</f>
        <v>23.9423662255126</v>
      </c>
      <c r="E198" s="1" t="s">
        <v>51</v>
      </c>
      <c r="F198" s="1" t="s">
        <v>382</v>
      </c>
      <c r="G198" s="163" t="n">
        <f aca="false">D198/D$210</f>
        <v>0.0328977336263404</v>
      </c>
      <c r="H198" s="51" t="s">
        <v>383</v>
      </c>
      <c r="K198" s="53" t="s">
        <v>120</v>
      </c>
      <c r="L198" s="53" t="s">
        <v>1</v>
      </c>
    </row>
    <row r="199" customFormat="false" ht="12.8" hidden="false" customHeight="false" outlineLevel="0" collapsed="false">
      <c r="A199" s="165"/>
      <c r="B199" s="154" t="s">
        <v>1</v>
      </c>
      <c r="C199" s="166" t="s">
        <v>384</v>
      </c>
      <c r="D199" s="167" t="n">
        <f aca="false">SUM(D189:D198)</f>
        <v>512.036908181304</v>
      </c>
      <c r="E199" s="165" t="s">
        <v>51</v>
      </c>
      <c r="F199" s="165" t="s">
        <v>1</v>
      </c>
      <c r="G199" s="168" t="s">
        <v>385</v>
      </c>
      <c r="H199" s="155"/>
      <c r="K199" s="53" t="s">
        <v>120</v>
      </c>
      <c r="L199" s="53" t="s">
        <v>1</v>
      </c>
    </row>
    <row r="200" customFormat="false" ht="12.8" hidden="false" customHeight="false" outlineLevel="0" collapsed="false">
      <c r="A200" s="165"/>
      <c r="B200" s="154" t="s">
        <v>1</v>
      </c>
      <c r="C200" s="166" t="s">
        <v>371</v>
      </c>
      <c r="D200" s="167" t="n">
        <f aca="false">D199/(1-D37/100)</f>
        <v>640.046135226629</v>
      </c>
      <c r="E200" s="165" t="s">
        <v>51</v>
      </c>
      <c r="F200" s="165"/>
      <c r="G200" s="166" t="s">
        <v>385</v>
      </c>
      <c r="H200" s="155"/>
      <c r="K200" s="53" t="s">
        <v>120</v>
      </c>
      <c r="L200" s="53" t="s">
        <v>1</v>
      </c>
    </row>
    <row r="201" customFormat="false" ht="12.8" hidden="false" customHeight="false" outlineLevel="0" collapsed="false">
      <c r="A201" s="14"/>
      <c r="D201" s="122"/>
      <c r="F201" s="1"/>
      <c r="G201" s="51"/>
      <c r="K201" s="53" t="s">
        <v>120</v>
      </c>
      <c r="L201" s="53" t="s">
        <v>1</v>
      </c>
    </row>
    <row r="202" customFormat="false" ht="12.8" hidden="false" customHeight="false" outlineLevel="0" collapsed="false">
      <c r="A202" s="1"/>
      <c r="B202" s="1" t="s">
        <v>372</v>
      </c>
      <c r="C202" s="51" t="s">
        <v>373</v>
      </c>
      <c r="D202" s="122" t="n">
        <f aca="false">D183/E$3</f>
        <v>28.058540427326</v>
      </c>
      <c r="E202" s="1" t="s">
        <v>51</v>
      </c>
      <c r="K202" s="53" t="s">
        <v>120</v>
      </c>
      <c r="L202" s="53" t="s">
        <v>1</v>
      </c>
    </row>
    <row r="203" customFormat="false" ht="12.8" hidden="false" customHeight="false" outlineLevel="0" collapsed="false">
      <c r="A203" s="1"/>
      <c r="B203" s="169" t="s">
        <v>372</v>
      </c>
      <c r="C203" s="51" t="s">
        <v>375</v>
      </c>
      <c r="D203" s="122" t="n">
        <f aca="false">D184/E$3</f>
        <v>340.009934563493</v>
      </c>
      <c r="E203" s="1" t="s">
        <v>51</v>
      </c>
      <c r="K203" s="53" t="s">
        <v>120</v>
      </c>
      <c r="L203" s="53" t="s">
        <v>1</v>
      </c>
    </row>
    <row r="204" customFormat="false" ht="12.8" hidden="false" customHeight="false" outlineLevel="0" collapsed="false">
      <c r="A204" s="16"/>
      <c r="B204" s="169" t="s">
        <v>372</v>
      </c>
      <c r="C204" s="51" t="s">
        <v>376</v>
      </c>
      <c r="D204" s="122" t="n">
        <f aca="false">D185/E$3</f>
        <v>-132.603874479762</v>
      </c>
      <c r="E204" s="1" t="s">
        <v>51</v>
      </c>
      <c r="K204" s="53" t="s">
        <v>120</v>
      </c>
      <c r="L204" s="53" t="s">
        <v>1</v>
      </c>
    </row>
    <row r="205" customFormat="false" ht="12.8" hidden="false" customHeight="false" outlineLevel="0" collapsed="false">
      <c r="A205" s="16"/>
      <c r="B205" s="169" t="s">
        <v>372</v>
      </c>
      <c r="C205" s="51" t="s">
        <v>386</v>
      </c>
      <c r="D205" s="122" t="n">
        <f aca="false">D186/E$3</f>
        <v>2.40104717813051</v>
      </c>
      <c r="E205" s="1" t="s">
        <v>51</v>
      </c>
      <c r="K205" s="53" t="s">
        <v>120</v>
      </c>
      <c r="L205" s="53" t="s">
        <v>1</v>
      </c>
    </row>
    <row r="206" customFormat="false" ht="12.8" hidden="false" customHeight="false" outlineLevel="0" collapsed="false">
      <c r="A206" s="1" t="s">
        <v>1</v>
      </c>
      <c r="B206" s="169" t="s">
        <v>372</v>
      </c>
      <c r="C206" s="51" t="s">
        <v>379</v>
      </c>
      <c r="D206" s="122" t="n">
        <f aca="false">D187/E$3</f>
        <v>81.2182741116752</v>
      </c>
      <c r="E206" s="1" t="s">
        <v>51</v>
      </c>
      <c r="K206" s="53" t="s">
        <v>120</v>
      </c>
      <c r="L206" s="53" t="s">
        <v>1</v>
      </c>
    </row>
    <row r="207" customFormat="false" ht="12.8" hidden="false" customHeight="false" outlineLevel="0" collapsed="false">
      <c r="A207" s="165"/>
      <c r="B207" s="165" t="s">
        <v>1</v>
      </c>
      <c r="C207" s="166" t="s">
        <v>372</v>
      </c>
      <c r="D207" s="167" t="n">
        <f aca="false">SUM(D202:D206)</f>
        <v>319.083921800862</v>
      </c>
      <c r="E207" s="165" t="s">
        <v>51</v>
      </c>
      <c r="F207" s="165"/>
      <c r="G207" s="166"/>
      <c r="H207" s="166"/>
      <c r="K207" s="53" t="s">
        <v>120</v>
      </c>
      <c r="L207" s="53" t="s">
        <v>1</v>
      </c>
    </row>
    <row r="208" customFormat="false" ht="12.8" hidden="false" customHeight="false" outlineLevel="0" collapsed="false">
      <c r="A208" s="16"/>
      <c r="B208" s="16"/>
      <c r="C208" s="19"/>
      <c r="D208" s="160"/>
      <c r="E208" s="16"/>
      <c r="F208" s="16"/>
      <c r="G208" s="19"/>
      <c r="H208" s="19"/>
      <c r="K208" s="53" t="s">
        <v>120</v>
      </c>
      <c r="L208" s="53" t="s">
        <v>1</v>
      </c>
    </row>
    <row r="209" customFormat="false" ht="12.8" hidden="false" customHeight="false" outlineLevel="0" collapsed="false">
      <c r="A209" s="170" t="s">
        <v>387</v>
      </c>
      <c r="B209" s="170" t="s">
        <v>1</v>
      </c>
      <c r="C209" s="171" t="s">
        <v>388</v>
      </c>
      <c r="D209" s="172" t="n">
        <f aca="false">D200+D207</f>
        <v>959.130057027491</v>
      </c>
      <c r="E209" s="170" t="s">
        <v>51</v>
      </c>
      <c r="F209" s="173"/>
      <c r="G209" s="173" t="s">
        <v>389</v>
      </c>
      <c r="H209" s="174" t="n">
        <f aca="false">(D149+(D100-D98))/(E3*D33)</f>
        <v>0.401809982313581</v>
      </c>
      <c r="K209" s="53" t="s">
        <v>120</v>
      </c>
      <c r="L209" s="53" t="s">
        <v>1</v>
      </c>
    </row>
    <row r="210" customFormat="false" ht="12.8" hidden="false" customHeight="false" outlineLevel="0" collapsed="false">
      <c r="A210" s="170"/>
      <c r="B210" s="170" t="s">
        <v>1</v>
      </c>
      <c r="C210" s="171" t="s">
        <v>390</v>
      </c>
      <c r="D210" s="172" t="n">
        <f aca="false">D200+D207-D198-D203-D204</f>
        <v>727.781630718248</v>
      </c>
      <c r="E210" s="170" t="s">
        <v>51</v>
      </c>
      <c r="F210" s="173"/>
      <c r="G210" s="173" t="s">
        <v>391</v>
      </c>
      <c r="H210" s="174" t="n">
        <f aca="false">(D149)/(E3*D32)</f>
        <v>0.021599316311358</v>
      </c>
      <c r="K210" s="53" t="s">
        <v>120</v>
      </c>
      <c r="L210" s="53" t="s">
        <v>1</v>
      </c>
    </row>
    <row r="211" customFormat="false" ht="19.9" hidden="false" customHeight="false" outlineLevel="0" collapsed="false">
      <c r="A211" s="1" t="s">
        <v>1</v>
      </c>
      <c r="C211" s="175" t="s">
        <v>392</v>
      </c>
      <c r="G211" s="53" t="s">
        <v>122</v>
      </c>
      <c r="K211" s="53" t="s">
        <v>120</v>
      </c>
      <c r="L211" s="53" t="s">
        <v>1</v>
      </c>
    </row>
  </sheetData>
  <hyperlinks>
    <hyperlink ref="G8" r:id="rId2" display="https://heliogaia.de/Heizspiegel-fuer-Deutschland-2018.pdf"/>
    <hyperlink ref="G17" r:id="rId3" display="http://www.solarkeymark.nl/DBF/PDF_Downloads/DS_47.pdf; S.2;Annual output per m2 gross area"/>
    <hyperlink ref="G18" r:id="rId4" display="http://www.solarkeymark.nl/DBF/PDF_Downloads/DS_1575.pdf"/>
    <hyperlink ref="G22" r:id="rId5" display="https://irp.cdn-website.com/d00f2507/files/uploaded/RisikenUndWirtschaftlichkeitVonNWP.pdf; S. 10f"/>
    <hyperlink ref="G28" r:id="rId6" display="https://heliogaia.de/Geothermisches_Potenzial_spezifische_Wärmeleitfähigkeit_und_spezifische_Entzugsleistung_Berlin_k218.pdf; S.3 z.B. Boden 2,2 MJ/K/m³ /3,6"/>
    <hyperlink ref="G33" r:id="rId7" display="www.umweltbundesamt.de/sites/default/files/medien/384/bilder/dateien/3_tab_energieverbrauch-eev-sektor-waermezwecke_2018-02-14.pdf"/>
    <hyperlink ref="G34" r:id="rId8" display="https://www.dena.de/fileadmin/dena/Bilder/Newsroom/Meldungen/2018Q2/Grafik-dena-Gebaeudereport-kompakt-2018-Endenergiebezogener-Gebaeudeenergieverbrauch.jpg"/>
    <hyperlink ref="G37" r:id="rId9" display="https://www-docs.b-tu.de/fg-bauoekonomie/public/Forschung/Publikationen/Kalusche-Wolfdietrich/2016/orientierungswerte.pdf; S.5"/>
    <hyperlink ref="G39" r:id="rId10" display="https://www.dwd.de/DE/leistungen/solarenergie/strahlungskarten_mvs.html?nn=16102"/>
    <hyperlink ref="G40" r:id="rId11" display="https://www.dwd.de/DE/leistungen/solarenergie/strahlungskarten_sum.html?nn=16102"/>
    <hyperlink ref="G41" r:id="rId12" display="[39]"/>
    <hyperlink ref="H41" r:id="rId13" display="https://www.vergleich.org/vakuumroehrenkollektor/"/>
    <hyperlink ref="G42" r:id="rId14" display="[1]"/>
    <hyperlink ref="H42" r:id="rId15" display="https://www.swissolar.ch/fileadmin/user_upload/Markterhebung/Marktumfrage_2017.pdf; S.8 zur Lebensdauer"/>
    <hyperlink ref="G45" r:id="rId16" display="https://www.solaranlagen-portal.de/thermische-solaranlage/solarkollektor-preis.html; Punkt 1.2: 3000€/16m²"/>
    <hyperlink ref="G47" r:id="rId17" display="https://www.bodenrichtwerte-boris.de/borisde/?lang=de"/>
    <hyperlink ref="G49" r:id="rId18" display="https://www.solaranlagen-portal.de/thermische-solaranlage/solarkollektor-preis.html; Punkt 1.2: 2000...3000€/600Liter"/>
    <hyperlink ref="G51" r:id="rId19" display="https://heliogaia.de/Geothermisches_Potenzial_spezifische_Wärmeleitfähigkeit_und_spezifische_Entzugsleistung_Berlin_k218.pdf"/>
    <hyperlink ref="G52" r:id="rId20" display="https://heliogaia.de/Geothermisches_Potenzial_spezifische_Wärmeleitfähigkeit_und_spezifische_Entzugsleistung_Berlin_k218.pdf"/>
    <hyperlink ref="G57" r:id="rId21" display="https://de.wikipedia.org/wiki/Berlin"/>
    <hyperlink ref="G58" r:id="rId22" display="https://www.dwd.de/DE/leistungen/klimadatendeutschland/mittelwerte/temp_8110_fest_html.html?view=nasPublication&amp;nn=16102"/>
    <hyperlink ref="G66" r:id="rId23" display="gesetzt, vgl.: https://www.straelen.de/rathaus-politik/dienstleistungen/ver-und-entsorgung/wasserversorgung/  ; Geschichte… 1979…"/>
    <hyperlink ref="G67" r:id="rId24" display="http://baupreise24.de/baupreise/erdarbeiten"/>
    <hyperlink ref="H69" r:id="rId25" location="v=onepage&amp;q&amp;f=false" display=" https://books.google.de/books?id=hRmYJX_u7ykC&amp;printsec=frontcover&amp;hl=de#v=onepage&amp;q&amp;f=false"/>
    <hyperlink ref="G70" r:id="rId26" display="https://www.my-hammer.de/preisradar/was-kostet-brunnen-bohren/ "/>
    <hyperlink ref="H70" r:id="rId27" display="30...70 €/m;  https://www.kesselheld.de/tiefenbohrung/"/>
    <hyperlink ref="H72" r:id="rId28" display="https://cdn.website-start.de/proxy/apps/zook5o/uploads/gleichzwei/instances/BAEE886A-5189-4B80-BB0C-126AD8811398/wcinstances/epaper/7f303bab-bf8c-4d61-bc1d-dd8e2caed8b8/pdf/181231_pro_keller_broschuere_einzelseiten_WEB.pdf "/>
    <hyperlink ref="G75" r:id="rId29" display="https://enerko.de/wp-content/uploads/2020/01/191212-Kurzbericht-FW-Schiene-Rheinland.pdf S.9 u.a. 500...1000€/m"/>
    <hyperlink ref="G76" r:id="rId30" display="https://www.borderstep.de/wp-content/uploads/2014/07/Clausen-Kosten_-laendliche_-Waermenetze-2012.pdf"/>
    <hyperlink ref="G77" r:id="rId31" display="https://www.borderstep.de/wp-content/uploads/2014/07/Clausen-Kosten_-laendliche_-Waermenetze-2012.pdf"/>
    <hyperlink ref="G79" r:id="rId32" display="https://www.ksb.com/de-global/kreiselpumpenlexikon/artikel/pumpenwirkungsgrad-1074676"/>
    <hyperlink ref="G80" r:id="rId33" display="http://seitzpumpen.homepage.t-online.de/PDF-Dateien/Preisliste/NM.pdf"/>
    <hyperlink ref="G81" r:id="rId34" display="https://www.ier.uni-stuttgart.de/publikationen/arbeitsberichte/downloads/Arbeitsbericht_04.pdf; inflationsbereinigt 0,48*1,02^10=0,585"/>
    <hyperlink ref="H81" r:id="rId35" display="vgl. auch https://enerko.de/wp-content/uploads/2015/06/Endbericht_GKK_Kiel.pdf; S.96"/>
    <hyperlink ref="G84" r:id="rId36" display="https://www.ier.uni-stuttgart.de/publikationen/arbeitsberichte/downloads/Arbeitsbericht_04.pdf; bis 60%"/>
    <hyperlink ref="G164" r:id="rId37" display="https://www.heizspiegel.de/heizkosten-senken/heizungswartung/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6" colorId="64" zoomScale="150" zoomScaleNormal="150" zoomScalePageLayoutView="100" workbookViewId="0">
      <selection pane="topLeft" activeCell="A19" activeCellId="0" sqref="A1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53" width="3.24"/>
    <col collapsed="false" customWidth="true" hidden="false" outlineLevel="0" max="2" min="2" style="53" width="3.54"/>
    <col collapsed="false" customWidth="true" hidden="false" outlineLevel="0" max="3" min="3" style="53" width="16.67"/>
    <col collapsed="false" customWidth="true" hidden="false" outlineLevel="0" max="4" min="4" style="1" width="15.41"/>
    <col collapsed="false" customWidth="true" hidden="false" outlineLevel="0" max="5" min="5" style="53" width="7.7"/>
    <col collapsed="false" customWidth="true" hidden="false" outlineLevel="0" max="10" min="6" style="1" width="8.06"/>
    <col collapsed="false" customWidth="true" hidden="false" outlineLevel="0" max="11" min="11" style="176" width="8.06"/>
    <col collapsed="false" customWidth="true" hidden="false" outlineLevel="0" max="18" min="12" style="1" width="8.06"/>
    <col collapsed="false" customWidth="true" hidden="false" outlineLevel="0" max="19" min="19" style="53" width="8.06"/>
    <col collapsed="false" customWidth="true" hidden="false" outlineLevel="0" max="20" min="20" style="53" width="6.11"/>
    <col collapsed="false" customWidth="false" hidden="false" outlineLevel="0" max="64" min="21" style="53" width="11.52"/>
  </cols>
  <sheetData>
    <row r="1" customFormat="false" ht="12.8" hidden="false" customHeight="false" outlineLevel="0" collapsed="false">
      <c r="A1" s="17" t="s">
        <v>393</v>
      </c>
      <c r="B1" s="16"/>
      <c r="C1" s="19"/>
      <c r="D1" s="16"/>
      <c r="E1" s="16"/>
      <c r="F1" s="16"/>
      <c r="G1" s="16"/>
      <c r="H1" s="16"/>
      <c r="I1" s="16"/>
      <c r="J1" s="16"/>
      <c r="K1" s="177"/>
      <c r="L1" s="16"/>
      <c r="M1" s="16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AMB1" s="17"/>
      <c r="AMC1" s="17"/>
      <c r="AMD1" s="17"/>
      <c r="AME1" s="17"/>
      <c r="AMF1" s="17"/>
      <c r="AMG1" s="17"/>
      <c r="AMH1" s="17"/>
      <c r="AMI1" s="17"/>
      <c r="AMJ1" s="17"/>
    </row>
    <row r="2" customFormat="false" ht="6.8" hidden="false" customHeight="true" outlineLevel="0" collapsed="false">
      <c r="B2" s="16"/>
      <c r="C2" s="16"/>
      <c r="D2" s="16"/>
      <c r="E2" s="16"/>
    </row>
    <row r="3" s="14" customFormat="true" ht="32" hidden="false" customHeight="true" outlineLevel="0" collapsed="false">
      <c r="A3" s="178" t="s">
        <v>394</v>
      </c>
      <c r="B3" s="178" t="s">
        <v>395</v>
      </c>
      <c r="C3" s="14" t="s">
        <v>101</v>
      </c>
      <c r="D3" s="14" t="s">
        <v>396</v>
      </c>
      <c r="E3" s="14" t="s">
        <v>397</v>
      </c>
      <c r="K3" s="179"/>
      <c r="T3" s="53"/>
      <c r="U3" s="53"/>
    </row>
    <row r="4" s="16" customFormat="true" ht="15.9" hidden="false" customHeight="true" outlineLevel="0" collapsed="false">
      <c r="E4" s="16" t="s">
        <v>27</v>
      </c>
      <c r="K4" s="177"/>
      <c r="T4" s="53"/>
      <c r="U4" s="53"/>
    </row>
    <row r="5" customFormat="false" ht="12.8" hidden="false" customHeight="false" outlineLevel="0" collapsed="false">
      <c r="A5" s="53" t="n">
        <v>1</v>
      </c>
      <c r="B5" s="1" t="n">
        <v>1</v>
      </c>
      <c r="C5" s="180" t="s">
        <v>398</v>
      </c>
      <c r="D5" s="48" t="n">
        <f aca="false">s!G2</f>
        <v>607.9885</v>
      </c>
      <c r="E5" s="63" t="n">
        <f aca="false">(1-$S24*$S25)*100</f>
        <v>14.8640779017538</v>
      </c>
      <c r="F5" s="181" t="s">
        <v>399</v>
      </c>
    </row>
    <row r="6" customFormat="false" ht="12.8" hidden="false" customHeight="false" outlineLevel="0" collapsed="false">
      <c r="A6" s="53" t="n">
        <v>1</v>
      </c>
      <c r="B6" s="1" t="n">
        <v>2</v>
      </c>
      <c r="C6" s="180" t="s">
        <v>400</v>
      </c>
      <c r="D6" s="48" t="n">
        <f aca="false">s!G7</f>
        <v>169.7815</v>
      </c>
      <c r="E6" s="63" t="n">
        <f aca="false">(1-$S24)*100</f>
        <v>9.54862272872815</v>
      </c>
      <c r="F6" s="181"/>
    </row>
    <row r="7" customFormat="false" ht="12.8" hidden="false" customHeight="false" outlineLevel="0" collapsed="false">
      <c r="A7" s="53" t="n">
        <v>1</v>
      </c>
      <c r="B7" s="1" t="n">
        <v>3</v>
      </c>
      <c r="C7" s="53" t="s">
        <v>401</v>
      </c>
      <c r="D7" s="48" t="n">
        <f aca="false">s!G8</f>
        <v>307.314</v>
      </c>
      <c r="E7" s="63" t="n">
        <f aca="false">(1-$S24)*100</f>
        <v>9.54862272872815</v>
      </c>
      <c r="F7" s="181"/>
    </row>
    <row r="8" customFormat="false" ht="12.8" hidden="false" customHeight="false" outlineLevel="0" collapsed="false">
      <c r="A8" s="53" t="n">
        <v>2</v>
      </c>
      <c r="B8" s="1" t="n">
        <v>4</v>
      </c>
      <c r="C8" s="180" t="s">
        <v>402</v>
      </c>
      <c r="D8" s="48" t="n">
        <f aca="false">s!G10</f>
        <v>300.6745</v>
      </c>
      <c r="E8" s="63" t="n">
        <f aca="false">(1-$S21*$S22)*100</f>
        <v>10.5043990956635</v>
      </c>
      <c r="F8" s="181"/>
    </row>
    <row r="9" customFormat="false" ht="12.8" hidden="false" customHeight="false" outlineLevel="0" collapsed="false">
      <c r="A9" s="53" t="n">
        <v>2</v>
      </c>
      <c r="B9" s="1" t="n">
        <v>5</v>
      </c>
      <c r="C9" s="180" t="s">
        <v>403</v>
      </c>
      <c r="D9" s="48" t="n">
        <f aca="false">s!G12</f>
        <v>97.6955</v>
      </c>
      <c r="E9" s="63" t="n">
        <f aca="false">(1-$S21*$S23)*100</f>
        <v>3.7604405345098</v>
      </c>
      <c r="F9" s="181"/>
    </row>
    <row r="10" customFormat="false" ht="12.8" hidden="false" customHeight="false" outlineLevel="0" collapsed="false">
      <c r="A10" s="53" t="n">
        <v>2</v>
      </c>
      <c r="B10" s="1" t="n">
        <v>6</v>
      </c>
      <c r="C10" s="180" t="s">
        <v>404</v>
      </c>
      <c r="D10" s="48" t="n">
        <f aca="false">s!G14</f>
        <v>455.28</v>
      </c>
      <c r="E10" s="63" t="n">
        <f aca="false">(1-$S21)*100</f>
        <v>1.54780732957442</v>
      </c>
      <c r="F10" s="181"/>
    </row>
    <row r="11" customFormat="false" ht="12.8" hidden="false" customHeight="false" outlineLevel="0" collapsed="false">
      <c r="A11" s="53" t="n">
        <v>3</v>
      </c>
      <c r="B11" s="1" t="n">
        <v>7</v>
      </c>
      <c r="C11" s="180" t="s">
        <v>405</v>
      </c>
      <c r="D11" s="48" t="n">
        <f aca="false">s!G20</f>
        <v>456.2285</v>
      </c>
      <c r="E11" s="63" t="n">
        <f aca="false">(1-$S26*$S28*$S29)*100</f>
        <v>21.3093813048199</v>
      </c>
      <c r="F11" s="181"/>
    </row>
    <row r="12" customFormat="false" ht="12.8" hidden="false" customHeight="false" outlineLevel="0" collapsed="false">
      <c r="A12" s="53" t="n">
        <v>3</v>
      </c>
      <c r="B12" s="1" t="n">
        <v>8</v>
      </c>
      <c r="C12" s="53" t="s">
        <v>406</v>
      </c>
      <c r="D12" s="48" t="n">
        <f aca="false">s!G22</f>
        <v>338.6145</v>
      </c>
      <c r="E12" s="63" t="n">
        <f aca="false">(1-$S26*$S28)*100</f>
        <v>14.7345562023715</v>
      </c>
      <c r="F12" s="181"/>
    </row>
    <row r="13" customFormat="false" ht="12.8" hidden="false" customHeight="false" outlineLevel="0" collapsed="false">
      <c r="A13" s="53" t="n">
        <v>3</v>
      </c>
      <c r="B13" s="1" t="n">
        <v>9</v>
      </c>
      <c r="C13" s="180" t="s">
        <v>407</v>
      </c>
      <c r="D13" s="48" t="n">
        <f aca="false">s!G24</f>
        <v>4784.234</v>
      </c>
      <c r="E13" s="63" t="n">
        <f aca="false">(1-$S26*$S28*$S29*$S30*$S31)*100</f>
        <v>27.5436324696221</v>
      </c>
      <c r="F13" s="181"/>
    </row>
    <row r="14" customFormat="false" ht="12.8" hidden="false" customHeight="false" outlineLevel="0" collapsed="false">
      <c r="B14" s="19" t="s">
        <v>1</v>
      </c>
      <c r="C14" s="19" t="s">
        <v>408</v>
      </c>
      <c r="D14" s="18" t="n">
        <f aca="false">SUM(D5:D13)</f>
        <v>7517.811</v>
      </c>
      <c r="E14" s="16" t="s">
        <v>1</v>
      </c>
    </row>
    <row r="15" customFormat="false" ht="9.35" hidden="false" customHeight="true" outlineLevel="0" collapsed="false">
      <c r="B15" s="19"/>
      <c r="C15" s="19"/>
      <c r="D15" s="16"/>
      <c r="E15" s="16"/>
    </row>
    <row r="16" customFormat="false" ht="12.8" hidden="false" customHeight="false" outlineLevel="0" collapsed="false">
      <c r="A16" s="182"/>
      <c r="B16" s="183"/>
      <c r="C16" s="184" t="s">
        <v>409</v>
      </c>
      <c r="D16" s="131" t="n">
        <v>0.07</v>
      </c>
      <c r="E16" s="131" t="s">
        <v>77</v>
      </c>
      <c r="F16" s="131" t="s">
        <v>410</v>
      </c>
      <c r="G16" s="131" t="n">
        <v>0.035</v>
      </c>
      <c r="H16" s="131" t="s">
        <v>179</v>
      </c>
    </row>
    <row r="17" customFormat="false" ht="25.3" hidden="false" customHeight="true" outlineLevel="0" collapsed="false">
      <c r="A17" s="182"/>
      <c r="B17" s="183"/>
      <c r="C17" s="185" t="s">
        <v>411</v>
      </c>
      <c r="D17" s="131" t="n">
        <v>1.2</v>
      </c>
      <c r="E17" s="131" t="s">
        <v>187</v>
      </c>
      <c r="F17" s="131"/>
      <c r="G17" s="131"/>
      <c r="H17" s="131"/>
    </row>
    <row r="18" customFormat="false" ht="9.35" hidden="false" customHeight="true" outlineLevel="0" collapsed="false">
      <c r="B18" s="19"/>
      <c r="C18" s="19"/>
      <c r="D18" s="16"/>
      <c r="E18" s="16"/>
    </row>
    <row r="19" customFormat="false" ht="105.7" hidden="false" customHeight="true" outlineLevel="0" collapsed="false">
      <c r="B19" s="1"/>
      <c r="C19" s="14" t="s">
        <v>412</v>
      </c>
      <c r="D19" s="14" t="s">
        <v>413</v>
      </c>
      <c r="E19" s="14" t="s">
        <v>414</v>
      </c>
      <c r="F19" s="14" t="s">
        <v>415</v>
      </c>
      <c r="G19" s="14" t="s">
        <v>416</v>
      </c>
      <c r="H19" s="14" t="s">
        <v>417</v>
      </c>
      <c r="I19" s="14" t="s">
        <v>418</v>
      </c>
      <c r="J19" s="14" t="s">
        <v>419</v>
      </c>
      <c r="K19" s="179" t="s">
        <v>420</v>
      </c>
      <c r="L19" s="14" t="s">
        <v>421</v>
      </c>
      <c r="M19" s="14" t="s">
        <v>422</v>
      </c>
      <c r="N19" s="14" t="s">
        <v>423</v>
      </c>
      <c r="O19" s="14" t="s">
        <v>424</v>
      </c>
      <c r="P19" s="14" t="s">
        <v>425</v>
      </c>
      <c r="Q19" s="14" t="s">
        <v>426</v>
      </c>
      <c r="R19" s="14" t="s">
        <v>427</v>
      </c>
      <c r="S19" s="14" t="s">
        <v>428</v>
      </c>
      <c r="T19" s="14" t="s">
        <v>412</v>
      </c>
    </row>
    <row r="20" customFormat="false" ht="12.8" hidden="false" customHeight="false" outlineLevel="0" collapsed="false">
      <c r="B20" s="1"/>
      <c r="C20" s="16"/>
      <c r="D20" s="16"/>
      <c r="E20" s="16" t="s">
        <v>77</v>
      </c>
      <c r="F20" s="16" t="s">
        <v>310</v>
      </c>
      <c r="G20" s="16" t="s">
        <v>310</v>
      </c>
      <c r="H20" s="16" t="s">
        <v>77</v>
      </c>
      <c r="I20" s="16" t="s">
        <v>429</v>
      </c>
      <c r="J20" s="16" t="s">
        <v>429</v>
      </c>
      <c r="K20" s="177" t="s">
        <v>310</v>
      </c>
      <c r="L20" s="16" t="s">
        <v>310</v>
      </c>
      <c r="M20" s="16" t="s">
        <v>107</v>
      </c>
      <c r="N20" s="16" t="s">
        <v>430</v>
      </c>
      <c r="O20" s="16" t="s">
        <v>430</v>
      </c>
      <c r="P20" s="16" t="s">
        <v>310</v>
      </c>
      <c r="Q20" s="16" t="s">
        <v>107</v>
      </c>
      <c r="R20" s="16" t="s">
        <v>27</v>
      </c>
      <c r="S20" s="1"/>
      <c r="T20" s="16"/>
    </row>
    <row r="21" s="140" customFormat="true" ht="14.3" hidden="false" customHeight="true" outlineLevel="0" collapsed="false">
      <c r="B21" s="2"/>
      <c r="C21" s="2" t="n">
        <v>1</v>
      </c>
      <c r="D21" s="186" t="n">
        <f aca="false">D11+D13</f>
        <v>5240.4625</v>
      </c>
      <c r="E21" s="187" t="n">
        <v>3090</v>
      </c>
      <c r="F21" s="186" t="n">
        <f aca="false">$D21*t!$D$36/2/(1-e!V$20/2/100)</f>
        <v>6587.74748571925</v>
      </c>
      <c r="G21" s="186" t="n">
        <f aca="false">$F21*2</f>
        <v>13175.4949714385</v>
      </c>
      <c r="H21" s="188" t="n">
        <f aca="false">(G21/4200/(2*D$17)/(60-30)*4/PI())^0.5</f>
        <v>0.235530761220554</v>
      </c>
      <c r="I21" s="186" t="n">
        <f aca="false">(0.657/H21-0.058)*D$17^1.92/10000*E21*1.5</f>
        <v>1.79667746464973</v>
      </c>
      <c r="J21" s="186" t="n">
        <f aca="false">(0.657/H21-0.058)*(2*D$17)^1.92/10000*E21*1.5</f>
        <v>6.79904181652575</v>
      </c>
      <c r="K21" s="189" t="n">
        <f aca="false">I21*10^5*PI()/4*$H21^2*D$17/1000*2/0.75</f>
        <v>25.0498570378724</v>
      </c>
      <c r="L21" s="190" t="n">
        <f aca="false">J21*10^5*PI()/4*$H21^2*(2*D$17)/1000*2/0.75</f>
        <v>189.588870400497</v>
      </c>
      <c r="M21" s="190" t="s">
        <v>123</v>
      </c>
      <c r="N21" s="45" t="n">
        <f aca="false">E21/D$17/3600</f>
        <v>0.715277777777778</v>
      </c>
      <c r="O21" s="45" t="n">
        <f aca="false">E21/(2*D$17)/3600</f>
        <v>0.357638888888889</v>
      </c>
      <c r="P21" s="186" t="n">
        <f aca="false">(50+20)*2*PI()*$G$16*E21/LN(1+$D$16*2/H21)/1000</f>
        <v>101.965638437817</v>
      </c>
      <c r="Q21" s="186" t="n">
        <f aca="false">P21*24*180</f>
        <v>440491.55805137</v>
      </c>
      <c r="R21" s="190" t="n">
        <f aca="false">P21/F21*100</f>
        <v>1.54780732957442</v>
      </c>
      <c r="S21" s="45" t="n">
        <f aca="false">1-R21/100</f>
        <v>0.984521926704256</v>
      </c>
      <c r="T21" s="2" t="n">
        <v>1</v>
      </c>
    </row>
    <row r="22" customFormat="false" ht="14.3" hidden="false" customHeight="true" outlineLevel="0" collapsed="false">
      <c r="B22" s="1"/>
      <c r="C22" s="1" t="n">
        <v>2</v>
      </c>
      <c r="D22" s="48" t="n">
        <f aca="false">D11</f>
        <v>456.2285</v>
      </c>
      <c r="E22" s="191" t="n">
        <v>3740</v>
      </c>
      <c r="F22" s="48" t="n">
        <f aca="false">$D22*t!$D$36/2/(1-e!V$20/2/100)</f>
        <v>573.521545815558</v>
      </c>
      <c r="G22" s="48" t="n">
        <f aca="false">$F22*2</f>
        <v>1147.04309163112</v>
      </c>
      <c r="H22" s="176" t="n">
        <f aca="false">(G22/4200/(2*D$17)/(60-30)*4/PI())^0.5</f>
        <v>0.069495075759568</v>
      </c>
      <c r="I22" s="48" t="n">
        <f aca="false">(0.657/H22-0.058)*D$17^1.92/10000*E22*1.5</f>
        <v>7.48048186412744</v>
      </c>
      <c r="J22" s="48" t="n">
        <f aca="false">(0.657/H22-0.058)*(2*D$17)^1.92/10000*E22*1.5</f>
        <v>28.3078682749996</v>
      </c>
      <c r="K22" s="192" t="n">
        <f aca="false">I22*10^5*PI()/4*$H22^2*D$17/1000*2/0.75</f>
        <v>9.07982544372405</v>
      </c>
      <c r="L22" s="63" t="n">
        <f aca="false">J22*10^5*PI()/4*$H22^2*(2*D$17)/1000*2/0.75</f>
        <v>68.7203063357501</v>
      </c>
      <c r="M22" s="63" t="s">
        <v>123</v>
      </c>
      <c r="N22" s="193" t="n">
        <f aca="false">E22/D$17/3600</f>
        <v>0.865740740740741</v>
      </c>
      <c r="O22" s="193" t="n">
        <f aca="false">E22/(2*D$17)/3600</f>
        <v>0.43287037037037</v>
      </c>
      <c r="P22" s="48" t="n">
        <f aca="false">(50+20)*2*PI()*$G$16*E22/LN(1+$D$16*2/H22)/1000</f>
        <v>52.1755607020559</v>
      </c>
      <c r="Q22" s="48" t="n">
        <f aca="false">P22*24*180</f>
        <v>225398.422232882</v>
      </c>
      <c r="R22" s="63" t="n">
        <f aca="false">P22/F22*100</f>
        <v>9.09740202137678</v>
      </c>
      <c r="S22" s="193" t="n">
        <f aca="false">1-R22/100</f>
        <v>0.909025979786232</v>
      </c>
      <c r="T22" s="1" t="n">
        <v>2</v>
      </c>
    </row>
    <row r="23" customFormat="false" ht="14.3" hidden="false" customHeight="true" outlineLevel="0" collapsed="false">
      <c r="C23" s="1" t="n">
        <v>3</v>
      </c>
      <c r="D23" s="48" t="n">
        <f aca="false">D13/3</f>
        <v>1594.74466666667</v>
      </c>
      <c r="E23" s="191" t="n">
        <v>2140</v>
      </c>
      <c r="F23" s="48" t="n">
        <f aca="false">$D23*t!$D$36/2/(1-e!V$20/2/100)</f>
        <v>2004.7419799679</v>
      </c>
      <c r="G23" s="48" t="n">
        <f aca="false">$F23*2</f>
        <v>4009.4839599358</v>
      </c>
      <c r="H23" s="176" t="n">
        <f aca="false">(G23/4200/(2*D$17)/(60-30)*4/PI())^0.5</f>
        <v>0.129929691149105</v>
      </c>
      <c r="I23" s="48" t="n">
        <f aca="false">(0.657/H23-0.058)*D$17^1.92/10000*E23*1.5</f>
        <v>2.27708768113279</v>
      </c>
      <c r="J23" s="48" t="n">
        <f aca="false">(0.657/H23-0.058)*(2*D$17)^1.92/10000*E23*1.5</f>
        <v>8.61702485200131</v>
      </c>
      <c r="K23" s="192" t="n">
        <f aca="false">I23*10^5*PI()/4*$H23^2*D$17/1000*2/0.75</f>
        <v>9.66131908240139</v>
      </c>
      <c r="L23" s="63" t="n">
        <f aca="false">J23*10^5*PI()/4*$H23^2*(2*D$17)/1000*2/0.75</f>
        <v>73.121318362894</v>
      </c>
      <c r="M23" s="63" t="s">
        <v>123</v>
      </c>
      <c r="N23" s="193" t="n">
        <f aca="false">E23/D$17/3600</f>
        <v>0.49537037037037</v>
      </c>
      <c r="O23" s="193" t="n">
        <f aca="false">E23/(2*D$17)/3600</f>
        <v>0.247685185185185</v>
      </c>
      <c r="P23" s="48" t="n">
        <f aca="false">(50+20)*2*PI()*$G$16*E23/LN(1+$D$16*2/H23)/1000</f>
        <v>45.0549505489819</v>
      </c>
      <c r="Q23" s="48" t="n">
        <f aca="false">P23*24*180</f>
        <v>194637.386371602</v>
      </c>
      <c r="R23" s="63" t="n">
        <f aca="false">P23/F23*100</f>
        <v>2.24741891970075</v>
      </c>
      <c r="S23" s="193" t="n">
        <f aca="false">1-R23/100</f>
        <v>0.977525810802993</v>
      </c>
      <c r="T23" s="1" t="n">
        <v>3</v>
      </c>
    </row>
    <row r="24" s="140" customFormat="true" ht="14.3" hidden="false" customHeight="true" outlineLevel="0" collapsed="false">
      <c r="C24" s="2" t="n">
        <v>4</v>
      </c>
      <c r="D24" s="186" t="n">
        <f aca="false">D9+D8</f>
        <v>398.37</v>
      </c>
      <c r="E24" s="187" t="n">
        <v>3570</v>
      </c>
      <c r="F24" s="186" t="n">
        <f aca="false">$D24*t!$D$36/2/(1-e!V$20/2/100)</f>
        <v>500.788044163273</v>
      </c>
      <c r="G24" s="186" t="n">
        <f aca="false">$F24*2</f>
        <v>1001.57608832655</v>
      </c>
      <c r="H24" s="188" t="n">
        <f aca="false">(G24/4200/(2*D$17)/(60-30)*4/PI())^0.5</f>
        <v>0.0649390812088457</v>
      </c>
      <c r="I24" s="186" t="n">
        <f aca="false">(0.657/H24-0.058)*D$17^1.92/10000*E24*1.5</f>
        <v>7.64451256286752</v>
      </c>
      <c r="J24" s="186" t="n">
        <f aca="false">(0.657/H24-0.058)*(2*D$17)^1.92/10000*E24*1.5</f>
        <v>28.9285982623628</v>
      </c>
      <c r="K24" s="189" t="n">
        <f aca="false">I24*10^5*PI()/4*$H24^2*D$17/1000*2/0.75</f>
        <v>8.10218094167195</v>
      </c>
      <c r="L24" s="190" t="n">
        <f aca="false">J24*10^5*PI()/4*$H24^2*(2*D$17)/1000*2/0.75</f>
        <v>61.3210418801851</v>
      </c>
      <c r="M24" s="190" t="s">
        <v>123</v>
      </c>
      <c r="N24" s="45" t="n">
        <f aca="false">E24/D$17/3600</f>
        <v>0.826388888888889</v>
      </c>
      <c r="O24" s="45" t="n">
        <f aca="false">E24/(2*D$17)/3600</f>
        <v>0.413194444444444</v>
      </c>
      <c r="P24" s="186" t="n">
        <f aca="false">(50+20)*2*PI()*$G$16*E24/LN(1+$D$16*2/H24)/1000</f>
        <v>47.8183610077275</v>
      </c>
      <c r="Q24" s="186" t="n">
        <f aca="false">P24*24*180</f>
        <v>206575.319553383</v>
      </c>
      <c r="R24" s="190" t="n">
        <f aca="false">P24/F24*100</f>
        <v>9.54862272872816</v>
      </c>
      <c r="S24" s="45" t="n">
        <f aca="false">1-R24/100</f>
        <v>0.904513772712718</v>
      </c>
      <c r="T24" s="2" t="n">
        <v>4</v>
      </c>
    </row>
    <row r="25" customFormat="false" ht="14.3" hidden="false" customHeight="true" outlineLevel="0" collapsed="false">
      <c r="C25" s="1" t="n">
        <v>5</v>
      </c>
      <c r="D25" s="48" t="n">
        <f aca="false">D8</f>
        <v>300.6745</v>
      </c>
      <c r="E25" s="191" t="n">
        <v>1800</v>
      </c>
      <c r="F25" s="48" t="n">
        <f aca="false">$D25*t!$D$36/2/(1-e!V$20/2/100)</f>
        <v>377.975738094661</v>
      </c>
      <c r="G25" s="48" t="n">
        <f aca="false">$F25*2</f>
        <v>755.951476189322</v>
      </c>
      <c r="H25" s="176" t="n">
        <f aca="false">(G25/4200/(2*D$17)/(60-30)*4/PI())^0.5</f>
        <v>0.0564171477021404</v>
      </c>
      <c r="I25" s="48" t="n">
        <f aca="false">(0.657/H25-0.058)*D$17^1.92/10000*E25*1.5</f>
        <v>4.4399449808787</v>
      </c>
      <c r="J25" s="48" t="n">
        <f aca="false">(0.657/H25-0.058)*(2*D$17)^1.92/10000*E25*1.5</f>
        <v>16.8017756008049</v>
      </c>
      <c r="K25" s="192" t="n">
        <f aca="false">I25*10^5*PI()/4*$H25^2*D$17/1000*2/0.75</f>
        <v>3.55172800263981</v>
      </c>
      <c r="L25" s="63" t="n">
        <f aca="false">J25*10^5*PI()/4*$H25^2*(2*D$17)/1000*2/0.75</f>
        <v>26.8811154878946</v>
      </c>
      <c r="M25" s="63" t="s">
        <v>123</v>
      </c>
      <c r="N25" s="193" t="n">
        <f aca="false">E25/D$17/3600</f>
        <v>0.416666666666667</v>
      </c>
      <c r="O25" s="193" t="n">
        <f aca="false">E25/(2*D$17)/3600</f>
        <v>0.208333333333333</v>
      </c>
      <c r="P25" s="48" t="n">
        <f aca="false">(50+20)*2*PI()*$G$16*E25/LN(1+$D$16*2/H25)/1000</f>
        <v>22.2120784994564</v>
      </c>
      <c r="Q25" s="48" t="n">
        <f aca="false">P25*24*180</f>
        <v>95956.1791176518</v>
      </c>
      <c r="R25" s="63" t="n">
        <f aca="false">P25/F25*100</f>
        <v>5.87658843168754</v>
      </c>
      <c r="S25" s="193" t="n">
        <f aca="false">1-R25/100</f>
        <v>0.941234115683125</v>
      </c>
      <c r="T25" s="1" t="n">
        <v>5</v>
      </c>
    </row>
    <row r="26" customFormat="false" ht="14.3" hidden="false" customHeight="true" outlineLevel="0" collapsed="false">
      <c r="C26" s="1" t="n">
        <v>6</v>
      </c>
      <c r="D26" s="48" t="n">
        <f aca="false">D9</f>
        <v>97.6955</v>
      </c>
      <c r="E26" s="191" t="n">
        <v>1360</v>
      </c>
      <c r="F26" s="48" t="n">
        <f aca="false">$D26*t!$D$36/2/(1-e!V$20/2/100)</f>
        <v>122.812306068612</v>
      </c>
      <c r="G26" s="48" t="n">
        <f aca="false">$F26*2</f>
        <v>245.624612137224</v>
      </c>
      <c r="H26" s="176" t="n">
        <f aca="false">(G26/4200/(2*D$17)/(60-30)*4/PI())^0.5</f>
        <v>0.0321588201494386</v>
      </c>
      <c r="I26" s="48" t="n">
        <f aca="false">(0.657/H26-0.058)*D$17^1.92/10000*E26*1.5</f>
        <v>5.89778198505197</v>
      </c>
      <c r="J26" s="48" t="n">
        <f aca="false">(0.657/H26-0.058)*(2*D$17)^1.92/10000*E26*1.5</f>
        <v>22.3185669827155</v>
      </c>
      <c r="K26" s="192" t="n">
        <f aca="false">I26*10^5*PI()/4*$H26^2*D$17/1000*2/0.75</f>
        <v>1.53295281751143</v>
      </c>
      <c r="L26" s="63" t="n">
        <f aca="false">J26*10^5*PI()/4*$H26^2*(2*D$17)/1000*2/0.75</f>
        <v>11.6020938806098</v>
      </c>
      <c r="M26" s="63" t="s">
        <v>123</v>
      </c>
      <c r="N26" s="193" t="n">
        <f aca="false">E26/D$17/3600</f>
        <v>0.314814814814815</v>
      </c>
      <c r="O26" s="193" t="n">
        <f aca="false">E26/(2*D$17)/3600</f>
        <v>0.157407407407407</v>
      </c>
      <c r="P26" s="48" t="n">
        <f aca="false">(50+20)*2*PI()*$G$16*E26/LN(1+$D$16*2/H26)/1000</f>
        <v>12.4785067445457</v>
      </c>
      <c r="Q26" s="48" t="n">
        <f aca="false">P26*24*180</f>
        <v>53907.1491364372</v>
      </c>
      <c r="R26" s="63" t="n">
        <f aca="false">P26/F26*100</f>
        <v>10.1606322232678</v>
      </c>
      <c r="S26" s="193" t="n">
        <f aca="false">1-R26/100</f>
        <v>0.898393677767322</v>
      </c>
      <c r="T26" s="1" t="n">
        <v>6</v>
      </c>
    </row>
    <row r="27" customFormat="false" ht="14.3" hidden="false" customHeight="true" outlineLevel="0" collapsed="false">
      <c r="C27" s="1" t="n">
        <v>7</v>
      </c>
      <c r="D27" s="48" t="n">
        <f aca="false">D12</f>
        <v>338.6145</v>
      </c>
      <c r="E27" s="191" t="n">
        <v>2560</v>
      </c>
      <c r="F27" s="48" t="n">
        <f aca="false">$D27*t!$D$36/2/(1-e!V$20/2/100)</f>
        <v>425.669837538782</v>
      </c>
      <c r="G27" s="48" t="n">
        <f aca="false">$F27*2</f>
        <v>851.339675077564</v>
      </c>
      <c r="H27" s="176" t="n">
        <f aca="false">(G27/4200/(2*D$17)/(60-30)*4/PI())^0.5</f>
        <v>0.0598708746220706</v>
      </c>
      <c r="I27" s="48" t="n">
        <f aca="false">(0.657/H27-0.058)*D$17^1.92/10000*E27*1.5</f>
        <v>5.94850011339815</v>
      </c>
      <c r="J27" s="48" t="n">
        <f aca="false">(0.657/H27-0.058)*(2*D$17)^1.92/10000*E27*1.5</f>
        <v>22.5104960753136</v>
      </c>
      <c r="K27" s="192" t="n">
        <f aca="false">I27*10^5*PI()/4*$H27^2*D$17/1000*2/0.75</f>
        <v>5.35893561242247</v>
      </c>
      <c r="L27" s="63" t="n">
        <f aca="false">J27*10^5*PI()/4*$H27^2*(2*D$17)/1000*2/0.75</f>
        <v>40.5588961155391</v>
      </c>
      <c r="M27" s="63" t="s">
        <v>123</v>
      </c>
      <c r="N27" s="193" t="n">
        <f aca="false">E27/D$17/3600</f>
        <v>0.592592592592593</v>
      </c>
      <c r="O27" s="193" t="n">
        <f aca="false">E27/(2*D$17)/3600</f>
        <v>0.296296296296296</v>
      </c>
      <c r="P27" s="48" t="n">
        <f aca="false">(50+20)*2*PI()*$G$16*E27/LN(1+$D$16*2/H27)/1000</f>
        <v>32.6907897357688</v>
      </c>
      <c r="Q27" s="48" t="n">
        <f aca="false">P27*24*180</f>
        <v>141224.211658521</v>
      </c>
      <c r="R27" s="63" t="n">
        <f aca="false">P27/F27*100</f>
        <v>7.67984640978711</v>
      </c>
      <c r="S27" s="193" t="n">
        <f aca="false">1-R27/100</f>
        <v>0.923201535902129</v>
      </c>
      <c r="T27" s="1" t="n">
        <v>7</v>
      </c>
    </row>
    <row r="28" customFormat="false" ht="14.3" hidden="false" customHeight="true" outlineLevel="0" collapsed="false">
      <c r="C28" s="1" t="n">
        <v>8</v>
      </c>
      <c r="D28" s="48" t="n">
        <f aca="false">D10</f>
        <v>455.28</v>
      </c>
      <c r="E28" s="191" t="n">
        <v>2090</v>
      </c>
      <c r="F28" s="48" t="n">
        <f aca="false">$D28*t!$D$36/2/(1-e!V$20/2/100)</f>
        <v>572.329193329455</v>
      </c>
      <c r="G28" s="48" t="n">
        <f aca="false">$F28*2</f>
        <v>1144.65838665891</v>
      </c>
      <c r="H28" s="176" t="n">
        <f aca="false">(G28/4200/(2*D$17)/(60-30)*4/PI())^0.5</f>
        <v>0.0694227979701116</v>
      </c>
      <c r="I28" s="48" t="n">
        <f aca="false">(0.657/H28-0.058)*D$17^1.92/10000*E28*1.5</f>
        <v>4.18464832417771</v>
      </c>
      <c r="J28" s="48" t="n">
        <f aca="false">(0.657/H28-0.058)*(2*D$17)^1.92/10000*E28*1.5</f>
        <v>15.8356741837831</v>
      </c>
      <c r="K28" s="192" t="n">
        <f aca="false">I28*10^5*PI()/4*$H28^2*D$17/1000*2/0.75</f>
        <v>5.06877544919383</v>
      </c>
      <c r="L28" s="63" t="n">
        <f aca="false">J28*10^5*PI()/4*$H28^2*(2*D$17)/1000*2/0.75</f>
        <v>38.3628301859583</v>
      </c>
      <c r="M28" s="63" t="s">
        <v>123</v>
      </c>
      <c r="N28" s="193" t="n">
        <f aca="false">E28/D$17/3600</f>
        <v>0.483796296296296</v>
      </c>
      <c r="O28" s="193" t="n">
        <f aca="false">E28/(2*D$17)/3600</f>
        <v>0.241898148148148</v>
      </c>
      <c r="P28" s="48" t="n">
        <f aca="false">(50+20)*2*PI()*$G$16*E28/LN(1+$D$16*2/H28)/1000</f>
        <v>29.1385645969413</v>
      </c>
      <c r="Q28" s="48" t="n">
        <f aca="false">P28*24*180</f>
        <v>125878.599058786</v>
      </c>
      <c r="R28" s="63" t="n">
        <f aca="false">P28/F28*100</f>
        <v>5.09122458482875</v>
      </c>
      <c r="S28" s="193" t="n">
        <f aca="false">1-R28/100</f>
        <v>0.949087754151713</v>
      </c>
      <c r="T28" s="1" t="n">
        <v>8</v>
      </c>
    </row>
    <row r="29" customFormat="false" ht="14.3" hidden="false" customHeight="true" outlineLevel="0" collapsed="false">
      <c r="C29" s="1" t="n">
        <v>9</v>
      </c>
      <c r="D29" s="48" t="n">
        <f aca="false">D6</f>
        <v>169.7815</v>
      </c>
      <c r="E29" s="191" t="n">
        <v>1560</v>
      </c>
      <c r="F29" s="48" t="n">
        <f aca="false">$D29*t!$D$36/2/(1-e!V$20/2/100)</f>
        <v>213.431095012443</v>
      </c>
      <c r="G29" s="48" t="n">
        <f aca="false">$F29*2</f>
        <v>426.862190024886</v>
      </c>
      <c r="H29" s="176" t="n">
        <f aca="false">(G29/4200/(2*D$17)/(60-30)*4/PI())^0.5</f>
        <v>0.0423943528364385</v>
      </c>
      <c r="I29" s="48" t="n">
        <f aca="false">(0.657/H29-0.058)*D$17^1.92/10000*E29*1.5</f>
        <v>5.12711171108654</v>
      </c>
      <c r="J29" s="48" t="n">
        <f aca="false">(0.657/H29-0.058)*(2*D$17)^1.92/10000*E29*1.5</f>
        <v>19.4021729595591</v>
      </c>
      <c r="K29" s="192" t="n">
        <f aca="false">I29*10^5*PI()/4*$H29^2*D$17/1000*2/0.75</f>
        <v>2.31594723121338</v>
      </c>
      <c r="L29" s="63" t="n">
        <f aca="false">J29*10^5*PI()/4*$H29^2*(2*D$17)/1000*2/0.75</f>
        <v>17.5281567000191</v>
      </c>
      <c r="M29" s="63" t="s">
        <v>123</v>
      </c>
      <c r="N29" s="193" t="n">
        <f aca="false">E29/D$17/3600</f>
        <v>0.361111111111111</v>
      </c>
      <c r="O29" s="193" t="n">
        <f aca="false">E29/(2*D$17)/3600</f>
        <v>0.180555555555556</v>
      </c>
      <c r="P29" s="48" t="n">
        <f aca="false">(50+20)*2*PI()*$G$16*E29/LN(1+$D$16*2/H29)/1000</f>
        <v>16.457688585559</v>
      </c>
      <c r="Q29" s="48" t="n">
        <f aca="false">P29*24*180</f>
        <v>71097.2146896148</v>
      </c>
      <c r="R29" s="63" t="n">
        <f aca="false">P29/F29*100</f>
        <v>7.71100789442115</v>
      </c>
      <c r="S29" s="193" t="n">
        <f aca="false">1-R29/100</f>
        <v>0.922889921055789</v>
      </c>
      <c r="T29" s="1" t="n">
        <v>9</v>
      </c>
    </row>
    <row r="30" s="140" customFormat="true" ht="14.3" hidden="false" customHeight="true" outlineLevel="0" collapsed="false">
      <c r="C30" s="2" t="n">
        <v>10</v>
      </c>
      <c r="D30" s="186" t="n">
        <f aca="false">D6+D10+D7+D12</f>
        <v>1270.99</v>
      </c>
      <c r="E30" s="187" t="n">
        <v>4400</v>
      </c>
      <c r="F30" s="186" t="n">
        <f aca="false">$D30*t!$D$36/2/(1-e!V$20/2/100)</f>
        <v>1597.75233137806</v>
      </c>
      <c r="G30" s="186" t="n">
        <f aca="false">$F30*2</f>
        <v>3195.50466275612</v>
      </c>
      <c r="H30" s="188" t="n">
        <f aca="false">(G30/4200/(2*D$17)/(60-30)*4/PI())^0.5</f>
        <v>0.115993564265783</v>
      </c>
      <c r="I30" s="186" t="n">
        <f aca="false">(0.657/H30-0.058)*D$17^1.92/10000*E30*1.5</f>
        <v>5.25089504537261</v>
      </c>
      <c r="J30" s="186" t="n">
        <f aca="false">(0.657/H30-0.058)*(2*D$17)^1.92/10000*E30*1.5</f>
        <v>19.8705976393132</v>
      </c>
      <c r="K30" s="189" t="n">
        <f aca="false">I30*10^5*PI()/4*$H30^2*D$17/1000*2/0.75</f>
        <v>17.7558302657473</v>
      </c>
      <c r="L30" s="190" t="n">
        <f aca="false">J30*10^5*PI()/4*$H30^2*(2*D$17)/1000*2/0.75</f>
        <v>134.384311974976</v>
      </c>
      <c r="M30" s="190" t="s">
        <v>123</v>
      </c>
      <c r="N30" s="45" t="n">
        <f aca="false">E30/D$17/3600</f>
        <v>1.01851851851852</v>
      </c>
      <c r="O30" s="45" t="n">
        <f aca="false">E30/(2*D$17)/3600</f>
        <v>0.509259259259259</v>
      </c>
      <c r="P30" s="186" t="n">
        <f aca="false">(50+20)*2*PI()*$G$16*E30/LN(1+$D$16*2/H30)/1000</f>
        <v>85.5624458051513</v>
      </c>
      <c r="Q30" s="186" t="n">
        <f aca="false">P30*24*180</f>
        <v>369629.765878254</v>
      </c>
      <c r="R30" s="190" t="n">
        <f aca="false">P30/F30*100</f>
        <v>5.35517577566942</v>
      </c>
      <c r="S30" s="45" t="n">
        <f aca="false">1-R30/100</f>
        <v>0.946448242243306</v>
      </c>
      <c r="T30" s="2" t="n">
        <v>10</v>
      </c>
    </row>
    <row r="31" s="140" customFormat="true" ht="14.3" hidden="false" customHeight="true" outlineLevel="0" collapsed="false">
      <c r="C31" s="2" t="n">
        <v>11</v>
      </c>
      <c r="D31" s="186" t="n">
        <f aca="false">D5</f>
        <v>607.9885</v>
      </c>
      <c r="E31" s="187" t="n">
        <v>1360</v>
      </c>
      <c r="F31" s="186" t="n">
        <f aca="false">$D31*t!$D$36/2/(1-e!V$20/2/100)</f>
        <v>764.297943592043</v>
      </c>
      <c r="G31" s="186" t="n">
        <f aca="false">$F31*2</f>
        <v>1528.59588718409</v>
      </c>
      <c r="H31" s="188" t="n">
        <f aca="false">(G31/4200/(2*D$17)/(60-30)*4/PI())^0.5</f>
        <v>0.0802251447333964</v>
      </c>
      <c r="I31" s="186" t="n">
        <f aca="false">(0.657/H31-0.058)*D$17^1.92/10000*E31*1.5</f>
        <v>2.3541074470368</v>
      </c>
      <c r="J31" s="186" t="n">
        <f aca="false">(0.657/H31-0.058)*(2*D$17)^1.92/10000*E31*1.5</f>
        <v>8.90848540593135</v>
      </c>
      <c r="K31" s="189" t="n">
        <f aca="false">I31*10^5*PI()/4*$H31^2*D$17/1000*2/0.75</f>
        <v>3.80791424500517</v>
      </c>
      <c r="L31" s="190" t="n">
        <f aca="false">J31*10^5*PI()/4*$H31^2*(2*D$17)/1000*2/0.75</f>
        <v>28.8200511164997</v>
      </c>
      <c r="M31" s="190" t="s">
        <v>123</v>
      </c>
      <c r="N31" s="45" t="n">
        <f aca="false">E31/D$17/3600</f>
        <v>0.314814814814815</v>
      </c>
      <c r="O31" s="45" t="n">
        <f aca="false">E31/(2*D$17)/3600</f>
        <v>0.157407407407407</v>
      </c>
      <c r="P31" s="186" t="n">
        <f aca="false">(50+20)*2*PI()*$G$16*E31/LN(1+$D$16*2/H31)/1000</f>
        <v>20.7321204974062</v>
      </c>
      <c r="Q31" s="186" t="n">
        <f aca="false">P31*24*180</f>
        <v>89562.7605487949</v>
      </c>
      <c r="R31" s="190" t="n">
        <f aca="false">P31/F31*100</f>
        <v>2.71257049312072</v>
      </c>
      <c r="S31" s="45" t="n">
        <f aca="false">1-R31/100</f>
        <v>0.972874295068793</v>
      </c>
      <c r="T31" s="2" t="n">
        <v>11</v>
      </c>
    </row>
    <row r="32" customFormat="false" ht="14.3" hidden="false" customHeight="true" outlineLevel="0" collapsed="false">
      <c r="A32" s="173" t="s">
        <v>431</v>
      </c>
      <c r="B32" s="173"/>
      <c r="C32" s="194"/>
      <c r="D32" s="195" t="s">
        <v>1</v>
      </c>
      <c r="E32" s="195" t="n">
        <f aca="false">SUM(E21:E31)</f>
        <v>27670</v>
      </c>
      <c r="F32" s="195" t="n">
        <f aca="false">F21+F24+F30+F31</f>
        <v>9450.58580485263</v>
      </c>
      <c r="G32" s="170"/>
      <c r="H32" s="170"/>
      <c r="I32" s="170"/>
      <c r="J32" s="170"/>
      <c r="K32" s="196" t="n">
        <f aca="false">SUM(K21:K31)</f>
        <v>91.2852661294032</v>
      </c>
      <c r="L32" s="195" t="n">
        <f aca="false">SUM(L21:L31)</f>
        <v>690.888992440823</v>
      </c>
      <c r="M32" s="195" t="n">
        <f aca="false">K32*180*24</f>
        <v>394352.349679022</v>
      </c>
      <c r="N32" s="170"/>
      <c r="O32" s="170"/>
      <c r="P32" s="195" t="n">
        <f aca="false">SUM(P21:P31)</f>
        <v>466.286705161411</v>
      </c>
      <c r="Q32" s="195" t="n">
        <f aca="false">SUM(Q21:Q31)</f>
        <v>2014358.5662973</v>
      </c>
      <c r="R32" s="196" t="n">
        <f aca="false">P32/F32*100</f>
        <v>4.93394499335676</v>
      </c>
      <c r="S32" s="173"/>
      <c r="T32" s="173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customFormat="false" ht="14.3" hidden="false" customHeight="true" outlineLevel="0" collapsed="false">
      <c r="F33" s="48" t="s">
        <v>1</v>
      </c>
    </row>
    <row r="34" customFormat="false" ht="14.3" hidden="false" customHeight="true" outlineLevel="0" collapsed="false"/>
  </sheetData>
  <mergeCells count="1">
    <mergeCell ref="F5:F13"/>
  </mergeCells>
  <printOptions headings="true" gridLines="false" gridLinesSet="true" horizontalCentered="false" verticalCentered="false"/>
  <pageMargins left="0.7875" right="0.7875" top="1.025" bottom="1.025" header="0.7875" footer="0.7875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AB47F2D3-68AF-4EBD-A227-5B80D2FA8457}">
            <xm:f>10</xm:f>
            <x14:dxf>
              <font>
                <name val="FreeSans"/>
                <charset val="1"/>
                <family val="0"/>
              </font>
              <numFmt numFmtId="164" formatCode="General"/>
            </x14:dxf>
          </x14:cfRule>
          <xm:sqref>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J25"/>
  <sheetViews>
    <sheetView showFormulas="false" showGridLines="true" showRowColHeaders="true" showZeros="true" rightToLeft="false" tabSelected="true" showOutlineSymbols="true" defaultGridColor="true" view="normal" topLeftCell="A5" colorId="64" zoomScale="150" zoomScaleNormal="150" zoomScalePageLayoutView="100" workbookViewId="0">
      <selection pane="topLeft" activeCell="B26" activeCellId="0" sqref="B26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9" width="47.53"/>
    <col collapsed="false" customWidth="true" hidden="false" outlineLevel="0" max="2" min="2" style="9" width="9.02"/>
    <col collapsed="false" customWidth="true" hidden="false" outlineLevel="0" max="3" min="3" style="9" width="7.92"/>
    <col collapsed="false" customWidth="true" hidden="false" outlineLevel="0" max="4" min="4" style="9" width="10.77"/>
    <col collapsed="false" customWidth="true" hidden="false" outlineLevel="0" max="5" min="5" style="9" width="14.59"/>
    <col collapsed="false" customWidth="true" hidden="false" outlineLevel="0" max="6" min="6" style="9" width="10.07"/>
    <col collapsed="false" customWidth="true" hidden="false" outlineLevel="0" max="7" min="7" style="9" width="6.6"/>
    <col collapsed="false" customWidth="true" hidden="false" outlineLevel="0" max="8" min="8" style="9" width="11.98"/>
    <col collapsed="false" customWidth="true" hidden="false" outlineLevel="0" max="9" min="9" style="197" width="14.07"/>
    <col collapsed="false" customWidth="true" hidden="false" outlineLevel="0" max="10" min="10" style="197" width="10.8"/>
    <col collapsed="false" customWidth="true" hidden="false" outlineLevel="0" max="11" min="11" style="197" width="10.65"/>
    <col collapsed="false" customWidth="true" hidden="false" outlineLevel="0" max="12" min="12" style="197" width="8.94"/>
    <col collapsed="false" customWidth="true" hidden="false" outlineLevel="0" max="13" min="13" style="197" width="8.16"/>
    <col collapsed="false" customWidth="false" hidden="false" outlineLevel="0" max="14" min="14" style="197" width="11.52"/>
    <col collapsed="false" customWidth="false" hidden="false" outlineLevel="0" max="64" min="15" style="9" width="11.52"/>
  </cols>
  <sheetData>
    <row r="1" customFormat="false" ht="15" hidden="false" customHeight="false" outlineLevel="0" collapsed="false">
      <c r="A1" s="198" t="s">
        <v>432</v>
      </c>
      <c r="B1" s="199"/>
      <c r="C1" s="200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ALV1" s="198"/>
      <c r="ALW1" s="198"/>
      <c r="ALX1" s="198"/>
      <c r="ALY1" s="198"/>
      <c r="ALZ1" s="198"/>
      <c r="AMA1" s="198"/>
      <c r="AMB1" s="198"/>
      <c r="AMC1" s="198"/>
    </row>
    <row r="2" customFormat="false" ht="15" hidden="false" customHeight="false" outlineLevel="0" collapsed="false">
      <c r="A2" s="198"/>
      <c r="B2" s="199"/>
      <c r="C2" s="200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ALV2" s="198"/>
      <c r="ALW2" s="198"/>
      <c r="ALX2" s="198"/>
      <c r="ALY2" s="198"/>
      <c r="ALZ2" s="198"/>
      <c r="AMA2" s="198"/>
      <c r="AMB2" s="198"/>
      <c r="AMC2" s="198"/>
    </row>
    <row r="3" customFormat="false" ht="15" hidden="false" customHeight="false" outlineLevel="0" collapsed="false">
      <c r="A3" s="201" t="s">
        <v>433</v>
      </c>
      <c r="B3" s="202"/>
      <c r="C3" s="197"/>
      <c r="D3" s="197"/>
      <c r="E3" s="203"/>
      <c r="F3" s="197"/>
      <c r="G3" s="197"/>
      <c r="H3" s="197"/>
    </row>
    <row r="4" customFormat="false" ht="12.8" hidden="false" customHeight="false" outlineLevel="0" collapsed="false">
      <c r="A4" s="203" t="s">
        <v>434</v>
      </c>
      <c r="B4" s="202" t="n">
        <f aca="false">s!O34</f>
        <v>500.678571428572</v>
      </c>
      <c r="C4" s="197" t="s">
        <v>303</v>
      </c>
      <c r="D4" s="197"/>
      <c r="E4" s="203" t="s">
        <v>1</v>
      </c>
      <c r="F4" s="197"/>
      <c r="G4" s="197"/>
      <c r="H4" s="197"/>
    </row>
    <row r="5" customFormat="false" ht="12.8" hidden="false" customHeight="false" outlineLevel="0" collapsed="false">
      <c r="A5" s="9" t="s">
        <v>435</v>
      </c>
      <c r="B5" s="202" t="n">
        <f aca="false">s!O35</f>
        <v>6021.11949456843</v>
      </c>
      <c r="C5" s="197" t="s">
        <v>43</v>
      </c>
      <c r="D5" s="197"/>
      <c r="E5" s="9" t="s">
        <v>1</v>
      </c>
      <c r="F5" s="197"/>
      <c r="G5" s="197"/>
      <c r="H5" s="197"/>
    </row>
    <row r="6" customFormat="false" ht="12.8" hidden="false" customHeight="false" outlineLevel="0" collapsed="false">
      <c r="A6" s="203" t="s">
        <v>436</v>
      </c>
      <c r="B6" s="204" t="n">
        <f aca="false">s!O36</f>
        <v>77.5958729222658</v>
      </c>
      <c r="C6" s="197" t="s">
        <v>303</v>
      </c>
      <c r="D6" s="197"/>
      <c r="E6" s="203" t="s">
        <v>1</v>
      </c>
      <c r="F6" s="197"/>
      <c r="G6" s="197"/>
      <c r="H6" s="197"/>
    </row>
    <row r="7" customFormat="false" ht="12.8" hidden="false" customHeight="false" outlineLevel="0" collapsed="false">
      <c r="A7" s="203" t="s">
        <v>437</v>
      </c>
      <c r="B7" s="205" t="n">
        <v>0.9</v>
      </c>
      <c r="C7" s="197" t="s">
        <v>187</v>
      </c>
      <c r="D7" s="197"/>
      <c r="E7" s="197"/>
      <c r="F7" s="197"/>
      <c r="G7" s="197"/>
      <c r="H7" s="197"/>
    </row>
    <row r="8" customFormat="false" ht="12.8" hidden="false" customHeight="false" outlineLevel="0" collapsed="false">
      <c r="A8" s="203" t="s">
        <v>438</v>
      </c>
      <c r="B8" s="197" t="n">
        <f aca="false">2*B7</f>
        <v>1.8</v>
      </c>
      <c r="C8" s="197" t="s">
        <v>187</v>
      </c>
      <c r="D8" s="197"/>
      <c r="E8" s="197"/>
      <c r="F8" s="197"/>
      <c r="G8" s="197"/>
      <c r="H8" s="197"/>
    </row>
    <row r="9" customFormat="false" ht="12.8" hidden="false" customHeight="false" outlineLevel="0" collapsed="false">
      <c r="A9" s="203" t="s">
        <v>439</v>
      </c>
      <c r="B9" s="205" t="n">
        <v>60</v>
      </c>
      <c r="C9" s="197" t="s">
        <v>29</v>
      </c>
      <c r="D9" s="197"/>
      <c r="E9" s="197"/>
      <c r="F9" s="197"/>
      <c r="G9" s="197"/>
      <c r="H9" s="197"/>
    </row>
    <row r="10" customFormat="false" ht="12.8" hidden="false" customHeight="false" outlineLevel="0" collapsed="false">
      <c r="A10" s="203" t="s">
        <v>440</v>
      </c>
      <c r="B10" s="205" t="n">
        <v>30</v>
      </c>
      <c r="C10" s="197" t="s">
        <v>196</v>
      </c>
      <c r="D10" s="197"/>
      <c r="E10" s="197"/>
      <c r="F10" s="197"/>
      <c r="G10" s="197"/>
      <c r="H10" s="197"/>
    </row>
    <row r="11" customFormat="false" ht="12.8" hidden="false" customHeight="false" outlineLevel="0" collapsed="false">
      <c r="A11" s="203" t="s">
        <v>441</v>
      </c>
      <c r="B11" s="206" t="n">
        <v>0.1</v>
      </c>
      <c r="C11" s="197" t="s">
        <v>77</v>
      </c>
      <c r="D11" s="197" t="s">
        <v>1</v>
      </c>
      <c r="E11" s="136" t="s">
        <v>1</v>
      </c>
      <c r="F11" s="197" t="s">
        <v>1</v>
      </c>
      <c r="G11" s="197"/>
      <c r="H11" s="197"/>
    </row>
    <row r="12" customFormat="false" ht="12.8" hidden="false" customHeight="false" outlineLevel="0" collapsed="false">
      <c r="A12" s="203" t="s">
        <v>442</v>
      </c>
      <c r="B12" s="206" t="n">
        <v>0.035</v>
      </c>
      <c r="C12" s="197" t="s">
        <v>179</v>
      </c>
      <c r="D12" s="197"/>
      <c r="E12" s="197"/>
      <c r="F12" s="197"/>
      <c r="G12" s="197"/>
      <c r="H12" s="197"/>
      <c r="AMD12" s="9"/>
      <c r="AME12" s="9"/>
      <c r="AMF12" s="9"/>
      <c r="AMG12" s="9"/>
      <c r="AMH12" s="9"/>
      <c r="AMI12" s="9"/>
      <c r="AMJ12" s="9"/>
    </row>
    <row r="13" customFormat="false" ht="12.8" hidden="false" customHeight="false" outlineLevel="0" collapsed="false">
      <c r="A13" s="203"/>
      <c r="B13" s="197"/>
      <c r="C13" s="197"/>
      <c r="D13" s="197"/>
      <c r="E13" s="197"/>
      <c r="F13" s="197"/>
      <c r="G13" s="197"/>
      <c r="H13" s="207"/>
      <c r="I13" s="207"/>
      <c r="L13" s="207"/>
      <c r="AMD13" s="9"/>
      <c r="AME13" s="9"/>
      <c r="AMF13" s="9"/>
      <c r="AMG13" s="9"/>
      <c r="AMH13" s="9"/>
      <c r="AMI13" s="9"/>
      <c r="AMJ13" s="9"/>
    </row>
    <row r="14" customFormat="false" ht="52.45" hidden="false" customHeight="true" outlineLevel="0" collapsed="false">
      <c r="A14" s="208" t="s">
        <v>443</v>
      </c>
      <c r="B14" s="208" t="s">
        <v>444</v>
      </c>
      <c r="C14" s="208" t="s">
        <v>445</v>
      </c>
      <c r="D14" s="208" t="s">
        <v>446</v>
      </c>
      <c r="E14" s="208" t="s">
        <v>447</v>
      </c>
      <c r="F14" s="208" t="s">
        <v>448</v>
      </c>
      <c r="G14" s="208" t="s">
        <v>449</v>
      </c>
      <c r="H14" s="208" t="s">
        <v>450</v>
      </c>
      <c r="I14" s="208" t="s">
        <v>451</v>
      </c>
      <c r="J14" s="208" t="s">
        <v>452</v>
      </c>
      <c r="K14" s="208" t="s">
        <v>425</v>
      </c>
      <c r="L14" s="208" t="s">
        <v>453</v>
      </c>
      <c r="M14" s="208" t="s">
        <v>454</v>
      </c>
      <c r="N14" s="20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AMH14" s="9"/>
      <c r="AMI14" s="9"/>
      <c r="AMJ14" s="9"/>
    </row>
    <row r="15" customFormat="false" ht="14.95" hidden="false" customHeight="true" outlineLevel="0" collapsed="false">
      <c r="A15" s="211"/>
      <c r="B15" s="212"/>
      <c r="C15" s="212"/>
      <c r="D15" s="212"/>
      <c r="E15" s="212" t="s">
        <v>310</v>
      </c>
      <c r="F15" s="212" t="s">
        <v>303</v>
      </c>
      <c r="G15" s="212" t="s">
        <v>429</v>
      </c>
      <c r="H15" s="212" t="s">
        <v>429</v>
      </c>
      <c r="I15" s="213" t="s">
        <v>310</v>
      </c>
      <c r="J15" s="213" t="s">
        <v>455</v>
      </c>
      <c r="K15" s="213" t="s">
        <v>310</v>
      </c>
      <c r="L15" s="213" t="s">
        <v>107</v>
      </c>
      <c r="M15" s="208" t="s">
        <v>27</v>
      </c>
    </row>
    <row r="16" customFormat="false" ht="14.95" hidden="false" customHeight="true" outlineLevel="0" collapsed="false">
      <c r="A16" s="211"/>
      <c r="B16" s="207" t="n">
        <v>1</v>
      </c>
      <c r="C16" s="214" t="n">
        <f aca="false">B$4/2</f>
        <v>250.339285714286</v>
      </c>
      <c r="D16" s="214" t="n">
        <f aca="false">B$4/B$6/2</f>
        <v>3.22619330495929</v>
      </c>
      <c r="E16" s="215" t="n">
        <f aca="false">t!D$36*D$16*s!I$35*2/(1-e!V$20/2/100)</f>
        <v>90.5424889815692</v>
      </c>
      <c r="F16" s="216" t="n">
        <f aca="false">(E16*4/PI()/4.2/(60-30)/1000/B$8)^0.5</f>
        <v>0.0225454936359708</v>
      </c>
      <c r="G16" s="217" t="n">
        <f aca="false">0.216/(B$8*F16/((1.5556*EXP(-0.0318393*B$9)+0.2374))/10^(-6))^0.2*1/(F16)*B$8^2*(-0.0040125*B$9^2-0.028625*B$9+1000.3875)/2/100000</f>
        <v>0.0157153884534184</v>
      </c>
      <c r="H16" s="218" t="n">
        <f aca="false">G16*C$16*2</f>
        <v>7.8683582403026</v>
      </c>
      <c r="I16" s="219" t="n">
        <f aca="false">H16*10^5*PI()/4*F16^2*B$8/1000/0.75</f>
        <v>0.75388438018586</v>
      </c>
      <c r="J16" s="220" t="n">
        <f aca="false">C16/B$8</f>
        <v>139.077380952381</v>
      </c>
      <c r="K16" s="215" t="n">
        <f aca="false">(50+20)*2*PI()*B$12*C$16/LN(1+B$11*2/F16)/1000</f>
        <v>1.68312371588951</v>
      </c>
      <c r="L16" s="214" t="n">
        <f aca="false">K16*24*180</f>
        <v>7271.09445264267</v>
      </c>
      <c r="M16" s="218" t="n">
        <f aca="false">K16/E16*100</f>
        <v>1.85893245792274</v>
      </c>
    </row>
    <row r="17" customFormat="false" ht="14.95" hidden="false" customHeight="true" outlineLevel="0" collapsed="false">
      <c r="A17" s="211"/>
      <c r="B17" s="207" t="n">
        <v>2</v>
      </c>
      <c r="C17" s="214" t="n">
        <f aca="false">B$4</f>
        <v>500.678571428572</v>
      </c>
      <c r="D17" s="214" t="n">
        <f aca="false">B$4/B$6/2</f>
        <v>3.22619330495929</v>
      </c>
      <c r="E17" s="215" t="n">
        <f aca="false">t!D$36*D$16*s!I$35/(1-e!V$20/2/100)</f>
        <v>45.2712444907846</v>
      </c>
      <c r="F17" s="216" t="n">
        <f aca="false">(E17*4/PI()/4.2/(60-30)/1000/B$8)^0.5</f>
        <v>0.0159420714351931</v>
      </c>
      <c r="G17" s="217" t="n">
        <f aca="false">0.216/(B$8*F17/((1.5556*EXP(-0.0318393*B$9)+0.2374))/10^(-6))^0.2*1/(F17)*B$8^2*(-0.0040125*B$9^2-0.028625*B$9+1000.3875)/2/100000</f>
        <v>0.0238200746279925</v>
      </c>
      <c r="H17" s="218" t="n">
        <f aca="false">G17*C$16*2</f>
        <v>11.9262009360653</v>
      </c>
      <c r="I17" s="219" t="n">
        <f aca="false">H17*10^5*PI()/4*F17^2*B$8/1000/0.75</f>
        <v>0.571337522140565</v>
      </c>
      <c r="J17" s="220" t="n">
        <f aca="false">C17/B$8</f>
        <v>278.154761904762</v>
      </c>
      <c r="K17" s="215" t="n">
        <f aca="false">(50+20)*2*PI()*B$12*C$16/LN(1+B$11*2/F17)/1000</f>
        <v>1.47874216438906</v>
      </c>
      <c r="L17" s="214" t="n">
        <f aca="false">K17*24*180</f>
        <v>6388.16615016074</v>
      </c>
      <c r="M17" s="218" t="n">
        <f aca="false">K17/E17*100</f>
        <v>3.26640493545538</v>
      </c>
    </row>
    <row r="18" customFormat="false" ht="14.95" hidden="false" customHeight="true" outlineLevel="0" collapsed="false">
      <c r="A18" s="221"/>
      <c r="B18" s="222" t="s">
        <v>456</v>
      </c>
      <c r="C18" s="222"/>
      <c r="D18" s="222"/>
      <c r="E18" s="223"/>
      <c r="F18" s="224" t="s">
        <v>1</v>
      </c>
      <c r="G18" s="222"/>
      <c r="H18" s="225" t="n">
        <f aca="false">SUM(H16:H17)</f>
        <v>19.7945591763678</v>
      </c>
      <c r="I18" s="226" t="n">
        <f aca="false">SUM(I16:I17)</f>
        <v>1.32522190232642</v>
      </c>
      <c r="J18" s="222"/>
      <c r="K18" s="223" t="n">
        <f aca="false">SUM(K16:K17)</f>
        <v>3.16186588027856</v>
      </c>
      <c r="L18" s="227" t="n">
        <f aca="false">SUM(L16:L17)</f>
        <v>13659.2606028034</v>
      </c>
      <c r="M18" s="223" t="n">
        <f aca="false">K18/E16*100</f>
        <v>3.49213492565042</v>
      </c>
      <c r="N18" s="20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AMD18" s="210"/>
      <c r="AME18" s="210"/>
      <c r="AMF18" s="210"/>
      <c r="AMG18" s="210"/>
      <c r="AMH18" s="210"/>
      <c r="AMI18" s="210"/>
      <c r="AMJ18" s="210"/>
    </row>
    <row r="19" customFormat="false" ht="14.95" hidden="false" customHeight="true" outlineLevel="0" collapsed="false">
      <c r="A19" s="221"/>
      <c r="B19" s="222"/>
      <c r="C19" s="222"/>
      <c r="D19" s="222"/>
      <c r="E19" s="223"/>
      <c r="F19" s="224" t="s">
        <v>1</v>
      </c>
      <c r="G19" s="222"/>
      <c r="H19" s="227" t="s">
        <v>457</v>
      </c>
      <c r="I19" s="226"/>
      <c r="J19" s="222"/>
      <c r="K19" s="222"/>
      <c r="L19" s="227"/>
      <c r="M19" s="222"/>
      <c r="N19" s="20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AMD19" s="210"/>
      <c r="AME19" s="210"/>
      <c r="AMF19" s="210"/>
      <c r="AMG19" s="210"/>
      <c r="AMH19" s="210"/>
      <c r="AMI19" s="210"/>
      <c r="AMJ19" s="210"/>
    </row>
    <row r="20" customFormat="false" ht="14.95" hidden="false" customHeight="true" outlineLevel="0" collapsed="false">
      <c r="A20" s="211"/>
      <c r="E20" s="228"/>
      <c r="H20" s="80"/>
      <c r="I20" s="219"/>
      <c r="L20" s="214"/>
    </row>
    <row r="21" customFormat="false" ht="49.15" hidden="false" customHeight="true" outlineLevel="0" collapsed="false">
      <c r="A21" s="208" t="s">
        <v>458</v>
      </c>
      <c r="B21" s="208" t="s">
        <v>444</v>
      </c>
      <c r="C21" s="208" t="s">
        <v>445</v>
      </c>
      <c r="D21" s="208" t="s">
        <v>446</v>
      </c>
      <c r="E21" s="229" t="s">
        <v>459</v>
      </c>
      <c r="F21" s="208" t="s">
        <v>448</v>
      </c>
      <c r="G21" s="208" t="s">
        <v>449</v>
      </c>
      <c r="H21" s="208" t="s">
        <v>460</v>
      </c>
      <c r="I21" s="230" t="s">
        <v>451</v>
      </c>
      <c r="J21" s="208" t="s">
        <v>452</v>
      </c>
      <c r="K21" s="208" t="s">
        <v>425</v>
      </c>
      <c r="L21" s="208" t="s">
        <v>453</v>
      </c>
      <c r="M21" s="208" t="s">
        <v>454</v>
      </c>
      <c r="N21" s="20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AMH21" s="9"/>
      <c r="AMI21" s="9"/>
      <c r="AMJ21" s="9"/>
    </row>
    <row r="22" customFormat="false" ht="12.8" hidden="false" customHeight="false" outlineLevel="0" collapsed="false">
      <c r="B22" s="212"/>
      <c r="C22" s="212"/>
      <c r="D22" s="212"/>
      <c r="E22" s="231" t="s">
        <v>310</v>
      </c>
      <c r="F22" s="212" t="s">
        <v>303</v>
      </c>
      <c r="G22" s="212" t="s">
        <v>429</v>
      </c>
      <c r="H22" s="212" t="s">
        <v>429</v>
      </c>
      <c r="I22" s="232" t="s">
        <v>310</v>
      </c>
      <c r="J22" s="213" t="s">
        <v>455</v>
      </c>
      <c r="K22" s="213" t="s">
        <v>310</v>
      </c>
      <c r="L22" s="233" t="s">
        <v>107</v>
      </c>
      <c r="M22" s="208" t="s">
        <v>27</v>
      </c>
    </row>
    <row r="23" customFormat="false" ht="12.8" hidden="false" customHeight="false" outlineLevel="0" collapsed="false">
      <c r="B23" s="207" t="n">
        <v>1</v>
      </c>
      <c r="C23" s="214" t="n">
        <f aca="false">B$4/2</f>
        <v>250.339285714286</v>
      </c>
      <c r="D23" s="214" t="n">
        <f aca="false">B$4/B$6/2</f>
        <v>3.22619330495929</v>
      </c>
      <c r="E23" s="215" t="n">
        <f aca="false">t!D$36/2*D$16*s!I$35*2/(1-e!V$20/2/100)</f>
        <v>45.2712444907846</v>
      </c>
      <c r="F23" s="216" t="n">
        <f aca="false">(E16*4/PI()/4.2/(60-30)/1000/B$8)^0.5</f>
        <v>0.0225454936359708</v>
      </c>
      <c r="G23" s="217" t="n">
        <f aca="false">0.216/((B$8/2)*F16/((1.5556*EXP(-0.0318393*B$9)+0.2374))/10^(-6))^0.2*1/(F16)*(B$8/2)^2*(-0.0040125*B$9^2-0.028625*B$9+1000.3875)/2/100000</f>
        <v>0.00451306021614528</v>
      </c>
      <c r="H23" s="218" t="n">
        <f aca="false">G23*C$16*2</f>
        <v>2.25959254179074</v>
      </c>
      <c r="I23" s="219" t="n">
        <f aca="false">H23*10^5*PI()/4*F23^2*B$8/1000/0.75</f>
        <v>0.216496436844364</v>
      </c>
      <c r="J23" s="220" t="n">
        <f aca="false">C23/B$8*2</f>
        <v>278.154761904762</v>
      </c>
      <c r="K23" s="215" t="n">
        <f aca="false">(50+20)*2*PI()*B$12*C$16/LN(1+B$11*2/F23)/1000</f>
        <v>1.68312371588951</v>
      </c>
      <c r="L23" s="214" t="n">
        <f aca="false">K23*24*180</f>
        <v>7271.09445264267</v>
      </c>
      <c r="M23" s="218" t="n">
        <f aca="false">K23/E23*100</f>
        <v>3.71786491584547</v>
      </c>
    </row>
    <row r="24" customFormat="false" ht="12.8" hidden="false" customHeight="false" outlineLevel="0" collapsed="false">
      <c r="B24" s="207" t="n">
        <v>2</v>
      </c>
      <c r="C24" s="214" t="n">
        <f aca="false">B$4</f>
        <v>500.678571428572</v>
      </c>
      <c r="D24" s="214" t="n">
        <f aca="false">B$4/B$6/2</f>
        <v>3.22619330495929</v>
      </c>
      <c r="E24" s="215" t="n">
        <f aca="false">t!D$36/2*D$16*s!I$35/(1-e!V$20/2/100)</f>
        <v>22.6356222453923</v>
      </c>
      <c r="F24" s="216" t="n">
        <f aca="false">(E17*4/PI()/4.2/(60-30)/1000/B$8)^0.5</f>
        <v>0.0159420714351931</v>
      </c>
      <c r="G24" s="217" t="n">
        <f aca="false">0.216/((B$8/2)*F17/((1.5556*EXP(-0.0318393*B$9)+0.2374))/10^(-6))^0.2*1/(F17)*(B$8/2)^2*(-0.0040125*B$9^2-0.028625*B$9+1000.3875)/2/100000</f>
        <v>0.00684052013527039</v>
      </c>
      <c r="H24" s="218" t="n">
        <f aca="false">G24*C$16*2</f>
        <v>3.42490184915556</v>
      </c>
      <c r="I24" s="219" t="n">
        <f aca="false">H24*10^5*PI()/4*F24^2*B$8/1000/0.75</f>
        <v>0.164073617957737</v>
      </c>
      <c r="J24" s="220" t="n">
        <f aca="false">C24/B$8*2</f>
        <v>556.309523809524</v>
      </c>
      <c r="K24" s="215" t="n">
        <f aca="false">(50+20)*2*PI()*B$12*C$16/LN(1+B$11*2/F24)/1000</f>
        <v>1.47874216438906</v>
      </c>
      <c r="L24" s="214" t="n">
        <f aca="false">K24*24*180</f>
        <v>6388.16615016074</v>
      </c>
      <c r="M24" s="218" t="n">
        <f aca="false">K24/E24*100</f>
        <v>6.53280987091076</v>
      </c>
    </row>
    <row r="25" customFormat="false" ht="12.8" hidden="false" customHeight="false" outlineLevel="0" collapsed="false">
      <c r="A25" s="210"/>
      <c r="B25" s="222" t="s">
        <v>456</v>
      </c>
      <c r="C25" s="222"/>
      <c r="D25" s="222"/>
      <c r="E25" s="222"/>
      <c r="F25" s="224" t="s">
        <v>1</v>
      </c>
      <c r="G25" s="222"/>
      <c r="H25" s="225" t="n">
        <f aca="false">SUM(H23:H24)</f>
        <v>5.6844943909463</v>
      </c>
      <c r="I25" s="226" t="n">
        <f aca="false">SUM(I23:I24)</f>
        <v>0.380570054802101</v>
      </c>
      <c r="J25" s="222"/>
      <c r="K25" s="223" t="n">
        <f aca="false">SUM(K23:K24)</f>
        <v>3.16186588027856</v>
      </c>
      <c r="L25" s="227" t="n">
        <f aca="false">SUM(L23:L24)</f>
        <v>13659.2606028034</v>
      </c>
      <c r="M25" s="223" t="n">
        <f aca="false">K25/E23*100</f>
        <v>6.98426985130085</v>
      </c>
      <c r="N25" s="20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AMD25" s="210"/>
      <c r="AME25" s="210"/>
      <c r="AMF25" s="210"/>
      <c r="AMG25" s="210"/>
      <c r="AMH25" s="210"/>
      <c r="AMI25" s="210"/>
      <c r="AMJ25" s="210"/>
    </row>
  </sheetData>
  <printOptions headings="true" gridLines="false" gridLinesSet="true" horizontalCentered="false" verticalCentered="false"/>
  <pageMargins left="0.7875" right="0.7875" top="1.025" bottom="1.025" header="0.7875" footer="0.7875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LQ8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T96" activeCellId="0" sqref="T96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53" width="4.46"/>
    <col collapsed="false" customWidth="true" hidden="false" outlineLevel="0" max="2" min="2" style="1" width="3.61"/>
    <col collapsed="false" customWidth="true" hidden="false" outlineLevel="0" max="3" min="3" style="1" width="13.06"/>
    <col collapsed="false" customWidth="true" hidden="false" outlineLevel="0" max="6" min="4" style="1" width="7.54"/>
    <col collapsed="false" customWidth="true" hidden="false" outlineLevel="0" max="7" min="7" style="1" width="10.2"/>
    <col collapsed="false" customWidth="true" hidden="false" outlineLevel="0" max="10" min="8" style="180" width="7.54"/>
    <col collapsed="false" customWidth="true" hidden="false" outlineLevel="0" max="11" min="11" style="180" width="4.18"/>
    <col collapsed="false" customWidth="true" hidden="false" outlineLevel="0" max="12" min="12" style="180" width="4.46"/>
    <col collapsed="false" customWidth="true" hidden="false" outlineLevel="0" max="13" min="13" style="180" width="8.83"/>
    <col collapsed="false" customWidth="true" hidden="false" outlineLevel="0" max="14" min="14" style="180" width="4.27"/>
    <col collapsed="false" customWidth="true" hidden="false" outlineLevel="0" max="15" min="15" style="1" width="4.27"/>
    <col collapsed="false" customWidth="true" hidden="false" outlineLevel="0" max="16" min="16" style="1" width="6.64"/>
    <col collapsed="false" customWidth="true" hidden="false" outlineLevel="0" max="17" min="17" style="1" width="7.64"/>
    <col collapsed="false" customWidth="true" hidden="false" outlineLevel="0" max="18" min="18" style="1" width="8.99"/>
    <col collapsed="false" customWidth="true" hidden="false" outlineLevel="0" max="19" min="19" style="1" width="6.16"/>
    <col collapsed="false" customWidth="true" hidden="false" outlineLevel="0" max="20" min="20" style="51" width="12.22"/>
    <col collapsed="false" customWidth="true" hidden="false" outlineLevel="0" max="21" min="21" style="51" width="16.26"/>
    <col collapsed="false" customWidth="false" hidden="false" outlineLevel="0" max="64" min="22" style="1" width="11.52"/>
    <col collapsed="false" customWidth="false" hidden="false" outlineLevel="0" max="1024" min="1009" style="10" width="11.52"/>
  </cols>
  <sheetData>
    <row r="1" customFormat="false" ht="21.4" hidden="false" customHeight="true" outlineLevel="0" collapsed="false">
      <c r="A1" s="234" t="s">
        <v>461</v>
      </c>
      <c r="B1" s="234" t="s">
        <v>462</v>
      </c>
      <c r="C1" s="234" t="s">
        <v>101</v>
      </c>
      <c r="D1" s="234" t="s">
        <v>463</v>
      </c>
      <c r="E1" s="234" t="s">
        <v>464</v>
      </c>
      <c r="F1" s="234" t="s">
        <v>465</v>
      </c>
      <c r="G1" s="234" t="s">
        <v>466</v>
      </c>
      <c r="H1" s="234" t="s">
        <v>467</v>
      </c>
      <c r="I1" s="234" t="s">
        <v>468</v>
      </c>
      <c r="J1" s="234" t="s">
        <v>469</v>
      </c>
      <c r="K1" s="234" t="s">
        <v>470</v>
      </c>
      <c r="L1" s="234" t="s">
        <v>470</v>
      </c>
      <c r="M1" s="234" t="s">
        <v>471</v>
      </c>
      <c r="N1" s="234" t="s">
        <v>77</v>
      </c>
      <c r="O1" s="234" t="s">
        <v>77</v>
      </c>
      <c r="P1" s="234" t="s">
        <v>43</v>
      </c>
      <c r="Q1" s="235" t="s">
        <v>472</v>
      </c>
      <c r="R1" s="180"/>
      <c r="T1" s="16" t="s">
        <v>473</v>
      </c>
      <c r="V1" s="61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ALO1" s="236"/>
      <c r="ALP1" s="236"/>
      <c r="ALQ1" s="236"/>
    </row>
    <row r="2" customFormat="false" ht="9.1" hidden="false" customHeight="true" outlineLevel="0" collapsed="false">
      <c r="A2" s="53" t="n">
        <v>11</v>
      </c>
      <c r="B2" s="1" t="n">
        <v>1</v>
      </c>
      <c r="C2" s="53" t="s">
        <v>398</v>
      </c>
      <c r="D2" s="53" t="n">
        <v>641</v>
      </c>
      <c r="E2" s="142" t="n">
        <f aca="false">I2*I$35</f>
        <v>552.547884187082</v>
      </c>
      <c r="F2" s="142" t="n">
        <v>641</v>
      </c>
      <c r="G2" s="142" t="n">
        <f aca="false">F2*0.9485</f>
        <v>607.9885</v>
      </c>
      <c r="H2" s="53" t="n">
        <v>22</v>
      </c>
      <c r="I2" s="53" t="n">
        <v>99</v>
      </c>
      <c r="J2" s="53" t="n">
        <v>93</v>
      </c>
      <c r="K2" s="53" t="n">
        <v>244</v>
      </c>
      <c r="L2" s="53" t="n">
        <v>609</v>
      </c>
      <c r="M2" s="53" t="n">
        <v>1</v>
      </c>
      <c r="N2" s="142" t="n">
        <f aca="false">IF(M2=1,K2*50/35,K2*30/42)</f>
        <v>348.571428571429</v>
      </c>
      <c r="O2" s="142" t="n">
        <f aca="false">IF(M2=1,L2*50/35,L2*30/42)</f>
        <v>870</v>
      </c>
      <c r="P2" s="142" t="n">
        <f aca="false">N2*O2</f>
        <v>303257.142857143</v>
      </c>
      <c r="Q2" s="142"/>
      <c r="R2" s="180"/>
      <c r="T2" s="57" t="s">
        <v>474</v>
      </c>
      <c r="U2" s="57"/>
      <c r="V2" s="6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ALO2" s="236"/>
      <c r="ALP2" s="236"/>
      <c r="ALQ2" s="236"/>
    </row>
    <row r="3" customFormat="false" ht="9.1" hidden="false" customHeight="true" outlineLevel="0" collapsed="false">
      <c r="A3" s="53" t="n">
        <v>12</v>
      </c>
      <c r="C3" s="53" t="s">
        <v>398</v>
      </c>
      <c r="D3" s="53"/>
      <c r="E3" s="53"/>
      <c r="F3" s="53"/>
      <c r="G3" s="142" t="s">
        <v>1</v>
      </c>
      <c r="H3" s="53"/>
      <c r="I3" s="53"/>
      <c r="J3" s="53"/>
      <c r="K3" s="53" t="n">
        <v>900</v>
      </c>
      <c r="L3" s="53" t="n">
        <v>64</v>
      </c>
      <c r="M3" s="53" t="n">
        <v>1</v>
      </c>
      <c r="N3" s="142" t="n">
        <f aca="false">IF(M3=1,K3*50/35,K3*30/42)</f>
        <v>1285.71428571429</v>
      </c>
      <c r="O3" s="142" t="n">
        <f aca="false">IF(M3=1,L3*50/35,L3*30/42)</f>
        <v>91.4285714285714</v>
      </c>
      <c r="P3" s="142" t="n">
        <f aca="false">N3*O3</f>
        <v>117551.020408163</v>
      </c>
      <c r="Q3" s="142"/>
      <c r="R3" s="180"/>
      <c r="T3" s="68" t="s">
        <v>398</v>
      </c>
      <c r="U3" s="68"/>
      <c r="V3" s="6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ALO3" s="236"/>
      <c r="ALP3" s="236"/>
      <c r="ALQ3" s="236"/>
    </row>
    <row r="4" customFormat="false" ht="9.1" hidden="false" customHeight="true" outlineLevel="0" collapsed="false">
      <c r="A4" s="53" t="n">
        <v>13</v>
      </c>
      <c r="C4" s="53" t="s">
        <v>398</v>
      </c>
      <c r="D4" s="53"/>
      <c r="E4" s="53"/>
      <c r="F4" s="53"/>
      <c r="G4" s="142" t="s">
        <v>1</v>
      </c>
      <c r="H4" s="53"/>
      <c r="I4" s="53"/>
      <c r="J4" s="53"/>
      <c r="K4" s="53" t="n">
        <v>244</v>
      </c>
      <c r="L4" s="53" t="n">
        <v>145</v>
      </c>
      <c r="M4" s="53" t="n">
        <v>1</v>
      </c>
      <c r="N4" s="142" t="n">
        <f aca="false">IF(M4=1,K4*50/35,K4*30/42)</f>
        <v>348.571428571429</v>
      </c>
      <c r="O4" s="142" t="n">
        <f aca="false">IF(M4=1,L4*50/35,L4*30/42)</f>
        <v>207.142857142857</v>
      </c>
      <c r="P4" s="142" t="n">
        <f aca="false">N4*O4</f>
        <v>72204.0816326531</v>
      </c>
      <c r="Q4" s="142"/>
      <c r="R4" s="180"/>
      <c r="T4" s="68" t="s">
        <v>475</v>
      </c>
      <c r="U4" s="68" t="s">
        <v>476</v>
      </c>
      <c r="V4" s="6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ALO4" s="236"/>
      <c r="ALP4" s="236"/>
      <c r="ALQ4" s="236"/>
    </row>
    <row r="5" customFormat="false" ht="9.1" hidden="false" customHeight="true" outlineLevel="0" collapsed="false">
      <c r="A5" s="53" t="n">
        <v>14</v>
      </c>
      <c r="C5" s="53" t="s">
        <v>398</v>
      </c>
      <c r="D5" s="53"/>
      <c r="E5" s="53"/>
      <c r="F5" s="53"/>
      <c r="G5" s="142" t="s">
        <v>1</v>
      </c>
      <c r="H5" s="53"/>
      <c r="I5" s="53"/>
      <c r="J5" s="53"/>
      <c r="K5" s="53" t="n">
        <v>630</v>
      </c>
      <c r="L5" s="53" t="n">
        <v>272</v>
      </c>
      <c r="M5" s="53" t="n">
        <v>1</v>
      </c>
      <c r="N5" s="142" t="n">
        <f aca="false">IF(M5=1,K5*50/35,K5*30/42)</f>
        <v>900</v>
      </c>
      <c r="O5" s="142" t="n">
        <f aca="false">IF(M5=1,L5*50/35,L5*30/42)</f>
        <v>388.571428571429</v>
      </c>
      <c r="P5" s="142" t="n">
        <f aca="false">N5*O5</f>
        <v>349714.285714286</v>
      </c>
      <c r="Q5" s="142"/>
      <c r="R5" s="180"/>
      <c r="T5" s="68" t="s">
        <v>477</v>
      </c>
      <c r="U5" s="68" t="s">
        <v>478</v>
      </c>
      <c r="V5" s="61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ALO5" s="236"/>
      <c r="ALP5" s="236"/>
      <c r="ALQ5" s="236"/>
    </row>
    <row r="6" customFormat="false" ht="9.1" hidden="false" customHeight="true" outlineLevel="0" collapsed="false">
      <c r="A6" s="53" t="n">
        <v>15</v>
      </c>
      <c r="C6" s="53" t="s">
        <v>398</v>
      </c>
      <c r="D6" s="53"/>
      <c r="E6" s="53"/>
      <c r="F6" s="53"/>
      <c r="G6" s="142" t="s">
        <v>1</v>
      </c>
      <c r="H6" s="53"/>
      <c r="I6" s="53"/>
      <c r="J6" s="53"/>
      <c r="K6" s="53" t="n">
        <v>110</v>
      </c>
      <c r="L6" s="53" t="n">
        <v>350</v>
      </c>
      <c r="M6" s="53" t="n">
        <v>1</v>
      </c>
      <c r="N6" s="142" t="n">
        <f aca="false">IF(M6=1,K6*50/35,K6*30/42)</f>
        <v>157.142857142857</v>
      </c>
      <c r="O6" s="142" t="n">
        <f aca="false">IF(M6=1,L6*50/35,L6*30/42)</f>
        <v>500</v>
      </c>
      <c r="P6" s="142" t="n">
        <f aca="false">N6*O6</f>
        <v>78571.4285714286</v>
      </c>
      <c r="Q6" s="142" t="n">
        <f aca="false">SUM(P2:P6)</f>
        <v>921297.959183673</v>
      </c>
      <c r="R6" s="180"/>
      <c r="T6" s="68" t="s">
        <v>479</v>
      </c>
      <c r="U6" s="68" t="s">
        <v>480</v>
      </c>
      <c r="V6" s="61" t="n">
        <v>26.69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ALO6" s="236"/>
      <c r="ALP6" s="236"/>
      <c r="ALQ6" s="236"/>
    </row>
    <row r="7" customFormat="false" ht="9.1" hidden="false" customHeight="true" outlineLevel="0" collapsed="false">
      <c r="A7" s="237" t="n">
        <v>21</v>
      </c>
      <c r="B7" s="238" t="n">
        <v>2</v>
      </c>
      <c r="C7" s="237" t="s">
        <v>400</v>
      </c>
      <c r="D7" s="237" t="n">
        <v>452</v>
      </c>
      <c r="E7" s="239" t="n">
        <f aca="false">I7*I$35</f>
        <v>178.601336302895</v>
      </c>
      <c r="F7" s="239" t="n">
        <v>179</v>
      </c>
      <c r="G7" s="239" t="n">
        <f aca="false">F7*0.9485</f>
        <v>169.7815</v>
      </c>
      <c r="H7" s="237" t="n">
        <v>19</v>
      </c>
      <c r="I7" s="237" t="n">
        <v>32</v>
      </c>
      <c r="J7" s="237" t="n">
        <v>24</v>
      </c>
      <c r="K7" s="237" t="n">
        <v>430</v>
      </c>
      <c r="L7" s="237" t="n">
        <v>360</v>
      </c>
      <c r="M7" s="237" t="n">
        <v>1</v>
      </c>
      <c r="N7" s="239" t="n">
        <f aca="false">IF(M7=1,K7*50/35,K7*30/42)</f>
        <v>614.285714285714</v>
      </c>
      <c r="O7" s="239" t="n">
        <f aca="false">IF(M7=1,L7*50/35,L7*30/42)</f>
        <v>514.285714285714</v>
      </c>
      <c r="P7" s="239" t="n">
        <f aca="false">N7*O7</f>
        <v>315918.367346939</v>
      </c>
      <c r="Q7" s="239" t="n">
        <f aca="false">SUM(P7:P7)</f>
        <v>315918.367346939</v>
      </c>
      <c r="R7" s="180"/>
      <c r="T7" s="68" t="s">
        <v>481</v>
      </c>
      <c r="U7" s="68" t="s">
        <v>482</v>
      </c>
      <c r="V7" s="61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ALO7" s="236"/>
      <c r="ALP7" s="236"/>
      <c r="ALQ7" s="236"/>
    </row>
    <row r="8" customFormat="false" ht="9.1" hidden="false" customHeight="true" outlineLevel="0" collapsed="false">
      <c r="A8" s="53" t="n">
        <v>31</v>
      </c>
      <c r="B8" s="1" t="n">
        <v>3</v>
      </c>
      <c r="C8" s="53" t="s">
        <v>401</v>
      </c>
      <c r="D8" s="53" t="s">
        <v>1</v>
      </c>
      <c r="E8" s="142" t="n">
        <f aca="false">I8*I$35</f>
        <v>323.714922048998</v>
      </c>
      <c r="F8" s="142" t="n">
        <v>324</v>
      </c>
      <c r="G8" s="142" t="n">
        <f aca="false">F8*0.9485</f>
        <v>307.314</v>
      </c>
      <c r="H8" s="53" t="n">
        <v>16</v>
      </c>
      <c r="I8" s="53" t="n">
        <v>58</v>
      </c>
      <c r="J8" s="53" t="n">
        <v>44</v>
      </c>
      <c r="K8" s="53" t="n">
        <v>390</v>
      </c>
      <c r="L8" s="53" t="n">
        <v>390</v>
      </c>
      <c r="M8" s="53" t="n">
        <v>2</v>
      </c>
      <c r="N8" s="142" t="n">
        <f aca="false">IF(M8=1,K8*50/35,K8*30/42)</f>
        <v>278.571428571429</v>
      </c>
      <c r="O8" s="142" t="n">
        <f aca="false">IF(M8=1,L8*50/35,L8*30/42)</f>
        <v>278.571428571429</v>
      </c>
      <c r="P8" s="142" t="n">
        <f aca="false">N8*O8</f>
        <v>77602.0408163265</v>
      </c>
      <c r="Q8" s="142" t="s">
        <v>1</v>
      </c>
      <c r="R8" s="180"/>
      <c r="T8" s="68" t="s">
        <v>483</v>
      </c>
      <c r="U8" s="68" t="s">
        <v>484</v>
      </c>
      <c r="V8" s="61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ALO8" s="236"/>
      <c r="ALP8" s="236"/>
      <c r="ALQ8" s="236"/>
    </row>
    <row r="9" customFormat="false" ht="9.1" hidden="false" customHeight="true" outlineLevel="0" collapsed="false">
      <c r="A9" s="53" t="n">
        <v>32</v>
      </c>
      <c r="C9" s="53" t="s">
        <v>401</v>
      </c>
      <c r="D9" s="53" t="s">
        <v>1</v>
      </c>
      <c r="E9" s="53"/>
      <c r="F9" s="53"/>
      <c r="G9" s="142" t="s">
        <v>1</v>
      </c>
      <c r="H9" s="53"/>
      <c r="I9" s="53"/>
      <c r="J9" s="53"/>
      <c r="K9" s="53" t="n">
        <v>620</v>
      </c>
      <c r="L9" s="53" t="n">
        <v>540</v>
      </c>
      <c r="M9" s="53" t="n">
        <v>2</v>
      </c>
      <c r="N9" s="142" t="n">
        <f aca="false">IF(M9=1,K9*50/35,K9*30/42)</f>
        <v>442.857142857143</v>
      </c>
      <c r="O9" s="142" t="n">
        <f aca="false">IF(M9=1,L9*50/35,L9*30/42)</f>
        <v>385.714285714286</v>
      </c>
      <c r="P9" s="142" t="n">
        <f aca="false">N9*O9</f>
        <v>170816.326530612</v>
      </c>
      <c r="Q9" s="142" t="n">
        <f aca="false">SUM(P8:P9)</f>
        <v>248418.367346939</v>
      </c>
      <c r="R9" s="180"/>
      <c r="T9" s="68" t="s">
        <v>485</v>
      </c>
      <c r="U9" s="68" t="n">
        <v>17207</v>
      </c>
      <c r="V9" s="61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ALO9" s="236"/>
      <c r="ALP9" s="236"/>
      <c r="ALQ9" s="236"/>
    </row>
    <row r="10" customFormat="false" ht="9.1" hidden="false" customHeight="true" outlineLevel="0" collapsed="false">
      <c r="A10" s="237" t="n">
        <v>41</v>
      </c>
      <c r="B10" s="238" t="n">
        <v>4</v>
      </c>
      <c r="C10" s="237" t="s">
        <v>402</v>
      </c>
      <c r="D10" s="237" t="n">
        <v>317</v>
      </c>
      <c r="E10" s="239" t="n">
        <f aca="false">I10*I$35</f>
        <v>396.271714922049</v>
      </c>
      <c r="F10" s="239" t="n">
        <v>317</v>
      </c>
      <c r="G10" s="239" t="n">
        <f aca="false">F10*0.9485</f>
        <v>300.6745</v>
      </c>
      <c r="H10" s="237" t="n">
        <v>11</v>
      </c>
      <c r="I10" s="237" t="n">
        <v>71</v>
      </c>
      <c r="J10" s="237" t="n">
        <v>52</v>
      </c>
      <c r="K10" s="237" t="n">
        <v>200</v>
      </c>
      <c r="L10" s="237" t="n">
        <v>590</v>
      </c>
      <c r="M10" s="237" t="n">
        <v>1</v>
      </c>
      <c r="N10" s="239" t="n">
        <f aca="false">IF(M10=1,K10*50/35,K10*30/42)</f>
        <v>285.714285714286</v>
      </c>
      <c r="O10" s="239" t="n">
        <f aca="false">IF(M10=1,L10*50/35,L10*30/42)</f>
        <v>842.857142857143</v>
      </c>
      <c r="P10" s="239" t="n">
        <f aca="false">N10*O10</f>
        <v>240816.326530612</v>
      </c>
      <c r="Q10" s="239" t="s">
        <v>1</v>
      </c>
      <c r="R10" s="180"/>
      <c r="T10" s="68" t="s">
        <v>486</v>
      </c>
      <c r="U10" s="68" t="n">
        <v>39931</v>
      </c>
      <c r="V10" s="6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ALO10" s="236"/>
      <c r="ALP10" s="236"/>
      <c r="ALQ10" s="236"/>
    </row>
    <row r="11" customFormat="false" ht="9.1" hidden="false" customHeight="true" outlineLevel="0" collapsed="false">
      <c r="A11" s="237" t="n">
        <v>42</v>
      </c>
      <c r="B11" s="238"/>
      <c r="C11" s="237" t="s">
        <v>402</v>
      </c>
      <c r="D11" s="237"/>
      <c r="E11" s="237"/>
      <c r="F11" s="237"/>
      <c r="G11" s="239" t="s">
        <v>1</v>
      </c>
      <c r="H11" s="237"/>
      <c r="I11" s="237"/>
      <c r="J11" s="237"/>
      <c r="K11" s="237" t="n">
        <v>170</v>
      </c>
      <c r="L11" s="237" t="n">
        <v>750</v>
      </c>
      <c r="M11" s="237" t="n">
        <v>1</v>
      </c>
      <c r="N11" s="239" t="n">
        <f aca="false">IF(M11=1,K11*50/35,K11*30/42)</f>
        <v>242.857142857143</v>
      </c>
      <c r="O11" s="239" t="n">
        <f aca="false">IF(M11=1,L11*50/35,L11*30/42)</f>
        <v>1071.42857142857</v>
      </c>
      <c r="P11" s="239" t="n">
        <f aca="false">N11*O11</f>
        <v>260204.081632653</v>
      </c>
      <c r="Q11" s="239" t="n">
        <f aca="false">SUM(P10:P11)</f>
        <v>501020.408163265</v>
      </c>
      <c r="R11" s="180"/>
      <c r="T11" s="68"/>
      <c r="U11" s="68"/>
      <c r="V11" s="61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ALO11" s="236"/>
      <c r="ALP11" s="236"/>
      <c r="ALQ11" s="236"/>
    </row>
    <row r="12" customFormat="false" ht="9.1" hidden="false" customHeight="true" outlineLevel="0" collapsed="false">
      <c r="A12" s="53" t="n">
        <v>51</v>
      </c>
      <c r="B12" s="1" t="n">
        <v>5</v>
      </c>
      <c r="C12" s="53" t="s">
        <v>403</v>
      </c>
      <c r="D12" s="53" t="n">
        <v>103</v>
      </c>
      <c r="E12" s="142" t="n">
        <f aca="false">I12*I$35</f>
        <v>184.182628062361</v>
      </c>
      <c r="F12" s="142" t="n">
        <v>103</v>
      </c>
      <c r="G12" s="142" t="n">
        <f aca="false">F12*0.9485</f>
        <v>97.6955</v>
      </c>
      <c r="H12" s="53" t="n">
        <v>14</v>
      </c>
      <c r="I12" s="53" t="n">
        <v>33</v>
      </c>
      <c r="J12" s="53" t="n">
        <v>23</v>
      </c>
      <c r="K12" s="53" t="n">
        <v>555</v>
      </c>
      <c r="L12" s="53" t="n">
        <v>606</v>
      </c>
      <c r="M12" s="53" t="n">
        <v>2</v>
      </c>
      <c r="N12" s="142" t="n">
        <f aca="false">IF(M12=1,K12*50/35,K12*30/42)</f>
        <v>396.428571428571</v>
      </c>
      <c r="O12" s="142" t="n">
        <f aca="false">IF(M12=1,L12*50/35,L12*30/42)</f>
        <v>432.857142857143</v>
      </c>
      <c r="P12" s="142" t="n">
        <f aca="false">N12*O12</f>
        <v>171596.93877551</v>
      </c>
      <c r="Q12" s="142" t="s">
        <v>1</v>
      </c>
      <c r="R12" s="180"/>
      <c r="T12" s="57" t="s">
        <v>487</v>
      </c>
      <c r="U12" s="68"/>
      <c r="V12" s="61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ALO12" s="236"/>
      <c r="ALP12" s="236"/>
      <c r="ALQ12" s="236"/>
    </row>
    <row r="13" customFormat="false" ht="9.1" hidden="false" customHeight="true" outlineLevel="0" collapsed="false">
      <c r="A13" s="53" t="n">
        <v>52</v>
      </c>
      <c r="C13" s="53" t="s">
        <v>403</v>
      </c>
      <c r="D13" s="53"/>
      <c r="E13" s="53"/>
      <c r="F13" s="53"/>
      <c r="G13" s="142" t="s">
        <v>1</v>
      </c>
      <c r="H13" s="53"/>
      <c r="I13" s="53"/>
      <c r="J13" s="53"/>
      <c r="K13" s="53" t="n">
        <v>470</v>
      </c>
      <c r="L13" s="53" t="n">
        <v>200</v>
      </c>
      <c r="M13" s="53" t="n">
        <v>2</v>
      </c>
      <c r="N13" s="142" t="n">
        <f aca="false">IF(M13=1,K13*50/35,K13*30/42)</f>
        <v>335.714285714286</v>
      </c>
      <c r="O13" s="142" t="n">
        <f aca="false">IF(M13=1,L13*50/35,L13*30/42)</f>
        <v>142.857142857143</v>
      </c>
      <c r="P13" s="142" t="n">
        <f aca="false">N13*O13</f>
        <v>47959.1836734694</v>
      </c>
      <c r="Q13" s="142" t="n">
        <f aca="false">SUM(P12:P13)</f>
        <v>219556.12244898</v>
      </c>
      <c r="R13" s="180"/>
      <c r="T13" s="68" t="s">
        <v>488</v>
      </c>
      <c r="U13" s="68"/>
      <c r="V13" s="61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ALO13" s="236"/>
      <c r="ALP13" s="236"/>
      <c r="ALQ13" s="236"/>
    </row>
    <row r="14" customFormat="false" ht="9.1" hidden="false" customHeight="true" outlineLevel="0" collapsed="false">
      <c r="A14" s="237" t="n">
        <v>61</v>
      </c>
      <c r="B14" s="238" t="n">
        <v>6</v>
      </c>
      <c r="C14" s="237" t="s">
        <v>404</v>
      </c>
      <c r="D14" s="237" t="n">
        <v>480</v>
      </c>
      <c r="E14" s="239" t="n">
        <f aca="false">I14*I$35</f>
        <v>446.503340757238</v>
      </c>
      <c r="F14" s="239" t="n">
        <v>480</v>
      </c>
      <c r="G14" s="239" t="n">
        <f aca="false">F14*0.9485</f>
        <v>455.28</v>
      </c>
      <c r="H14" s="237" t="n">
        <v>31</v>
      </c>
      <c r="I14" s="237" t="n">
        <v>80</v>
      </c>
      <c r="J14" s="237" t="n">
        <v>62</v>
      </c>
      <c r="K14" s="237" t="n">
        <v>500</v>
      </c>
      <c r="L14" s="237" t="n">
        <v>210</v>
      </c>
      <c r="M14" s="237" t="n">
        <v>2</v>
      </c>
      <c r="N14" s="239" t="n">
        <f aca="false">IF(M14=1,K14*50/35,K14*30/42)</f>
        <v>357.142857142857</v>
      </c>
      <c r="O14" s="239" t="n">
        <f aca="false">IF(M14=1,L14*50/35,L14*30/42)</f>
        <v>150</v>
      </c>
      <c r="P14" s="239" t="n">
        <f aca="false">N14*O14</f>
        <v>53571.4285714286</v>
      </c>
      <c r="Q14" s="239" t="s">
        <v>1</v>
      </c>
      <c r="R14" s="180"/>
      <c r="T14" s="68" t="s">
        <v>475</v>
      </c>
      <c r="U14" s="68" t="s">
        <v>476</v>
      </c>
      <c r="V14" s="61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ALO14" s="236"/>
      <c r="ALP14" s="236"/>
      <c r="ALQ14" s="236"/>
    </row>
    <row r="15" customFormat="false" ht="9.1" hidden="false" customHeight="true" outlineLevel="0" collapsed="false">
      <c r="A15" s="237" t="n">
        <v>62</v>
      </c>
      <c r="B15" s="238"/>
      <c r="C15" s="237" t="s">
        <v>404</v>
      </c>
      <c r="D15" s="237"/>
      <c r="E15" s="237"/>
      <c r="F15" s="237"/>
      <c r="G15" s="239" t="s">
        <v>1</v>
      </c>
      <c r="H15" s="237"/>
      <c r="I15" s="237"/>
      <c r="J15" s="237"/>
      <c r="K15" s="237" t="n">
        <v>330</v>
      </c>
      <c r="L15" s="237" t="n">
        <v>420</v>
      </c>
      <c r="M15" s="237" t="n">
        <v>2</v>
      </c>
      <c r="N15" s="239" t="n">
        <f aca="false">IF(M15=1,K15*50/35,K15*30/42)</f>
        <v>235.714285714286</v>
      </c>
      <c r="O15" s="239" t="n">
        <f aca="false">IF(M15=1,L15*50/35,L15*30/42)</f>
        <v>300</v>
      </c>
      <c r="P15" s="239" t="n">
        <f aca="false">N15*O15</f>
        <v>70714.2857142857</v>
      </c>
      <c r="Q15" s="239" t="s">
        <v>1</v>
      </c>
      <c r="R15" s="180"/>
      <c r="T15" s="68" t="s">
        <v>477</v>
      </c>
      <c r="U15" s="68" t="s">
        <v>489</v>
      </c>
      <c r="V15" s="61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ALO15" s="236"/>
      <c r="ALP15" s="236"/>
      <c r="ALQ15" s="236"/>
    </row>
    <row r="16" customFormat="false" ht="9.1" hidden="false" customHeight="true" outlineLevel="0" collapsed="false">
      <c r="A16" s="237" t="n">
        <v>63</v>
      </c>
      <c r="B16" s="238"/>
      <c r="C16" s="237" t="s">
        <v>404</v>
      </c>
      <c r="D16" s="237"/>
      <c r="E16" s="237"/>
      <c r="F16" s="237"/>
      <c r="G16" s="239" t="s">
        <v>1</v>
      </c>
      <c r="H16" s="237"/>
      <c r="I16" s="237"/>
      <c r="J16" s="237"/>
      <c r="K16" s="237" t="n">
        <v>170</v>
      </c>
      <c r="L16" s="237" t="n">
        <v>120</v>
      </c>
      <c r="M16" s="237" t="n">
        <v>2</v>
      </c>
      <c r="N16" s="239" t="n">
        <f aca="false">IF(M16=1,K16*50/35,K16*30/42)</f>
        <v>121.428571428571</v>
      </c>
      <c r="O16" s="239" t="n">
        <f aca="false">IF(M16=1,L16*50/35,L16*30/42)</f>
        <v>85.7142857142857</v>
      </c>
      <c r="P16" s="239" t="n">
        <f aca="false">N16*O16</f>
        <v>10408.1632653061</v>
      </c>
      <c r="Q16" s="239" t="s">
        <v>1</v>
      </c>
      <c r="R16" s="180"/>
      <c r="T16" s="68" t="s">
        <v>479</v>
      </c>
      <c r="U16" s="68" t="s">
        <v>490</v>
      </c>
      <c r="V16" s="61" t="n">
        <v>26.32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ALO16" s="236"/>
      <c r="ALP16" s="236"/>
      <c r="ALQ16" s="236"/>
    </row>
    <row r="17" customFormat="false" ht="9.1" hidden="false" customHeight="true" outlineLevel="0" collapsed="false">
      <c r="A17" s="237" t="n">
        <v>64</v>
      </c>
      <c r="B17" s="238"/>
      <c r="C17" s="237" t="s">
        <v>404</v>
      </c>
      <c r="D17" s="237"/>
      <c r="E17" s="237"/>
      <c r="F17" s="237"/>
      <c r="G17" s="239" t="s">
        <v>1</v>
      </c>
      <c r="H17" s="237"/>
      <c r="I17" s="237"/>
      <c r="J17" s="237"/>
      <c r="K17" s="237" t="n">
        <v>333</v>
      </c>
      <c r="L17" s="237" t="n">
        <v>439</v>
      </c>
      <c r="M17" s="237" t="n">
        <v>2</v>
      </c>
      <c r="N17" s="239" t="n">
        <f aca="false">IF(M17=1,K17*50/35,K17*30/42)</f>
        <v>237.857142857143</v>
      </c>
      <c r="O17" s="239" t="n">
        <f aca="false">IF(M17=1,L17*50/35,L17*30/42)</f>
        <v>313.571428571429</v>
      </c>
      <c r="P17" s="239" t="n">
        <f aca="false">N17*O17</f>
        <v>74585.2040816327</v>
      </c>
      <c r="Q17" s="239" t="s">
        <v>1</v>
      </c>
      <c r="R17" s="180"/>
      <c r="T17" s="68" t="s">
        <v>481</v>
      </c>
      <c r="U17" s="68" t="s">
        <v>491</v>
      </c>
      <c r="V17" s="61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ALO17" s="236"/>
      <c r="ALP17" s="236"/>
      <c r="ALQ17" s="236"/>
    </row>
    <row r="18" customFormat="false" ht="9.1" hidden="false" customHeight="true" outlineLevel="0" collapsed="false">
      <c r="A18" s="237" t="n">
        <v>65</v>
      </c>
      <c r="B18" s="238"/>
      <c r="C18" s="237" t="s">
        <v>404</v>
      </c>
      <c r="D18" s="237"/>
      <c r="E18" s="237"/>
      <c r="F18" s="237"/>
      <c r="G18" s="239" t="s">
        <v>1</v>
      </c>
      <c r="H18" s="237"/>
      <c r="I18" s="237"/>
      <c r="J18" s="237"/>
      <c r="K18" s="237" t="n">
        <v>500</v>
      </c>
      <c r="L18" s="237" t="n">
        <v>600</v>
      </c>
      <c r="M18" s="237" t="n">
        <v>2</v>
      </c>
      <c r="N18" s="239" t="n">
        <f aca="false">IF(M18=1,K18*50/35,K18*30/42)</f>
        <v>357.142857142857</v>
      </c>
      <c r="O18" s="239" t="n">
        <f aca="false">IF(M18=1,L18*50/35,L18*30/42)</f>
        <v>428.571428571429</v>
      </c>
      <c r="P18" s="239" t="n">
        <f aca="false">N18*O18</f>
        <v>153061.224489796</v>
      </c>
      <c r="Q18" s="239" t="s">
        <v>1</v>
      </c>
      <c r="R18" s="180"/>
      <c r="T18" s="51" t="s">
        <v>483</v>
      </c>
      <c r="U18" s="51" t="s">
        <v>492</v>
      </c>
      <c r="V18" s="61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ALO18" s="236"/>
      <c r="ALP18" s="236"/>
      <c r="ALQ18" s="236"/>
    </row>
    <row r="19" customFormat="false" ht="9.1" hidden="false" customHeight="true" outlineLevel="0" collapsed="false">
      <c r="A19" s="237" t="n">
        <v>66</v>
      </c>
      <c r="B19" s="238"/>
      <c r="C19" s="237" t="s">
        <v>404</v>
      </c>
      <c r="D19" s="237"/>
      <c r="E19" s="237"/>
      <c r="F19" s="237"/>
      <c r="G19" s="239" t="s">
        <v>1</v>
      </c>
      <c r="H19" s="237"/>
      <c r="I19" s="237"/>
      <c r="J19" s="237"/>
      <c r="K19" s="237" t="n">
        <v>430</v>
      </c>
      <c r="L19" s="237" t="n">
        <v>270</v>
      </c>
      <c r="M19" s="237" t="n">
        <v>2</v>
      </c>
      <c r="N19" s="239" t="n">
        <f aca="false">IF(M19=1,K19*50/35,K19*30/42)</f>
        <v>307.142857142857</v>
      </c>
      <c r="O19" s="239" t="n">
        <f aca="false">IF(M19=1,L19*50/35,L19*30/42)</f>
        <v>192.857142857143</v>
      </c>
      <c r="P19" s="239" t="n">
        <f aca="false">N19*O19</f>
        <v>59234.693877551</v>
      </c>
      <c r="Q19" s="239" t="n">
        <f aca="false">SUM(P14:P19)</f>
        <v>421575</v>
      </c>
      <c r="R19" s="180"/>
      <c r="T19" s="51" t="s">
        <v>485</v>
      </c>
      <c r="U19" s="51" t="n">
        <v>17209</v>
      </c>
      <c r="V19" s="61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ALO19" s="236"/>
      <c r="ALP19" s="236"/>
      <c r="ALQ19" s="236"/>
    </row>
    <row r="20" customFormat="false" ht="9.1" hidden="false" customHeight="true" outlineLevel="0" collapsed="false">
      <c r="A20" s="53" t="n">
        <v>71</v>
      </c>
      <c r="B20" s="1" t="n">
        <v>7</v>
      </c>
      <c r="C20" s="53" t="s">
        <v>405</v>
      </c>
      <c r="D20" s="53" t="n">
        <v>481</v>
      </c>
      <c r="E20" s="142" t="n">
        <f aca="false">I20*I$35</f>
        <v>764.636971046771</v>
      </c>
      <c r="F20" s="142" t="n">
        <v>481</v>
      </c>
      <c r="G20" s="142" t="n">
        <f aca="false">F20*0.9485</f>
        <v>456.2285</v>
      </c>
      <c r="H20" s="53" t="n">
        <v>30</v>
      </c>
      <c r="I20" s="53" t="n">
        <v>137</v>
      </c>
      <c r="J20" s="53" t="n">
        <v>87</v>
      </c>
      <c r="K20" s="53" t="n">
        <v>1000</v>
      </c>
      <c r="L20" s="53" t="n">
        <v>350</v>
      </c>
      <c r="M20" s="53" t="n">
        <v>2</v>
      </c>
      <c r="N20" s="142" t="n">
        <f aca="false">IF(M20=1,K20*50/35,K20*30/42)</f>
        <v>714.285714285714</v>
      </c>
      <c r="O20" s="142" t="n">
        <f aca="false">IF(M20=1,L20*50/35,L20*30/42)</f>
        <v>250</v>
      </c>
      <c r="P20" s="142" t="n">
        <f aca="false">N20*O20</f>
        <v>178571.428571429</v>
      </c>
      <c r="Q20" s="142" t="s">
        <v>1</v>
      </c>
      <c r="R20" s="180"/>
      <c r="T20" s="51" t="s">
        <v>486</v>
      </c>
      <c r="U20" s="51" t="n">
        <v>39922</v>
      </c>
      <c r="V20" s="61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ALO20" s="236"/>
      <c r="ALP20" s="236"/>
      <c r="ALQ20" s="236"/>
    </row>
    <row r="21" customFormat="false" ht="9.1" hidden="false" customHeight="true" outlineLevel="0" collapsed="false">
      <c r="A21" s="53" t="n">
        <v>72</v>
      </c>
      <c r="C21" s="53" t="s">
        <v>405</v>
      </c>
      <c r="D21" s="53"/>
      <c r="E21" s="53"/>
      <c r="F21" s="53"/>
      <c r="G21" s="142" t="s">
        <v>1</v>
      </c>
      <c r="H21" s="53"/>
      <c r="I21" s="53"/>
      <c r="J21" s="53"/>
      <c r="K21" s="53" t="n">
        <v>800</v>
      </c>
      <c r="L21" s="53" t="n">
        <v>520</v>
      </c>
      <c r="M21" s="53" t="n">
        <v>2</v>
      </c>
      <c r="N21" s="142" t="n">
        <f aca="false">IF(M21=1,K21*50/35,K21*30/42)</f>
        <v>571.428571428571</v>
      </c>
      <c r="O21" s="142" t="n">
        <f aca="false">IF(M21=1,L21*50/35,L21*30/42)</f>
        <v>371.428571428571</v>
      </c>
      <c r="P21" s="142" t="n">
        <f aca="false">N21*O21</f>
        <v>212244.897959184</v>
      </c>
      <c r="Q21" s="142" t="n">
        <f aca="false">SUM(P20:P21)</f>
        <v>390816.326530612</v>
      </c>
      <c r="R21" s="180"/>
      <c r="V21" s="61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ALO21" s="236"/>
      <c r="ALP21" s="236"/>
      <c r="ALQ21" s="236"/>
    </row>
    <row r="22" customFormat="false" ht="9.1" hidden="false" customHeight="true" outlineLevel="0" collapsed="false">
      <c r="A22" s="237" t="n">
        <v>81</v>
      </c>
      <c r="B22" s="238" t="n">
        <v>8</v>
      </c>
      <c r="C22" s="237" t="s">
        <v>406</v>
      </c>
      <c r="D22" s="237" t="s">
        <v>1</v>
      </c>
      <c r="E22" s="239" t="n">
        <f aca="false">I22*I$35</f>
        <v>357.202672605791</v>
      </c>
      <c r="F22" s="239" t="n">
        <v>357</v>
      </c>
      <c r="G22" s="239" t="n">
        <f aca="false">F22*0.9485</f>
        <v>338.6145</v>
      </c>
      <c r="H22" s="237" t="n">
        <v>16</v>
      </c>
      <c r="I22" s="237" t="n">
        <v>64</v>
      </c>
      <c r="J22" s="237" t="n">
        <v>45</v>
      </c>
      <c r="K22" s="237" t="n">
        <v>555</v>
      </c>
      <c r="L22" s="237" t="n">
        <v>555</v>
      </c>
      <c r="M22" s="237" t="n">
        <v>2</v>
      </c>
      <c r="N22" s="239" t="n">
        <f aca="false">IF(M22=1,K22*50/35,K22*30/42)</f>
        <v>396.428571428571</v>
      </c>
      <c r="O22" s="239" t="n">
        <f aca="false">IF(M22=1,L22*50/35,L22*30/42)</f>
        <v>396.428571428571</v>
      </c>
      <c r="P22" s="239" t="n">
        <f aca="false">N22*O22</f>
        <v>157155.612244898</v>
      </c>
      <c r="Q22" s="239" t="s">
        <v>1</v>
      </c>
      <c r="R22" s="180"/>
      <c r="T22" s="71" t="s">
        <v>493</v>
      </c>
      <c r="V22" s="61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ALO22" s="236"/>
      <c r="ALP22" s="236"/>
      <c r="ALQ22" s="236"/>
    </row>
    <row r="23" customFormat="false" ht="9.1" hidden="false" customHeight="true" outlineLevel="0" collapsed="false">
      <c r="A23" s="237" t="n">
        <v>82</v>
      </c>
      <c r="B23" s="238"/>
      <c r="C23" s="237" t="s">
        <v>406</v>
      </c>
      <c r="D23" s="237" t="s">
        <v>1</v>
      </c>
      <c r="E23" s="237"/>
      <c r="F23" s="237"/>
      <c r="G23" s="239" t="s">
        <v>1</v>
      </c>
      <c r="H23" s="237"/>
      <c r="I23" s="237"/>
      <c r="J23" s="237"/>
      <c r="K23" s="237" t="n">
        <v>700</v>
      </c>
      <c r="L23" s="237" t="n">
        <v>220</v>
      </c>
      <c r="M23" s="237" t="n">
        <v>2</v>
      </c>
      <c r="N23" s="239" t="n">
        <f aca="false">IF(M23=1,K23*50/35,K23*30/42)</f>
        <v>500</v>
      </c>
      <c r="O23" s="239" t="n">
        <f aca="false">IF(M23=1,L23*50/35,L23*30/42)</f>
        <v>157.142857142857</v>
      </c>
      <c r="P23" s="239" t="n">
        <f aca="false">N23*O23</f>
        <v>78571.4285714286</v>
      </c>
      <c r="Q23" s="239" t="n">
        <f aca="false">SUM(P22:P23)</f>
        <v>235727.040816327</v>
      </c>
      <c r="R23" s="180"/>
      <c r="T23" s="51" t="s">
        <v>402</v>
      </c>
      <c r="V23" s="61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ALO23" s="236"/>
      <c r="ALP23" s="236"/>
      <c r="ALQ23" s="236"/>
    </row>
    <row r="24" customFormat="false" ht="9.1" hidden="false" customHeight="true" outlineLevel="0" collapsed="false">
      <c r="A24" s="53" t="n">
        <v>91</v>
      </c>
      <c r="B24" s="1" t="n">
        <v>9</v>
      </c>
      <c r="C24" s="53" t="s">
        <v>407</v>
      </c>
      <c r="D24" s="53" t="n">
        <v>5044</v>
      </c>
      <c r="E24" s="142" t="n">
        <f aca="false">I24*I$35</f>
        <v>4314.33853006681</v>
      </c>
      <c r="F24" s="142" t="n">
        <v>5044</v>
      </c>
      <c r="G24" s="142" t="n">
        <f aca="false">F24*0.9485</f>
        <v>4784.234</v>
      </c>
      <c r="H24" s="53" t="n">
        <v>84</v>
      </c>
      <c r="I24" s="53" t="n">
        <v>773</v>
      </c>
      <c r="J24" s="53" t="n">
        <v>563</v>
      </c>
      <c r="K24" s="53" t="n">
        <v>1000</v>
      </c>
      <c r="L24" s="53" t="n">
        <v>600</v>
      </c>
      <c r="M24" s="53" t="n">
        <v>1</v>
      </c>
      <c r="N24" s="142" t="n">
        <f aca="false">IF(M24=1,K24*50/35,K24*30/42)</f>
        <v>1428.57142857143</v>
      </c>
      <c r="O24" s="142" t="n">
        <f aca="false">IF(M24=1,L24*50/35,L24*30/42)</f>
        <v>857.142857142857</v>
      </c>
      <c r="P24" s="142" t="n">
        <f aca="false">N24*O24</f>
        <v>1224489.79591837</v>
      </c>
      <c r="Q24" s="142" t="s">
        <v>1</v>
      </c>
      <c r="R24" s="180"/>
      <c r="T24" s="51" t="s">
        <v>475</v>
      </c>
      <c r="U24" s="51" t="s">
        <v>476</v>
      </c>
      <c r="V24" s="61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ALO24" s="236"/>
      <c r="ALP24" s="236"/>
      <c r="ALQ24" s="236"/>
    </row>
    <row r="25" customFormat="false" ht="9.1" hidden="false" customHeight="true" outlineLevel="0" collapsed="false">
      <c r="A25" s="53" t="n">
        <v>92</v>
      </c>
      <c r="B25" s="1" t="s">
        <v>1</v>
      </c>
      <c r="C25" s="53" t="s">
        <v>407</v>
      </c>
      <c r="D25" s="53"/>
      <c r="E25" s="53"/>
      <c r="F25" s="53"/>
      <c r="G25" s="53"/>
      <c r="H25" s="53" t="s">
        <v>1</v>
      </c>
      <c r="I25" s="53" t="s">
        <v>1</v>
      </c>
      <c r="J25" s="53" t="s">
        <v>1</v>
      </c>
      <c r="K25" s="53" t="n">
        <v>950</v>
      </c>
      <c r="L25" s="53" t="n">
        <v>580</v>
      </c>
      <c r="M25" s="53" t="n">
        <v>1</v>
      </c>
      <c r="N25" s="142" t="n">
        <f aca="false">IF(M25=1,K25*50/35,K25*30/42)</f>
        <v>1357.14285714286</v>
      </c>
      <c r="O25" s="142" t="n">
        <f aca="false">IF(M25=1,L25*50/35,L25*30/42)</f>
        <v>828.571428571429</v>
      </c>
      <c r="P25" s="142" t="n">
        <f aca="false">N25*O25</f>
        <v>1124489.79591837</v>
      </c>
      <c r="Q25" s="142" t="s">
        <v>1</v>
      </c>
      <c r="R25" s="180"/>
      <c r="T25" s="51" t="s">
        <v>477</v>
      </c>
      <c r="U25" s="51" t="s">
        <v>494</v>
      </c>
      <c r="V25" s="61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ALO25" s="236"/>
      <c r="ALP25" s="236"/>
      <c r="ALQ25" s="236"/>
    </row>
    <row r="26" customFormat="false" ht="9.1" hidden="false" customHeight="true" outlineLevel="0" collapsed="false">
      <c r="A26" s="53" t="n">
        <v>93</v>
      </c>
      <c r="B26" s="1" t="s">
        <v>1</v>
      </c>
      <c r="C26" s="53" t="s">
        <v>407</v>
      </c>
      <c r="D26" s="53" t="s">
        <v>1</v>
      </c>
      <c r="E26" s="53"/>
      <c r="F26" s="53"/>
      <c r="G26" s="53"/>
      <c r="H26" s="53"/>
      <c r="I26" s="53"/>
      <c r="J26" s="53"/>
      <c r="K26" s="53" t="n">
        <v>564</v>
      </c>
      <c r="L26" s="53" t="n">
        <v>619</v>
      </c>
      <c r="M26" s="53" t="n">
        <v>1</v>
      </c>
      <c r="N26" s="142" t="n">
        <f aca="false">IF(M26=1,K26*50/35,K26*30/42)</f>
        <v>805.714285714286</v>
      </c>
      <c r="O26" s="142" t="n">
        <f aca="false">IF(M26=1,L26*50/35,L26*30/42)</f>
        <v>884.285714285714</v>
      </c>
      <c r="P26" s="142" t="n">
        <f aca="false">N26*O26</f>
        <v>712481.632653061</v>
      </c>
      <c r="Q26" s="142" t="s">
        <v>1</v>
      </c>
      <c r="R26" s="180"/>
      <c r="T26" s="51" t="s">
        <v>479</v>
      </c>
      <c r="U26" s="51" t="s">
        <v>495</v>
      </c>
      <c r="V26" s="61" t="n">
        <v>10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ALO26" s="236"/>
      <c r="ALP26" s="236"/>
      <c r="ALQ26" s="236"/>
    </row>
    <row r="27" customFormat="false" ht="9.1" hidden="false" customHeight="true" outlineLevel="0" collapsed="false">
      <c r="A27" s="53" t="n">
        <v>94</v>
      </c>
      <c r="B27" s="1" t="s">
        <v>1</v>
      </c>
      <c r="C27" s="53" t="s">
        <v>407</v>
      </c>
      <c r="D27" s="53"/>
      <c r="E27" s="53"/>
      <c r="F27" s="53"/>
      <c r="G27" s="53"/>
      <c r="H27" s="53"/>
      <c r="I27" s="53"/>
      <c r="J27" s="53"/>
      <c r="K27" s="53" t="n">
        <v>626</v>
      </c>
      <c r="L27" s="53" t="n">
        <v>476</v>
      </c>
      <c r="M27" s="53" t="n">
        <v>1</v>
      </c>
      <c r="N27" s="142" t="n">
        <f aca="false">IF(M27=1,K27*50/35,K27*30/42)</f>
        <v>894.285714285714</v>
      </c>
      <c r="O27" s="142" t="n">
        <f aca="false">IF(M27=1,L27*50/35,L27*30/42)</f>
        <v>680</v>
      </c>
      <c r="P27" s="142" t="n">
        <f aca="false">N27*O27</f>
        <v>608114.285714286</v>
      </c>
      <c r="Q27" s="142" t="s">
        <v>1</v>
      </c>
      <c r="R27" s="180"/>
      <c r="T27" s="51" t="s">
        <v>481</v>
      </c>
      <c r="U27" s="51" t="s">
        <v>496</v>
      </c>
      <c r="V27" s="61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ALO27" s="236"/>
      <c r="ALP27" s="236"/>
      <c r="ALQ27" s="236"/>
    </row>
    <row r="28" customFormat="false" ht="9.1" hidden="false" customHeight="true" outlineLevel="0" collapsed="false">
      <c r="A28" s="53" t="n">
        <v>95</v>
      </c>
      <c r="B28" s="1" t="s">
        <v>1</v>
      </c>
      <c r="C28" s="53" t="s">
        <v>407</v>
      </c>
      <c r="D28" s="53"/>
      <c r="E28" s="53"/>
      <c r="F28" s="53"/>
      <c r="G28" s="53"/>
      <c r="H28" s="53"/>
      <c r="I28" s="53"/>
      <c r="J28" s="53"/>
      <c r="K28" s="53" t="n">
        <v>333</v>
      </c>
      <c r="L28" s="53" t="n">
        <v>570</v>
      </c>
      <c r="M28" s="53" t="n">
        <v>1</v>
      </c>
      <c r="N28" s="142" t="n">
        <f aca="false">IF(M28=1,K28*50/35,K28*30/42)</f>
        <v>475.714285714286</v>
      </c>
      <c r="O28" s="142" t="n">
        <f aca="false">IF(M28=1,L28*50/35,L28*30/42)</f>
        <v>814.285714285714</v>
      </c>
      <c r="P28" s="142" t="n">
        <f aca="false">N28*O28</f>
        <v>387367.346938776</v>
      </c>
      <c r="Q28" s="142" t="s">
        <v>1</v>
      </c>
      <c r="R28" s="180"/>
      <c r="T28" s="51" t="s">
        <v>483</v>
      </c>
      <c r="U28" s="51" t="s">
        <v>497</v>
      </c>
      <c r="V28" s="61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ALO28" s="236"/>
      <c r="ALP28" s="236"/>
      <c r="ALQ28" s="236"/>
    </row>
    <row r="29" customFormat="false" ht="9.1" hidden="false" customHeight="true" outlineLevel="0" collapsed="false">
      <c r="A29" s="53" t="n">
        <v>96</v>
      </c>
      <c r="B29" s="19" t="s">
        <v>1</v>
      </c>
      <c r="C29" s="53" t="s">
        <v>407</v>
      </c>
      <c r="D29" s="53"/>
      <c r="E29" s="53"/>
      <c r="F29" s="53"/>
      <c r="G29" s="53"/>
      <c r="H29" s="53"/>
      <c r="I29" s="53"/>
      <c r="J29" s="53"/>
      <c r="K29" s="53" t="n">
        <v>312</v>
      </c>
      <c r="L29" s="53" t="n">
        <v>543</v>
      </c>
      <c r="M29" s="53" t="n">
        <v>1</v>
      </c>
      <c r="N29" s="142" t="n">
        <f aca="false">IF(M29=1,K29*50/35,K29*30/42)</f>
        <v>445.714285714286</v>
      </c>
      <c r="O29" s="142" t="n">
        <f aca="false">IF(M29=1,L29*50/35,L29*30/42)</f>
        <v>775.714285714286</v>
      </c>
      <c r="P29" s="142" t="n">
        <f aca="false">N29*O29</f>
        <v>345746.93877551</v>
      </c>
      <c r="Q29" s="142" t="s">
        <v>1</v>
      </c>
      <c r="R29" s="180"/>
      <c r="T29" s="51" t="s">
        <v>485</v>
      </c>
      <c r="U29" s="51" t="n">
        <v>17207</v>
      </c>
      <c r="V29" s="61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ALO29" s="236"/>
      <c r="ALP29" s="236"/>
      <c r="ALQ29" s="236"/>
    </row>
    <row r="30" customFormat="false" ht="9.1" hidden="false" customHeight="true" outlineLevel="0" collapsed="false">
      <c r="A30" s="53" t="n">
        <v>97</v>
      </c>
      <c r="B30" s="53"/>
      <c r="C30" s="53" t="s">
        <v>407</v>
      </c>
      <c r="D30" s="53"/>
      <c r="E30" s="53"/>
      <c r="F30" s="53"/>
      <c r="G30" s="53"/>
      <c r="H30" s="53"/>
      <c r="I30" s="53"/>
      <c r="J30" s="53"/>
      <c r="K30" s="53" t="n">
        <v>300</v>
      </c>
      <c r="L30" s="53" t="n">
        <v>600</v>
      </c>
      <c r="M30" s="53" t="n">
        <v>1</v>
      </c>
      <c r="N30" s="142" t="n">
        <f aca="false">IF(M30=1,K30*50/35,K30*30/42)</f>
        <v>428.571428571429</v>
      </c>
      <c r="O30" s="142" t="n">
        <f aca="false">IF(M30=1,L30*50/35,L30*30/42)</f>
        <v>857.142857142857</v>
      </c>
      <c r="P30" s="142" t="n">
        <f aca="false">N30*O30</f>
        <v>367346.93877551</v>
      </c>
      <c r="Q30" s="142" t="s">
        <v>1</v>
      </c>
      <c r="R30" s="180"/>
      <c r="T30" s="51" t="s">
        <v>486</v>
      </c>
      <c r="U30" s="51" t="n">
        <v>39931</v>
      </c>
      <c r="V30" s="6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ALO30" s="236"/>
      <c r="ALP30" s="236"/>
      <c r="ALQ30" s="236"/>
    </row>
    <row r="31" customFormat="false" ht="9.1" hidden="false" customHeight="true" outlineLevel="0" collapsed="false">
      <c r="A31" s="53" t="n">
        <v>98</v>
      </c>
      <c r="B31" s="53"/>
      <c r="C31" s="53" t="s">
        <v>407</v>
      </c>
      <c r="D31" s="53"/>
      <c r="E31" s="53"/>
      <c r="F31" s="53"/>
      <c r="G31" s="53"/>
      <c r="H31" s="53"/>
      <c r="I31" s="53"/>
      <c r="J31" s="53"/>
      <c r="K31" s="53" t="n">
        <v>111</v>
      </c>
      <c r="L31" s="53" t="n">
        <v>380</v>
      </c>
      <c r="M31" s="53" t="n">
        <v>1</v>
      </c>
      <c r="N31" s="142" t="n">
        <f aca="false">IF(M31=1,K31*50/35,K31*30/42)</f>
        <v>158.571428571429</v>
      </c>
      <c r="O31" s="142" t="n">
        <f aca="false">IF(M31=1,L31*50/35,L31*30/42)</f>
        <v>542.857142857143</v>
      </c>
      <c r="P31" s="142" t="n">
        <f aca="false">N31*O31</f>
        <v>86081.6326530612</v>
      </c>
      <c r="Q31" s="142" t="n">
        <f aca="false">SUM(P24:P31)</f>
        <v>4856118.36734694</v>
      </c>
      <c r="R31" s="180"/>
      <c r="V31" s="6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ALO31" s="236"/>
      <c r="ALP31" s="236"/>
      <c r="ALQ31" s="236"/>
    </row>
    <row r="32" customFormat="false" ht="9.1" hidden="false" customHeight="true" outlineLevel="0" collapsed="false">
      <c r="A32" s="240"/>
      <c r="B32" s="240"/>
      <c r="C32" s="240" t="s">
        <v>472</v>
      </c>
      <c r="D32" s="240" t="n">
        <f aca="false">SUM(D2:D31)</f>
        <v>7518</v>
      </c>
      <c r="E32" s="240" t="n">
        <f aca="false">SUM(E2:E31)</f>
        <v>7518</v>
      </c>
      <c r="F32" s="241" t="n">
        <f aca="false">SUM(F2:F31)</f>
        <v>7926</v>
      </c>
      <c r="G32" s="241" t="n">
        <f aca="false">SUM(G2:G31)</f>
        <v>7517.811</v>
      </c>
      <c r="H32" s="240" t="n">
        <f aca="false">SUM(H2:H31)</f>
        <v>243</v>
      </c>
      <c r="I32" s="240" t="n">
        <f aca="false">SUM(I2:I31)</f>
        <v>1347</v>
      </c>
      <c r="J32" s="240" t="n">
        <f aca="false">SUM(J2:J31)</f>
        <v>993</v>
      </c>
      <c r="K32" s="240"/>
      <c r="L32" s="240"/>
      <c r="M32" s="240"/>
      <c r="N32" s="240"/>
      <c r="O32" s="241" t="n">
        <f aca="false">SUM(N2:O31)/60</f>
        <v>500.678571428572</v>
      </c>
      <c r="P32" s="240"/>
      <c r="Q32" s="241" t="n">
        <f aca="false">SUM(Q2:Q31)</f>
        <v>8110447.95918367</v>
      </c>
      <c r="R32" s="180"/>
      <c r="T32" s="71" t="s">
        <v>498</v>
      </c>
      <c r="V32" s="6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ALO32" s="236"/>
      <c r="ALP32" s="236"/>
      <c r="ALQ32" s="236"/>
    </row>
    <row r="33" customFormat="false" ht="9.1" hidden="false" customHeight="true" outlineLevel="0" collapsed="false">
      <c r="B33" s="53"/>
      <c r="C33" s="53"/>
      <c r="D33" s="53"/>
      <c r="E33" s="53"/>
      <c r="F33" s="53"/>
      <c r="G33" s="53"/>
      <c r="H33" s="242" t="n">
        <f aca="false">H32/(I32+H32+J32)</f>
        <v>0.0940766550522648</v>
      </c>
      <c r="I33" s="242" t="n">
        <f aca="false">I32/(J32+I32+H32)</f>
        <v>0.521486643437863</v>
      </c>
      <c r="J33" s="242" t="n">
        <f aca="false">J32/(J32+I32+H32)</f>
        <v>0.384436701509872</v>
      </c>
      <c r="K33" s="53"/>
      <c r="L33" s="53"/>
      <c r="M33" s="53"/>
      <c r="N33" s="53"/>
      <c r="O33" s="53"/>
      <c r="P33" s="53"/>
      <c r="Q33" s="142"/>
      <c r="R33" s="180"/>
      <c r="T33" s="51" t="s">
        <v>403</v>
      </c>
      <c r="V33" s="6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ALO33" s="236"/>
      <c r="ALP33" s="236"/>
      <c r="ALQ33" s="236"/>
    </row>
    <row r="34" customFormat="false" ht="9.1" hidden="false" customHeight="true" outlineLevel="0" collapsed="false">
      <c r="B34" s="53"/>
      <c r="C34" s="53"/>
      <c r="D34" s="53"/>
      <c r="E34" s="53"/>
      <c r="F34" s="53"/>
      <c r="G34" s="53"/>
      <c r="H34" s="53"/>
      <c r="I34" s="243" t="s">
        <v>1</v>
      </c>
      <c r="J34" s="17" t="s">
        <v>1</v>
      </c>
      <c r="K34" s="53" t="s">
        <v>1</v>
      </c>
      <c r="L34" s="53"/>
      <c r="M34" s="53"/>
      <c r="N34" s="53"/>
      <c r="O34" s="195" t="n">
        <f aca="false">O32</f>
        <v>500.678571428572</v>
      </c>
      <c r="P34" s="170" t="s">
        <v>303</v>
      </c>
      <c r="Q34" s="171" t="s">
        <v>434</v>
      </c>
      <c r="R34" s="244"/>
      <c r="T34" s="51" t="s">
        <v>475</v>
      </c>
      <c r="U34" s="51" t="s">
        <v>476</v>
      </c>
      <c r="V34" s="6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ALO34" s="236"/>
      <c r="ALP34" s="236"/>
      <c r="ALQ34" s="236"/>
    </row>
    <row r="35" customFormat="false" ht="9.1" hidden="false" customHeight="true" outlineLevel="0" collapsed="false">
      <c r="A35" s="245"/>
      <c r="B35" s="14"/>
      <c r="C35" s="180"/>
      <c r="D35" s="180"/>
      <c r="E35" s="180"/>
      <c r="F35" s="180"/>
      <c r="G35" s="180"/>
      <c r="I35" s="246" t="n">
        <f aca="false">D32/I32</f>
        <v>5.58129175946548</v>
      </c>
      <c r="J35" s="247" t="s">
        <v>499</v>
      </c>
      <c r="K35" s="248"/>
      <c r="L35" s="248"/>
      <c r="O35" s="195" t="n">
        <f aca="false">Q32/I32</f>
        <v>6021.11949456843</v>
      </c>
      <c r="P35" s="170" t="s">
        <v>43</v>
      </c>
      <c r="Q35" s="173" t="s">
        <v>500</v>
      </c>
      <c r="R35" s="244"/>
      <c r="T35" s="51" t="s">
        <v>477</v>
      </c>
      <c r="U35" s="51" t="s">
        <v>501</v>
      </c>
      <c r="V35" s="6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ALO35" s="236"/>
      <c r="ALP35" s="236"/>
      <c r="ALQ35" s="236"/>
    </row>
    <row r="36" customFormat="false" ht="9.1" hidden="false" customHeight="true" outlineLevel="0" collapsed="false">
      <c r="A36" s="245"/>
      <c r="B36" s="14"/>
      <c r="C36" s="180"/>
      <c r="D36" s="180"/>
      <c r="E36" s="180"/>
      <c r="F36" s="180"/>
      <c r="G36" s="180"/>
      <c r="O36" s="195" t="n">
        <f aca="false">O35^0.5</f>
        <v>77.5958729222658</v>
      </c>
      <c r="P36" s="170" t="s">
        <v>303</v>
      </c>
      <c r="Q36" s="171" t="s">
        <v>436</v>
      </c>
      <c r="R36" s="244"/>
      <c r="T36" s="51" t="s">
        <v>479</v>
      </c>
      <c r="U36" s="51" t="s">
        <v>502</v>
      </c>
      <c r="V36" s="61" t="n">
        <v>6.68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ALO36" s="236"/>
      <c r="ALP36" s="236"/>
      <c r="ALQ36" s="236"/>
    </row>
    <row r="37" customFormat="false" ht="9.1" hidden="false" customHeight="true" outlineLevel="0" collapsed="false">
      <c r="A37" s="249" t="s">
        <v>394</v>
      </c>
      <c r="B37" s="14" t="s">
        <v>462</v>
      </c>
      <c r="C37" s="180"/>
      <c r="E37" s="180"/>
      <c r="F37" s="180"/>
      <c r="G37" s="180"/>
      <c r="O37" s="180"/>
      <c r="P37" s="180"/>
      <c r="Q37" s="180"/>
      <c r="R37" s="180"/>
      <c r="T37" s="51" t="s">
        <v>481</v>
      </c>
      <c r="U37" s="51" t="s">
        <v>503</v>
      </c>
      <c r="V37" s="61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ALO37" s="236"/>
      <c r="ALP37" s="236"/>
      <c r="ALQ37" s="236"/>
    </row>
    <row r="38" customFormat="false" ht="9.1" hidden="false" customHeight="true" outlineLevel="0" collapsed="false">
      <c r="B38" s="16"/>
      <c r="C38" s="250"/>
      <c r="E38" s="180"/>
      <c r="F38" s="180"/>
      <c r="G38" s="180"/>
      <c r="O38" s="180"/>
      <c r="P38" s="180"/>
      <c r="Q38" s="180"/>
      <c r="R38" s="180"/>
      <c r="T38" s="51" t="s">
        <v>483</v>
      </c>
      <c r="U38" s="51" t="s">
        <v>504</v>
      </c>
      <c r="V38" s="61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ALO38" s="236"/>
      <c r="ALP38" s="236"/>
      <c r="ALQ38" s="236"/>
    </row>
    <row r="39" customFormat="false" ht="9.1" hidden="false" customHeight="true" outlineLevel="0" collapsed="false">
      <c r="A39" s="53" t="n">
        <v>1</v>
      </c>
      <c r="B39" s="1" t="n">
        <v>1</v>
      </c>
      <c r="C39" s="180" t="s">
        <v>398</v>
      </c>
      <c r="E39" s="180"/>
      <c r="F39" s="180"/>
      <c r="G39" s="180"/>
      <c r="O39" s="180"/>
      <c r="P39" s="180"/>
      <c r="Q39" s="180"/>
      <c r="R39" s="180"/>
      <c r="T39" s="51" t="s">
        <v>485</v>
      </c>
      <c r="U39" s="51" t="n">
        <v>17207</v>
      </c>
      <c r="V39" s="61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ALO39" s="236"/>
      <c r="ALP39" s="236"/>
      <c r="ALQ39" s="236"/>
    </row>
    <row r="40" customFormat="false" ht="9.1" hidden="false" customHeight="true" outlineLevel="0" collapsed="false">
      <c r="A40" s="53" t="n">
        <v>1</v>
      </c>
      <c r="B40" s="1" t="n">
        <v>2</v>
      </c>
      <c r="C40" s="180" t="s">
        <v>400</v>
      </c>
      <c r="E40" s="180"/>
      <c r="F40" s="180"/>
      <c r="G40" s="180"/>
      <c r="O40" s="180"/>
      <c r="P40" s="180"/>
      <c r="Q40" s="180"/>
      <c r="R40" s="180"/>
      <c r="T40" s="51" t="s">
        <v>486</v>
      </c>
      <c r="U40" s="51" t="n">
        <v>39931</v>
      </c>
      <c r="V40" s="6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ALO40" s="236"/>
      <c r="ALP40" s="236"/>
      <c r="ALQ40" s="236"/>
    </row>
    <row r="41" customFormat="false" ht="9.1" hidden="false" customHeight="true" outlineLevel="0" collapsed="false">
      <c r="A41" s="53" t="n">
        <v>2</v>
      </c>
      <c r="B41" s="1" t="n">
        <v>3</v>
      </c>
      <c r="C41" s="53" t="s">
        <v>401</v>
      </c>
      <c r="E41" s="180"/>
      <c r="F41" s="180"/>
      <c r="G41" s="180"/>
      <c r="O41" s="180"/>
      <c r="P41" s="180"/>
      <c r="Q41" s="180"/>
      <c r="R41" s="180"/>
      <c r="V41" s="61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ALO41" s="236"/>
      <c r="ALP41" s="236"/>
      <c r="ALQ41" s="236"/>
    </row>
    <row r="42" customFormat="false" ht="9.1" hidden="false" customHeight="true" outlineLevel="0" collapsed="false">
      <c r="A42" s="53" t="n">
        <v>2</v>
      </c>
      <c r="B42" s="1" t="n">
        <v>4</v>
      </c>
      <c r="C42" s="180" t="s">
        <v>402</v>
      </c>
      <c r="E42" s="180"/>
      <c r="F42" s="180"/>
      <c r="G42" s="180"/>
      <c r="O42" s="180"/>
      <c r="P42" s="180"/>
      <c r="Q42" s="180"/>
      <c r="R42" s="180"/>
      <c r="T42" s="71" t="s">
        <v>505</v>
      </c>
      <c r="V42" s="61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ALO42" s="236"/>
      <c r="ALP42" s="236"/>
      <c r="ALQ42" s="236"/>
    </row>
    <row r="43" customFormat="false" ht="9.1" hidden="false" customHeight="true" outlineLevel="0" collapsed="false">
      <c r="A43" s="53" t="n">
        <v>2</v>
      </c>
      <c r="B43" s="1" t="n">
        <v>5</v>
      </c>
      <c r="C43" s="180" t="s">
        <v>403</v>
      </c>
      <c r="E43" s="180"/>
      <c r="F43" s="180"/>
      <c r="G43" s="180"/>
      <c r="O43" s="180"/>
      <c r="P43" s="180"/>
      <c r="Q43" s="180"/>
      <c r="R43" s="180"/>
      <c r="T43" s="51" t="s">
        <v>506</v>
      </c>
      <c r="V43" s="61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ALO43" s="236"/>
      <c r="ALP43" s="236"/>
      <c r="ALQ43" s="236"/>
    </row>
    <row r="44" customFormat="false" ht="9.1" hidden="false" customHeight="true" outlineLevel="0" collapsed="false">
      <c r="A44" s="53" t="n">
        <v>2</v>
      </c>
      <c r="B44" s="1" t="n">
        <v>6</v>
      </c>
      <c r="C44" s="180" t="s">
        <v>404</v>
      </c>
      <c r="E44" s="180"/>
      <c r="F44" s="180"/>
      <c r="G44" s="180"/>
      <c r="O44" s="180"/>
      <c r="P44" s="180"/>
      <c r="Q44" s="180"/>
      <c r="R44" s="180"/>
      <c r="T44" s="51" t="s">
        <v>475</v>
      </c>
      <c r="U44" s="51" t="s">
        <v>476</v>
      </c>
      <c r="V44" s="61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ALO44" s="236"/>
      <c r="ALP44" s="236"/>
      <c r="ALQ44" s="236"/>
    </row>
    <row r="45" customFormat="false" ht="9.1" hidden="false" customHeight="true" outlineLevel="0" collapsed="false">
      <c r="A45" s="53" t="n">
        <v>3</v>
      </c>
      <c r="B45" s="1" t="n">
        <v>7</v>
      </c>
      <c r="C45" s="180" t="s">
        <v>405</v>
      </c>
      <c r="E45" s="180"/>
      <c r="F45" s="180"/>
      <c r="G45" s="180"/>
      <c r="O45" s="180"/>
      <c r="P45" s="180"/>
      <c r="Q45" s="180"/>
      <c r="R45" s="180"/>
      <c r="T45" s="51" t="s">
        <v>477</v>
      </c>
      <c r="U45" s="51" t="s">
        <v>507</v>
      </c>
      <c r="V45" s="61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ALO45" s="236"/>
      <c r="ALP45" s="236"/>
      <c r="ALQ45" s="236"/>
    </row>
    <row r="46" customFormat="false" ht="9.1" hidden="false" customHeight="true" outlineLevel="0" collapsed="false">
      <c r="A46" s="53" t="n">
        <v>3</v>
      </c>
      <c r="B46" s="1" t="n">
        <v>8</v>
      </c>
      <c r="C46" s="53" t="s">
        <v>406</v>
      </c>
      <c r="T46" s="51" t="s">
        <v>479</v>
      </c>
      <c r="U46" s="51" t="s">
        <v>508</v>
      </c>
      <c r="V46" s="61" t="n">
        <v>27.75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ALO46" s="236"/>
      <c r="ALP46" s="236"/>
      <c r="ALQ46" s="236"/>
    </row>
    <row r="47" customFormat="false" ht="9.1" hidden="false" customHeight="true" outlineLevel="0" collapsed="false">
      <c r="A47" s="53" t="n">
        <v>3</v>
      </c>
      <c r="B47" s="1" t="n">
        <v>9</v>
      </c>
      <c r="C47" s="180" t="s">
        <v>407</v>
      </c>
      <c r="T47" s="51" t="s">
        <v>481</v>
      </c>
      <c r="U47" s="51" t="s">
        <v>509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customFormat="false" ht="9.1" hidden="false" customHeight="true" outlineLevel="0" collapsed="false">
      <c r="A48" s="53" t="n">
        <v>3</v>
      </c>
      <c r="B48" s="1" t="n">
        <v>10</v>
      </c>
      <c r="C48" s="180" t="s">
        <v>407</v>
      </c>
      <c r="T48" s="51" t="s">
        <v>483</v>
      </c>
      <c r="U48" s="51" t="s">
        <v>492</v>
      </c>
    </row>
    <row r="49" customFormat="false" ht="9.1" hidden="false" customHeight="true" outlineLevel="0" collapsed="false">
      <c r="A49" s="53" t="n">
        <v>4</v>
      </c>
      <c r="B49" s="1" t="n">
        <v>11</v>
      </c>
      <c r="C49" s="180" t="s">
        <v>407</v>
      </c>
      <c r="T49" s="51" t="s">
        <v>485</v>
      </c>
      <c r="U49" s="51" t="n">
        <v>17209</v>
      </c>
    </row>
    <row r="50" customFormat="false" ht="9.1" hidden="false" customHeight="true" outlineLevel="0" collapsed="false">
      <c r="A50" s="53" t="n">
        <v>5</v>
      </c>
      <c r="B50" s="1" t="n">
        <v>12</v>
      </c>
      <c r="C50" s="180" t="s">
        <v>407</v>
      </c>
      <c r="T50" s="51" t="s">
        <v>486</v>
      </c>
      <c r="U50" s="51" t="n">
        <v>39922</v>
      </c>
    </row>
    <row r="51" customFormat="false" ht="9.1" hidden="false" customHeight="true" outlineLevel="0" collapsed="false">
      <c r="A51" s="53" t="n">
        <v>5</v>
      </c>
      <c r="B51" s="1" t="s">
        <v>1</v>
      </c>
      <c r="C51" s="180" t="s">
        <v>407</v>
      </c>
    </row>
    <row r="52" customFormat="false" ht="9.1" hidden="false" customHeight="true" outlineLevel="0" collapsed="false">
      <c r="A52" s="53" t="n">
        <v>5</v>
      </c>
      <c r="B52" s="19" t="s">
        <v>1</v>
      </c>
      <c r="C52" s="180" t="s">
        <v>407</v>
      </c>
      <c r="T52" s="71" t="s">
        <v>510</v>
      </c>
    </row>
    <row r="53" customFormat="false" ht="9.1" hidden="false" customHeight="true" outlineLevel="0" collapsed="false">
      <c r="A53" s="53" t="n">
        <v>5</v>
      </c>
      <c r="C53" s="251" t="s">
        <v>1</v>
      </c>
      <c r="T53" s="51" t="s">
        <v>405</v>
      </c>
    </row>
    <row r="54" customFormat="false" ht="9.1" hidden="false" customHeight="true" outlineLevel="0" collapsed="false">
      <c r="A54" s="53" t="n">
        <v>5</v>
      </c>
      <c r="T54" s="51" t="s">
        <v>511</v>
      </c>
    </row>
    <row r="55" customFormat="false" ht="9.1" hidden="false" customHeight="true" outlineLevel="0" collapsed="false">
      <c r="A55" s="53" t="n">
        <v>5</v>
      </c>
      <c r="T55" s="51" t="s">
        <v>512</v>
      </c>
    </row>
    <row r="56" customFormat="false" ht="9.1" hidden="false" customHeight="true" outlineLevel="0" collapsed="false">
      <c r="T56" s="51" t="s">
        <v>477</v>
      </c>
      <c r="U56" s="51" t="s">
        <v>513</v>
      </c>
    </row>
    <row r="57" customFormat="false" ht="9.1" hidden="false" customHeight="true" outlineLevel="0" collapsed="false">
      <c r="T57" s="51" t="s">
        <v>479</v>
      </c>
      <c r="U57" s="51" t="s">
        <v>514</v>
      </c>
      <c r="V57" s="61" t="s">
        <v>514</v>
      </c>
    </row>
    <row r="58" customFormat="false" ht="9.1" hidden="false" customHeight="true" outlineLevel="0" collapsed="false">
      <c r="T58" s="51" t="s">
        <v>481</v>
      </c>
      <c r="U58" s="51" t="s">
        <v>515</v>
      </c>
    </row>
    <row r="59" customFormat="false" ht="9.1" hidden="false" customHeight="true" outlineLevel="0" collapsed="false">
      <c r="T59" s="51" t="s">
        <v>483</v>
      </c>
      <c r="U59" s="51" t="s">
        <v>516</v>
      </c>
    </row>
    <row r="60" customFormat="false" ht="9.1" hidden="false" customHeight="true" outlineLevel="0" collapsed="false">
      <c r="T60" s="51" t="s">
        <v>517</v>
      </c>
      <c r="U60" s="130" t="s">
        <v>518</v>
      </c>
    </row>
    <row r="61" customFormat="false" ht="9.1" hidden="false" customHeight="true" outlineLevel="0" collapsed="false">
      <c r="T61" s="51" t="s">
        <v>485</v>
      </c>
      <c r="U61" s="51" t="n">
        <v>17207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customFormat="false" ht="9.1" hidden="false" customHeight="true" outlineLevel="0" collapsed="false">
      <c r="T62" s="51" t="s">
        <v>486</v>
      </c>
      <c r="U62" s="51" t="n">
        <v>39931</v>
      </c>
    </row>
    <row r="64" customFormat="false" ht="9.1" hidden="false" customHeight="true" outlineLevel="0" collapsed="false">
      <c r="T64" s="71" t="s">
        <v>519</v>
      </c>
    </row>
    <row r="65" customFormat="false" ht="9.1" hidden="false" customHeight="true" outlineLevel="0" collapsed="false">
      <c r="T65" s="51" t="s">
        <v>520</v>
      </c>
    </row>
    <row r="66" customFormat="false" ht="9.1" hidden="false" customHeight="true" outlineLevel="0" collapsed="false">
      <c r="T66" s="51" t="s">
        <v>475</v>
      </c>
      <c r="U66" s="51" t="s">
        <v>476</v>
      </c>
    </row>
    <row r="67" customFormat="false" ht="9.1" hidden="false" customHeight="true" outlineLevel="0" collapsed="false">
      <c r="T67" s="51" t="s">
        <v>477</v>
      </c>
      <c r="U67" s="51" t="s">
        <v>507</v>
      </c>
    </row>
    <row r="68" customFormat="false" ht="9.1" hidden="false" customHeight="true" outlineLevel="0" collapsed="false">
      <c r="T68" s="51" t="s">
        <v>479</v>
      </c>
      <c r="U68" s="51" t="s">
        <v>508</v>
      </c>
      <c r="V68" s="61" t="n">
        <v>27.75</v>
      </c>
    </row>
    <row r="69" customFormat="false" ht="9.1" hidden="false" customHeight="true" outlineLevel="0" collapsed="false">
      <c r="T69" s="51" t="s">
        <v>481</v>
      </c>
      <c r="U69" s="51" t="s">
        <v>509</v>
      </c>
    </row>
    <row r="70" customFormat="false" ht="9.1" hidden="false" customHeight="true" outlineLevel="0" collapsed="false">
      <c r="T70" s="51" t="s">
        <v>483</v>
      </c>
      <c r="U70" s="51" t="s">
        <v>492</v>
      </c>
    </row>
    <row r="71" customFormat="false" ht="9.1" hidden="false" customHeight="true" outlineLevel="0" collapsed="false">
      <c r="T71" s="51" t="s">
        <v>485</v>
      </c>
      <c r="U71" s="51" t="n">
        <v>17209</v>
      </c>
    </row>
    <row r="72" customFormat="false" ht="9.1" hidden="false" customHeight="true" outlineLevel="0" collapsed="false">
      <c r="T72" s="51" t="s">
        <v>486</v>
      </c>
      <c r="U72" s="51" t="n">
        <v>39922</v>
      </c>
    </row>
    <row r="74" customFormat="false" ht="9.1" hidden="false" customHeight="true" outlineLevel="0" collapsed="false">
      <c r="T74" s="71" t="s">
        <v>521</v>
      </c>
    </row>
    <row r="75" customFormat="false" ht="9.1" hidden="false" customHeight="true" outlineLevel="0" collapsed="false">
      <c r="T75" s="51" t="s">
        <v>476</v>
      </c>
    </row>
    <row r="76" customFormat="false" ht="9.1" hidden="false" customHeight="true" outlineLevel="0" collapsed="false">
      <c r="T76" s="51" t="s">
        <v>475</v>
      </c>
      <c r="U76" s="51" t="s">
        <v>476</v>
      </c>
    </row>
    <row r="77" customFormat="false" ht="9.1" hidden="false" customHeight="true" outlineLevel="0" collapsed="false">
      <c r="T77" s="51" t="s">
        <v>477</v>
      </c>
      <c r="U77" s="51" t="s">
        <v>522</v>
      </c>
    </row>
    <row r="78" customFormat="false" ht="9.1" hidden="false" customHeight="true" outlineLevel="0" collapsed="false">
      <c r="T78" s="51" t="s">
        <v>479</v>
      </c>
      <c r="U78" s="51" t="s">
        <v>523</v>
      </c>
      <c r="V78" s="61" t="n">
        <v>30.17</v>
      </c>
    </row>
    <row r="79" customFormat="false" ht="9.1" hidden="false" customHeight="true" outlineLevel="0" collapsed="false">
      <c r="T79" s="51" t="s">
        <v>481</v>
      </c>
      <c r="U79" s="51" t="s">
        <v>524</v>
      </c>
    </row>
    <row r="80" customFormat="false" ht="9.1" hidden="false" customHeight="true" outlineLevel="0" collapsed="false">
      <c r="T80" s="51" t="s">
        <v>483</v>
      </c>
      <c r="U80" s="51" t="s">
        <v>525</v>
      </c>
    </row>
    <row r="81" customFormat="false" ht="9.1" hidden="false" customHeight="true" outlineLevel="0" collapsed="false">
      <c r="T81" s="51" t="s">
        <v>485</v>
      </c>
      <c r="U81" s="51" t="n">
        <v>17207</v>
      </c>
    </row>
    <row r="82" customFormat="false" ht="9.1" hidden="false" customHeight="true" outlineLevel="0" collapsed="false">
      <c r="T82" s="51" t="s">
        <v>486</v>
      </c>
      <c r="U82" s="51" t="n">
        <v>39931</v>
      </c>
    </row>
    <row r="85" customFormat="false" ht="9.1" hidden="false" customHeight="true" outlineLevel="0" collapsed="false">
      <c r="S85" s="1" t="s">
        <v>526</v>
      </c>
      <c r="V85" s="252" t="n">
        <f aca="false">SUM(V1:V84)</f>
        <v>155.36</v>
      </c>
    </row>
  </sheetData>
  <hyperlinks>
    <hyperlink ref="T2" r:id="rId1" display="https://de.wikipedia.org/wiki/Bollewick"/>
    <hyperlink ref="T12" r:id="rId2" display="https://de.wikipedia.org/wiki/Bütow"/>
    <hyperlink ref="T22" r:id="rId3" display="https://de.wikipedia.org/wiki/Gotthun"/>
    <hyperlink ref="T32" r:id="rId4" display="https://de.wikipedia.org/wiki/Groß_Kelle"/>
    <hyperlink ref="T42" r:id="rId5" display="https://de.wikipedia.org/wiki/Leizen"/>
    <hyperlink ref="T52" r:id="rId6" display="https://de.wikipedia.org/wiki/Ludorf"/>
    <hyperlink ref="T64" r:id="rId7" location="Minzow" display="https://de.wikipedia.org/wiki/Leizen#Minzow"/>
    <hyperlink ref="T74" r:id="rId8" display="https://de.wikipedia.org/wiki/Röbel/Müritz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2019-10-01T11:57:02Z</dcterms:created>
  <dc:creator/>
  <dc:description/>
  <dc:language>de-DE</dc:language>
  <cp:lastModifiedBy/>
  <dcterms:modified xsi:type="dcterms:W3CDTF">2024-01-22T21:22:19Z</dcterms:modified>
  <cp:revision>277</cp:revision>
  <dc:subject/>
  <dc:title/>
</cp:coreProperties>
</file>