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hemao\Desktop\"/>
    </mc:Choice>
  </mc:AlternateContent>
  <xr:revisionPtr revIDLastSave="0" documentId="13_ncr:1_{0C535CDE-F434-4CDC-A98B-7159842797CA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炼焦煤气单耗分析" sheetId="1" r:id="rId1"/>
    <sheet name="_danhao_day_all" sheetId="2" r:id="rId2"/>
    <sheet name="_metadata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7" i="1" l="1"/>
  <c r="E25" i="1"/>
  <c r="N25" i="1" s="1"/>
  <c r="E19" i="1"/>
  <c r="N19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N13" i="1"/>
  <c r="B17" i="1"/>
  <c r="C17" i="1"/>
  <c r="D17" i="1"/>
  <c r="E17" i="1"/>
  <c r="F17" i="1"/>
  <c r="G17" i="1"/>
  <c r="H17" i="1"/>
  <c r="I17" i="1"/>
  <c r="J17" i="1"/>
  <c r="K17" i="1"/>
  <c r="L17" i="1"/>
  <c r="M17" i="1"/>
  <c r="B23" i="1"/>
  <c r="C23" i="1"/>
  <c r="D23" i="1"/>
  <c r="E23" i="1"/>
  <c r="F23" i="1"/>
  <c r="G23" i="1"/>
  <c r="H23" i="1"/>
  <c r="I23" i="1"/>
  <c r="J23" i="1"/>
  <c r="K23" i="1"/>
  <c r="L23" i="1"/>
  <c r="M23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N5" i="1" l="1"/>
  <c r="B7" i="1" s="1"/>
  <c r="D17" i="2"/>
  <c r="D3" i="2" s="1"/>
  <c r="I31" i="1"/>
  <c r="E31" i="1"/>
  <c r="D31" i="1"/>
  <c r="A3" i="1"/>
  <c r="D5" i="2" l="1"/>
  <c r="D4" i="2"/>
  <c r="D7" i="2"/>
  <c r="D6" i="2"/>
  <c r="D9" i="2"/>
  <c r="D8" i="2"/>
  <c r="D11" i="2"/>
  <c r="D10" i="2"/>
  <c r="D12" i="2"/>
  <c r="D13" i="2"/>
  <c r="D14" i="2"/>
  <c r="V14" i="1"/>
  <c r="J7" i="1"/>
  <c r="D11" i="1"/>
  <c r="H11" i="1"/>
  <c r="L11" i="1"/>
  <c r="D29" i="1"/>
  <c r="H29" i="1"/>
  <c r="L29" i="1"/>
  <c r="D35" i="1"/>
  <c r="H35" i="1"/>
  <c r="L35" i="1"/>
  <c r="L7" i="1"/>
  <c r="B11" i="1"/>
  <c r="N37" i="1" s="1"/>
  <c r="F11" i="1"/>
  <c r="J11" i="1"/>
  <c r="B29" i="1"/>
  <c r="F29" i="1"/>
  <c r="J29" i="1"/>
  <c r="B35" i="1"/>
  <c r="F35" i="1"/>
  <c r="J35" i="1"/>
  <c r="K7" i="1"/>
  <c r="C11" i="1"/>
  <c r="G11" i="1"/>
  <c r="K11" i="1"/>
  <c r="C29" i="1"/>
  <c r="G29" i="1"/>
  <c r="K29" i="1"/>
  <c r="C35" i="1"/>
  <c r="G35" i="1"/>
  <c r="K35" i="1"/>
  <c r="M7" i="1"/>
  <c r="I7" i="1"/>
  <c r="E11" i="1"/>
  <c r="I11" i="1"/>
  <c r="M11" i="1"/>
  <c r="E29" i="1"/>
  <c r="I29" i="1"/>
  <c r="M29" i="1"/>
  <c r="E35" i="1"/>
  <c r="I35" i="1"/>
  <c r="M35" i="1"/>
  <c r="E7" i="1"/>
  <c r="H7" i="1"/>
  <c r="D7" i="1"/>
  <c r="G7" i="1"/>
  <c r="C7" i="1"/>
  <c r="F7" i="1"/>
  <c r="N31" i="1"/>
  <c r="V20" i="1" l="1"/>
  <c r="I20" i="1" s="1"/>
  <c r="C42" i="1" s="1"/>
  <c r="C43" i="1" s="1"/>
  <c r="V26" i="1"/>
  <c r="V32" i="1"/>
  <c r="F32" i="1" s="1"/>
  <c r="V38" i="1"/>
  <c r="F38" i="1" s="1"/>
  <c r="E14" i="1"/>
  <c r="I14" i="1"/>
  <c r="B42" i="1" s="1"/>
  <c r="E20" i="1" l="1"/>
  <c r="E26" i="1"/>
  <c r="I26" i="1"/>
  <c r="D42" i="1" s="1"/>
  <c r="D43" i="1" s="1"/>
  <c r="I38" i="1"/>
  <c r="F42" i="1" s="1"/>
  <c r="F43" i="1" s="1"/>
  <c r="I32" i="1"/>
  <c r="E42" i="1" s="1"/>
  <c r="E43" i="1" s="1"/>
  <c r="B43" i="1"/>
  <c r="G42" i="1" l="1"/>
  <c r="H42" i="1" l="1"/>
  <c r="H43" i="1" s="1"/>
  <c r="G43" i="1"/>
</calcChain>
</file>

<file path=xl/sharedStrings.xml><?xml version="1.0" encoding="utf-8"?>
<sst xmlns="http://schemas.openxmlformats.org/spreadsheetml/2006/main" count="96" uniqueCount="57">
  <si>
    <t>产线</t>
  </si>
  <si>
    <t>6#-7#</t>
  </si>
  <si>
    <t>简况</t>
  </si>
  <si>
    <t>炼焦单耗变化</t>
  </si>
  <si>
    <t>近1周</t>
  </si>
  <si>
    <t>今日</t>
  </si>
  <si>
    <t>第一部分</t>
  </si>
  <si>
    <t>入炉煤日水分变化</t>
  </si>
  <si>
    <t>湿煤1%水分影响热量 Kj/kg</t>
  </si>
  <si>
    <t>吨湿煤成焦率 kg/kg</t>
  </si>
  <si>
    <t>1%水分影响吨焦耗热量 Gj/t</t>
  </si>
  <si>
    <t>相较于</t>
  </si>
  <si>
    <t>实际影响 Gj/t</t>
  </si>
  <si>
    <t>水分变化：</t>
  </si>
  <si>
    <t>第二部分</t>
  </si>
  <si>
    <t>焦炉煤气热值变化</t>
  </si>
  <si>
    <t>标准热值(系统) Kj/m3</t>
  </si>
  <si>
    <t>基准单耗 Gj/t</t>
  </si>
  <si>
    <t>100kj/m3影响吨焦耗热量:</t>
  </si>
  <si>
    <t>变化：</t>
  </si>
  <si>
    <t>第三部分</t>
  </si>
  <si>
    <t>第四部分</t>
  </si>
  <si>
    <t>单孔产焦量 t</t>
  </si>
  <si>
    <t>100kg/孔影响吨焦耗热量:</t>
  </si>
  <si>
    <t>第五部分</t>
  </si>
  <si>
    <t>丢孔情况变化</t>
  </si>
  <si>
    <t>日出焦孔数</t>
  </si>
  <si>
    <t>单孔影响吨焦耗热量:</t>
  </si>
  <si>
    <t>总结</t>
  </si>
  <si>
    <t>总计变化排序</t>
  </si>
  <si>
    <t>水分影响</t>
  </si>
  <si>
    <t>COG热值影响</t>
  </si>
  <si>
    <t>BFG影响</t>
  </si>
  <si>
    <t>装煤影响</t>
  </si>
  <si>
    <t>丢孔影响</t>
  </si>
  <si>
    <t>合计影响</t>
  </si>
  <si>
    <t>差额</t>
  </si>
  <si>
    <t>CK67_FQ1304_1305COG_1d_acc</t>
  </si>
  <si>
    <t>CK67_L1R_CI_31BFGConsumption_1d_acc</t>
  </si>
  <si>
    <t>CK67_L1R_CI_32BFGConsumption_1d_acc</t>
  </si>
  <si>
    <t>月份</t>
  </si>
  <si>
    <t>炼焦单耗</t>
  </si>
  <si>
    <t>水分均值</t>
  </si>
  <si>
    <t>焦炉煤气热值</t>
  </si>
  <si>
    <t>高炉煤气热值</t>
  </si>
  <si>
    <t>单孔装煤量偏差</t>
  </si>
  <si>
    <t>丢孔情况</t>
  </si>
  <si>
    <t>入炉煤水分变化</t>
  </si>
  <si>
    <t>每天CK67_FQ1304_1305COG_1d_acc和当天总产焦量比值，为每天的单耗，再求相应均值</t>
  </si>
  <si>
    <t>如炼焦月报中，查询每班“入炉煤水分”求均值</t>
  </si>
  <si>
    <t>和入炉煤水分类似，查询物料代码为63207的物料检化验项目为“Q”的值，并求相应均值</t>
  </si>
  <si>
    <t>和入炉煤水分类似，查询物料代码为63201的物料检化验项目为“Q”的值，并求相应均值</t>
  </si>
  <si>
    <t>计算每日“总装煤量”和“规定装煤量”的差值，并求相应平均值</t>
  </si>
  <si>
    <t>计算每日“实际出焦孔数”和“计划出焦孔数”的差值，并求相应平均值</t>
  </si>
  <si>
    <t xml:space="preserve">高炉煤气热值变化 </t>
    <phoneticPr fontId="6" type="noConversion"/>
  </si>
  <si>
    <t>单孔装煤量偏差变化 kg</t>
    <phoneticPr fontId="6" type="noConversion"/>
  </si>
  <si>
    <r>
      <t xml:space="preserve">实际影响 </t>
    </r>
    <r>
      <rPr>
        <sz val="11"/>
        <color theme="1"/>
        <rFont val="等线"/>
        <family val="3"/>
        <charset val="134"/>
        <scheme val="minor"/>
      </rPr>
      <t xml:space="preserve">    </t>
    </r>
    <r>
      <rPr>
        <sz val="11"/>
        <color theme="1"/>
        <rFont val="等线"/>
        <family val="3"/>
        <charset val="134"/>
        <scheme val="minor"/>
      </rPr>
      <t>Gj/t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</si>
</sst>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_ "/>
  </numFmts>
  <fonts count="7" x14ac:knownFonts="1">
    <font>
      <sz val="11"/>
      <color theme="1"/>
      <name val="等线"/>
      <charset val="134"/>
      <scheme val="minor"/>
    </font>
    <font>
      <sz val="9.75"/>
      <color rgb="FF333333"/>
      <name val="Helvetica"/>
      <family val="2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/>
      <diagonal/>
    </border>
    <border>
      <left style="medium">
        <color auto="1"/>
      </left>
      <right style="medium">
        <color auto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auto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  <border>
      <left style="medium">
        <color theme="1"/>
      </left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7">
    <xf numFmtId="0" fontId="0" fillId="0" borderId="0" xfId="0"/>
    <xf numFmtId="0" fontId="0" fillId="0" borderId="0" xfId="0" applyAlignment="1">
      <alignment horizontal="distributed" vertical="center"/>
    </xf>
    <xf numFmtId="0" fontId="1" fillId="0" borderId="0" xfId="0" applyFont="1" applyAlignment="1">
      <alignment horizontal="distributed"/>
    </xf>
    <xf numFmtId="10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0" fontId="0" fillId="2" borderId="9" xfId="0" applyNumberFormat="1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10" fontId="0" fillId="2" borderId="12" xfId="1" applyNumberFormat="1" applyFont="1" applyFill="1" applyBorder="1" applyAlignment="1"/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2" borderId="5" xfId="0" applyFill="1" applyBorder="1" applyAlignment="1"/>
    <xf numFmtId="0" fontId="0" fillId="2" borderId="5" xfId="0" applyFill="1" applyBorder="1"/>
    <xf numFmtId="177" fontId="0" fillId="2" borderId="5" xfId="0" applyNumberFormat="1" applyFill="1" applyBorder="1" applyAlignment="1"/>
    <xf numFmtId="177" fontId="0" fillId="2" borderId="5" xfId="0" applyNumberFormat="1" applyFill="1" applyBorder="1"/>
    <xf numFmtId="0" fontId="0" fillId="2" borderId="21" xfId="0" applyFill="1" applyBorder="1" applyAlignment="1">
      <alignment horizontal="center"/>
    </xf>
    <xf numFmtId="0" fontId="0" fillId="0" borderId="0" xfId="0" applyAlignment="1"/>
    <xf numFmtId="10" fontId="0" fillId="2" borderId="21" xfId="0" applyNumberFormat="1" applyFill="1" applyBorder="1" applyAlignment="1">
      <alignment horizontal="center"/>
    </xf>
    <xf numFmtId="0" fontId="0" fillId="2" borderId="23" xfId="0" applyFill="1" applyBorder="1"/>
    <xf numFmtId="0" fontId="0" fillId="2" borderId="12" xfId="0" applyNumberFormat="1" applyFill="1" applyBorder="1"/>
    <xf numFmtId="0" fontId="0" fillId="2" borderId="24" xfId="0" applyFill="1" applyBorder="1"/>
    <xf numFmtId="1" fontId="0" fillId="2" borderId="21" xfId="0" applyNumberForma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10" fontId="0" fillId="0" borderId="0" xfId="1" applyNumberFormat="1" applyFont="1" applyAlignment="1"/>
    <xf numFmtId="1" fontId="0" fillId="2" borderId="28" xfId="0" applyNumberFormat="1" applyFill="1" applyBorder="1" applyAlignment="1">
      <alignment horizontal="center"/>
    </xf>
    <xf numFmtId="1" fontId="0" fillId="2" borderId="29" xfId="0" applyNumberFormat="1" applyFill="1" applyBorder="1" applyAlignment="1">
      <alignment horizontal="center"/>
    </xf>
    <xf numFmtId="1" fontId="0" fillId="2" borderId="30" xfId="0" applyNumberFormat="1" applyFill="1" applyBorder="1" applyAlignment="1">
      <alignment horizontal="center"/>
    </xf>
    <xf numFmtId="176" fontId="0" fillId="2" borderId="28" xfId="0" applyNumberFormat="1" applyFill="1" applyBorder="1" applyAlignment="1">
      <alignment horizontal="center"/>
    </xf>
    <xf numFmtId="176" fontId="0" fillId="2" borderId="29" xfId="0" applyNumberFormat="1" applyFill="1" applyBorder="1" applyAlignment="1">
      <alignment horizontal="center"/>
    </xf>
    <xf numFmtId="176" fontId="0" fillId="2" borderId="30" xfId="0" applyNumberFormat="1" applyFill="1" applyBorder="1" applyAlignment="1">
      <alignment horizontal="center"/>
    </xf>
    <xf numFmtId="0" fontId="3" fillId="2" borderId="0" xfId="0" applyFont="1" applyFill="1"/>
    <xf numFmtId="0" fontId="0" fillId="2" borderId="33" xfId="0" applyFill="1" applyBorder="1" applyAlignment="1">
      <alignment horizontal="center"/>
    </xf>
    <xf numFmtId="14" fontId="0" fillId="0" borderId="0" xfId="0" applyNumberFormat="1"/>
    <xf numFmtId="178" fontId="0" fillId="0" borderId="0" xfId="0" applyNumberFormat="1"/>
    <xf numFmtId="178" fontId="0" fillId="2" borderId="34" xfId="0" applyNumberFormat="1" applyFill="1" applyBorder="1" applyAlignment="1">
      <alignment horizontal="center"/>
    </xf>
    <xf numFmtId="178" fontId="0" fillId="2" borderId="35" xfId="0" applyNumberFormat="1" applyFill="1" applyBorder="1" applyAlignment="1">
      <alignment horizontal="center"/>
    </xf>
    <xf numFmtId="178" fontId="0" fillId="2" borderId="36" xfId="0" applyNumberFormat="1" applyFill="1" applyBorder="1" applyAlignment="1">
      <alignment horizontal="center"/>
    </xf>
    <xf numFmtId="0" fontId="0" fillId="2" borderId="5" xfId="0" applyNumberFormat="1" applyFill="1" applyBorder="1"/>
    <xf numFmtId="0" fontId="2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2B-44F1-AD26-8F16F03F43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2B-44F1-AD26-8F16F03F43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2B-44F1-AD26-8F16F03F43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2B-44F1-AD26-8F16F03F43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2B-44F1-AD26-8F16F03F43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炼焦煤气单耗分析!$B$41:$F$41</c:f>
              <c:strCache>
                <c:ptCount val="5"/>
                <c:pt idx="0">
                  <c:v>水分影响</c:v>
                </c:pt>
                <c:pt idx="1">
                  <c:v>COG热值影响</c:v>
                </c:pt>
                <c:pt idx="2">
                  <c:v>BFG影响</c:v>
                </c:pt>
                <c:pt idx="3">
                  <c:v>装煤影响</c:v>
                </c:pt>
                <c:pt idx="4">
                  <c:v>丢孔影响</c:v>
                </c:pt>
              </c:strCache>
            </c:strRef>
          </c:cat>
          <c:val>
            <c:numRef>
              <c:f>炼焦煤气单耗分析!$B$42:$F$42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2B-44F1-AD26-8F16F03F4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炼焦煤气单耗分析!$B$41:$F$41</c:f>
              <c:strCache>
                <c:ptCount val="5"/>
                <c:pt idx="0">
                  <c:v>水分影响</c:v>
                </c:pt>
                <c:pt idx="1">
                  <c:v>COG热值影响</c:v>
                </c:pt>
                <c:pt idx="2">
                  <c:v>BFG影响</c:v>
                </c:pt>
                <c:pt idx="3">
                  <c:v>装煤影响</c:v>
                </c:pt>
                <c:pt idx="4">
                  <c:v>丢孔影响</c:v>
                </c:pt>
              </c:strCache>
            </c:strRef>
          </c:cat>
          <c:val>
            <c:numRef>
              <c:f>炼焦煤气单耗分析!$B$43:$F$43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8-415E-B371-65DA9F77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393808"/>
        <c:axId val="1757572272"/>
      </c:barChart>
      <c:catAx>
        <c:axId val="19543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572272"/>
        <c:crosses val="autoZero"/>
        <c:auto val="1"/>
        <c:lblAlgn val="ctr"/>
        <c:lblOffset val="100"/>
        <c:noMultiLvlLbl val="0"/>
      </c:catAx>
      <c:valAx>
        <c:axId val="17575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39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40</xdr:row>
      <xdr:rowOff>19685</xdr:rowOff>
    </xdr:from>
    <xdr:to>
      <xdr:col>14</xdr:col>
      <xdr:colOff>584200</xdr:colOff>
      <xdr:row>43</xdr:row>
      <xdr:rowOff>1682750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43</xdr:row>
      <xdr:rowOff>61595</xdr:rowOff>
    </xdr:from>
    <xdr:to>
      <xdr:col>7</xdr:col>
      <xdr:colOff>590550</xdr:colOff>
      <xdr:row>43</xdr:row>
      <xdr:rowOff>1689100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04805D3-56E2-4A16-A083-332D2FCED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44"/>
  <sheetViews>
    <sheetView showGridLines="0" tabSelected="1" workbookViewId="0">
      <selection activeCell="M7" sqref="M7"/>
    </sheetView>
  </sheetViews>
  <sheetFormatPr defaultColWidth="9" defaultRowHeight="14" x14ac:dyDescent="0.3"/>
  <cols>
    <col min="2" max="15" width="7.9140625" customWidth="1"/>
    <col min="16" max="16" width="6" customWidth="1"/>
    <col min="19" max="19" width="8.08203125" customWidth="1"/>
    <col min="20" max="24" width="7.6640625" customWidth="1"/>
  </cols>
  <sheetData>
    <row r="3" spans="1:22" x14ac:dyDescent="0.3">
      <c r="A3" s="49" t="str">
        <f>B5&amp;"炼焦单耗分析"</f>
        <v>6#-7#炼焦单耗分析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1:22" x14ac:dyDescent="0.3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</row>
    <row r="5" spans="1:22" ht="14.5" thickBot="1" x14ac:dyDescent="0.35">
      <c r="A5" s="7" t="s">
        <v>0</v>
      </c>
      <c r="B5" s="7" t="s">
        <v>1</v>
      </c>
      <c r="C5" s="41"/>
      <c r="D5" s="7"/>
      <c r="E5" s="7"/>
      <c r="F5" s="7"/>
      <c r="G5" s="7"/>
      <c r="H5" s="7"/>
      <c r="I5" s="7"/>
      <c r="J5" s="7"/>
      <c r="K5" s="7"/>
      <c r="L5" s="7"/>
      <c r="M5" s="7"/>
      <c r="N5" s="7" t="str">
        <f>IF(_metadata!$B$2="","",_metadata!$B$2)</f>
        <v/>
      </c>
      <c r="O5" s="7"/>
    </row>
    <row r="6" spans="1:22" ht="14.5" thickBot="1" x14ac:dyDescent="0.35">
      <c r="A6" s="56" t="s">
        <v>2</v>
      </c>
      <c r="B6" s="71" t="s">
        <v>3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</row>
    <row r="7" spans="1:22" ht="14.5" thickBot="1" x14ac:dyDescent="0.35">
      <c r="A7" s="56"/>
      <c r="B7" s="9" t="e">
        <f>IF((MONTH($N$5)-12)&lt;=0,MONTH($N$5)-12+12&amp;"月",MONTH($N$5)-12&amp;"月")</f>
        <v>#VALUE!</v>
      </c>
      <c r="C7" s="8" t="e">
        <f>IF((MONTH($N$5)-11)&lt;=0,MONTH($N$5)-11+12&amp;"月",MONTH($N$5)-11&amp;"月")</f>
        <v>#VALUE!</v>
      </c>
      <c r="D7" s="8" t="e">
        <f>IF((MONTH($N$5)-10)&lt;=0,MONTH($N$5)-10+12&amp;"月",MONTH($N$5)-10&amp;"月")</f>
        <v>#VALUE!</v>
      </c>
      <c r="E7" s="8" t="e">
        <f>IF((MONTH($N$5)-9)&lt;=0,MONTH($N$5)-9+12&amp;"月",MONTH($N$5)-9&amp;"月")</f>
        <v>#VALUE!</v>
      </c>
      <c r="F7" s="8" t="e">
        <f>IF((MONTH($N$5)-8)&lt;=0,MONTH($N$5)-8+12&amp;"月",MONTH($N$5)-8&amp;"月")</f>
        <v>#VALUE!</v>
      </c>
      <c r="G7" s="8" t="e">
        <f>IF((MONTH($N$5)-7)&lt;=0,MONTH($N$5)-7+12&amp;"月",MONTH($N$5)-7&amp;"月")</f>
        <v>#VALUE!</v>
      </c>
      <c r="H7" s="8" t="e">
        <f>IF((MONTH($N$5)-6)&lt;=0,MONTH($N$5)-6+12&amp;"月",MONTH($N$5)-6&amp;"月")</f>
        <v>#VALUE!</v>
      </c>
      <c r="I7" s="8" t="e">
        <f>IF((MONTH($N$5)-5)&lt;=0,MONTH($N$5)-5+12&amp;"月",MONTH($N$5)-5&amp;"月")</f>
        <v>#VALUE!</v>
      </c>
      <c r="J7" s="8" t="e">
        <f>IF((MONTH($N$5)-4)&lt;=0,MONTH($N$5)-4+12&amp;"月",MONTH($N$5)-4&amp;"月")</f>
        <v>#VALUE!</v>
      </c>
      <c r="K7" s="8" t="e">
        <f>IF((MONTH($N$5)-3)&lt;=0,MONTH($N$5)-3+12&amp;"月",MONTH($N$5)-3&amp;"月")</f>
        <v>#VALUE!</v>
      </c>
      <c r="L7" s="8" t="e">
        <f>IF((MONTH($N$5)-2)&lt;=0,MONTH($N$5)-2+12&amp;"月",MONTH($N$5)-2&amp;"月")</f>
        <v>#VALUE!</v>
      </c>
      <c r="M7" s="8" t="e">
        <f>IF((MONTH($N$5)-1)&lt;=0,MONTH($N$5)-1+12&amp;"月",MONTH($N$5)-1&amp;"月")</f>
        <v>#VALUE!</v>
      </c>
      <c r="N7" s="8" t="s">
        <v>4</v>
      </c>
      <c r="O7" s="42" t="s">
        <v>5</v>
      </c>
    </row>
    <row r="8" spans="1:22" ht="14.5" thickBot="1" x14ac:dyDescent="0.35">
      <c r="A8" s="56"/>
      <c r="B8" s="45" t="str">
        <f>IF(_danhao_day_all!E3="","",_danhao_day_all!E3)</f>
        <v/>
      </c>
      <c r="C8" s="46" t="str">
        <f>IF(_danhao_day_all!E4="","",_danhao_day_all!E4)</f>
        <v/>
      </c>
      <c r="D8" s="46" t="str">
        <f>IF(_danhao_day_all!E5="","",_danhao_day_all!E5)</f>
        <v/>
      </c>
      <c r="E8" s="46" t="str">
        <f>IF(_danhao_day_all!E6="","",_danhao_day_all!E6)</f>
        <v/>
      </c>
      <c r="F8" s="46" t="str">
        <f>IF(_danhao_day_all!E7="","",_danhao_day_all!E7)</f>
        <v/>
      </c>
      <c r="G8" s="46" t="str">
        <f>IF(_danhao_day_all!E8="","",_danhao_day_all!E8)</f>
        <v/>
      </c>
      <c r="H8" s="46" t="str">
        <f>IF(_danhao_day_all!E9="","",_danhao_day_all!E9)</f>
        <v/>
      </c>
      <c r="I8" s="46" t="str">
        <f>IF(_danhao_day_all!E10="","",_danhao_day_all!E10)</f>
        <v/>
      </c>
      <c r="J8" s="46" t="str">
        <f>IF(_danhao_day_all!E11="","",_danhao_day_all!E11)</f>
        <v/>
      </c>
      <c r="K8" s="46" t="str">
        <f>IF(_danhao_day_all!E12="","",_danhao_day_all!E12)</f>
        <v/>
      </c>
      <c r="L8" s="46" t="str">
        <f>IF(_danhao_day_all!E13="","",_danhao_day_all!E13)</f>
        <v/>
      </c>
      <c r="M8" s="46" t="str">
        <f>IF(_danhao_day_all!E14="","",_danhao_day_all!E14)</f>
        <v/>
      </c>
      <c r="N8" s="46" t="str">
        <f>IF(_danhao_day_all!E15="","",_danhao_day_all!E15)</f>
        <v/>
      </c>
      <c r="O8" s="47" t="str">
        <f>IF(_danhao_day_all!E16="","",_danhao_day_all!E16)</f>
        <v/>
      </c>
      <c r="Q8" s="44"/>
    </row>
    <row r="9" spans="1:22" ht="14.5" thickBot="1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22" x14ac:dyDescent="0.3">
      <c r="A10" s="56" t="s">
        <v>6</v>
      </c>
      <c r="B10" s="73" t="s">
        <v>7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5"/>
    </row>
    <row r="11" spans="1:22" ht="14.5" thickBot="1" x14ac:dyDescent="0.35">
      <c r="A11" s="56"/>
      <c r="B11" s="9" t="e">
        <f>IF((MONTH($N$5)-12)&lt;=0,MONTH($N$5)-12+12&amp;"月",MONTH($N$5)-12&amp;"月")</f>
        <v>#VALUE!</v>
      </c>
      <c r="C11" s="8" t="e">
        <f>IF((MONTH($N$5)-11)&lt;=0,MONTH($N$5)-11+12&amp;"月",MONTH($N$5)-11&amp;"月")</f>
        <v>#VALUE!</v>
      </c>
      <c r="D11" s="8" t="e">
        <f>IF((MONTH($N$5)-10)&lt;=0,MONTH($N$5)-10+12&amp;"月",MONTH($N$5)-10&amp;"月")</f>
        <v>#VALUE!</v>
      </c>
      <c r="E11" s="8" t="e">
        <f>IF((MONTH($N$5)-9)&lt;=0,MONTH($N$5)-9+12&amp;"月",MONTH($N$5)-9&amp;"月")</f>
        <v>#VALUE!</v>
      </c>
      <c r="F11" s="8" t="e">
        <f>IF((MONTH($N$5)-8)&lt;=0,MONTH($N$5)-8+12&amp;"月",MONTH($N$5)-8&amp;"月")</f>
        <v>#VALUE!</v>
      </c>
      <c r="G11" s="8" t="e">
        <f>IF((MONTH($N$5)-7)&lt;=0,MONTH($N$5)-7+12&amp;"月",MONTH($N$5)-7&amp;"月")</f>
        <v>#VALUE!</v>
      </c>
      <c r="H11" s="8" t="e">
        <f>IF((MONTH($N$5)-6)&lt;=0,MONTH($N$5)-6+12&amp;"月",MONTH($N$5)-6&amp;"月")</f>
        <v>#VALUE!</v>
      </c>
      <c r="I11" s="8" t="e">
        <f>IF((MONTH($N$5)-5)&lt;=0,MONTH($N$5)-5+12&amp;"月",MONTH($N$5)-5&amp;"月")</f>
        <v>#VALUE!</v>
      </c>
      <c r="J11" s="8" t="e">
        <f>IF((MONTH($N$5)-4)&lt;=0,MONTH($N$5)-4+12&amp;"月",MONTH($N$5)-4&amp;"月")</f>
        <v>#VALUE!</v>
      </c>
      <c r="K11" s="8" t="e">
        <f>IF((MONTH($N$5)-3)&lt;=0,MONTH($N$5)-3+12&amp;"月",MONTH($N$5)-3&amp;"月")</f>
        <v>#VALUE!</v>
      </c>
      <c r="L11" s="8" t="e">
        <f>IF((MONTH($N$5)-2)&lt;=0,MONTH($N$5)-2+12&amp;"月",MONTH($N$5)-2&amp;"月")</f>
        <v>#VALUE!</v>
      </c>
      <c r="M11" s="8" t="e">
        <f>IF((MONTH($N$5)-1)&lt;=0,MONTH($N$5)-1+12&amp;"月",MONTH($N$5)-1&amp;"月")</f>
        <v>#VALUE!</v>
      </c>
      <c r="N11" s="8" t="s">
        <v>4</v>
      </c>
      <c r="O11" s="26" t="s">
        <v>5</v>
      </c>
      <c r="P11" s="27"/>
    </row>
    <row r="12" spans="1:22" ht="14.5" thickBot="1" x14ac:dyDescent="0.35">
      <c r="A12" s="56"/>
      <c r="B12" s="10" t="str">
        <f>IF(_danhao_day_all!F3="","",_danhao_day_all!F3)</f>
        <v/>
      </c>
      <c r="C12" s="11" t="str">
        <f>IF(_danhao_day_all!F4="","",_danhao_day_all!F4)</f>
        <v/>
      </c>
      <c r="D12" s="11" t="str">
        <f>IF(_danhao_day_all!F5="","",_danhao_day_all!F5)</f>
        <v/>
      </c>
      <c r="E12" s="11" t="str">
        <f>IF(_danhao_day_all!F6="","",_danhao_day_all!F6)</f>
        <v/>
      </c>
      <c r="F12" s="11" t="str">
        <f>IF(_danhao_day_all!F7="","",_danhao_day_all!F7)</f>
        <v/>
      </c>
      <c r="G12" s="11" t="str">
        <f>IF(_danhao_day_all!F8="","",_danhao_day_all!F8)</f>
        <v/>
      </c>
      <c r="H12" s="11" t="str">
        <f>IF(_danhao_day_all!F9="","",_danhao_day_all!F9)</f>
        <v/>
      </c>
      <c r="I12" s="11" t="str">
        <f>IF(_danhao_day_all!F10="","",_danhao_day_all!F10)</f>
        <v/>
      </c>
      <c r="J12" s="11" t="str">
        <f>IF(_danhao_day_all!F11="","",_danhao_day_all!F11)</f>
        <v/>
      </c>
      <c r="K12" s="11" t="str">
        <f>IF(_danhao_day_all!F12="","",_danhao_day_all!F12)</f>
        <v/>
      </c>
      <c r="L12" s="11" t="str">
        <f>IF(_danhao_day_all!F13="","",_danhao_day_all!F13)</f>
        <v/>
      </c>
      <c r="M12" s="11" t="str">
        <f>IF(_danhao_day_all!F14="","",_danhao_day_all!F14)</f>
        <v/>
      </c>
      <c r="N12" s="11" t="str">
        <f>IF(_danhao_day_all!F15="","",_danhao_day_all!F15)</f>
        <v/>
      </c>
      <c r="O12" s="28" t="str">
        <f>IF(_danhao_day_all!F16="","",_danhao_day_all!F16)</f>
        <v/>
      </c>
      <c r="P12" s="27"/>
    </row>
    <row r="13" spans="1:22" ht="14.5" thickBot="1" x14ac:dyDescent="0.35">
      <c r="A13" s="57"/>
      <c r="B13" s="68" t="s">
        <v>8</v>
      </c>
      <c r="C13" s="69"/>
      <c r="D13" s="69"/>
      <c r="E13" s="13">
        <v>51</v>
      </c>
      <c r="F13" s="13"/>
      <c r="G13" s="69" t="s">
        <v>9</v>
      </c>
      <c r="H13" s="69"/>
      <c r="I13" s="12">
        <v>0.76</v>
      </c>
      <c r="J13" s="13"/>
      <c r="K13" s="13" t="s">
        <v>10</v>
      </c>
      <c r="L13" s="13"/>
      <c r="M13" s="13"/>
      <c r="N13" s="13">
        <f>0.051/0.76</f>
        <v>6.7105263157894737E-2</v>
      </c>
      <c r="O13" s="29"/>
      <c r="V13" s="34"/>
    </row>
    <row r="14" spans="1:22" x14ac:dyDescent="0.3">
      <c r="A14" s="57"/>
      <c r="B14" s="14" t="s">
        <v>5</v>
      </c>
      <c r="C14" s="15" t="s">
        <v>11</v>
      </c>
      <c r="D14" s="15" t="s">
        <v>4</v>
      </c>
      <c r="E14" s="16">
        <f ca="1">IF(V14&lt;0,"↓"&amp;TEXT(V14,"0.00%"),IF(V14=0,0,"↑"&amp;TEXT(V14,"0.00%")))</f>
        <v>0</v>
      </c>
      <c r="F14" s="17"/>
      <c r="G14" s="70" t="s">
        <v>56</v>
      </c>
      <c r="H14" s="50"/>
      <c r="I14" s="16">
        <f ca="1">V14*N13*100</f>
        <v>0</v>
      </c>
      <c r="J14" s="30"/>
      <c r="K14" s="15"/>
      <c r="L14" s="15"/>
      <c r="M14" s="15"/>
      <c r="N14" s="15"/>
      <c r="O14" s="31"/>
      <c r="U14" t="s">
        <v>13</v>
      </c>
      <c r="V14">
        <f ca="1">(VLOOKUP(B14,_danhao_day_all!D3:N16,3,FALSE)-VLOOKUP(D14,_danhao_day_all!D3:N16,3,FALSE))</f>
        <v>0</v>
      </c>
    </row>
    <row r="15" spans="1:22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22" x14ac:dyDescent="0.3">
      <c r="A16" s="57" t="s">
        <v>14</v>
      </c>
      <c r="B16" s="65" t="s">
        <v>15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7"/>
    </row>
    <row r="17" spans="1:22" x14ac:dyDescent="0.3">
      <c r="A17" s="57"/>
      <c r="B17" s="9" t="e">
        <f>IF((MONTH($N$5)-12)&lt;=0,MONTH($N$5)-12+12&amp;"月",MONTH($N$5)-12&amp;"月")</f>
        <v>#VALUE!</v>
      </c>
      <c r="C17" s="8" t="e">
        <f>IF((MONTH($N$5)-11)&lt;=0,MONTH($N$5)-11+12&amp;"月",MONTH($N$5)-11&amp;"月")</f>
        <v>#VALUE!</v>
      </c>
      <c r="D17" s="8" t="e">
        <f>IF((MONTH($N$5)-10)&lt;=0,MONTH($N$5)-10+12&amp;"月",MONTH($N$5)-10&amp;"月")</f>
        <v>#VALUE!</v>
      </c>
      <c r="E17" s="8" t="e">
        <f>IF((MONTH($N$5)-9)&lt;=0,MONTH($N$5)-9+12&amp;"月",MONTH($N$5)-9&amp;"月")</f>
        <v>#VALUE!</v>
      </c>
      <c r="F17" s="8" t="e">
        <f>IF((MONTH($N$5)-8)&lt;=0,MONTH($N$5)-8+12&amp;"月",MONTH($N$5)-8&amp;"月")</f>
        <v>#VALUE!</v>
      </c>
      <c r="G17" s="8" t="e">
        <f>IF((MONTH($N$5)-7)&lt;=0,MONTH($N$5)-7+12&amp;"月",MONTH($N$5)-7&amp;"月")</f>
        <v>#VALUE!</v>
      </c>
      <c r="H17" s="8" t="e">
        <f>IF((MONTH($N$5)-6)&lt;=0,MONTH($N$5)-6+12&amp;"月",MONTH($N$5)-6&amp;"月")</f>
        <v>#VALUE!</v>
      </c>
      <c r="I17" s="8" t="e">
        <f>IF((MONTH($N$5)-5)&lt;=0,MONTH($N$5)-5+12&amp;"月",MONTH($N$5)-5&amp;"月")</f>
        <v>#VALUE!</v>
      </c>
      <c r="J17" s="8" t="e">
        <f>IF((MONTH($N$5)-4)&lt;=0,MONTH($N$5)-4+12&amp;"月",MONTH($N$5)-4&amp;"月")</f>
        <v>#VALUE!</v>
      </c>
      <c r="K17" s="8" t="e">
        <f>IF((MONTH($N$5)-3)&lt;=0,MONTH($N$5)-3+12&amp;"月",MONTH($N$5)-3&amp;"月")</f>
        <v>#VALUE!</v>
      </c>
      <c r="L17" s="8" t="e">
        <f>IF((MONTH($N$5)-2)&lt;=0,MONTH($N$5)-2+12&amp;"月",MONTH($N$5)-2&amp;"月")</f>
        <v>#VALUE!</v>
      </c>
      <c r="M17" s="8" t="e">
        <f>IF((MONTH($N$5)-1)&lt;=0,MONTH($N$5)-1+12&amp;"月",MONTH($N$5)-1&amp;"月")</f>
        <v>#VALUE!</v>
      </c>
      <c r="N17" s="8" t="s">
        <v>4</v>
      </c>
      <c r="O17" s="26" t="s">
        <v>5</v>
      </c>
    </row>
    <row r="18" spans="1:22" ht="14.5" thickBot="1" x14ac:dyDescent="0.35">
      <c r="A18" s="57"/>
      <c r="B18" s="18" t="str">
        <f>IF(_danhao_day_all!G3="","",_danhao_day_all!G3)</f>
        <v/>
      </c>
      <c r="C18" s="19" t="str">
        <f>IF(_danhao_day_all!G4="","",_danhao_day_all!G4)</f>
        <v/>
      </c>
      <c r="D18" s="19" t="str">
        <f>IF(_danhao_day_all!G5="","",_danhao_day_all!G5)</f>
        <v/>
      </c>
      <c r="E18" s="19" t="str">
        <f>IF(_danhao_day_all!G6="","",_danhao_day_all!G6)</f>
        <v/>
      </c>
      <c r="F18" s="19" t="str">
        <f>IF(_danhao_day_all!G7="","",_danhao_day_all!G7)</f>
        <v/>
      </c>
      <c r="G18" s="19" t="str">
        <f>IF(_danhao_day_all!G8="","",_danhao_day_all!G8)</f>
        <v/>
      </c>
      <c r="H18" s="19" t="str">
        <f>IF(_danhao_day_all!G9="","",_danhao_day_all!G9)</f>
        <v/>
      </c>
      <c r="I18" s="19" t="str">
        <f>IF(_danhao_day_all!G10="","",_danhao_day_all!G10)</f>
        <v/>
      </c>
      <c r="J18" s="19" t="str">
        <f>IF(_danhao_day_all!G11="","",_danhao_day_all!G11)</f>
        <v/>
      </c>
      <c r="K18" s="19" t="str">
        <f>IF(_danhao_day_all!G12="","",_danhao_day_all!G12)</f>
        <v/>
      </c>
      <c r="L18" s="19" t="str">
        <f>IF(_danhao_day_all!G13="","",_danhao_day_all!G13)</f>
        <v/>
      </c>
      <c r="M18" s="19" t="str">
        <f>IF(_danhao_day_all!G14="","",_danhao_day_all!G14)</f>
        <v/>
      </c>
      <c r="N18" s="19" t="str">
        <f>IF(_danhao_day_all!G15="","",_danhao_day_all!G15)</f>
        <v/>
      </c>
      <c r="O18" s="32" t="str">
        <f>IF(_danhao_day_all!G16="","",_danhao_day_all!G16)</f>
        <v/>
      </c>
    </row>
    <row r="19" spans="1:22" ht="14.5" thickBot="1" x14ac:dyDescent="0.35">
      <c r="A19" s="57"/>
      <c r="B19" s="68" t="s">
        <v>16</v>
      </c>
      <c r="C19" s="69"/>
      <c r="D19" s="69">
        <v>17100</v>
      </c>
      <c r="E19" s="13">
        <f>IF(_danhao_day_all!A5="",13700,_danhao_day_all!A5)</f>
        <v>13700</v>
      </c>
      <c r="F19" s="13"/>
      <c r="G19" s="69" t="s">
        <v>17</v>
      </c>
      <c r="H19" s="69"/>
      <c r="I19" s="12">
        <v>3.4</v>
      </c>
      <c r="J19" s="13"/>
      <c r="K19" s="13" t="s">
        <v>18</v>
      </c>
      <c r="L19" s="13"/>
      <c r="M19" s="13"/>
      <c r="N19" s="13">
        <f>I19*100/E19</f>
        <v>2.4817518248175182E-2</v>
      </c>
      <c r="O19" s="29"/>
    </row>
    <row r="20" spans="1:22" x14ac:dyDescent="0.3">
      <c r="A20" s="57"/>
      <c r="B20" s="20" t="s">
        <v>5</v>
      </c>
      <c r="C20" s="15" t="s">
        <v>11</v>
      </c>
      <c r="D20" s="21" t="s">
        <v>4</v>
      </c>
      <c r="E20" s="16">
        <f ca="1">IF(V20&lt;0,"↓"&amp;TEXT(V20,"0"),IF(V20=0,0,"↑"&amp;TEXT(V20,"0")))</f>
        <v>0</v>
      </c>
      <c r="F20" s="17"/>
      <c r="G20" s="50" t="s">
        <v>12</v>
      </c>
      <c r="H20" s="50"/>
      <c r="I20" s="16">
        <f ca="1">V20*N19/100</f>
        <v>0</v>
      </c>
      <c r="J20" s="30"/>
      <c r="K20" s="15"/>
      <c r="L20" s="15"/>
      <c r="M20" s="15"/>
      <c r="N20" s="15"/>
      <c r="O20" s="31"/>
      <c r="U20" t="s">
        <v>19</v>
      </c>
      <c r="V20">
        <f ca="1">VLOOKUP(B20,_danhao_day_all!D10:N23,4,FALSE)-VLOOKUP(D20,_danhao_day_all!D10:N23,4,FALSE)</f>
        <v>0</v>
      </c>
    </row>
    <row r="21" spans="1:22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22" x14ac:dyDescent="0.3">
      <c r="A22" s="56" t="s">
        <v>20</v>
      </c>
      <c r="B22" s="65" t="s">
        <v>54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7"/>
    </row>
    <row r="23" spans="1:22" x14ac:dyDescent="0.3">
      <c r="A23" s="56"/>
      <c r="B23" s="9" t="e">
        <f>IF((MONTH($N$5)-12)&lt;=0,MONTH($N$5)-12+12&amp;"月",MONTH($N$5)-12&amp;"月")</f>
        <v>#VALUE!</v>
      </c>
      <c r="C23" s="8" t="e">
        <f>IF((MONTH($N$5)-11)&lt;=0,MONTH($N$5)-11+12&amp;"月",MONTH($N$5)-11&amp;"月")</f>
        <v>#VALUE!</v>
      </c>
      <c r="D23" s="8" t="e">
        <f>IF((MONTH($N$5)-10)&lt;=0,MONTH($N$5)-10+12&amp;"月",MONTH($N$5)-10&amp;"月")</f>
        <v>#VALUE!</v>
      </c>
      <c r="E23" s="8" t="e">
        <f>IF((MONTH($N$5)-9)&lt;=0,MONTH($N$5)-9+12&amp;"月",MONTH($N$5)-9&amp;"月")</f>
        <v>#VALUE!</v>
      </c>
      <c r="F23" s="8" t="e">
        <f>IF((MONTH($N$5)-8)&lt;=0,MONTH($N$5)-8+12&amp;"月",MONTH($N$5)-8&amp;"月")</f>
        <v>#VALUE!</v>
      </c>
      <c r="G23" s="8" t="e">
        <f>IF((MONTH($N$5)-7)&lt;=0,MONTH($N$5)-7+12&amp;"月",MONTH($N$5)-7&amp;"月")</f>
        <v>#VALUE!</v>
      </c>
      <c r="H23" s="8" t="e">
        <f>IF((MONTH($N$5)-6)&lt;=0,MONTH($N$5)-6+12&amp;"月",MONTH($N$5)-6&amp;"月")</f>
        <v>#VALUE!</v>
      </c>
      <c r="I23" s="8" t="e">
        <f>IF((MONTH($N$5)-5)&lt;=0,MONTH($N$5)-5+12&amp;"月",MONTH($N$5)-5&amp;"月")</f>
        <v>#VALUE!</v>
      </c>
      <c r="J23" s="8" t="e">
        <f>IF((MONTH($N$5)-4)&lt;=0,MONTH($N$5)-4+12&amp;"月",MONTH($N$5)-4&amp;"月")</f>
        <v>#VALUE!</v>
      </c>
      <c r="K23" s="8" t="e">
        <f>IF((MONTH($N$5)-3)&lt;=0,MONTH($N$5)-3+12&amp;"月",MONTH($N$5)-3&amp;"月")</f>
        <v>#VALUE!</v>
      </c>
      <c r="L23" s="8" t="e">
        <f>IF((MONTH($N$5)-2)&lt;=0,MONTH($N$5)-2+12&amp;"月",MONTH($N$5)-2&amp;"月")</f>
        <v>#VALUE!</v>
      </c>
      <c r="M23" s="8" t="e">
        <f>IF((MONTH($N$5)-1)&lt;=0,MONTH($N$5)-1+12&amp;"月",MONTH($N$5)-1&amp;"月")</f>
        <v>#VALUE!</v>
      </c>
      <c r="N23" s="8" t="s">
        <v>4</v>
      </c>
      <c r="O23" s="26" t="s">
        <v>5</v>
      </c>
    </row>
    <row r="24" spans="1:22" ht="14.5" thickBot="1" x14ac:dyDescent="0.35">
      <c r="A24" s="56"/>
      <c r="B24" s="18" t="str">
        <f>IF(_danhao_day_all!H3="","",_danhao_day_all!H3)</f>
        <v/>
      </c>
      <c r="C24" s="19" t="str">
        <f>IF(_danhao_day_all!H4="","",_danhao_day_all!H4)</f>
        <v/>
      </c>
      <c r="D24" s="19" t="str">
        <f>IF(_danhao_day_all!H5="","",_danhao_day_all!H5)</f>
        <v/>
      </c>
      <c r="E24" s="19" t="str">
        <f>IF(_danhao_day_all!H6="","",_danhao_day_all!H6)</f>
        <v/>
      </c>
      <c r="F24" s="19" t="str">
        <f>IF(_danhao_day_all!H7="","",_danhao_day_all!H7)</f>
        <v/>
      </c>
      <c r="G24" s="19" t="str">
        <f>IF(_danhao_day_all!H8="","",_danhao_day_all!H8)</f>
        <v/>
      </c>
      <c r="H24" s="19" t="str">
        <f>IF(_danhao_day_all!H9="","",_danhao_day_all!H9)</f>
        <v/>
      </c>
      <c r="I24" s="19" t="str">
        <f>IF(_danhao_day_all!H10="","",_danhao_day_all!H10)</f>
        <v/>
      </c>
      <c r="J24" s="19" t="str">
        <f>IF(_danhao_day_all!H11="","",_danhao_day_all!H11)</f>
        <v/>
      </c>
      <c r="K24" s="19" t="str">
        <f>IF(_danhao_day_all!H12="","",_danhao_day_all!H12)</f>
        <v/>
      </c>
      <c r="L24" s="19" t="str">
        <f>IF(_danhao_day_all!H13="","",_danhao_day_all!H13)</f>
        <v/>
      </c>
      <c r="M24" s="19" t="str">
        <f>IF(_danhao_day_all!H14="","",_danhao_day_all!H14)</f>
        <v/>
      </c>
      <c r="N24" s="19" t="str">
        <f>IF(_danhao_day_all!H15="","",_danhao_day_all!H15)</f>
        <v/>
      </c>
      <c r="O24" s="32" t="str">
        <f>IF(_danhao_day_all!H16="","",_danhao_day_all!H16)</f>
        <v/>
      </c>
    </row>
    <row r="25" spans="1:22" ht="14.5" thickBot="1" x14ac:dyDescent="0.35">
      <c r="A25" s="56"/>
      <c r="B25" s="68" t="s">
        <v>16</v>
      </c>
      <c r="C25" s="69"/>
      <c r="D25" s="69">
        <v>3250</v>
      </c>
      <c r="E25" s="12">
        <f>IF(_danhao_day_all!A6="",3250,_danhao_day_all!A6)</f>
        <v>3250</v>
      </c>
      <c r="F25" s="13"/>
      <c r="G25" s="69" t="s">
        <v>17</v>
      </c>
      <c r="H25" s="69"/>
      <c r="I25" s="12">
        <v>3.8</v>
      </c>
      <c r="J25" s="13"/>
      <c r="K25" s="13" t="s">
        <v>18</v>
      </c>
      <c r="L25" s="13"/>
      <c r="M25" s="13"/>
      <c r="N25" s="13">
        <f>I25*100/E25</f>
        <v>0.11692307692307692</v>
      </c>
      <c r="O25" s="29"/>
    </row>
    <row r="26" spans="1:22" x14ac:dyDescent="0.3">
      <c r="A26" s="56"/>
      <c r="B26" s="20" t="s">
        <v>5</v>
      </c>
      <c r="C26" s="15" t="s">
        <v>11</v>
      </c>
      <c r="D26" s="21" t="s">
        <v>4</v>
      </c>
      <c r="E26" s="16">
        <f ca="1">IF(V26&lt;0,"↓"&amp;TEXT(V26,"0"),IF(V26=0,0,"↑"&amp;TEXT(V26,"0")))</f>
        <v>0</v>
      </c>
      <c r="F26" s="17"/>
      <c r="G26" s="50" t="s">
        <v>12</v>
      </c>
      <c r="H26" s="50"/>
      <c r="I26" s="16">
        <f ca="1">V26*N25/100</f>
        <v>0</v>
      </c>
      <c r="J26" s="30"/>
      <c r="K26" s="15"/>
      <c r="L26" s="15"/>
      <c r="M26" s="15"/>
      <c r="N26" s="15"/>
      <c r="O26" s="31"/>
      <c r="U26" t="s">
        <v>19</v>
      </c>
      <c r="V26">
        <f ca="1">VLOOKUP(B26,_danhao_day_all!D10:N23,5,FALSE)-VLOOKUP(D26,_danhao_day_all!D10:N23,5,FALSE)</f>
        <v>0</v>
      </c>
    </row>
    <row r="27" spans="1:22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22" x14ac:dyDescent="0.3">
      <c r="A28" s="56" t="s">
        <v>21</v>
      </c>
      <c r="B28" s="65" t="s">
        <v>55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7"/>
    </row>
    <row r="29" spans="1:22" x14ac:dyDescent="0.3">
      <c r="A29" s="56"/>
      <c r="B29" s="9" t="e">
        <f>IF((MONTH($N$5)-12)&lt;=0,MONTH($N$5)-12+12&amp;"月",MONTH($N$5)-12&amp;"月")</f>
        <v>#VALUE!</v>
      </c>
      <c r="C29" s="8" t="e">
        <f>IF((MONTH($N$5)-11)&lt;=0,MONTH($N$5)-11+12&amp;"月",MONTH($N$5)-11&amp;"月")</f>
        <v>#VALUE!</v>
      </c>
      <c r="D29" s="8" t="e">
        <f>IF((MONTH($N$5)-10)&lt;=0,MONTH($N$5)-10+12&amp;"月",MONTH($N$5)-10&amp;"月")</f>
        <v>#VALUE!</v>
      </c>
      <c r="E29" s="8" t="e">
        <f>IF((MONTH($N$5)-9)&lt;=0,MONTH($N$5)-9+12&amp;"月",MONTH($N$5)-9&amp;"月")</f>
        <v>#VALUE!</v>
      </c>
      <c r="F29" s="8" t="e">
        <f>IF((MONTH($N$5)-8)&lt;=0,MONTH($N$5)-8+12&amp;"月",MONTH($N$5)-8&amp;"月")</f>
        <v>#VALUE!</v>
      </c>
      <c r="G29" s="8" t="e">
        <f>IF((MONTH($N$5)-7)&lt;=0,MONTH($N$5)-7+12&amp;"月",MONTH($N$5)-7&amp;"月")</f>
        <v>#VALUE!</v>
      </c>
      <c r="H29" s="8" t="e">
        <f>IF((MONTH($N$5)-6)&lt;=0,MONTH($N$5)-6+12&amp;"月",MONTH($N$5)-6&amp;"月")</f>
        <v>#VALUE!</v>
      </c>
      <c r="I29" s="8" t="e">
        <f>IF((MONTH($N$5)-5)&lt;=0,MONTH($N$5)-5+12&amp;"月",MONTH($N$5)-5&amp;"月")</f>
        <v>#VALUE!</v>
      </c>
      <c r="J29" s="8" t="e">
        <f>IF((MONTH($N$5)-4)&lt;=0,MONTH($N$5)-4+12&amp;"月",MONTH($N$5)-4&amp;"月")</f>
        <v>#VALUE!</v>
      </c>
      <c r="K29" s="8" t="e">
        <f>IF((MONTH($N$5)-3)&lt;=0,MONTH($N$5)-3+12&amp;"月",MONTH($N$5)-3&amp;"月")</f>
        <v>#VALUE!</v>
      </c>
      <c r="L29" s="8" t="e">
        <f>IF((MONTH($N$5)-2)&lt;=0,MONTH($N$5)-2+12&amp;"月",MONTH($N$5)-2&amp;"月")</f>
        <v>#VALUE!</v>
      </c>
      <c r="M29" s="8" t="e">
        <f>IF((MONTH($N$5)-1)&lt;=0,MONTH($N$5)-1+12&amp;"月",MONTH($N$5)-1&amp;"月")</f>
        <v>#VALUE!</v>
      </c>
      <c r="N29" s="8" t="s">
        <v>4</v>
      </c>
      <c r="O29" s="26" t="s">
        <v>5</v>
      </c>
    </row>
    <row r="30" spans="1:22" ht="14.5" thickBot="1" x14ac:dyDescent="0.35">
      <c r="A30" s="56"/>
      <c r="B30" s="35" t="str">
        <f>IF(_danhao_day_all!I3="","",_danhao_day_all!I3*1000)</f>
        <v/>
      </c>
      <c r="C30" s="36" t="str">
        <f>IF(_danhao_day_all!I4="","",_danhao_day_all!I4*1000)</f>
        <v/>
      </c>
      <c r="D30" s="36" t="str">
        <f>IF(_danhao_day_all!I5="","",_danhao_day_all!I5*1000)</f>
        <v/>
      </c>
      <c r="E30" s="36" t="str">
        <f>IF(_danhao_day_all!I6="","",_danhao_day_all!I6*1000)</f>
        <v/>
      </c>
      <c r="F30" s="36" t="str">
        <f>IF(_danhao_day_all!I7="","",_danhao_day_all!I7*1000)</f>
        <v/>
      </c>
      <c r="G30" s="36" t="str">
        <f>IF(_danhao_day_all!I8="","",_danhao_day_all!I8*1000)</f>
        <v/>
      </c>
      <c r="H30" s="36" t="str">
        <f>IF(_danhao_day_all!I9="","",_danhao_day_all!I9*1000)</f>
        <v/>
      </c>
      <c r="I30" s="36" t="str">
        <f>IF(_danhao_day_all!I10="","",_danhao_day_all!I10*1000)</f>
        <v/>
      </c>
      <c r="J30" s="36" t="str">
        <f>IF(_danhao_day_all!I11="","",_danhao_day_all!I11*1000)</f>
        <v/>
      </c>
      <c r="K30" s="36" t="str">
        <f>IF(_danhao_day_all!I12="","",_danhao_day_all!I12*1000)</f>
        <v/>
      </c>
      <c r="L30" s="36" t="str">
        <f>IF(_danhao_day_all!I13="","",_danhao_day_all!I13*1000)</f>
        <v/>
      </c>
      <c r="M30" s="36" t="str">
        <f>IF(_danhao_day_all!I14="","",_danhao_day_all!I14*1000)</f>
        <v/>
      </c>
      <c r="N30" s="36" t="str">
        <f>IF(_danhao_day_all!I15="","",_danhao_day_all!I15*1000)</f>
        <v/>
      </c>
      <c r="O30" s="37" t="str">
        <f>IF(_danhao_day_all!I16="","",_danhao_day_all!I16*1000)</f>
        <v/>
      </c>
    </row>
    <row r="31" spans="1:22" ht="14.5" thickBot="1" x14ac:dyDescent="0.35">
      <c r="A31" s="56"/>
      <c r="B31" s="68" t="s">
        <v>22</v>
      </c>
      <c r="C31" s="69"/>
      <c r="D31" s="69">
        <f>IF(B5="4.3m",15.3,21.5)</f>
        <v>21.5</v>
      </c>
      <c r="E31" s="12">
        <f>_danhao_day_all!A7</f>
        <v>0</v>
      </c>
      <c r="F31" s="13"/>
      <c r="G31" s="69" t="s">
        <v>17</v>
      </c>
      <c r="H31" s="69"/>
      <c r="I31" s="12">
        <f>IF(B5="6#-7#",I25,I19)</f>
        <v>3.8</v>
      </c>
      <c r="J31" s="13"/>
      <c r="K31" s="13" t="s">
        <v>23</v>
      </c>
      <c r="L31" s="13"/>
      <c r="M31" s="13"/>
      <c r="N31" s="13">
        <f>I31*E31/(E31-0.1*0.76*0.89)-I31</f>
        <v>-3.8</v>
      </c>
      <c r="O31" s="29"/>
    </row>
    <row r="32" spans="1:22" x14ac:dyDescent="0.3">
      <c r="A32" s="56"/>
      <c r="B32" s="20" t="s">
        <v>5</v>
      </c>
      <c r="C32" s="15" t="s">
        <v>11</v>
      </c>
      <c r="D32" s="21" t="s">
        <v>4</v>
      </c>
      <c r="E32" s="16" t="s">
        <v>19</v>
      </c>
      <c r="F32" s="17">
        <f ca="1">IF(V32&lt;0,"↓"&amp;TEXT(V32*1000,"0"),IF(V32=0,0,"↑"&amp;TEXT(V32*1000,"0")))</f>
        <v>0</v>
      </c>
      <c r="G32" s="50" t="s">
        <v>12</v>
      </c>
      <c r="H32" s="50"/>
      <c r="I32" s="16">
        <f ca="1">-V32*N31</f>
        <v>0</v>
      </c>
      <c r="J32" s="30"/>
      <c r="K32" s="15"/>
      <c r="L32" s="15"/>
      <c r="M32" s="15"/>
      <c r="N32" s="15"/>
      <c r="O32" s="31"/>
      <c r="U32" t="s">
        <v>19</v>
      </c>
      <c r="V32">
        <f ca="1">VLOOKUP(B32,_danhao_day_all!D10:N23,6,FALSE)-VLOOKUP(D32,_danhao_day_all!D10:N23,6,FALSE)</f>
        <v>0</v>
      </c>
    </row>
    <row r="33" spans="1:22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22" x14ac:dyDescent="0.3">
      <c r="A34" s="56" t="s">
        <v>24</v>
      </c>
      <c r="B34" s="65" t="s">
        <v>25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7"/>
    </row>
    <row r="35" spans="1:22" x14ac:dyDescent="0.3">
      <c r="A35" s="56"/>
      <c r="B35" s="9" t="e">
        <f>IF((MONTH($N$5)-12)&lt;=0,MONTH($N$5)-12+12&amp;"月",MONTH($N$5)-12&amp;"月")</f>
        <v>#VALUE!</v>
      </c>
      <c r="C35" s="8" t="e">
        <f>IF((MONTH($N$5)-11)&lt;=0,MONTH($N$5)-11+12&amp;"月",MONTH($N$5)-11&amp;"月")</f>
        <v>#VALUE!</v>
      </c>
      <c r="D35" s="8" t="e">
        <f>IF((MONTH($N$5)-10)&lt;=0,MONTH($N$5)-10+12&amp;"月",MONTH($N$5)-10&amp;"月")</f>
        <v>#VALUE!</v>
      </c>
      <c r="E35" s="8" t="e">
        <f>IF((MONTH($N$5)-9)&lt;=0,MONTH($N$5)-9+12&amp;"月",MONTH($N$5)-9&amp;"月")</f>
        <v>#VALUE!</v>
      </c>
      <c r="F35" s="8" t="e">
        <f>IF((MONTH($N$5)-8)&lt;=0,MONTH($N$5)-8+12&amp;"月",MONTH($N$5)-8&amp;"月")</f>
        <v>#VALUE!</v>
      </c>
      <c r="G35" s="8" t="e">
        <f>IF((MONTH($N$5)-7)&lt;=0,MONTH($N$5)-7+12&amp;"月",MONTH($N$5)-7&amp;"月")</f>
        <v>#VALUE!</v>
      </c>
      <c r="H35" s="8" t="e">
        <f>IF((MONTH($N$5)-6)&lt;=0,MONTH($N$5)-6+12&amp;"月",MONTH($N$5)-6&amp;"月")</f>
        <v>#VALUE!</v>
      </c>
      <c r="I35" s="8" t="e">
        <f>IF((MONTH($N$5)-5)&lt;=0,MONTH($N$5)-5+12&amp;"月",MONTH($N$5)-5&amp;"月")</f>
        <v>#VALUE!</v>
      </c>
      <c r="J35" s="8" t="e">
        <f>IF((MONTH($N$5)-4)&lt;=0,MONTH($N$5)-4+12&amp;"月",MONTH($N$5)-4&amp;"月")</f>
        <v>#VALUE!</v>
      </c>
      <c r="K35" s="8" t="e">
        <f>IF((MONTH($N$5)-3)&lt;=0,MONTH($N$5)-3+12&amp;"月",MONTH($N$5)-3&amp;"月")</f>
        <v>#VALUE!</v>
      </c>
      <c r="L35" s="8" t="e">
        <f>IF((MONTH($N$5)-2)&lt;=0,MONTH($N$5)-2+12&amp;"月",MONTH($N$5)-2&amp;"月")</f>
        <v>#VALUE!</v>
      </c>
      <c r="M35" s="8" t="e">
        <f>IF((MONTH($N$5)-1)&lt;=0,MONTH($N$5)-1+12&amp;"月",MONTH($N$5)-1&amp;"月")</f>
        <v>#VALUE!</v>
      </c>
      <c r="N35" s="8" t="s">
        <v>4</v>
      </c>
      <c r="O35" s="26" t="s">
        <v>5</v>
      </c>
    </row>
    <row r="36" spans="1:22" ht="14.5" thickBot="1" x14ac:dyDescent="0.35">
      <c r="A36" s="56"/>
      <c r="B36" s="38" t="str">
        <f>IF(_danhao_day_all!J3="","",_danhao_day_all!J3)</f>
        <v/>
      </c>
      <c r="C36" s="39" t="str">
        <f>IF(_danhao_day_all!J4="","",_danhao_day_all!J4)</f>
        <v/>
      </c>
      <c r="D36" s="39" t="str">
        <f>IF(_danhao_day_all!J5="","",_danhao_day_all!J5)</f>
        <v/>
      </c>
      <c r="E36" s="39" t="str">
        <f>IF(_danhao_day_all!J6="","",_danhao_day_all!J6)</f>
        <v/>
      </c>
      <c r="F36" s="39" t="str">
        <f>IF(_danhao_day_all!J7="","",_danhao_day_all!J7)</f>
        <v/>
      </c>
      <c r="G36" s="39" t="str">
        <f>IF(_danhao_day_all!J8="","",_danhao_day_all!J8)</f>
        <v/>
      </c>
      <c r="H36" s="39" t="str">
        <f>IF(_danhao_day_all!J9="","",_danhao_day_all!J9)</f>
        <v/>
      </c>
      <c r="I36" s="39" t="str">
        <f>IF(_danhao_day_all!J10="","",_danhao_day_all!J10)</f>
        <v/>
      </c>
      <c r="J36" s="39" t="str">
        <f>IF(_danhao_day_all!J11="","",_danhao_day_all!J11)</f>
        <v/>
      </c>
      <c r="K36" s="39" t="str">
        <f>IF(_danhao_day_all!J12="","",_danhao_day_all!J12)</f>
        <v/>
      </c>
      <c r="L36" s="39" t="str">
        <f>IF(_danhao_day_all!J13="","",_danhao_day_all!J13)</f>
        <v/>
      </c>
      <c r="M36" s="39" t="str">
        <f>IF(_danhao_day_all!J14="","",_danhao_day_all!J14)</f>
        <v/>
      </c>
      <c r="N36" s="39" t="str">
        <f>IF(_danhao_day_all!J15="","",_danhao_day_all!J15)</f>
        <v/>
      </c>
      <c r="O36" s="40" t="str">
        <f>IF(_danhao_day_all!J16="","",_danhao_day_all!J16)</f>
        <v/>
      </c>
    </row>
    <row r="37" spans="1:22" ht="14.5" thickBot="1" x14ac:dyDescent="0.35">
      <c r="A37" s="56"/>
      <c r="B37" s="68" t="s">
        <v>26</v>
      </c>
      <c r="C37" s="69"/>
      <c r="D37" s="69">
        <v>132</v>
      </c>
      <c r="E37" s="12">
        <v>132</v>
      </c>
      <c r="F37" s="13"/>
      <c r="G37" s="69" t="s">
        <v>17</v>
      </c>
      <c r="H37" s="69"/>
      <c r="I37" s="12">
        <f>IF(B5="6#-7#",I25,I19)</f>
        <v>3.8</v>
      </c>
      <c r="J37" s="13"/>
      <c r="K37" s="13" t="s">
        <v>27</v>
      </c>
      <c r="L37" s="13"/>
      <c r="M37" s="13"/>
      <c r="N37" s="13">
        <f>I37/E37</f>
        <v>2.8787878787878786E-2</v>
      </c>
      <c r="O37" s="29"/>
    </row>
    <row r="38" spans="1:22" x14ac:dyDescent="0.3">
      <c r="A38" s="56"/>
      <c r="B38" s="20" t="s">
        <v>5</v>
      </c>
      <c r="C38" s="15" t="s">
        <v>11</v>
      </c>
      <c r="D38" s="21" t="s">
        <v>4</v>
      </c>
      <c r="E38" s="16" t="s">
        <v>19</v>
      </c>
      <c r="F38" s="17">
        <f ca="1">IF(V38&lt;0,"↓"&amp;TEXT(V38,"0"),IF(V38=0,0,"↑"&amp;TEXT(V38,"0")))</f>
        <v>0</v>
      </c>
      <c r="G38" s="50" t="s">
        <v>12</v>
      </c>
      <c r="H38" s="50"/>
      <c r="I38" s="33">
        <f ca="1">V38*N37</f>
        <v>0</v>
      </c>
      <c r="J38" s="30"/>
      <c r="K38" s="15"/>
      <c r="L38" s="15"/>
      <c r="M38" s="15"/>
      <c r="N38" s="15"/>
      <c r="O38" s="31"/>
      <c r="U38" t="s">
        <v>19</v>
      </c>
      <c r="V38">
        <f ca="1">VLOOKUP(B38,_danhao_day_all!D10:N23,7,FALSE)-VLOOKUP(D38,_danhao_day_all!D10:N23,7,FALSE)</f>
        <v>0</v>
      </c>
    </row>
    <row r="39" spans="1:2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22" x14ac:dyDescent="0.3">
      <c r="A40" s="58" t="s">
        <v>28</v>
      </c>
      <c r="B40" s="51" t="s">
        <v>29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2"/>
    </row>
    <row r="41" spans="1:22" x14ac:dyDescent="0.3">
      <c r="A41" s="59"/>
      <c r="B41" s="22" t="s">
        <v>30</v>
      </c>
      <c r="C41" s="22" t="s">
        <v>31</v>
      </c>
      <c r="D41" s="22" t="s">
        <v>32</v>
      </c>
      <c r="E41" s="22" t="s">
        <v>33</v>
      </c>
      <c r="F41" s="22" t="s">
        <v>34</v>
      </c>
      <c r="G41" s="23" t="s">
        <v>35</v>
      </c>
      <c r="H41" s="23" t="s">
        <v>36</v>
      </c>
      <c r="I41" s="61"/>
      <c r="J41" s="61"/>
      <c r="K41" s="61"/>
      <c r="L41" s="61"/>
      <c r="M41" s="61"/>
      <c r="N41" s="61"/>
      <c r="O41" s="62"/>
    </row>
    <row r="42" spans="1:22" x14ac:dyDescent="0.3">
      <c r="A42" s="59"/>
      <c r="B42" s="24">
        <f ca="1">I14</f>
        <v>0</v>
      </c>
      <c r="C42" s="24">
        <f ca="1">I20</f>
        <v>0</v>
      </c>
      <c r="D42" s="24">
        <f ca="1">I26</f>
        <v>0</v>
      </c>
      <c r="E42" s="24">
        <f ca="1">I32</f>
        <v>0</v>
      </c>
      <c r="F42" s="24">
        <f ca="1">I38</f>
        <v>0</v>
      </c>
      <c r="G42" s="25">
        <f ca="1">SUM(B42:F42)</f>
        <v>0</v>
      </c>
      <c r="H42" s="48" t="e">
        <f ca="1">O8-VLOOKUP(D14,_danhao_day_all!D3:E16,2,FALSE)-G42</f>
        <v>#VALUE!</v>
      </c>
      <c r="I42" s="61"/>
      <c r="J42" s="61"/>
      <c r="K42" s="61"/>
      <c r="L42" s="61"/>
      <c r="M42" s="61"/>
      <c r="N42" s="61"/>
      <c r="O42" s="62"/>
    </row>
    <row r="43" spans="1:22" x14ac:dyDescent="0.3">
      <c r="A43" s="59"/>
      <c r="B43" s="24">
        <f ca="1">ABS(B42)</f>
        <v>0</v>
      </c>
      <c r="C43" s="24">
        <f t="shared" ref="C43:H43" ca="1" si="0">ABS(C42)</f>
        <v>0</v>
      </c>
      <c r="D43" s="24">
        <f t="shared" ca="1" si="0"/>
        <v>0</v>
      </c>
      <c r="E43" s="24">
        <f t="shared" ca="1" si="0"/>
        <v>0</v>
      </c>
      <c r="F43" s="24">
        <f t="shared" ca="1" si="0"/>
        <v>0</v>
      </c>
      <c r="G43" s="24">
        <f t="shared" ca="1" si="0"/>
        <v>0</v>
      </c>
      <c r="H43" s="24" t="e">
        <f t="shared" ca="1" si="0"/>
        <v>#VALUE!</v>
      </c>
      <c r="I43" s="61"/>
      <c r="J43" s="61"/>
      <c r="K43" s="61"/>
      <c r="L43" s="61"/>
      <c r="M43" s="61"/>
      <c r="N43" s="61"/>
      <c r="O43" s="62"/>
    </row>
    <row r="44" spans="1:22" ht="134" customHeight="1" x14ac:dyDescent="0.3">
      <c r="A44" s="60"/>
      <c r="B44" s="53"/>
      <c r="C44" s="54"/>
      <c r="D44" s="54"/>
      <c r="E44" s="54"/>
      <c r="F44" s="54"/>
      <c r="G44" s="54"/>
      <c r="H44" s="55"/>
      <c r="I44" s="63"/>
      <c r="J44" s="63"/>
      <c r="K44" s="63"/>
      <c r="L44" s="63"/>
      <c r="M44" s="63"/>
      <c r="N44" s="63"/>
      <c r="O44" s="64"/>
    </row>
  </sheetData>
  <mergeCells count="32">
    <mergeCell ref="G14:H14"/>
    <mergeCell ref="B16:O16"/>
    <mergeCell ref="B19:D19"/>
    <mergeCell ref="G19:H19"/>
    <mergeCell ref="B6:O6"/>
    <mergeCell ref="B10:O10"/>
    <mergeCell ref="B13:D13"/>
    <mergeCell ref="G13:H13"/>
    <mergeCell ref="G26:H26"/>
    <mergeCell ref="B28:O28"/>
    <mergeCell ref="B31:D31"/>
    <mergeCell ref="G31:H31"/>
    <mergeCell ref="G20:H20"/>
    <mergeCell ref="B22:O22"/>
    <mergeCell ref="B25:D25"/>
    <mergeCell ref="G25:H25"/>
    <mergeCell ref="A3:O4"/>
    <mergeCell ref="G38:H38"/>
    <mergeCell ref="B40:O40"/>
    <mergeCell ref="B44:H44"/>
    <mergeCell ref="A6:A8"/>
    <mergeCell ref="A10:A14"/>
    <mergeCell ref="A16:A20"/>
    <mergeCell ref="A22:A26"/>
    <mergeCell ref="A28:A32"/>
    <mergeCell ref="A34:A38"/>
    <mergeCell ref="A40:A44"/>
    <mergeCell ref="I41:O44"/>
    <mergeCell ref="G32:H32"/>
    <mergeCell ref="B34:O34"/>
    <mergeCell ref="B37:D37"/>
    <mergeCell ref="G37:H37"/>
  </mergeCells>
  <phoneticPr fontId="6" type="noConversion"/>
  <dataValidations disablePrompts="1" count="1">
    <dataValidation type="list" allowBlank="1" showInputMessage="1" showErrorMessage="1" sqref="B14 D38 B38 D32 B32 D26 B26 D20 B20 D14" xr:uid="{00000000-0002-0000-0000-000000000000}">
      <formula1>$B$11:$O$11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F9" sqref="F9"/>
    </sheetView>
  </sheetViews>
  <sheetFormatPr defaultColWidth="9" defaultRowHeight="14" x14ac:dyDescent="0.3"/>
  <cols>
    <col min="4" max="4" width="14.75" customWidth="1"/>
    <col min="7" max="7" width="11" customWidth="1"/>
  </cols>
  <sheetData>
    <row r="1" spans="1:10" ht="63" x14ac:dyDescent="0.3">
      <c r="A1" s="1" t="s">
        <v>37</v>
      </c>
      <c r="B1" s="2" t="s">
        <v>38</v>
      </c>
      <c r="C1" s="2" t="s">
        <v>39</v>
      </c>
    </row>
    <row r="2" spans="1:10" x14ac:dyDescent="0.3"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</row>
    <row r="3" spans="1:10" x14ac:dyDescent="0.3">
      <c r="C3" s="76" t="s">
        <v>47</v>
      </c>
      <c r="D3" s="5" t="str">
        <f ca="1">IF((MONTH(D$17)-12)&lt;=0,MONTH(D$17)-12+12&amp;"月",MONTH(D$17)-12&amp;"月")</f>
        <v>7月</v>
      </c>
      <c r="F3" s="3"/>
      <c r="G3" s="4"/>
    </row>
    <row r="4" spans="1:10" x14ac:dyDescent="0.3">
      <c r="C4" s="76"/>
      <c r="D4" s="5" t="str">
        <f ca="1">IF((MONTH(D$17)-11)&lt;=0,MONTH(D$17)-11+12&amp;"月",MONTH(D$17)-11&amp;"月")</f>
        <v>8月</v>
      </c>
      <c r="F4" s="3"/>
      <c r="G4" s="4"/>
    </row>
    <row r="5" spans="1:10" x14ac:dyDescent="0.3">
      <c r="C5" s="76"/>
      <c r="D5" s="5" t="str">
        <f ca="1">IF((MONTH(D$17)-10)&lt;=0,MONTH(D$17)-10+12&amp;"月",MONTH(D$17)-10&amp;"月")</f>
        <v>9月</v>
      </c>
      <c r="F5" s="3"/>
      <c r="G5" s="4"/>
    </row>
    <row r="6" spans="1:10" x14ac:dyDescent="0.3">
      <c r="C6" s="76"/>
      <c r="D6" s="5" t="str">
        <f ca="1">IF((MONTH(D$17)-9)&lt;=0,MONTH(D$17)-9+12&amp;"月",MONTH(D$17)-9&amp;"月")</f>
        <v>10月</v>
      </c>
      <c r="F6" s="3"/>
      <c r="G6" s="4"/>
    </row>
    <row r="7" spans="1:10" x14ac:dyDescent="0.3">
      <c r="C7" s="76"/>
      <c r="D7" s="5" t="str">
        <f ca="1">IF((MONTH(D$17)-8)&lt;=0,MONTH(D$17)-8+12&amp;"月",MONTH(D$17)-8&amp;"月")</f>
        <v>11月</v>
      </c>
      <c r="F7" s="3"/>
      <c r="G7" s="4"/>
    </row>
    <row r="8" spans="1:10" x14ac:dyDescent="0.3">
      <c r="C8" s="76"/>
      <c r="D8" s="5" t="str">
        <f ca="1">IF((MONTH(D$17)-7)&lt;=0,MONTH(D$17)-7+12&amp;"月",MONTH(D$17)-7&amp;"月")</f>
        <v>12月</v>
      </c>
      <c r="F8" s="3"/>
      <c r="G8" s="4"/>
    </row>
    <row r="9" spans="1:10" x14ac:dyDescent="0.3">
      <c r="C9" s="76"/>
      <c r="D9" s="5" t="str">
        <f ca="1">IF((MONTH(D$17)-6)&lt;=0,MONTH(D$17)-6+12&amp;"月",MONTH(D$17)-6&amp;"月")</f>
        <v>1月</v>
      </c>
      <c r="F9" s="3"/>
      <c r="G9" s="4"/>
    </row>
    <row r="10" spans="1:10" x14ac:dyDescent="0.3">
      <c r="C10" s="76"/>
      <c r="D10" s="5" t="str">
        <f ca="1">IF((MONTH(D$17)-5)&lt;=0,MONTH(D$17)-5+12&amp;"月",MONTH(D$17)-5&amp;"月")</f>
        <v>2月</v>
      </c>
      <c r="F10" s="3"/>
      <c r="G10" s="4"/>
    </row>
    <row r="11" spans="1:10" x14ac:dyDescent="0.3">
      <c r="C11" s="76"/>
      <c r="D11" s="5" t="str">
        <f ca="1">IF((MONTH(D$17)-4)&lt;=0,MONTH(D$17)-4+12&amp;"月",MONTH(D$17)-4&amp;"月")</f>
        <v>3月</v>
      </c>
      <c r="F11" s="3"/>
      <c r="G11" s="4"/>
    </row>
    <row r="12" spans="1:10" x14ac:dyDescent="0.3">
      <c r="C12" s="76"/>
      <c r="D12" s="5" t="str">
        <f ca="1">IF((MONTH(D$17)-3)&lt;=0,MONTH(D$17)-3+12&amp;"月",MONTH(D$17)-3&amp;"月")</f>
        <v>4月</v>
      </c>
      <c r="F12" s="3"/>
      <c r="G12" s="4"/>
    </row>
    <row r="13" spans="1:10" x14ac:dyDescent="0.3">
      <c r="C13" s="76"/>
      <c r="D13" s="5" t="str">
        <f ca="1">IF((MONTH(D$17)-2)&lt;=0,MONTH(D$17)-2+12&amp;"月",MONTH(D$17)-2&amp;"月")</f>
        <v>5月</v>
      </c>
      <c r="F13" s="3"/>
      <c r="G13" s="4"/>
    </row>
    <row r="14" spans="1:10" x14ac:dyDescent="0.3">
      <c r="C14" s="76"/>
      <c r="D14" s="5" t="str">
        <f ca="1">IF((MONTH(D$17)-1)&lt;=0,MONTH(D$17)-1+12&amp;"月",MONTH(D$17)-1&amp;"月")</f>
        <v>6月</v>
      </c>
      <c r="F14" s="3"/>
      <c r="G14" s="4"/>
    </row>
    <row r="15" spans="1:10" x14ac:dyDescent="0.3">
      <c r="C15" s="76"/>
      <c r="D15" t="s">
        <v>4</v>
      </c>
      <c r="F15" s="3"/>
      <c r="G15" s="4"/>
    </row>
    <row r="16" spans="1:10" x14ac:dyDescent="0.3">
      <c r="C16" s="76"/>
      <c r="D16" t="s">
        <v>5</v>
      </c>
      <c r="F16" s="3"/>
      <c r="G16" s="4"/>
    </row>
    <row r="17" spans="4:10" x14ac:dyDescent="0.3">
      <c r="D17" s="5">
        <f ca="1">NOW()</f>
        <v>43675.671106481481</v>
      </c>
    </row>
    <row r="19" spans="4:10" ht="78" customHeight="1" x14ac:dyDescent="0.3">
      <c r="E19" t="s">
        <v>48</v>
      </c>
      <c r="F19" s="6" t="s">
        <v>49</v>
      </c>
      <c r="G19" s="6" t="s">
        <v>50</v>
      </c>
      <c r="H19" s="6" t="s">
        <v>51</v>
      </c>
      <c r="I19" s="6" t="s">
        <v>52</v>
      </c>
      <c r="J19" s="6" t="s">
        <v>53</v>
      </c>
    </row>
  </sheetData>
  <mergeCells count="1">
    <mergeCell ref="C3:C16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23"/>
  <sheetViews>
    <sheetView topLeftCell="A13" workbookViewId="0">
      <selection activeCell="D10" sqref="D10"/>
    </sheetView>
  </sheetViews>
  <sheetFormatPr defaultColWidth="9" defaultRowHeight="14" x14ac:dyDescent="0.3"/>
  <cols>
    <col min="2" max="2" width="9.5" bestFit="1" customWidth="1"/>
  </cols>
  <sheetData>
    <row r="1" spans="2:2" x14ac:dyDescent="0.3">
      <c r="B1" s="43"/>
    </row>
    <row r="22" spans="2:2" x14ac:dyDescent="0.3">
      <c r="B22" s="43"/>
    </row>
    <row r="23" spans="2:2" x14ac:dyDescent="0.3">
      <c r="B23" s="43"/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炼焦煤气单耗分析</vt:lpstr>
      <vt:lpstr>_danhao_day_all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何茂成</dc:creator>
  <cp:lastModifiedBy>何茂成</cp:lastModifiedBy>
  <dcterms:created xsi:type="dcterms:W3CDTF">2019-06-16T17:04:00Z</dcterms:created>
  <dcterms:modified xsi:type="dcterms:W3CDTF">2019-07-29T08:06:23Z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